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drawings/drawing1.xml" ContentType="application/vnd.openxmlformats-officedocument.drawing+xml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Trushinaaa\Downloads\"/>
    </mc:Choice>
  </mc:AlternateContent>
  <xr:revisionPtr revIDLastSave="0" documentId="13_ncr:1_{E8403ADD-0ABA-46E2-A40B-9F778457ED1B}" xr6:coauthVersionLast="36" xr6:coauthVersionMax="47" xr10:uidLastSave="{00000000-0000-0000-0000-000000000000}"/>
  <bookViews>
    <workbookView xWindow="-28920" yWindow="-120" windowWidth="29040" windowHeight="15720" tabRatio="569" activeTab="2" xr2:uid="{00000000-000D-0000-FFFF-FFFF00000000}"/>
  </bookViews>
  <sheets>
    <sheet name="2.1 Титул" sheetId="1" r:id="rId1"/>
    <sheet name="2.2 Свод по годам" sheetId="3" r:id="rId2"/>
    <sheet name="2.3 Сводная ИТОГО" sheetId="2" r:id="rId3"/>
    <sheet name="2.4.Функции" sheetId="4" r:id="rId4"/>
    <sheet name="2.5.Трудоемкость" sheetId="5" r:id="rId5"/>
    <sheet name="2.6.Расчет развития" sheetId="6" r:id="rId6"/>
    <sheet name="2.7.Коэффициенты" sheetId="7" r:id="rId7"/>
    <sheet name="D%$&amp;01_DevSheet" sheetId="8" state="veryHidden" r:id="rId8"/>
  </sheets>
  <definedNames>
    <definedName name="_ftn1" localSheetId="4">'2.5.Трудоемкость'!#REF!</definedName>
    <definedName name="_ftnref1" localSheetId="4">'2.5.Трудоемкость'!#REF!</definedName>
    <definedName name="_GoBack" localSheetId="4">'2.5.Трудоемкость'!#REF!</definedName>
    <definedName name="_Toc424036212" localSheetId="4">'2.5.Трудоемкость'!#REF!</definedName>
    <definedName name="_xlnm._FilterDatabase" localSheetId="3" hidden="1">'2.4.Функции'!$B$3:$B$167</definedName>
    <definedName name="_xlnm.Print_Titles" localSheetId="4">'2.5.Трудоемкость'!$A:$B,'2.5.Трудоемкость'!$2:$3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6" i="5" l="1"/>
  <c r="P6" i="5" s="1"/>
  <c r="J7" i="5"/>
  <c r="S7" i="5" s="1"/>
  <c r="J8" i="5"/>
  <c r="S8" i="5" s="1"/>
  <c r="C13" i="5"/>
  <c r="D11" i="5" s="1"/>
  <c r="D12" i="5" l="1"/>
  <c r="D13" i="5" s="1"/>
  <c r="F2" i="8"/>
  <c r="G2" i="8"/>
  <c r="H2" i="8"/>
  <c r="I2" i="8"/>
  <c r="J2" i="8"/>
  <c r="K2" i="8"/>
  <c r="L2" i="8"/>
  <c r="M2" i="8"/>
  <c r="N2" i="8"/>
  <c r="O2" i="8"/>
  <c r="P2" i="8"/>
  <c r="Q2" i="8"/>
  <c r="R2" i="8"/>
  <c r="S2" i="8"/>
  <c r="T2" i="8"/>
  <c r="U2" i="8"/>
  <c r="V2" i="8"/>
  <c r="W2" i="8"/>
  <c r="X2" i="8"/>
  <c r="Y2" i="8"/>
  <c r="Z2" i="8"/>
  <c r="AA2" i="8"/>
  <c r="AB2" i="8"/>
  <c r="AC2" i="8"/>
  <c r="AD2" i="8"/>
  <c r="AE2" i="8"/>
  <c r="AF2" i="8"/>
  <c r="AG2" i="8"/>
  <c r="AH2" i="8"/>
  <c r="AI2" i="8"/>
  <c r="AJ2" i="8"/>
  <c r="AK2" i="8"/>
  <c r="AL2" i="8"/>
  <c r="AM2" i="8"/>
  <c r="AN2" i="8"/>
  <c r="AO2" i="8"/>
  <c r="AP2" i="8"/>
  <c r="AQ2" i="8"/>
  <c r="AR2" i="8"/>
  <c r="AS2" i="8"/>
  <c r="AT2" i="8"/>
  <c r="AU2" i="8"/>
  <c r="AV2" i="8"/>
  <c r="AW2" i="8"/>
  <c r="AX2" i="8"/>
  <c r="AY2" i="8"/>
  <c r="AZ2" i="8"/>
  <c r="BA2" i="8"/>
  <c r="BB2" i="8"/>
  <c r="BC2" i="8"/>
  <c r="BD2" i="8"/>
  <c r="BE2" i="8"/>
  <c r="BF2" i="8"/>
  <c r="BG2" i="8"/>
  <c r="BH2" i="8"/>
  <c r="BI2" i="8"/>
  <c r="BJ2" i="8"/>
  <c r="BK2" i="8"/>
  <c r="BL2" i="8"/>
  <c r="BM2" i="8"/>
  <c r="BN2" i="8"/>
  <c r="BO2" i="8"/>
  <c r="BP2" i="8"/>
  <c r="BQ2" i="8"/>
  <c r="BR2" i="8"/>
  <c r="BS2" i="8"/>
  <c r="BT2" i="8"/>
  <c r="BU2" i="8"/>
  <c r="BV2" i="8"/>
  <c r="BW2" i="8"/>
  <c r="BX2" i="8"/>
  <c r="BY2" i="8"/>
  <c r="BZ2" i="8"/>
  <c r="CA2" i="8"/>
  <c r="CB2" i="8"/>
  <c r="CC2" i="8"/>
  <c r="CD2" i="8"/>
  <c r="CE2" i="8"/>
  <c r="CF2" i="8"/>
  <c r="CG2" i="8"/>
  <c r="CH2" i="8"/>
  <c r="CI2" i="8"/>
  <c r="CJ2" i="8"/>
  <c r="CK2" i="8"/>
  <c r="CL2" i="8"/>
  <c r="CM2" i="8"/>
  <c r="CN2" i="8"/>
  <c r="CO2" i="8"/>
  <c r="CP2" i="8"/>
  <c r="CQ2" i="8"/>
  <c r="CR2" i="8"/>
  <c r="CS2" i="8"/>
  <c r="CT2" i="8"/>
  <c r="CU2" i="8"/>
  <c r="CV2" i="8"/>
  <c r="CW2" i="8"/>
  <c r="CX2" i="8"/>
  <c r="CY2" i="8"/>
  <c r="CZ2" i="8"/>
  <c r="DA2" i="8"/>
  <c r="DB2" i="8"/>
  <c r="DC2" i="8"/>
  <c r="DD2" i="8"/>
  <c r="DE2" i="8"/>
  <c r="DF2" i="8"/>
  <c r="DG2" i="8"/>
  <c r="DH2" i="8"/>
  <c r="DI2" i="8"/>
  <c r="DJ2" i="8"/>
  <c r="DK2" i="8"/>
  <c r="DL2" i="8"/>
  <c r="DM2" i="8"/>
  <c r="DN2" i="8"/>
  <c r="DO2" i="8"/>
  <c r="DP2" i="8"/>
  <c r="DQ2" i="8"/>
  <c r="DR2" i="8"/>
  <c r="DS2" i="8"/>
  <c r="DT2" i="8"/>
  <c r="DU2" i="8"/>
  <c r="DV2" i="8"/>
  <c r="DW2" i="8"/>
  <c r="DX2" i="8"/>
  <c r="DY2" i="8"/>
  <c r="DZ2" i="8"/>
  <c r="EA2" i="8"/>
  <c r="EB2" i="8"/>
  <c r="EC2" i="8"/>
  <c r="ED2" i="8"/>
  <c r="EE2" i="8"/>
  <c r="EF2" i="8"/>
  <c r="EG2" i="8"/>
  <c r="EH2" i="8"/>
  <c r="EI2" i="8"/>
  <c r="EJ2" i="8"/>
  <c r="EK2" i="8"/>
  <c r="EL2" i="8"/>
  <c r="EM2" i="8"/>
  <c r="EN2" i="8"/>
  <c r="EO2" i="8"/>
  <c r="EP2" i="8"/>
  <c r="EQ2" i="8"/>
  <c r="ER2" i="8"/>
  <c r="ES2" i="8"/>
  <c r="ET2" i="8"/>
  <c r="EU2" i="8"/>
  <c r="EV2" i="8"/>
  <c r="EW2" i="8"/>
  <c r="EX2" i="8"/>
  <c r="EY2" i="8"/>
  <c r="EZ2" i="8"/>
  <c r="FA2" i="8"/>
  <c r="FB2" i="8"/>
  <c r="FC2" i="8"/>
  <c r="FD2" i="8"/>
  <c r="FE2" i="8"/>
  <c r="FF2" i="8"/>
  <c r="FG2" i="8"/>
  <c r="FH2" i="8"/>
  <c r="FI2" i="8"/>
  <c r="FJ2" i="8"/>
  <c r="FK2" i="8"/>
  <c r="FL2" i="8"/>
  <c r="FM2" i="8"/>
  <c r="FN2" i="8"/>
  <c r="FO2" i="8"/>
  <c r="FP2" i="8"/>
  <c r="FQ2" i="8"/>
  <c r="FR2" i="8"/>
  <c r="FS2" i="8"/>
  <c r="FT2" i="8"/>
  <c r="FU2" i="8"/>
  <c r="FV2" i="8"/>
  <c r="FW2" i="8"/>
  <c r="FX2" i="8"/>
  <c r="FY2" i="8"/>
  <c r="FZ2" i="8"/>
  <c r="GA2" i="8"/>
  <c r="GB2" i="8"/>
  <c r="GC2" i="8"/>
  <c r="GD2" i="8"/>
  <c r="GE2" i="8"/>
  <c r="GF2" i="8"/>
  <c r="GG2" i="8"/>
  <c r="GH2" i="8"/>
  <c r="GI2" i="8"/>
  <c r="GJ2" i="8"/>
  <c r="GK2" i="8"/>
  <c r="GL2" i="8"/>
  <c r="GM2" i="8"/>
  <c r="GN2" i="8"/>
  <c r="GO2" i="8"/>
  <c r="GP2" i="8"/>
  <c r="GQ2" i="8"/>
  <c r="GR2" i="8"/>
  <c r="GS2" i="8"/>
  <c r="GT2" i="8"/>
  <c r="GU2" i="8"/>
  <c r="GV2" i="8"/>
  <c r="GW2" i="8"/>
  <c r="GX2" i="8"/>
  <c r="GY2" i="8"/>
  <c r="GZ2" i="8"/>
  <c r="HA2" i="8"/>
  <c r="HB2" i="8"/>
  <c r="HC2" i="8"/>
  <c r="HD2" i="8"/>
  <c r="HE2" i="8"/>
  <c r="HF2" i="8"/>
  <c r="HG2" i="8"/>
  <c r="HH2" i="8"/>
  <c r="HI2" i="8"/>
  <c r="HJ2" i="8"/>
  <c r="HL2" i="8"/>
  <c r="HN2" i="8"/>
  <c r="HO2" i="8"/>
  <c r="HS2" i="8"/>
  <c r="HT2" i="8"/>
  <c r="HX2" i="8"/>
  <c r="HY2" i="8"/>
  <c r="HZ2" i="8"/>
  <c r="IA2" i="8"/>
  <c r="IB2" i="8"/>
  <c r="IC2" i="8"/>
  <c r="ID2" i="8"/>
  <c r="IE2" i="8"/>
  <c r="IG2" i="8"/>
  <c r="II2" i="8"/>
  <c r="IJ2" i="8"/>
  <c r="IK2" i="8"/>
  <c r="IL2" i="8"/>
  <c r="IM2" i="8"/>
  <c r="IN2" i="8"/>
  <c r="IO2" i="8"/>
  <c r="IP2" i="8"/>
  <c r="IQ2" i="8"/>
  <c r="IR2" i="8"/>
  <c r="IS2" i="8"/>
  <c r="IT2" i="8"/>
  <c r="IU2" i="8"/>
  <c r="IV2" i="8"/>
  <c r="F3" i="8"/>
  <c r="G3" i="8"/>
  <c r="H3" i="8"/>
  <c r="I3" i="8"/>
  <c r="J3" i="8"/>
  <c r="K3" i="8"/>
  <c r="L3" i="8"/>
  <c r="M3" i="8"/>
  <c r="N3" i="8"/>
  <c r="O3" i="8"/>
  <c r="P3" i="8"/>
  <c r="Q3" i="8"/>
  <c r="R3" i="8"/>
  <c r="S3" i="8"/>
  <c r="T3" i="8"/>
  <c r="U3" i="8"/>
  <c r="V3" i="8"/>
  <c r="W3" i="8"/>
  <c r="X3" i="8"/>
  <c r="Y3" i="8"/>
  <c r="Z3" i="8"/>
  <c r="AA3" i="8"/>
  <c r="AB3" i="8"/>
  <c r="AC3" i="8"/>
  <c r="AD3" i="8"/>
  <c r="AE3" i="8"/>
  <c r="AF3" i="8"/>
  <c r="AG3" i="8"/>
  <c r="AH3" i="8"/>
  <c r="AI3" i="8"/>
  <c r="AJ3" i="8"/>
  <c r="AK3" i="8"/>
  <c r="AL3" i="8"/>
  <c r="AM3" i="8"/>
  <c r="AN3" i="8"/>
  <c r="AO3" i="8"/>
  <c r="AP3" i="8"/>
  <c r="AQ3" i="8"/>
  <c r="AR3" i="8"/>
  <c r="AS3" i="8"/>
  <c r="AT3" i="8"/>
  <c r="AU3" i="8"/>
  <c r="AV3" i="8"/>
  <c r="AW3" i="8"/>
  <c r="AX3" i="8"/>
  <c r="AY3" i="8"/>
  <c r="AZ3" i="8"/>
  <c r="BA3" i="8"/>
  <c r="BB3" i="8"/>
  <c r="BC3" i="8"/>
  <c r="BD3" i="8"/>
  <c r="BE3" i="8"/>
  <c r="BF3" i="8"/>
  <c r="BG3" i="8"/>
  <c r="BH3" i="8"/>
  <c r="BI3" i="8"/>
  <c r="BJ3" i="8"/>
  <c r="BK3" i="8"/>
  <c r="BL3" i="8"/>
  <c r="BM3" i="8"/>
  <c r="BN3" i="8"/>
  <c r="BO3" i="8"/>
  <c r="BP3" i="8"/>
  <c r="BQ3" i="8"/>
  <c r="BR3" i="8"/>
  <c r="BS3" i="8"/>
  <c r="BT3" i="8"/>
  <c r="BU3" i="8"/>
  <c r="BV3" i="8"/>
  <c r="BW3" i="8"/>
  <c r="BX3" i="8"/>
  <c r="BY3" i="8"/>
  <c r="BZ3" i="8"/>
  <c r="CA3" i="8"/>
  <c r="CB3" i="8"/>
  <c r="CC3" i="8"/>
  <c r="CD3" i="8"/>
  <c r="CE3" i="8"/>
  <c r="CF3" i="8"/>
  <c r="CG3" i="8"/>
  <c r="CH3" i="8"/>
  <c r="CI3" i="8"/>
  <c r="CJ3" i="8"/>
  <c r="CK3" i="8"/>
  <c r="CL3" i="8"/>
  <c r="CM3" i="8"/>
  <c r="CN3" i="8"/>
  <c r="CO3" i="8"/>
  <c r="CP3" i="8"/>
  <c r="CQ3" i="8"/>
  <c r="CR3" i="8"/>
  <c r="CS3" i="8"/>
  <c r="CT3" i="8"/>
  <c r="CU3" i="8"/>
  <c r="CV3" i="8"/>
  <c r="CW3" i="8"/>
  <c r="CX3" i="8"/>
  <c r="CY3" i="8"/>
  <c r="CZ3" i="8"/>
  <c r="DA3" i="8"/>
  <c r="DB3" i="8"/>
  <c r="DC3" i="8"/>
  <c r="DD3" i="8"/>
  <c r="DE3" i="8"/>
  <c r="DF3" i="8"/>
  <c r="DG3" i="8"/>
  <c r="DH3" i="8"/>
  <c r="DI3" i="8"/>
  <c r="DJ3" i="8"/>
  <c r="DK3" i="8"/>
  <c r="DL3" i="8"/>
  <c r="DM3" i="8"/>
  <c r="DN3" i="8"/>
  <c r="DO3" i="8"/>
  <c r="DP3" i="8"/>
  <c r="DQ3" i="8"/>
  <c r="DR3" i="8"/>
  <c r="DS3" i="8"/>
  <c r="DT3" i="8"/>
  <c r="DU3" i="8"/>
  <c r="DV3" i="8"/>
  <c r="DW3" i="8"/>
  <c r="DX3" i="8"/>
  <c r="DY3" i="8"/>
  <c r="DZ3" i="8"/>
  <c r="EA3" i="8"/>
  <c r="EB3" i="8"/>
  <c r="EC3" i="8"/>
  <c r="ED3" i="8"/>
  <c r="EE3" i="8"/>
  <c r="EF3" i="8"/>
  <c r="EG3" i="8"/>
  <c r="EH3" i="8"/>
  <c r="EI3" i="8"/>
  <c r="EJ3" i="8"/>
  <c r="EK3" i="8"/>
  <c r="EL3" i="8"/>
  <c r="EM3" i="8"/>
  <c r="EN3" i="8"/>
  <c r="EO3" i="8"/>
  <c r="EP3" i="8"/>
  <c r="EQ3" i="8"/>
  <c r="ER3" i="8"/>
  <c r="ES3" i="8"/>
  <c r="ET3" i="8"/>
  <c r="EU3" i="8"/>
  <c r="EV3" i="8"/>
  <c r="EW3" i="8"/>
  <c r="EX3" i="8"/>
  <c r="EY3" i="8"/>
  <c r="EZ3" i="8"/>
  <c r="FA3" i="8"/>
  <c r="FB3" i="8"/>
  <c r="FC3" i="8"/>
  <c r="FD3" i="8"/>
  <c r="FE3" i="8"/>
  <c r="FF3" i="8"/>
  <c r="FG3" i="8"/>
  <c r="FH3" i="8"/>
  <c r="FI3" i="8"/>
  <c r="FJ3" i="8"/>
  <c r="FK3" i="8"/>
  <c r="FL3" i="8"/>
  <c r="FM3" i="8"/>
  <c r="FN3" i="8"/>
  <c r="FO3" i="8"/>
  <c r="FP3" i="8"/>
  <c r="FQ3" i="8"/>
  <c r="FR3" i="8"/>
  <c r="FS3" i="8"/>
  <c r="FT3" i="8"/>
  <c r="FU3" i="8"/>
  <c r="FV3" i="8"/>
  <c r="FW3" i="8"/>
  <c r="FX3" i="8"/>
  <c r="FY3" i="8"/>
  <c r="FZ3" i="8"/>
  <c r="GA3" i="8"/>
  <c r="GB3" i="8"/>
  <c r="GC3" i="8"/>
  <c r="GD3" i="8"/>
  <c r="GE3" i="8"/>
  <c r="GF3" i="8"/>
  <c r="GG3" i="8"/>
  <c r="GH3" i="8"/>
  <c r="GI3" i="8"/>
  <c r="GJ3" i="8"/>
  <c r="GK3" i="8"/>
  <c r="GL3" i="8"/>
  <c r="GM3" i="8"/>
  <c r="GN3" i="8"/>
  <c r="GO3" i="8"/>
  <c r="GP3" i="8"/>
  <c r="GQ3" i="8"/>
  <c r="GR3" i="8"/>
  <c r="GS3" i="8"/>
  <c r="GT3" i="8"/>
  <c r="GU3" i="8"/>
  <c r="GV3" i="8"/>
  <c r="GW3" i="8"/>
  <c r="GX3" i="8"/>
  <c r="GY3" i="8"/>
  <c r="GZ3" i="8"/>
  <c r="HA3" i="8"/>
  <c r="HB3" i="8"/>
  <c r="HC3" i="8"/>
  <c r="HD3" i="8"/>
  <c r="HE3" i="8"/>
  <c r="HF3" i="8"/>
  <c r="HG3" i="8"/>
  <c r="HH3" i="8"/>
  <c r="HI3" i="8"/>
  <c r="HJ3" i="8"/>
  <c r="HK3" i="8"/>
  <c r="HL3" i="8"/>
  <c r="HM3" i="8"/>
  <c r="HN3" i="8"/>
  <c r="HO3" i="8"/>
  <c r="HP3" i="8"/>
  <c r="HQ3" i="8"/>
  <c r="HR3" i="8"/>
  <c r="HS3" i="8"/>
  <c r="HT3" i="8"/>
  <c r="HU3" i="8"/>
  <c r="HV3" i="8"/>
  <c r="HW3" i="8"/>
  <c r="HX3" i="8"/>
  <c r="HY3" i="8"/>
  <c r="HZ3" i="8"/>
  <c r="IA3" i="8"/>
  <c r="IB3" i="8"/>
  <c r="IC3" i="8"/>
  <c r="ID3" i="8"/>
  <c r="IE3" i="8"/>
  <c r="IF3" i="8"/>
  <c r="IG3" i="8"/>
  <c r="IH3" i="8"/>
  <c r="II3" i="8"/>
  <c r="IJ3" i="8"/>
  <c r="IK3" i="8"/>
  <c r="IL3" i="8"/>
  <c r="IM3" i="8"/>
  <c r="IN3" i="8"/>
  <c r="IO3" i="8"/>
  <c r="IP3" i="8"/>
  <c r="IQ3" i="8"/>
  <c r="IR3" i="8"/>
  <c r="IS3" i="8"/>
  <c r="IT3" i="8"/>
  <c r="IU3" i="8"/>
  <c r="IV3" i="8"/>
  <c r="F4" i="8"/>
  <c r="G4" i="8"/>
  <c r="H4" i="8"/>
  <c r="I4" i="8"/>
  <c r="J4" i="8"/>
  <c r="K4" i="8"/>
  <c r="L4" i="8"/>
  <c r="M4" i="8"/>
  <c r="N4" i="8"/>
  <c r="O4" i="8"/>
  <c r="P4" i="8"/>
  <c r="T4" i="8"/>
  <c r="U4" i="8"/>
  <c r="X4" i="8"/>
  <c r="Y4" i="8"/>
  <c r="Z4" i="8"/>
  <c r="AA4" i="8"/>
  <c r="AB4" i="8"/>
  <c r="AC4" i="8"/>
  <c r="AD4" i="8"/>
  <c r="AE4" i="8"/>
  <c r="AF4" i="8"/>
  <c r="AG4" i="8"/>
  <c r="AH4" i="8"/>
  <c r="AI4" i="8"/>
  <c r="AJ4" i="8"/>
  <c r="AK4" i="8"/>
  <c r="AL4" i="8"/>
  <c r="AM4" i="8"/>
  <c r="AN4" i="8"/>
  <c r="AO4" i="8"/>
  <c r="AP4" i="8"/>
  <c r="AQ4" i="8"/>
  <c r="AR4" i="8"/>
  <c r="AS4" i="8"/>
  <c r="AT4" i="8"/>
  <c r="AU4" i="8"/>
  <c r="AV4" i="8"/>
  <c r="AW4" i="8"/>
  <c r="AX4" i="8"/>
  <c r="AY4" i="8"/>
  <c r="AZ4" i="8"/>
  <c r="BA4" i="8"/>
  <c r="BB4" i="8"/>
  <c r="BC4" i="8"/>
  <c r="BD4" i="8"/>
  <c r="BE4" i="8"/>
  <c r="BF4" i="8"/>
  <c r="BG4" i="8"/>
  <c r="BH4" i="8"/>
  <c r="BI4" i="8"/>
  <c r="BJ4" i="8"/>
  <c r="BK4" i="8"/>
  <c r="BL4" i="8"/>
  <c r="BM4" i="8"/>
  <c r="BN4" i="8"/>
  <c r="BO4" i="8"/>
  <c r="BP4" i="8"/>
  <c r="BQ4" i="8"/>
  <c r="BR4" i="8"/>
  <c r="BS4" i="8"/>
  <c r="BT4" i="8"/>
  <c r="BU4" i="8"/>
  <c r="BV4" i="8"/>
  <c r="BW4" i="8"/>
  <c r="BX4" i="8"/>
  <c r="BY4" i="8"/>
  <c r="BZ4" i="8"/>
  <c r="CA4" i="8"/>
  <c r="CB4" i="8"/>
  <c r="CE4" i="8"/>
  <c r="CF4" i="8"/>
  <c r="CG4" i="8"/>
  <c r="CH4" i="8"/>
  <c r="CI4" i="8"/>
  <c r="CJ4" i="8"/>
  <c r="CK4" i="8"/>
  <c r="CL4" i="8"/>
  <c r="CM4" i="8"/>
  <c r="CN4" i="8"/>
  <c r="CO4" i="8"/>
  <c r="CP4" i="8"/>
  <c r="CQ4" i="8"/>
  <c r="CR4" i="8"/>
  <c r="CS4" i="8"/>
  <c r="CT4" i="8"/>
  <c r="CU4" i="8"/>
  <c r="CV4" i="8"/>
  <c r="CW4" i="8"/>
  <c r="CX4" i="8"/>
  <c r="CY4" i="8"/>
  <c r="CZ4" i="8"/>
  <c r="DA4" i="8"/>
  <c r="DB4" i="8"/>
  <c r="DC4" i="8"/>
  <c r="DD4" i="8"/>
  <c r="DE4" i="8"/>
  <c r="DF4" i="8"/>
  <c r="DG4" i="8"/>
  <c r="DH4" i="8"/>
  <c r="DI4" i="8"/>
  <c r="DJ4" i="8"/>
  <c r="DK4" i="8"/>
  <c r="DL4" i="8"/>
  <c r="DM4" i="8"/>
  <c r="DN4" i="8"/>
  <c r="DO4" i="8"/>
  <c r="DP4" i="8"/>
  <c r="DQ4" i="8"/>
  <c r="DR4" i="8"/>
  <c r="DS4" i="8"/>
  <c r="DT4" i="8"/>
  <c r="DU4" i="8"/>
  <c r="DV4" i="8"/>
  <c r="DW4" i="8"/>
  <c r="DX4" i="8"/>
  <c r="DY4" i="8"/>
  <c r="DZ4" i="8"/>
  <c r="EA4" i="8"/>
  <c r="EB4" i="8"/>
  <c r="EC4" i="8"/>
  <c r="ED4" i="8"/>
  <c r="EE4" i="8"/>
  <c r="EF4" i="8"/>
  <c r="EG4" i="8"/>
  <c r="EH4" i="8"/>
  <c r="EI4" i="8"/>
  <c r="EJ4" i="8"/>
  <c r="EK4" i="8"/>
  <c r="EL4" i="8"/>
  <c r="EM4" i="8"/>
  <c r="EN4" i="8"/>
  <c r="EO4" i="8"/>
  <c r="EP4" i="8"/>
  <c r="EQ4" i="8"/>
  <c r="ER4" i="8"/>
  <c r="ES4" i="8"/>
  <c r="ET4" i="8"/>
  <c r="EU4" i="8"/>
  <c r="EV4" i="8"/>
  <c r="EW4" i="8"/>
  <c r="EX4" i="8"/>
  <c r="EY4" i="8"/>
  <c r="EZ4" i="8"/>
  <c r="FA4" i="8"/>
  <c r="FB4" i="8"/>
  <c r="FC4" i="8"/>
  <c r="FD4" i="8"/>
  <c r="FE4" i="8"/>
  <c r="FF4" i="8"/>
  <c r="FG4" i="8"/>
  <c r="FH4" i="8"/>
  <c r="FI4" i="8"/>
  <c r="FJ4" i="8"/>
  <c r="FK4" i="8"/>
  <c r="FL4" i="8"/>
  <c r="FM4" i="8"/>
  <c r="FN4" i="8"/>
  <c r="FO4" i="8"/>
  <c r="FP4" i="8"/>
  <c r="FQ4" i="8"/>
  <c r="FR4" i="8"/>
  <c r="FS4" i="8"/>
  <c r="FT4" i="8"/>
  <c r="FU4" i="8"/>
  <c r="FV4" i="8"/>
  <c r="FW4" i="8"/>
  <c r="FX4" i="8"/>
  <c r="FY4" i="8"/>
  <c r="FZ4" i="8"/>
  <c r="GA4" i="8"/>
  <c r="GB4" i="8"/>
  <c r="GC4" i="8"/>
  <c r="GD4" i="8"/>
  <c r="GE4" i="8"/>
  <c r="GF4" i="8"/>
  <c r="GG4" i="8"/>
  <c r="GH4" i="8"/>
  <c r="GI4" i="8"/>
  <c r="GJ4" i="8"/>
  <c r="GK4" i="8"/>
  <c r="GL4" i="8"/>
  <c r="GM4" i="8"/>
  <c r="GN4" i="8"/>
  <c r="GO4" i="8"/>
  <c r="GP4" i="8"/>
  <c r="GQ4" i="8"/>
  <c r="GR4" i="8"/>
  <c r="GS4" i="8"/>
  <c r="GT4" i="8"/>
  <c r="GU4" i="8"/>
  <c r="GV4" i="8"/>
  <c r="GW4" i="8"/>
  <c r="GX4" i="8"/>
  <c r="GY4" i="8"/>
  <c r="GZ4" i="8"/>
  <c r="HA4" i="8"/>
  <c r="HB4" i="8"/>
  <c r="HC4" i="8"/>
  <c r="HD4" i="8"/>
  <c r="HE4" i="8"/>
  <c r="HF4" i="8"/>
  <c r="HG4" i="8"/>
  <c r="HH4" i="8"/>
  <c r="HI4" i="8"/>
  <c r="HJ4" i="8"/>
  <c r="HK4" i="8"/>
  <c r="HL4" i="8"/>
  <c r="HM4" i="8"/>
  <c r="HN4" i="8"/>
  <c r="HO4" i="8"/>
  <c r="HP4" i="8"/>
  <c r="HQ4" i="8"/>
  <c r="HR4" i="8"/>
  <c r="HS4" i="8"/>
  <c r="HT4" i="8"/>
  <c r="HU4" i="8"/>
  <c r="HV4" i="8"/>
  <c r="HW4" i="8"/>
  <c r="HX4" i="8"/>
  <c r="HY4" i="8"/>
  <c r="HZ4" i="8"/>
  <c r="IA4" i="8"/>
  <c r="IB4" i="8"/>
  <c r="IC4" i="8"/>
  <c r="ID4" i="8"/>
  <c r="IE4" i="8"/>
  <c r="IF4" i="8"/>
  <c r="IG4" i="8"/>
  <c r="IH4" i="8"/>
  <c r="II4" i="8"/>
  <c r="IJ4" i="8"/>
  <c r="IK4" i="8"/>
  <c r="IL4" i="8"/>
  <c r="IM4" i="8"/>
  <c r="IN4" i="8"/>
  <c r="IO4" i="8"/>
  <c r="IP4" i="8"/>
  <c r="IQ4" i="8"/>
  <c r="IR4" i="8"/>
  <c r="IS4" i="8"/>
  <c r="IT4" i="8"/>
  <c r="IU4" i="8"/>
  <c r="IV4" i="8"/>
  <c r="F5" i="8"/>
  <c r="G5" i="8"/>
  <c r="H5" i="8"/>
  <c r="I5" i="8"/>
  <c r="J5" i="8"/>
  <c r="K5" i="8"/>
  <c r="L5" i="8"/>
  <c r="M5" i="8"/>
  <c r="N5" i="8"/>
  <c r="O5" i="8"/>
  <c r="P5" i="8"/>
  <c r="Q5" i="8"/>
  <c r="R5" i="8"/>
  <c r="S5" i="8"/>
  <c r="T5" i="8"/>
  <c r="U5" i="8"/>
  <c r="V5" i="8"/>
  <c r="W5" i="8"/>
  <c r="X5" i="8"/>
  <c r="Y5" i="8"/>
  <c r="Z5" i="8"/>
  <c r="AA5" i="8"/>
  <c r="AB5" i="8"/>
  <c r="AC5" i="8"/>
  <c r="AD5" i="8"/>
  <c r="AE5" i="8"/>
  <c r="AF5" i="8"/>
  <c r="AG5" i="8"/>
  <c r="AH5" i="8"/>
  <c r="AI5" i="8"/>
  <c r="AJ5" i="8"/>
  <c r="AK5" i="8"/>
  <c r="AL5" i="8"/>
  <c r="AM5" i="8"/>
  <c r="AN5" i="8"/>
  <c r="AO5" i="8"/>
  <c r="AP5" i="8"/>
  <c r="AQ5" i="8"/>
  <c r="AR5" i="8"/>
  <c r="AS5" i="8"/>
  <c r="AT5" i="8"/>
  <c r="AU5" i="8"/>
  <c r="AV5" i="8"/>
  <c r="AW5" i="8"/>
  <c r="AX5" i="8"/>
  <c r="AY5" i="8"/>
  <c r="AZ5" i="8"/>
  <c r="BA5" i="8"/>
  <c r="BB5" i="8"/>
  <c r="BC5" i="8"/>
  <c r="BD5" i="8"/>
  <c r="BE5" i="8"/>
  <c r="BF5" i="8"/>
  <c r="BG5" i="8"/>
  <c r="BH5" i="8"/>
  <c r="BI5" i="8"/>
  <c r="BJ5" i="8"/>
  <c r="BK5" i="8"/>
  <c r="BL5" i="8"/>
  <c r="BM5" i="8"/>
  <c r="BN5" i="8"/>
  <c r="BO5" i="8"/>
  <c r="BP5" i="8"/>
  <c r="BQ5" i="8"/>
  <c r="BR5" i="8"/>
  <c r="BS5" i="8"/>
  <c r="BT5" i="8"/>
  <c r="BU5" i="8"/>
  <c r="BV5" i="8"/>
  <c r="BW5" i="8"/>
  <c r="BX5" i="8"/>
  <c r="BY5" i="8"/>
  <c r="BZ5" i="8"/>
  <c r="CA5" i="8"/>
  <c r="CB5" i="8"/>
  <c r="CC5" i="8"/>
  <c r="CD5" i="8"/>
  <c r="CE5" i="8"/>
  <c r="CF5" i="8"/>
  <c r="CG5" i="8"/>
  <c r="CH5" i="8"/>
  <c r="CI5" i="8"/>
  <c r="CJ5" i="8"/>
  <c r="CK5" i="8"/>
  <c r="CL5" i="8"/>
  <c r="CM5" i="8"/>
  <c r="CN5" i="8"/>
  <c r="CO5" i="8"/>
  <c r="CP5" i="8"/>
  <c r="CQ5" i="8"/>
  <c r="CR5" i="8"/>
  <c r="CS5" i="8"/>
  <c r="CT5" i="8"/>
  <c r="CU5" i="8"/>
  <c r="CV5" i="8"/>
  <c r="CW5" i="8"/>
  <c r="CX5" i="8"/>
  <c r="CY5" i="8"/>
  <c r="CZ5" i="8"/>
  <c r="DA5" i="8"/>
  <c r="DB5" i="8"/>
  <c r="DC5" i="8"/>
  <c r="DD5" i="8"/>
  <c r="DE5" i="8"/>
  <c r="DF5" i="8"/>
  <c r="DG5" i="8"/>
  <c r="DH5" i="8"/>
  <c r="DI5" i="8"/>
  <c r="DJ5" i="8"/>
  <c r="DK5" i="8"/>
  <c r="DL5" i="8"/>
  <c r="DM5" i="8"/>
  <c r="DN5" i="8"/>
  <c r="DO5" i="8"/>
  <c r="DP5" i="8"/>
  <c r="DQ5" i="8"/>
  <c r="DR5" i="8"/>
  <c r="DS5" i="8"/>
  <c r="DT5" i="8"/>
  <c r="DU5" i="8"/>
  <c r="DV5" i="8"/>
  <c r="DW5" i="8"/>
  <c r="DX5" i="8"/>
  <c r="DY5" i="8"/>
  <c r="DZ5" i="8"/>
  <c r="EA5" i="8"/>
  <c r="EB5" i="8"/>
  <c r="EC5" i="8"/>
  <c r="ED5" i="8"/>
  <c r="EE5" i="8"/>
  <c r="EF5" i="8"/>
  <c r="EG5" i="8"/>
  <c r="EH5" i="8"/>
  <c r="EI5" i="8"/>
  <c r="EJ5" i="8"/>
  <c r="EK5" i="8"/>
  <c r="EL5" i="8"/>
  <c r="EM5" i="8"/>
  <c r="EN5" i="8"/>
  <c r="EO5" i="8"/>
  <c r="EP5" i="8"/>
  <c r="EQ5" i="8"/>
  <c r="ER5" i="8"/>
  <c r="ES5" i="8"/>
  <c r="ET5" i="8"/>
  <c r="EU5" i="8"/>
  <c r="EV5" i="8"/>
  <c r="EW5" i="8"/>
  <c r="EX5" i="8"/>
  <c r="EY5" i="8"/>
  <c r="EZ5" i="8"/>
  <c r="FA5" i="8"/>
  <c r="FB5" i="8"/>
  <c r="FC5" i="8"/>
  <c r="FD5" i="8"/>
  <c r="FE5" i="8"/>
  <c r="FF5" i="8"/>
  <c r="FG5" i="8"/>
  <c r="FH5" i="8"/>
  <c r="FI5" i="8"/>
  <c r="FJ5" i="8"/>
  <c r="FK5" i="8"/>
  <c r="FL5" i="8"/>
  <c r="FM5" i="8"/>
  <c r="FN5" i="8"/>
  <c r="FO5" i="8"/>
  <c r="FP5" i="8"/>
  <c r="FQ5" i="8"/>
  <c r="FR5" i="8"/>
  <c r="FS5" i="8"/>
  <c r="FT5" i="8"/>
  <c r="FU5" i="8"/>
  <c r="FV5" i="8"/>
  <c r="FW5" i="8"/>
  <c r="FX5" i="8"/>
  <c r="FY5" i="8"/>
  <c r="FZ5" i="8"/>
  <c r="GA5" i="8"/>
  <c r="GB5" i="8"/>
  <c r="GC5" i="8"/>
  <c r="GD5" i="8"/>
  <c r="GE5" i="8"/>
  <c r="GF5" i="8"/>
  <c r="GG5" i="8"/>
  <c r="GH5" i="8"/>
  <c r="GI5" i="8"/>
  <c r="GJ5" i="8"/>
  <c r="GK5" i="8"/>
  <c r="GL5" i="8"/>
  <c r="GM5" i="8"/>
  <c r="GV5" i="8"/>
  <c r="GW5" i="8"/>
  <c r="GX5" i="8"/>
  <c r="GY5" i="8"/>
  <c r="GZ5" i="8"/>
  <c r="HA5" i="8"/>
  <c r="HB5" i="8"/>
  <c r="HC5" i="8"/>
  <c r="HD5" i="8"/>
  <c r="HE5" i="8"/>
  <c r="HF5" i="8"/>
  <c r="HG5" i="8"/>
  <c r="HH5" i="8"/>
  <c r="HI5" i="8"/>
  <c r="HJ5" i="8"/>
  <c r="HK5" i="8"/>
  <c r="HL5" i="8"/>
  <c r="HM5" i="8"/>
  <c r="HN5" i="8"/>
  <c r="HO5" i="8"/>
  <c r="HP5" i="8"/>
  <c r="HQ5" i="8"/>
  <c r="HR5" i="8"/>
  <c r="HS5" i="8"/>
  <c r="IB5" i="8"/>
  <c r="IC5" i="8"/>
  <c r="ID5" i="8"/>
  <c r="IE5" i="8"/>
  <c r="IF5" i="8"/>
  <c r="IG5" i="8"/>
  <c r="IH5" i="8"/>
  <c r="II5" i="8"/>
  <c r="IJ5" i="8"/>
  <c r="IK5" i="8"/>
  <c r="IL5" i="8"/>
  <c r="IM5" i="8"/>
  <c r="IN5" i="8"/>
  <c r="IO5" i="8"/>
  <c r="IP5" i="8"/>
  <c r="IQ5" i="8"/>
  <c r="IR5" i="8"/>
  <c r="IS5" i="8"/>
  <c r="IT5" i="8"/>
  <c r="IU5" i="8"/>
  <c r="IV5" i="8"/>
  <c r="F6" i="8"/>
  <c r="G6" i="8"/>
  <c r="H6" i="8"/>
  <c r="I6" i="8"/>
  <c r="J6" i="8"/>
  <c r="K6" i="8"/>
  <c r="L6" i="8"/>
  <c r="M6" i="8"/>
  <c r="N6" i="8"/>
  <c r="O6" i="8"/>
  <c r="P6" i="8"/>
  <c r="Q6" i="8"/>
  <c r="R6" i="8"/>
  <c r="S6" i="8"/>
  <c r="T6" i="8"/>
  <c r="U6" i="8"/>
  <c r="V6" i="8"/>
  <c r="W6" i="8"/>
  <c r="X6" i="8"/>
  <c r="Y6" i="8"/>
  <c r="Z6" i="8"/>
  <c r="AA6" i="8"/>
  <c r="AB6" i="8"/>
  <c r="AC6" i="8"/>
  <c r="AD6" i="8"/>
  <c r="AE6" i="8"/>
  <c r="AF6" i="8"/>
  <c r="AG6" i="8"/>
  <c r="AH6" i="8"/>
  <c r="AQ6" i="8"/>
  <c r="AR6" i="8"/>
  <c r="AS6" i="8"/>
  <c r="AT6" i="8"/>
  <c r="AU6" i="8"/>
  <c r="AV6" i="8"/>
  <c r="AW6" i="8"/>
  <c r="AX6" i="8"/>
  <c r="AY6" i="8"/>
  <c r="AZ6" i="8"/>
  <c r="BA6" i="8"/>
  <c r="BB6" i="8"/>
  <c r="BC6" i="8"/>
  <c r="BD6" i="8"/>
  <c r="BE6" i="8"/>
  <c r="BF6" i="8"/>
  <c r="BG6" i="8"/>
  <c r="BH6" i="8"/>
  <c r="BI6" i="8"/>
  <c r="BJ6" i="8"/>
  <c r="BK6" i="8"/>
  <c r="BL6" i="8"/>
  <c r="BM6" i="8"/>
  <c r="BN6" i="8"/>
  <c r="BO6" i="8"/>
  <c r="BP6" i="8"/>
  <c r="BQ6" i="8"/>
  <c r="BR6" i="8"/>
  <c r="BS6" i="8"/>
  <c r="BT6" i="8"/>
  <c r="BU6" i="8"/>
  <c r="BV6" i="8"/>
  <c r="BW6" i="8"/>
  <c r="BX6" i="8"/>
  <c r="BY6" i="8"/>
  <c r="BZ6" i="8"/>
  <c r="CA6" i="8"/>
  <c r="CB6" i="8"/>
  <c r="CC6" i="8"/>
  <c r="CD6" i="8"/>
  <c r="CE6" i="8"/>
  <c r="CF6" i="8"/>
  <c r="CG6" i="8"/>
  <c r="CH6" i="8"/>
  <c r="CI6" i="8"/>
  <c r="CJ6" i="8"/>
  <c r="CK6" i="8"/>
  <c r="CL6" i="8"/>
  <c r="CM6" i="8"/>
  <c r="CN6" i="8"/>
  <c r="CO6" i="8"/>
  <c r="CP6" i="8"/>
  <c r="CQ6" i="8"/>
  <c r="CR6" i="8"/>
  <c r="CS6" i="8"/>
  <c r="CT6" i="8"/>
  <c r="CU6" i="8"/>
  <c r="CV6" i="8"/>
  <c r="CW6" i="8"/>
  <c r="CX6" i="8"/>
  <c r="CY6" i="8"/>
  <c r="CZ6" i="8"/>
  <c r="DA6" i="8"/>
  <c r="DB6" i="8"/>
  <c r="DC6" i="8"/>
  <c r="DD6" i="8"/>
  <c r="DE6" i="8"/>
  <c r="DF6" i="8"/>
  <c r="DG6" i="8"/>
  <c r="DH6" i="8"/>
  <c r="DI6" i="8"/>
  <c r="DJ6" i="8"/>
  <c r="DK6" i="8"/>
  <c r="DL6" i="8"/>
  <c r="DM6" i="8"/>
  <c r="DN6" i="8"/>
  <c r="DO6" i="8"/>
  <c r="DP6" i="8"/>
  <c r="DQ6" i="8"/>
  <c r="DR6" i="8"/>
  <c r="DS6" i="8"/>
  <c r="DT6" i="8"/>
  <c r="DU6" i="8"/>
  <c r="DV6" i="8"/>
  <c r="DW6" i="8"/>
  <c r="DX6" i="8"/>
  <c r="DY6" i="8"/>
  <c r="DZ6" i="8"/>
  <c r="EA6" i="8"/>
  <c r="EB6" i="8"/>
  <c r="EC6" i="8"/>
  <c r="ED6" i="8"/>
  <c r="EE6" i="8"/>
  <c r="EF6" i="8"/>
  <c r="EG6" i="8"/>
  <c r="EH6" i="8"/>
  <c r="EI6" i="8"/>
  <c r="EJ6" i="8"/>
  <c r="EK6" i="8"/>
  <c r="EL6" i="8"/>
  <c r="EM6" i="8"/>
  <c r="EN6" i="8"/>
  <c r="EO6" i="8"/>
  <c r="EP6" i="8"/>
  <c r="EQ6" i="8"/>
  <c r="ER6" i="8"/>
  <c r="ES6" i="8"/>
  <c r="ET6" i="8"/>
  <c r="EU6" i="8"/>
  <c r="EV6" i="8"/>
  <c r="EW6" i="8"/>
  <c r="EX6" i="8"/>
  <c r="EY6" i="8"/>
  <c r="EZ6" i="8"/>
  <c r="FA6" i="8"/>
  <c r="FB6" i="8"/>
  <c r="FC6" i="8"/>
  <c r="FD6" i="8"/>
  <c r="FE6" i="8"/>
  <c r="FF6" i="8"/>
  <c r="FG6" i="8"/>
  <c r="FH6" i="8"/>
  <c r="FI6" i="8"/>
  <c r="FJ6" i="8"/>
  <c r="FK6" i="8"/>
  <c r="FL6" i="8"/>
  <c r="FM6" i="8"/>
  <c r="FN6" i="8"/>
  <c r="FO6" i="8"/>
  <c r="FP6" i="8"/>
  <c r="FQ6" i="8"/>
  <c r="FR6" i="8"/>
  <c r="FS6" i="8"/>
  <c r="FT6" i="8"/>
  <c r="FU6" i="8"/>
  <c r="FV6" i="8"/>
  <c r="FW6" i="8"/>
  <c r="FX6" i="8"/>
  <c r="GG6" i="8"/>
  <c r="GH6" i="8"/>
  <c r="GI6" i="8"/>
  <c r="GJ6" i="8"/>
  <c r="GK6" i="8"/>
  <c r="GL6" i="8"/>
  <c r="GM6" i="8"/>
  <c r="GN6" i="8"/>
  <c r="GO6" i="8"/>
  <c r="GP6" i="8"/>
  <c r="GQ6" i="8"/>
  <c r="GR6" i="8"/>
  <c r="GS6" i="8"/>
  <c r="GT6" i="8"/>
  <c r="GU6" i="8"/>
  <c r="GV6" i="8"/>
  <c r="GW6" i="8"/>
  <c r="GX6" i="8"/>
  <c r="GY6" i="8"/>
  <c r="GZ6" i="8"/>
  <c r="HA6" i="8"/>
  <c r="HB6" i="8"/>
  <c r="HC6" i="8"/>
  <c r="HD6" i="8"/>
  <c r="HE6" i="8"/>
  <c r="HF6" i="8"/>
  <c r="HG6" i="8"/>
  <c r="HH6" i="8"/>
  <c r="HI6" i="8"/>
  <c r="HJ6" i="8"/>
  <c r="HK6" i="8"/>
  <c r="HL6" i="8"/>
  <c r="HM6" i="8"/>
  <c r="HN6" i="8"/>
  <c r="HO6" i="8"/>
  <c r="HP6" i="8"/>
  <c r="HQ6" i="8"/>
  <c r="HR6" i="8"/>
  <c r="HS6" i="8"/>
  <c r="HT6" i="8"/>
  <c r="HU6" i="8"/>
  <c r="HV6" i="8"/>
  <c r="HW6" i="8"/>
  <c r="HX6" i="8"/>
  <c r="HY6" i="8"/>
  <c r="HZ6" i="8"/>
  <c r="IA6" i="8"/>
  <c r="IB6" i="8"/>
  <c r="IC6" i="8"/>
  <c r="ID6" i="8"/>
  <c r="IE6" i="8"/>
  <c r="IF6" i="8"/>
  <c r="IG6" i="8"/>
  <c r="IH6" i="8"/>
  <c r="II6" i="8"/>
  <c r="IJ6" i="8"/>
  <c r="IK6" i="8"/>
  <c r="IL6" i="8"/>
  <c r="IM6" i="8"/>
  <c r="IN6" i="8"/>
  <c r="IO6" i="8"/>
  <c r="IP6" i="8"/>
  <c r="IQ6" i="8"/>
  <c r="IR6" i="8"/>
  <c r="IS6" i="8"/>
  <c r="IT6" i="8"/>
  <c r="IU6" i="8"/>
  <c r="IV6" i="8"/>
  <c r="F7" i="8"/>
  <c r="G7" i="8"/>
  <c r="H7" i="8"/>
  <c r="I7" i="8"/>
  <c r="J7" i="8"/>
  <c r="K7" i="8"/>
  <c r="L7" i="8"/>
  <c r="M7" i="8"/>
  <c r="N7" i="8"/>
  <c r="O7" i="8"/>
  <c r="P7" i="8"/>
  <c r="Q7" i="8"/>
  <c r="R7" i="8"/>
  <c r="S7" i="8"/>
  <c r="T7" i="8"/>
  <c r="U7" i="8"/>
  <c r="V7" i="8"/>
  <c r="W7" i="8"/>
  <c r="X7" i="8"/>
  <c r="Y7" i="8"/>
  <c r="Z7" i="8"/>
  <c r="AA7" i="8"/>
  <c r="AB7" i="8"/>
  <c r="AC7" i="8"/>
  <c r="AD7" i="8"/>
  <c r="AE7" i="8"/>
  <c r="AF7" i="8"/>
  <c r="AG7" i="8"/>
  <c r="AH7" i="8"/>
  <c r="AI7" i="8"/>
  <c r="AJ7" i="8"/>
  <c r="AK7" i="8"/>
  <c r="AL7" i="8"/>
  <c r="AM7" i="8"/>
  <c r="AN7" i="8"/>
  <c r="AO7" i="8"/>
  <c r="AP7" i="8"/>
  <c r="AQ7" i="8"/>
  <c r="AR7" i="8"/>
  <c r="AS7" i="8"/>
  <c r="AT7" i="8"/>
  <c r="AU7" i="8"/>
  <c r="AV7" i="8"/>
  <c r="AW7" i="8"/>
  <c r="AX7" i="8"/>
  <c r="AY7" i="8"/>
  <c r="AZ7" i="8"/>
  <c r="BA7" i="8"/>
  <c r="BB7" i="8"/>
  <c r="BC7" i="8"/>
  <c r="BD7" i="8"/>
  <c r="BE7" i="8"/>
  <c r="BF7" i="8"/>
  <c r="BG7" i="8"/>
  <c r="BH7" i="8"/>
  <c r="BI7" i="8"/>
  <c r="BJ7" i="8"/>
  <c r="BK7" i="8"/>
  <c r="BL7" i="8"/>
  <c r="BM7" i="8"/>
  <c r="BN7" i="8"/>
  <c r="BO7" i="8"/>
  <c r="BP7" i="8"/>
  <c r="BQ7" i="8"/>
  <c r="BR7" i="8"/>
  <c r="BS7" i="8"/>
  <c r="BT7" i="8"/>
  <c r="BU7" i="8"/>
  <c r="BV7" i="8"/>
  <c r="BW7" i="8"/>
  <c r="BX7" i="8"/>
  <c r="BY7" i="8"/>
  <c r="BZ7" i="8"/>
  <c r="CI7" i="8"/>
  <c r="CJ7" i="8"/>
  <c r="CK7" i="8"/>
  <c r="CL7" i="8"/>
  <c r="CM7" i="8"/>
  <c r="CN7" i="8"/>
  <c r="CO7" i="8"/>
  <c r="CP7" i="8"/>
  <c r="CQ7" i="8"/>
  <c r="CR7" i="8"/>
  <c r="CS7" i="8"/>
  <c r="CT7" i="8"/>
  <c r="CU7" i="8"/>
  <c r="CV7" i="8"/>
  <c r="CW7" i="8"/>
  <c r="CX7" i="8"/>
  <c r="CY7" i="8"/>
  <c r="CZ7" i="8"/>
  <c r="DA7" i="8"/>
  <c r="DB7" i="8"/>
  <c r="DC7" i="8"/>
  <c r="DD7" i="8"/>
  <c r="DE7" i="8"/>
  <c r="DF7" i="8"/>
  <c r="DG7" i="8"/>
  <c r="DH7" i="8"/>
  <c r="DI7" i="8"/>
  <c r="DJ7" i="8"/>
  <c r="DK7" i="8"/>
  <c r="DL7" i="8"/>
  <c r="DM7" i="8"/>
  <c r="DN7" i="8"/>
  <c r="DO7" i="8"/>
  <c r="DP7" i="8"/>
  <c r="DQ7" i="8"/>
  <c r="DR7" i="8"/>
  <c r="DS7" i="8"/>
  <c r="DT7" i="8"/>
  <c r="DU7" i="8"/>
  <c r="DV7" i="8"/>
  <c r="DW7" i="8"/>
  <c r="DX7" i="8"/>
  <c r="DY7" i="8"/>
  <c r="DZ7" i="8"/>
  <c r="EA7" i="8"/>
  <c r="EB7" i="8"/>
  <c r="EC7" i="8"/>
  <c r="ED7" i="8"/>
  <c r="EE7" i="8"/>
  <c r="EF7" i="8"/>
  <c r="EG7" i="8"/>
  <c r="EH7" i="8"/>
  <c r="EI7" i="8"/>
  <c r="EJ7" i="8"/>
  <c r="EK7" i="8"/>
  <c r="EL7" i="8"/>
  <c r="EM7" i="8"/>
  <c r="EN7" i="8"/>
  <c r="EO7" i="8"/>
  <c r="EP7" i="8"/>
  <c r="EQ7" i="8"/>
  <c r="ER7" i="8"/>
  <c r="ES7" i="8"/>
  <c r="ET7" i="8"/>
  <c r="EU7" i="8"/>
  <c r="EV7" i="8"/>
  <c r="EW7" i="8"/>
  <c r="EX7" i="8"/>
  <c r="EY7" i="8"/>
  <c r="EZ7" i="8"/>
  <c r="FA7" i="8"/>
  <c r="FB7" i="8"/>
  <c r="FC7" i="8"/>
  <c r="FD7" i="8"/>
  <c r="FE7" i="8"/>
  <c r="FF7" i="8"/>
  <c r="FG7" i="8"/>
  <c r="FH7" i="8"/>
  <c r="FI7" i="8"/>
  <c r="FJ7" i="8"/>
  <c r="FK7" i="8"/>
  <c r="FL7" i="8"/>
  <c r="FM7" i="8"/>
  <c r="FN7" i="8"/>
  <c r="FO7" i="8"/>
  <c r="FP7" i="8"/>
  <c r="FQ7" i="8"/>
  <c r="FR7" i="8"/>
  <c r="FS7" i="8"/>
  <c r="FT7" i="8"/>
  <c r="FU7" i="8"/>
  <c r="FV7" i="8"/>
  <c r="FW7" i="8"/>
  <c r="FX7" i="8"/>
  <c r="FY7" i="8"/>
  <c r="FZ7" i="8"/>
  <c r="GA7" i="8"/>
  <c r="GB7" i="8"/>
  <c r="GC7" i="8"/>
  <c r="GD7" i="8"/>
  <c r="GE7" i="8"/>
  <c r="GF7" i="8"/>
  <c r="GG7" i="8"/>
  <c r="GH7" i="8"/>
  <c r="GI7" i="8"/>
  <c r="GJ7" i="8"/>
  <c r="GK7" i="8"/>
  <c r="GL7" i="8"/>
  <c r="GM7" i="8"/>
  <c r="GN7" i="8"/>
  <c r="GO7" i="8"/>
  <c r="GP7" i="8"/>
  <c r="GQ7" i="8"/>
  <c r="GR7" i="8"/>
  <c r="GS7" i="8"/>
  <c r="GT7" i="8"/>
  <c r="GU7" i="8"/>
  <c r="GV7" i="8"/>
  <c r="GW7" i="8"/>
  <c r="GX7" i="8"/>
  <c r="GY7" i="8"/>
  <c r="GZ7" i="8"/>
  <c r="HA7" i="8"/>
  <c r="HB7" i="8"/>
  <c r="HC7" i="8"/>
  <c r="HD7" i="8"/>
  <c r="HE7" i="8"/>
  <c r="HF7" i="8"/>
  <c r="HG7" i="8"/>
  <c r="HH7" i="8"/>
  <c r="HI7" i="8"/>
  <c r="HJ7" i="8"/>
  <c r="HK7" i="8"/>
  <c r="HL7" i="8"/>
  <c r="HM7" i="8"/>
  <c r="HN7" i="8"/>
  <c r="HO7" i="8"/>
  <c r="HP7" i="8"/>
  <c r="HQ7" i="8"/>
  <c r="HR7" i="8"/>
  <c r="HS7" i="8"/>
  <c r="HT7" i="8"/>
  <c r="HU7" i="8"/>
  <c r="HV7" i="8"/>
  <c r="HW7" i="8"/>
  <c r="HX7" i="8"/>
  <c r="HY7" i="8"/>
  <c r="HZ7" i="8"/>
  <c r="IA7" i="8"/>
  <c r="IJ7" i="8"/>
  <c r="IK7" i="8"/>
  <c r="IL7" i="8"/>
  <c r="IM7" i="8"/>
  <c r="IN7" i="8"/>
  <c r="IO7" i="8"/>
  <c r="IP7" i="8"/>
  <c r="IQ7" i="8"/>
  <c r="IR7" i="8"/>
  <c r="IS7" i="8"/>
  <c r="IT7" i="8"/>
  <c r="IU7" i="8"/>
  <c r="IV7" i="8"/>
  <c r="F8" i="8"/>
  <c r="G8" i="8"/>
  <c r="H8" i="8"/>
  <c r="I8" i="8"/>
  <c r="J8" i="8"/>
  <c r="K8" i="8"/>
  <c r="L8" i="8"/>
  <c r="M8" i="8"/>
  <c r="N8" i="8"/>
  <c r="O8" i="8"/>
  <c r="P8" i="8"/>
  <c r="Q8" i="8"/>
  <c r="R8" i="8"/>
  <c r="S8" i="8"/>
  <c r="T8" i="8"/>
  <c r="U8" i="8"/>
  <c r="V8" i="8"/>
  <c r="W8" i="8"/>
  <c r="X8" i="8"/>
  <c r="Y8" i="8"/>
  <c r="Z8" i="8"/>
  <c r="AA8" i="8"/>
  <c r="AB8" i="8"/>
  <c r="AC8" i="8"/>
  <c r="AD8" i="8"/>
  <c r="AE8" i="8"/>
  <c r="AF8" i="8"/>
  <c r="AG8" i="8"/>
  <c r="AH8" i="8"/>
  <c r="AI8" i="8"/>
  <c r="AJ8" i="8"/>
  <c r="AK8" i="8"/>
  <c r="AL8" i="8"/>
  <c r="AM8" i="8"/>
  <c r="AN8" i="8"/>
  <c r="AO8" i="8"/>
  <c r="AP8" i="8"/>
  <c r="AQ8" i="8"/>
  <c r="AR8" i="8"/>
  <c r="AS8" i="8"/>
  <c r="AT8" i="8"/>
  <c r="AU8" i="8"/>
  <c r="AV8" i="8"/>
  <c r="AW8" i="8"/>
  <c r="AX8" i="8"/>
  <c r="AY8" i="8"/>
  <c r="AZ8" i="8"/>
  <c r="BA8" i="8"/>
  <c r="BB8" i="8"/>
  <c r="BC8" i="8"/>
  <c r="BD8" i="8"/>
  <c r="BE8" i="8"/>
  <c r="BF8" i="8"/>
  <c r="BG8" i="8"/>
  <c r="BH8" i="8"/>
  <c r="BI8" i="8"/>
  <c r="BJ8" i="8"/>
  <c r="BK8" i="8"/>
  <c r="BL8" i="8"/>
  <c r="BM8" i="8"/>
  <c r="BN8" i="8"/>
  <c r="BO8" i="8"/>
  <c r="BP8" i="8"/>
  <c r="BQ8" i="8"/>
  <c r="BR8" i="8"/>
  <c r="BS8" i="8"/>
  <c r="BT8" i="8"/>
  <c r="BU8" i="8"/>
  <c r="BV8" i="8"/>
  <c r="BW8" i="8"/>
  <c r="BX8" i="8"/>
  <c r="BY8" i="8"/>
  <c r="BZ8" i="8"/>
  <c r="CA8" i="8"/>
  <c r="CB8" i="8"/>
  <c r="CC8" i="8"/>
  <c r="CD8" i="8"/>
  <c r="CE8" i="8"/>
  <c r="CF8" i="8"/>
  <c r="CG8" i="8"/>
  <c r="CH8" i="8"/>
  <c r="CI8" i="8"/>
  <c r="CJ8" i="8"/>
  <c r="CK8" i="8"/>
  <c r="CL8" i="8"/>
  <c r="CM8" i="8"/>
  <c r="CN8" i="8"/>
  <c r="CO8" i="8"/>
  <c r="CP8" i="8"/>
  <c r="CQ8" i="8"/>
  <c r="CR8" i="8"/>
  <c r="CS8" i="8"/>
  <c r="CT8" i="8"/>
  <c r="CU8" i="8"/>
  <c r="CV8" i="8"/>
  <c r="CW8" i="8"/>
  <c r="CX8" i="8"/>
  <c r="CY8" i="8"/>
  <c r="CZ8" i="8"/>
  <c r="DA8" i="8"/>
  <c r="DB8" i="8"/>
  <c r="DC8" i="8"/>
  <c r="DD8" i="8"/>
  <c r="DE8" i="8"/>
  <c r="DF8" i="8"/>
  <c r="DG8" i="8"/>
  <c r="DH8" i="8"/>
  <c r="DI8" i="8"/>
  <c r="DJ8" i="8"/>
  <c r="DK8" i="8"/>
  <c r="DL8" i="8"/>
  <c r="DM8" i="8"/>
  <c r="DN8" i="8"/>
  <c r="DO8" i="8"/>
  <c r="DP8" i="8"/>
  <c r="DQ8" i="8"/>
  <c r="DR8" i="8"/>
  <c r="DS8" i="8"/>
  <c r="DT8" i="8"/>
  <c r="DU8" i="8"/>
  <c r="DV8" i="8"/>
  <c r="DW8" i="8"/>
  <c r="DX8" i="8"/>
  <c r="DY8" i="8"/>
  <c r="DZ8" i="8"/>
  <c r="EA8" i="8"/>
  <c r="EB8" i="8"/>
  <c r="EC8" i="8"/>
  <c r="ED8" i="8"/>
  <c r="EE8" i="8"/>
  <c r="EF8" i="8"/>
  <c r="EG8" i="8"/>
  <c r="EH8" i="8"/>
  <c r="EI8" i="8"/>
  <c r="EJ8" i="8"/>
  <c r="EK8" i="8"/>
  <c r="EL8" i="8"/>
  <c r="EM8" i="8"/>
  <c r="EN8" i="8"/>
  <c r="EO8" i="8"/>
  <c r="EP8" i="8"/>
  <c r="EQ8" i="8"/>
  <c r="ER8" i="8"/>
  <c r="ES8" i="8"/>
  <c r="ET8" i="8"/>
  <c r="EU8" i="8"/>
  <c r="EV8" i="8"/>
  <c r="EW8" i="8"/>
  <c r="EX8" i="8"/>
  <c r="EY8" i="8"/>
  <c r="EZ8" i="8"/>
  <c r="FA8" i="8"/>
  <c r="FB8" i="8"/>
  <c r="FC8" i="8"/>
  <c r="FD8" i="8"/>
  <c r="FE8" i="8"/>
  <c r="FF8" i="8"/>
  <c r="FG8" i="8"/>
  <c r="FH8" i="8"/>
  <c r="FI8" i="8"/>
  <c r="FJ8" i="8"/>
  <c r="FK8" i="8"/>
  <c r="FL8" i="8"/>
  <c r="FM8" i="8"/>
  <c r="FN8" i="8"/>
  <c r="FO8" i="8"/>
  <c r="FP8" i="8"/>
  <c r="FQ8" i="8"/>
  <c r="FR8" i="8"/>
  <c r="FS8" i="8"/>
  <c r="FT8" i="8"/>
  <c r="FU8" i="8"/>
  <c r="FV8" i="8"/>
  <c r="FW8" i="8"/>
  <c r="FX8" i="8"/>
  <c r="FY8" i="8"/>
  <c r="FZ8" i="8"/>
  <c r="GA8" i="8"/>
  <c r="GB8" i="8"/>
  <c r="GC8" i="8"/>
  <c r="GD8" i="8"/>
  <c r="GE8" i="8"/>
  <c r="GF8" i="8"/>
  <c r="GG8" i="8"/>
  <c r="GH8" i="8"/>
  <c r="GI8" i="8"/>
  <c r="GJ8" i="8"/>
  <c r="GK8" i="8"/>
  <c r="GL8" i="8"/>
  <c r="GM8" i="8"/>
  <c r="GN8" i="8"/>
  <c r="GO8" i="8"/>
  <c r="GP8" i="8"/>
  <c r="GQ8" i="8"/>
  <c r="GR8" i="8"/>
  <c r="GS8" i="8"/>
  <c r="GT8" i="8"/>
  <c r="GU8" i="8"/>
  <c r="GV8" i="8"/>
  <c r="GW8" i="8"/>
  <c r="GX8" i="8"/>
  <c r="GY8" i="8"/>
  <c r="GZ8" i="8"/>
  <c r="HA8" i="8"/>
  <c r="HB8" i="8"/>
  <c r="HC8" i="8"/>
  <c r="HD8" i="8"/>
  <c r="HE8" i="8"/>
  <c r="HF8" i="8"/>
  <c r="HG8" i="8"/>
  <c r="HH8" i="8"/>
  <c r="HI8" i="8"/>
  <c r="HJ8" i="8"/>
  <c r="HK8" i="8"/>
  <c r="HL8" i="8"/>
  <c r="HM8" i="8"/>
  <c r="HN8" i="8"/>
  <c r="HO8" i="8"/>
  <c r="HP8" i="8"/>
  <c r="HQ8" i="8"/>
  <c r="HR8" i="8"/>
  <c r="HS8" i="8"/>
  <c r="HT8" i="8"/>
  <c r="HU8" i="8"/>
  <c r="HV8" i="8"/>
  <c r="HW8" i="8"/>
  <c r="HX8" i="8"/>
  <c r="HY8" i="8"/>
  <c r="HZ8" i="8"/>
  <c r="IA8" i="8"/>
  <c r="IB8" i="8"/>
  <c r="IC8" i="8"/>
  <c r="ID8" i="8"/>
  <c r="IE8" i="8"/>
  <c r="IF8" i="8"/>
  <c r="IG8" i="8"/>
  <c r="IH8" i="8"/>
  <c r="II8" i="8"/>
  <c r="IJ8" i="8"/>
  <c r="IK8" i="8"/>
  <c r="IL8" i="8"/>
  <c r="IM8" i="8"/>
  <c r="IN8" i="8"/>
  <c r="IO8" i="8"/>
  <c r="IP8" i="8"/>
  <c r="IQ8" i="8"/>
  <c r="IR8" i="8"/>
  <c r="IS8" i="8"/>
  <c r="IT8" i="8"/>
  <c r="IU8" i="8"/>
  <c r="IV8" i="8"/>
  <c r="F9" i="8"/>
  <c r="G9" i="8"/>
  <c r="H9" i="8"/>
  <c r="I9" i="8"/>
  <c r="J9" i="8"/>
  <c r="K9" i="8"/>
  <c r="L9" i="8"/>
  <c r="M9" i="8"/>
  <c r="N9" i="8"/>
  <c r="O9" i="8"/>
  <c r="P9" i="8"/>
  <c r="Q9" i="8"/>
  <c r="R9" i="8"/>
  <c r="S9" i="8"/>
  <c r="T9" i="8"/>
  <c r="U9" i="8"/>
  <c r="V9" i="8"/>
  <c r="W9" i="8"/>
  <c r="X9" i="8"/>
  <c r="Y9" i="8"/>
  <c r="Z9" i="8"/>
  <c r="AA9" i="8"/>
  <c r="AB9" i="8"/>
  <c r="AC9" i="8"/>
  <c r="AD9" i="8"/>
  <c r="AE9" i="8"/>
  <c r="AF9" i="8"/>
  <c r="AG9" i="8"/>
  <c r="AH9" i="8"/>
  <c r="AI9" i="8"/>
  <c r="AJ9" i="8"/>
  <c r="AK9" i="8"/>
  <c r="AL9" i="8"/>
  <c r="AM9" i="8"/>
  <c r="AN9" i="8"/>
  <c r="AO9" i="8"/>
  <c r="AP9" i="8"/>
  <c r="AQ9" i="8"/>
  <c r="AR9" i="8"/>
  <c r="AS9" i="8"/>
  <c r="AT9" i="8"/>
  <c r="AU9" i="8"/>
  <c r="AV9" i="8"/>
  <c r="AW9" i="8"/>
  <c r="AX9" i="8"/>
  <c r="AY9" i="8"/>
  <c r="AZ9" i="8"/>
  <c r="BA9" i="8"/>
  <c r="BB9" i="8"/>
  <c r="BC9" i="8"/>
  <c r="BD9" i="8"/>
  <c r="BE9" i="8"/>
  <c r="BF9" i="8"/>
  <c r="BG9" i="8"/>
  <c r="BH9" i="8"/>
  <c r="BI9" i="8"/>
  <c r="BJ9" i="8"/>
  <c r="BK9" i="8"/>
  <c r="BL9" i="8"/>
  <c r="BM9" i="8"/>
  <c r="BN9" i="8"/>
  <c r="BO9" i="8"/>
  <c r="BP9" i="8"/>
  <c r="BQ9" i="8"/>
  <c r="BR9" i="8"/>
  <c r="BS9" i="8"/>
  <c r="BT9" i="8"/>
  <c r="BU9" i="8"/>
  <c r="BV9" i="8"/>
  <c r="BW9" i="8"/>
  <c r="BX9" i="8"/>
  <c r="BY9" i="8"/>
  <c r="BZ9" i="8"/>
  <c r="CA9" i="8"/>
  <c r="CB9" i="8"/>
  <c r="CC9" i="8"/>
  <c r="CD9" i="8"/>
  <c r="CE9" i="8"/>
  <c r="CF9" i="8"/>
  <c r="CG9" i="8"/>
  <c r="CH9" i="8"/>
  <c r="CI9" i="8"/>
  <c r="CJ9" i="8"/>
  <c r="CK9" i="8"/>
  <c r="CL9" i="8"/>
  <c r="CM9" i="8"/>
  <c r="CN9" i="8"/>
  <c r="CO9" i="8"/>
  <c r="CP9" i="8"/>
  <c r="CQ9" i="8"/>
  <c r="CR9" i="8"/>
  <c r="CS9" i="8"/>
  <c r="CT9" i="8"/>
  <c r="CU9" i="8"/>
  <c r="CV9" i="8"/>
  <c r="CW9" i="8"/>
  <c r="CX9" i="8"/>
  <c r="CY9" i="8"/>
  <c r="CZ9" i="8"/>
  <c r="DA9" i="8"/>
  <c r="DB9" i="8"/>
  <c r="DC9" i="8"/>
  <c r="DD9" i="8"/>
  <c r="DE9" i="8"/>
  <c r="DF9" i="8"/>
  <c r="DG9" i="8"/>
  <c r="DH9" i="8"/>
  <c r="DI9" i="8"/>
  <c r="DJ9" i="8"/>
  <c r="DK9" i="8"/>
  <c r="DL9" i="8"/>
  <c r="DM9" i="8"/>
  <c r="DN9" i="8"/>
  <c r="DO9" i="8"/>
  <c r="DP9" i="8"/>
  <c r="DQ9" i="8"/>
  <c r="DR9" i="8"/>
  <c r="DS9" i="8"/>
  <c r="DT9" i="8"/>
  <c r="DU9" i="8"/>
  <c r="DV9" i="8"/>
  <c r="DW9" i="8"/>
  <c r="DX9" i="8"/>
  <c r="DY9" i="8"/>
  <c r="DZ9" i="8"/>
  <c r="EA9" i="8"/>
  <c r="EB9" i="8"/>
  <c r="EC9" i="8"/>
  <c r="ED9" i="8"/>
  <c r="EE9" i="8"/>
  <c r="EF9" i="8"/>
  <c r="EG9" i="8"/>
  <c r="EH9" i="8"/>
  <c r="EI9" i="8"/>
  <c r="EJ9" i="8"/>
  <c r="EK9" i="8"/>
  <c r="EL9" i="8"/>
  <c r="EM9" i="8"/>
  <c r="EN9" i="8"/>
  <c r="EO9" i="8"/>
  <c r="EP9" i="8"/>
  <c r="EQ9" i="8"/>
  <c r="ER9" i="8"/>
  <c r="ES9" i="8"/>
  <c r="ET9" i="8"/>
  <c r="EU9" i="8"/>
  <c r="EV9" i="8"/>
  <c r="EW9" i="8"/>
  <c r="EX9" i="8"/>
  <c r="EY9" i="8"/>
  <c r="EZ9" i="8"/>
  <c r="FA9" i="8"/>
  <c r="FB9" i="8"/>
  <c r="FC9" i="8"/>
  <c r="FD9" i="8"/>
  <c r="FE9" i="8"/>
  <c r="FF9" i="8"/>
  <c r="FG9" i="8"/>
  <c r="FH9" i="8"/>
  <c r="FI9" i="8"/>
  <c r="FJ9" i="8"/>
  <c r="FK9" i="8"/>
  <c r="FL9" i="8"/>
  <c r="FM9" i="8"/>
  <c r="FN9" i="8"/>
  <c r="FO9" i="8"/>
  <c r="FP9" i="8"/>
  <c r="FQ9" i="8"/>
  <c r="FR9" i="8"/>
  <c r="FS9" i="8"/>
  <c r="FT9" i="8"/>
  <c r="FU9" i="8"/>
  <c r="FV9" i="8"/>
  <c r="FW9" i="8"/>
  <c r="FX9" i="8"/>
  <c r="FY9" i="8"/>
  <c r="FZ9" i="8"/>
  <c r="GA9" i="8"/>
  <c r="GB9" i="8"/>
  <c r="GC9" i="8"/>
  <c r="GD9" i="8"/>
  <c r="GE9" i="8"/>
  <c r="GF9" i="8"/>
  <c r="GG9" i="8"/>
  <c r="GH9" i="8"/>
  <c r="GI9" i="8"/>
  <c r="GJ9" i="8"/>
  <c r="GK9" i="8"/>
  <c r="GL9" i="8"/>
  <c r="GM9" i="8"/>
  <c r="GN9" i="8"/>
  <c r="GO9" i="8"/>
  <c r="GP9" i="8"/>
  <c r="GQ9" i="8"/>
  <c r="GR9" i="8"/>
  <c r="GS9" i="8"/>
  <c r="GT9" i="8"/>
  <c r="GU9" i="8"/>
  <c r="GV9" i="8"/>
  <c r="GW9" i="8"/>
  <c r="GX9" i="8"/>
  <c r="GY9" i="8"/>
  <c r="GZ9" i="8"/>
  <c r="HA9" i="8"/>
  <c r="HB9" i="8"/>
  <c r="HC9" i="8"/>
  <c r="HD9" i="8"/>
  <c r="HE9" i="8"/>
  <c r="HF9" i="8"/>
  <c r="HG9" i="8"/>
  <c r="HH9" i="8"/>
  <c r="HI9" i="8"/>
  <c r="HJ9" i="8"/>
  <c r="HK9" i="8"/>
  <c r="HL9" i="8"/>
  <c r="HM9" i="8"/>
  <c r="HN9" i="8"/>
  <c r="HO9" i="8"/>
  <c r="HP9" i="8"/>
  <c r="HQ9" i="8"/>
  <c r="HR9" i="8"/>
  <c r="HS9" i="8"/>
  <c r="HT9" i="8"/>
  <c r="HU9" i="8"/>
  <c r="HV9" i="8"/>
  <c r="HW9" i="8"/>
  <c r="HX9" i="8"/>
  <c r="HY9" i="8"/>
  <c r="HZ9" i="8"/>
  <c r="IA9" i="8"/>
  <c r="IB9" i="8"/>
  <c r="IC9" i="8"/>
  <c r="ID9" i="8"/>
  <c r="IE9" i="8"/>
  <c r="IF9" i="8"/>
  <c r="IG9" i="8"/>
  <c r="IH9" i="8"/>
  <c r="II9" i="8"/>
  <c r="IJ9" i="8"/>
  <c r="IK9" i="8"/>
  <c r="IL9" i="8"/>
  <c r="IM9" i="8"/>
  <c r="IN9" i="8"/>
  <c r="IO9" i="8"/>
  <c r="IP9" i="8"/>
  <c r="IQ9" i="8"/>
  <c r="IR9" i="8"/>
  <c r="IS9" i="8"/>
  <c r="IT9" i="8"/>
  <c r="IU9" i="8"/>
  <c r="IV9" i="8"/>
  <c r="F10" i="8"/>
  <c r="G10" i="8"/>
  <c r="H10" i="8"/>
  <c r="I10" i="8"/>
  <c r="J10" i="8"/>
  <c r="K10" i="8"/>
  <c r="L10" i="8"/>
  <c r="M10" i="8"/>
  <c r="N10" i="8"/>
  <c r="O10" i="8"/>
  <c r="P10" i="8"/>
  <c r="Q10" i="8"/>
  <c r="R10" i="8"/>
  <c r="S10" i="8"/>
  <c r="T10" i="8"/>
  <c r="U10" i="8"/>
  <c r="V10" i="8"/>
  <c r="W10" i="8"/>
  <c r="X10" i="8"/>
  <c r="Y10" i="8"/>
  <c r="Z10" i="8"/>
  <c r="AA10" i="8"/>
  <c r="AB10" i="8"/>
  <c r="AC10" i="8"/>
  <c r="AD10" i="8"/>
  <c r="AE10" i="8"/>
  <c r="AF10" i="8"/>
  <c r="AG10" i="8"/>
  <c r="AH10" i="8"/>
  <c r="AI10" i="8"/>
  <c r="AJ10" i="8"/>
  <c r="AK10" i="8"/>
  <c r="AL10" i="8"/>
  <c r="AM10" i="8"/>
  <c r="AN10" i="8"/>
  <c r="AO10" i="8"/>
  <c r="AP10" i="8"/>
  <c r="AQ10" i="8"/>
  <c r="AR10" i="8"/>
  <c r="AS10" i="8"/>
  <c r="AT10" i="8"/>
  <c r="AU10" i="8"/>
  <c r="AV10" i="8"/>
  <c r="AW10" i="8"/>
  <c r="AX10" i="8"/>
  <c r="AY10" i="8"/>
  <c r="AZ10" i="8"/>
  <c r="BA10" i="8"/>
  <c r="BB10" i="8"/>
  <c r="BC10" i="8"/>
  <c r="BD10" i="8"/>
  <c r="BE10" i="8"/>
  <c r="BF10" i="8"/>
  <c r="BG10" i="8"/>
  <c r="BH10" i="8"/>
  <c r="BI10" i="8"/>
  <c r="BJ10" i="8"/>
  <c r="BK10" i="8"/>
  <c r="BL10" i="8"/>
  <c r="BM10" i="8"/>
  <c r="BN10" i="8"/>
  <c r="BO10" i="8"/>
  <c r="BP10" i="8"/>
  <c r="BQ10" i="8"/>
  <c r="BR10" i="8"/>
  <c r="BS10" i="8"/>
  <c r="BT10" i="8"/>
  <c r="BU10" i="8"/>
  <c r="BV10" i="8"/>
  <c r="BW10" i="8"/>
  <c r="BX10" i="8"/>
  <c r="BY10" i="8"/>
  <c r="BZ10" i="8"/>
  <c r="CA10" i="8"/>
  <c r="CB10" i="8"/>
  <c r="CC10" i="8"/>
  <c r="CD10" i="8"/>
  <c r="CE10" i="8"/>
  <c r="CF10" i="8"/>
  <c r="CG10" i="8"/>
  <c r="CH10" i="8"/>
  <c r="CI10" i="8"/>
  <c r="CJ10" i="8"/>
  <c r="CK10" i="8"/>
  <c r="CL10" i="8"/>
  <c r="CM10" i="8"/>
  <c r="CN10" i="8"/>
  <c r="CO10" i="8"/>
  <c r="CP10" i="8"/>
  <c r="CQ10" i="8"/>
  <c r="CR10" i="8"/>
  <c r="CS10" i="8"/>
  <c r="CT10" i="8"/>
  <c r="CU10" i="8"/>
  <c r="CV10" i="8"/>
  <c r="CW10" i="8"/>
  <c r="CX10" i="8"/>
  <c r="CY10" i="8"/>
  <c r="CZ10" i="8"/>
  <c r="DA10" i="8"/>
  <c r="DB10" i="8"/>
  <c r="DC10" i="8"/>
  <c r="DD10" i="8"/>
  <c r="DE10" i="8"/>
  <c r="DF10" i="8"/>
  <c r="DG10" i="8"/>
  <c r="DH10" i="8"/>
  <c r="DI10" i="8"/>
  <c r="DJ10" i="8"/>
  <c r="DK10" i="8"/>
  <c r="DL10" i="8"/>
  <c r="DM10" i="8"/>
  <c r="DN10" i="8"/>
  <c r="DO10" i="8"/>
  <c r="DP10" i="8"/>
  <c r="DQ10" i="8"/>
  <c r="DR10" i="8"/>
  <c r="DS10" i="8"/>
  <c r="DT10" i="8"/>
  <c r="DU10" i="8"/>
  <c r="DV10" i="8"/>
  <c r="DW10" i="8"/>
  <c r="DX10" i="8"/>
  <c r="DY10" i="8"/>
  <c r="DZ10" i="8"/>
  <c r="EA10" i="8"/>
  <c r="EB10" i="8"/>
  <c r="EC10" i="8"/>
  <c r="ED10" i="8"/>
  <c r="EE10" i="8"/>
  <c r="EF10" i="8"/>
  <c r="EG10" i="8"/>
  <c r="EH10" i="8"/>
  <c r="EI10" i="8"/>
  <c r="EJ10" i="8"/>
  <c r="EK10" i="8"/>
  <c r="EL10" i="8"/>
  <c r="EM10" i="8"/>
  <c r="EN10" i="8"/>
  <c r="EO10" i="8"/>
  <c r="EP10" i="8"/>
  <c r="EQ10" i="8"/>
  <c r="ER10" i="8"/>
  <c r="ES10" i="8"/>
  <c r="ET10" i="8"/>
  <c r="EU10" i="8"/>
  <c r="EV10" i="8"/>
  <c r="EW10" i="8"/>
  <c r="EX10" i="8"/>
  <c r="EY10" i="8"/>
  <c r="EZ10" i="8"/>
  <c r="FA10" i="8"/>
  <c r="FB10" i="8"/>
  <c r="FC10" i="8"/>
  <c r="FD10" i="8"/>
  <c r="FE10" i="8"/>
  <c r="FF10" i="8"/>
  <c r="FG10" i="8"/>
  <c r="FH10" i="8"/>
  <c r="FI10" i="8"/>
  <c r="FJ10" i="8"/>
  <c r="FK10" i="8"/>
  <c r="FL10" i="8"/>
  <c r="FM10" i="8"/>
  <c r="FN10" i="8"/>
  <c r="FO10" i="8"/>
  <c r="FP10" i="8"/>
  <c r="FQ10" i="8"/>
  <c r="FR10" i="8"/>
  <c r="FS10" i="8"/>
  <c r="FT10" i="8"/>
  <c r="FU10" i="8"/>
  <c r="FV10" i="8"/>
  <c r="FW10" i="8"/>
  <c r="FX10" i="8"/>
  <c r="FY10" i="8"/>
  <c r="FZ10" i="8"/>
  <c r="GA10" i="8"/>
  <c r="GB10" i="8"/>
  <c r="GC10" i="8"/>
  <c r="GD10" i="8"/>
  <c r="GE10" i="8"/>
  <c r="GF10" i="8"/>
  <c r="GG10" i="8"/>
  <c r="GH10" i="8"/>
  <c r="GI10" i="8"/>
  <c r="GJ10" i="8"/>
  <c r="GK10" i="8"/>
  <c r="GL10" i="8"/>
  <c r="GM10" i="8"/>
  <c r="GN10" i="8"/>
  <c r="GO10" i="8"/>
  <c r="GP10" i="8"/>
  <c r="GQ10" i="8"/>
  <c r="GR10" i="8"/>
  <c r="GS10" i="8"/>
  <c r="GT10" i="8"/>
  <c r="GU10" i="8"/>
  <c r="GV10" i="8"/>
  <c r="GW10" i="8"/>
  <c r="GX10" i="8"/>
  <c r="GY10" i="8"/>
  <c r="GZ10" i="8"/>
  <c r="HA10" i="8"/>
  <c r="HB10" i="8"/>
  <c r="HC10" i="8"/>
  <c r="HD10" i="8"/>
  <c r="HE10" i="8"/>
  <c r="HF10" i="8"/>
  <c r="HG10" i="8"/>
  <c r="HH10" i="8"/>
  <c r="HI10" i="8"/>
  <c r="HJ10" i="8"/>
  <c r="HK10" i="8"/>
  <c r="HL10" i="8"/>
  <c r="HM10" i="8"/>
  <c r="HN10" i="8"/>
  <c r="HO10" i="8"/>
  <c r="HP10" i="8"/>
  <c r="HQ10" i="8"/>
  <c r="HR10" i="8"/>
  <c r="HS10" i="8"/>
  <c r="HT10" i="8"/>
  <c r="HU10" i="8"/>
  <c r="HV10" i="8"/>
  <c r="HW10" i="8"/>
  <c r="HX10" i="8"/>
  <c r="HY10" i="8"/>
  <c r="HZ10" i="8"/>
  <c r="IA10" i="8"/>
  <c r="IB10" i="8"/>
  <c r="IC10" i="8"/>
  <c r="ID10" i="8"/>
  <c r="IE10" i="8"/>
  <c r="IF10" i="8"/>
  <c r="IG10" i="8"/>
  <c r="IH10" i="8"/>
  <c r="II10" i="8"/>
  <c r="IJ10" i="8"/>
  <c r="IK10" i="8"/>
  <c r="IL10" i="8"/>
  <c r="IM10" i="8"/>
  <c r="IN10" i="8"/>
  <c r="IO10" i="8"/>
  <c r="IP10" i="8"/>
  <c r="IQ10" i="8"/>
  <c r="IR10" i="8"/>
  <c r="IS10" i="8"/>
  <c r="IT10" i="8"/>
  <c r="IU10" i="8"/>
  <c r="IV10" i="8"/>
  <c r="F11" i="8"/>
  <c r="G11" i="8"/>
  <c r="H11" i="8"/>
  <c r="I11" i="8"/>
  <c r="J11" i="8"/>
  <c r="K11" i="8"/>
  <c r="L11" i="8"/>
  <c r="M11" i="8"/>
  <c r="N11" i="8"/>
  <c r="O11" i="8"/>
  <c r="P11" i="8"/>
  <c r="Q11" i="8"/>
  <c r="R11" i="8"/>
  <c r="S11" i="8"/>
  <c r="T11" i="8"/>
  <c r="U11" i="8"/>
  <c r="V11" i="8"/>
  <c r="W11" i="8"/>
  <c r="X11" i="8"/>
  <c r="Y11" i="8"/>
  <c r="Z11" i="8"/>
  <c r="AA11" i="8"/>
  <c r="AB11" i="8"/>
  <c r="AC11" i="8"/>
  <c r="AD11" i="8"/>
  <c r="AE11" i="8"/>
  <c r="AF11" i="8"/>
  <c r="AG11" i="8"/>
  <c r="AH11" i="8"/>
  <c r="AI11" i="8"/>
  <c r="AJ11" i="8"/>
  <c r="AK11" i="8"/>
  <c r="AL11" i="8"/>
  <c r="AM11" i="8"/>
  <c r="AN11" i="8"/>
  <c r="AO11" i="8"/>
  <c r="AP11" i="8"/>
  <c r="AQ11" i="8"/>
  <c r="AR11" i="8"/>
  <c r="AS11" i="8"/>
  <c r="AT11" i="8"/>
  <c r="AU11" i="8"/>
  <c r="AV11" i="8"/>
  <c r="AW11" i="8"/>
  <c r="AX11" i="8"/>
  <c r="AY11" i="8"/>
  <c r="AZ11" i="8"/>
  <c r="BA11" i="8"/>
  <c r="BB11" i="8"/>
  <c r="BC11" i="8"/>
  <c r="BD11" i="8"/>
  <c r="BE11" i="8"/>
  <c r="BF11" i="8"/>
  <c r="BG11" i="8"/>
  <c r="BH11" i="8"/>
  <c r="BI11" i="8"/>
  <c r="BJ11" i="8"/>
  <c r="BK11" i="8"/>
  <c r="BL11" i="8"/>
  <c r="BM11" i="8"/>
  <c r="BN11" i="8"/>
  <c r="BO11" i="8"/>
  <c r="BP11" i="8"/>
  <c r="BQ11" i="8"/>
  <c r="BR11" i="8"/>
  <c r="BS11" i="8"/>
  <c r="BT11" i="8"/>
  <c r="BU11" i="8"/>
  <c r="BV11" i="8"/>
  <c r="BW11" i="8"/>
  <c r="BX11" i="8"/>
  <c r="BY11" i="8"/>
  <c r="BZ11" i="8"/>
  <c r="CA11" i="8"/>
  <c r="CB11" i="8"/>
  <c r="CC11" i="8"/>
  <c r="CD11" i="8"/>
  <c r="CE11" i="8"/>
  <c r="CF11" i="8"/>
  <c r="CG11" i="8"/>
  <c r="CH11" i="8"/>
  <c r="CI11" i="8"/>
  <c r="CJ11" i="8"/>
  <c r="CK11" i="8"/>
  <c r="CL11" i="8"/>
  <c r="CM11" i="8"/>
  <c r="CN11" i="8"/>
  <c r="CO11" i="8"/>
  <c r="CP11" i="8"/>
  <c r="CQ11" i="8"/>
  <c r="CR11" i="8"/>
  <c r="CS11" i="8"/>
  <c r="CT11" i="8"/>
  <c r="CU11" i="8"/>
  <c r="CV11" i="8"/>
  <c r="CW11" i="8"/>
  <c r="CX11" i="8"/>
  <c r="CY11" i="8"/>
  <c r="CZ11" i="8"/>
  <c r="DA11" i="8"/>
  <c r="DB11" i="8"/>
  <c r="DC11" i="8"/>
  <c r="DD11" i="8"/>
  <c r="DE11" i="8"/>
  <c r="DF11" i="8"/>
  <c r="DG11" i="8"/>
  <c r="DH11" i="8"/>
  <c r="DI11" i="8"/>
  <c r="DJ11" i="8"/>
  <c r="DK11" i="8"/>
  <c r="DL11" i="8"/>
  <c r="DM11" i="8"/>
  <c r="DN11" i="8"/>
  <c r="DO11" i="8"/>
  <c r="DP11" i="8"/>
  <c r="DQ11" i="8"/>
  <c r="DR11" i="8"/>
  <c r="DS11" i="8"/>
  <c r="DT11" i="8"/>
  <c r="DU11" i="8"/>
  <c r="DV11" i="8"/>
  <c r="DW11" i="8"/>
  <c r="DX11" i="8"/>
  <c r="DY11" i="8"/>
  <c r="DZ11" i="8"/>
  <c r="EA11" i="8"/>
  <c r="EB11" i="8"/>
  <c r="EC11" i="8"/>
  <c r="ED11" i="8"/>
  <c r="EE11" i="8"/>
  <c r="EF11" i="8"/>
  <c r="EG11" i="8"/>
  <c r="EH11" i="8"/>
  <c r="EI11" i="8"/>
  <c r="EJ11" i="8"/>
  <c r="EK11" i="8"/>
  <c r="EL11" i="8"/>
  <c r="EM11" i="8"/>
  <c r="EN11" i="8"/>
  <c r="EO11" i="8"/>
  <c r="EP11" i="8"/>
  <c r="EQ11" i="8"/>
  <c r="ER11" i="8"/>
  <c r="ES11" i="8"/>
  <c r="ET11" i="8"/>
  <c r="EU11" i="8"/>
  <c r="EV11" i="8"/>
  <c r="EW11" i="8"/>
  <c r="EX11" i="8"/>
  <c r="EY11" i="8"/>
  <c r="EZ11" i="8"/>
  <c r="FA11" i="8"/>
  <c r="FB11" i="8"/>
  <c r="FC11" i="8"/>
  <c r="FD11" i="8"/>
  <c r="FE11" i="8"/>
  <c r="FF11" i="8"/>
  <c r="FG11" i="8"/>
  <c r="FH11" i="8"/>
  <c r="FI11" i="8"/>
  <c r="FJ11" i="8"/>
  <c r="FK11" i="8"/>
  <c r="FL11" i="8"/>
  <c r="FM11" i="8"/>
  <c r="FN11" i="8"/>
  <c r="FO11" i="8"/>
  <c r="FP11" i="8"/>
  <c r="FQ11" i="8"/>
  <c r="FR11" i="8"/>
  <c r="FS11" i="8"/>
  <c r="FT11" i="8"/>
  <c r="FU11" i="8"/>
  <c r="FV11" i="8"/>
  <c r="FW11" i="8"/>
  <c r="FX11" i="8"/>
  <c r="FY11" i="8"/>
  <c r="FZ11" i="8"/>
  <c r="GA11" i="8"/>
  <c r="GB11" i="8"/>
  <c r="GC11" i="8"/>
  <c r="GD11" i="8"/>
  <c r="GE11" i="8"/>
  <c r="GF11" i="8"/>
  <c r="GG11" i="8"/>
  <c r="GH11" i="8"/>
  <c r="GI11" i="8"/>
  <c r="GJ11" i="8"/>
  <c r="GK11" i="8"/>
  <c r="GL11" i="8"/>
  <c r="GM11" i="8"/>
  <c r="GN11" i="8"/>
  <c r="GO11" i="8"/>
  <c r="GP11" i="8"/>
  <c r="GQ11" i="8"/>
  <c r="GR11" i="8"/>
  <c r="GS11" i="8"/>
  <c r="GT11" i="8"/>
  <c r="GU11" i="8"/>
  <c r="GV11" i="8"/>
  <c r="GW11" i="8"/>
  <c r="GX11" i="8"/>
  <c r="GY11" i="8"/>
  <c r="GZ11" i="8"/>
  <c r="HA11" i="8"/>
  <c r="HB11" i="8"/>
  <c r="HC11" i="8"/>
  <c r="HD11" i="8"/>
  <c r="HE11" i="8"/>
  <c r="HF11" i="8"/>
  <c r="HG11" i="8"/>
  <c r="HH11" i="8"/>
  <c r="HI11" i="8"/>
  <c r="HJ11" i="8"/>
  <c r="HK11" i="8"/>
  <c r="HL11" i="8"/>
  <c r="HM11" i="8"/>
  <c r="HN11" i="8"/>
  <c r="HO11" i="8"/>
  <c r="HP11" i="8"/>
  <c r="HQ11" i="8"/>
  <c r="HR11" i="8"/>
  <c r="HS11" i="8"/>
  <c r="HT11" i="8"/>
  <c r="HU11" i="8"/>
  <c r="HV11" i="8"/>
  <c r="HW11" i="8"/>
  <c r="HX11" i="8"/>
  <c r="HY11" i="8"/>
  <c r="HZ11" i="8"/>
  <c r="IA11" i="8"/>
  <c r="IB11" i="8"/>
  <c r="IC11" i="8"/>
  <c r="ID11" i="8"/>
  <c r="IE11" i="8"/>
  <c r="IF11" i="8"/>
  <c r="IG11" i="8"/>
  <c r="IH11" i="8"/>
  <c r="II11" i="8"/>
  <c r="IJ11" i="8"/>
  <c r="IK11" i="8"/>
  <c r="IL11" i="8"/>
  <c r="IM11" i="8"/>
  <c r="IN11" i="8"/>
  <c r="IO11" i="8"/>
  <c r="IP11" i="8"/>
  <c r="IQ11" i="8"/>
  <c r="IR11" i="8"/>
  <c r="IS11" i="8"/>
  <c r="IT11" i="8"/>
  <c r="IU11" i="8"/>
  <c r="IV11" i="8"/>
  <c r="F12" i="8"/>
  <c r="G12" i="8"/>
  <c r="H12" i="8"/>
  <c r="I12" i="8"/>
  <c r="J12" i="8"/>
  <c r="K12" i="8"/>
  <c r="L12" i="8"/>
  <c r="M12" i="8"/>
  <c r="N12" i="8"/>
  <c r="O12" i="8"/>
  <c r="P12" i="8"/>
  <c r="Q12" i="8"/>
  <c r="R12" i="8"/>
  <c r="S12" i="8"/>
  <c r="T12" i="8"/>
  <c r="U12" i="8"/>
  <c r="V12" i="8"/>
  <c r="W12" i="8"/>
  <c r="X12" i="8"/>
  <c r="Y12" i="8"/>
  <c r="Z12" i="8"/>
  <c r="AA12" i="8"/>
  <c r="AB12" i="8"/>
  <c r="AC12" i="8"/>
  <c r="AD12" i="8"/>
  <c r="AE12" i="8"/>
  <c r="AF12" i="8"/>
  <c r="AG12" i="8"/>
  <c r="AH12" i="8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BD12" i="8"/>
  <c r="BE12" i="8"/>
  <c r="BF12" i="8"/>
  <c r="BG12" i="8"/>
  <c r="BH12" i="8"/>
  <c r="BI12" i="8"/>
  <c r="BJ12" i="8"/>
  <c r="BK12" i="8"/>
  <c r="BL12" i="8"/>
  <c r="BM12" i="8"/>
  <c r="BN12" i="8"/>
  <c r="BO12" i="8"/>
  <c r="BP12" i="8"/>
  <c r="BQ12" i="8"/>
  <c r="BR12" i="8"/>
  <c r="BS12" i="8"/>
  <c r="BT12" i="8"/>
  <c r="BU12" i="8"/>
  <c r="BV12" i="8"/>
  <c r="BW12" i="8"/>
  <c r="BX12" i="8"/>
  <c r="BY12" i="8"/>
  <c r="BZ12" i="8"/>
  <c r="CA12" i="8"/>
  <c r="CB12" i="8"/>
  <c r="CC12" i="8"/>
  <c r="CD12" i="8"/>
  <c r="CE12" i="8"/>
  <c r="CF12" i="8"/>
  <c r="CG12" i="8"/>
  <c r="CH12" i="8"/>
  <c r="CI12" i="8"/>
  <c r="CJ12" i="8"/>
  <c r="CK12" i="8"/>
  <c r="CL12" i="8"/>
  <c r="CM12" i="8"/>
  <c r="CN12" i="8"/>
  <c r="CO12" i="8"/>
  <c r="CP12" i="8"/>
  <c r="CQ12" i="8"/>
  <c r="CR12" i="8"/>
  <c r="CS12" i="8"/>
  <c r="CT12" i="8"/>
  <c r="CU12" i="8"/>
  <c r="CV12" i="8"/>
  <c r="CW12" i="8"/>
  <c r="CX12" i="8"/>
  <c r="CY12" i="8"/>
  <c r="CZ12" i="8"/>
  <c r="DA12" i="8"/>
  <c r="DB12" i="8"/>
  <c r="DC12" i="8"/>
  <c r="DD12" i="8"/>
  <c r="DE12" i="8"/>
  <c r="DF12" i="8"/>
  <c r="DG12" i="8"/>
  <c r="DH12" i="8"/>
  <c r="DI12" i="8"/>
  <c r="DJ12" i="8"/>
  <c r="DK12" i="8"/>
  <c r="DL12" i="8"/>
  <c r="DM12" i="8"/>
  <c r="DN12" i="8"/>
  <c r="DO12" i="8"/>
  <c r="DP12" i="8"/>
  <c r="DQ12" i="8"/>
  <c r="DR12" i="8"/>
  <c r="DS12" i="8"/>
  <c r="DT12" i="8"/>
  <c r="DU12" i="8"/>
  <c r="DV12" i="8"/>
  <c r="DW12" i="8"/>
  <c r="DX12" i="8"/>
  <c r="DY12" i="8"/>
  <c r="DZ12" i="8"/>
  <c r="EA12" i="8"/>
  <c r="EB12" i="8"/>
  <c r="EC12" i="8"/>
  <c r="ED12" i="8"/>
  <c r="EE12" i="8"/>
  <c r="EF12" i="8"/>
  <c r="EG12" i="8"/>
  <c r="EH12" i="8"/>
  <c r="EI12" i="8"/>
  <c r="EJ12" i="8"/>
  <c r="EK12" i="8"/>
  <c r="EL12" i="8"/>
  <c r="EM12" i="8"/>
  <c r="EN12" i="8"/>
  <c r="EO12" i="8"/>
  <c r="EP12" i="8"/>
  <c r="EQ12" i="8"/>
  <c r="ER12" i="8"/>
  <c r="ES12" i="8"/>
  <c r="ET12" i="8"/>
  <c r="EU12" i="8"/>
  <c r="EV12" i="8"/>
  <c r="EW12" i="8"/>
  <c r="EX12" i="8"/>
  <c r="EY12" i="8"/>
  <c r="EZ12" i="8"/>
  <c r="FA12" i="8"/>
  <c r="FB12" i="8"/>
  <c r="FC12" i="8"/>
  <c r="FD12" i="8"/>
  <c r="FE12" i="8"/>
  <c r="FF12" i="8"/>
  <c r="FG12" i="8"/>
  <c r="FH12" i="8"/>
  <c r="FI12" i="8"/>
  <c r="FJ12" i="8"/>
  <c r="FK12" i="8"/>
  <c r="FL12" i="8"/>
  <c r="FM12" i="8"/>
  <c r="FN12" i="8"/>
  <c r="FO12" i="8"/>
  <c r="FP12" i="8"/>
  <c r="FQ12" i="8"/>
  <c r="FR12" i="8"/>
  <c r="FS12" i="8"/>
  <c r="FT12" i="8"/>
  <c r="FU12" i="8"/>
  <c r="FV12" i="8"/>
  <c r="FW12" i="8"/>
  <c r="FX12" i="8"/>
  <c r="FY12" i="8"/>
  <c r="FZ12" i="8"/>
  <c r="GA12" i="8"/>
  <c r="GB12" i="8"/>
  <c r="GC12" i="8"/>
  <c r="GD12" i="8"/>
  <c r="GE12" i="8"/>
  <c r="GF12" i="8"/>
  <c r="GG12" i="8"/>
  <c r="GH12" i="8"/>
  <c r="GI12" i="8"/>
  <c r="GJ12" i="8"/>
  <c r="GK12" i="8"/>
  <c r="GL12" i="8"/>
  <c r="GM12" i="8"/>
  <c r="GN12" i="8"/>
  <c r="GO12" i="8"/>
  <c r="GP12" i="8"/>
  <c r="GQ12" i="8"/>
  <c r="GR12" i="8"/>
  <c r="GS12" i="8"/>
  <c r="GT12" i="8"/>
  <c r="GU12" i="8"/>
  <c r="GV12" i="8"/>
  <c r="GW12" i="8"/>
  <c r="GX12" i="8"/>
  <c r="GY12" i="8"/>
  <c r="GZ12" i="8"/>
  <c r="HA12" i="8"/>
  <c r="HB12" i="8"/>
  <c r="HC12" i="8"/>
  <c r="HD12" i="8"/>
  <c r="HE12" i="8"/>
  <c r="HF12" i="8"/>
  <c r="HG12" i="8"/>
  <c r="HH12" i="8"/>
  <c r="HI12" i="8"/>
  <c r="HJ12" i="8"/>
  <c r="HK12" i="8"/>
  <c r="HL12" i="8"/>
  <c r="HM12" i="8"/>
  <c r="HN12" i="8"/>
  <c r="HO12" i="8"/>
  <c r="HP12" i="8"/>
  <c r="HQ12" i="8"/>
  <c r="HR12" i="8"/>
  <c r="HS12" i="8"/>
  <c r="HT12" i="8"/>
  <c r="HU12" i="8"/>
  <c r="HV12" i="8"/>
  <c r="HW12" i="8"/>
  <c r="HX12" i="8"/>
  <c r="HY12" i="8"/>
  <c r="HZ12" i="8"/>
  <c r="IA12" i="8"/>
  <c r="IB12" i="8"/>
  <c r="IC12" i="8"/>
  <c r="ID12" i="8"/>
  <c r="IE12" i="8"/>
  <c r="IF12" i="8"/>
  <c r="IG12" i="8"/>
  <c r="IH12" i="8"/>
  <c r="II12" i="8"/>
  <c r="IJ12" i="8"/>
  <c r="IK12" i="8"/>
  <c r="IL12" i="8"/>
  <c r="IM12" i="8"/>
  <c r="IN12" i="8"/>
  <c r="IO12" i="8"/>
  <c r="IP12" i="8"/>
  <c r="IQ12" i="8"/>
  <c r="IR12" i="8"/>
  <c r="IS12" i="8"/>
  <c r="IT12" i="8"/>
  <c r="IU12" i="8"/>
  <c r="IV12" i="8"/>
  <c r="F13" i="8"/>
  <c r="G13" i="8"/>
  <c r="H13" i="8"/>
  <c r="I13" i="8"/>
  <c r="J13" i="8"/>
  <c r="K13" i="8"/>
  <c r="L13" i="8"/>
  <c r="M13" i="8"/>
  <c r="N13" i="8"/>
  <c r="O13" i="8"/>
  <c r="P13" i="8"/>
  <c r="Q13" i="8"/>
  <c r="R13" i="8"/>
  <c r="S13" i="8"/>
  <c r="T13" i="8"/>
  <c r="U13" i="8"/>
  <c r="V13" i="8"/>
  <c r="W13" i="8"/>
  <c r="X13" i="8"/>
  <c r="Y13" i="8"/>
  <c r="Z13" i="8"/>
  <c r="AA13" i="8"/>
  <c r="AB13" i="8"/>
  <c r="AC13" i="8"/>
  <c r="AD13" i="8"/>
  <c r="AE13" i="8"/>
  <c r="AF13" i="8"/>
  <c r="AG13" i="8"/>
  <c r="AH13" i="8"/>
  <c r="AI13" i="8"/>
  <c r="AJ13" i="8"/>
  <c r="AK13" i="8"/>
  <c r="AL13" i="8"/>
  <c r="AM13" i="8"/>
  <c r="AN13" i="8"/>
  <c r="AO13" i="8"/>
  <c r="AP13" i="8"/>
  <c r="AQ13" i="8"/>
  <c r="AR13" i="8"/>
  <c r="AS13" i="8"/>
  <c r="AT13" i="8"/>
  <c r="AU13" i="8"/>
  <c r="AV13" i="8"/>
  <c r="AW13" i="8"/>
  <c r="AX13" i="8"/>
  <c r="AY13" i="8"/>
  <c r="AZ13" i="8"/>
  <c r="BA13" i="8"/>
  <c r="BB13" i="8"/>
  <c r="BC13" i="8"/>
  <c r="BD13" i="8"/>
  <c r="BE13" i="8"/>
  <c r="BF13" i="8"/>
  <c r="BG13" i="8"/>
  <c r="BH13" i="8"/>
  <c r="BI13" i="8"/>
  <c r="BJ13" i="8"/>
  <c r="BK13" i="8"/>
  <c r="BL13" i="8"/>
  <c r="BM13" i="8"/>
  <c r="BN13" i="8"/>
  <c r="BO13" i="8"/>
  <c r="BP13" i="8"/>
  <c r="BQ13" i="8"/>
  <c r="BR13" i="8"/>
  <c r="BS13" i="8"/>
  <c r="BT13" i="8"/>
  <c r="BU13" i="8"/>
  <c r="BV13" i="8"/>
  <c r="BW13" i="8"/>
  <c r="BX13" i="8"/>
  <c r="BY13" i="8"/>
  <c r="BZ13" i="8"/>
  <c r="CA13" i="8"/>
  <c r="CB13" i="8"/>
  <c r="CC13" i="8"/>
  <c r="CD13" i="8"/>
  <c r="CE13" i="8"/>
  <c r="CF13" i="8"/>
  <c r="CG13" i="8"/>
  <c r="CH13" i="8"/>
  <c r="CI13" i="8"/>
  <c r="CJ13" i="8"/>
  <c r="CK13" i="8"/>
  <c r="CL13" i="8"/>
  <c r="CM13" i="8"/>
  <c r="CN13" i="8"/>
  <c r="CO13" i="8"/>
  <c r="CP13" i="8"/>
  <c r="CQ13" i="8"/>
  <c r="CR13" i="8"/>
  <c r="CS13" i="8"/>
  <c r="CT13" i="8"/>
  <c r="CU13" i="8"/>
  <c r="CV13" i="8"/>
  <c r="CW13" i="8"/>
  <c r="CX13" i="8"/>
  <c r="CY13" i="8"/>
  <c r="CZ13" i="8"/>
  <c r="DA13" i="8"/>
  <c r="DB13" i="8"/>
  <c r="DC13" i="8"/>
  <c r="DD13" i="8"/>
  <c r="DE13" i="8"/>
  <c r="DF13" i="8"/>
  <c r="DG13" i="8"/>
  <c r="DH13" i="8"/>
  <c r="DI13" i="8"/>
  <c r="DJ13" i="8"/>
  <c r="DK13" i="8"/>
  <c r="DL13" i="8"/>
  <c r="DM13" i="8"/>
  <c r="DN13" i="8"/>
  <c r="DO13" i="8"/>
  <c r="DP13" i="8"/>
  <c r="DQ13" i="8"/>
  <c r="DR13" i="8"/>
  <c r="DS13" i="8"/>
  <c r="DT13" i="8"/>
  <c r="DU13" i="8"/>
  <c r="DV13" i="8"/>
  <c r="DW13" i="8"/>
  <c r="DX13" i="8"/>
  <c r="DY13" i="8"/>
  <c r="DZ13" i="8"/>
  <c r="EA13" i="8"/>
  <c r="EB13" i="8"/>
  <c r="EC13" i="8"/>
  <c r="ED13" i="8"/>
  <c r="EE13" i="8"/>
  <c r="EF13" i="8"/>
  <c r="EG13" i="8"/>
  <c r="EH13" i="8"/>
  <c r="EI13" i="8"/>
  <c r="EJ13" i="8"/>
  <c r="EK13" i="8"/>
  <c r="EL13" i="8"/>
  <c r="EM13" i="8"/>
  <c r="EN13" i="8"/>
  <c r="EO13" i="8"/>
  <c r="EP13" i="8"/>
  <c r="EQ13" i="8"/>
  <c r="ER13" i="8"/>
  <c r="ES13" i="8"/>
  <c r="ET13" i="8"/>
  <c r="EU13" i="8"/>
  <c r="EV13" i="8"/>
  <c r="EW13" i="8"/>
  <c r="EX13" i="8"/>
  <c r="EY13" i="8"/>
  <c r="EZ13" i="8"/>
  <c r="FA13" i="8"/>
  <c r="FB13" i="8"/>
  <c r="FC13" i="8"/>
  <c r="FD13" i="8"/>
  <c r="FE13" i="8"/>
  <c r="FF13" i="8"/>
  <c r="FG13" i="8"/>
  <c r="FH13" i="8"/>
  <c r="FI13" i="8"/>
  <c r="FJ13" i="8"/>
  <c r="FK13" i="8"/>
  <c r="FL13" i="8"/>
  <c r="FM13" i="8"/>
  <c r="FN13" i="8"/>
  <c r="FO13" i="8"/>
  <c r="FP13" i="8"/>
  <c r="FQ13" i="8"/>
  <c r="FR13" i="8"/>
  <c r="FS13" i="8"/>
  <c r="FT13" i="8"/>
  <c r="FU13" i="8"/>
  <c r="FV13" i="8"/>
  <c r="FW13" i="8"/>
  <c r="FX13" i="8"/>
  <c r="FY13" i="8"/>
  <c r="FZ13" i="8"/>
  <c r="GA13" i="8"/>
  <c r="GB13" i="8"/>
  <c r="GC13" i="8"/>
  <c r="GD13" i="8"/>
  <c r="GE13" i="8"/>
  <c r="GF13" i="8"/>
  <c r="GG13" i="8"/>
  <c r="GH13" i="8"/>
  <c r="GI13" i="8"/>
  <c r="GJ13" i="8"/>
  <c r="GK13" i="8"/>
  <c r="GL13" i="8"/>
  <c r="GM13" i="8"/>
  <c r="GN13" i="8"/>
  <c r="GO13" i="8"/>
  <c r="GP13" i="8"/>
  <c r="GQ13" i="8"/>
  <c r="GR13" i="8"/>
  <c r="GS13" i="8"/>
  <c r="GT13" i="8"/>
  <c r="GU13" i="8"/>
  <c r="GV13" i="8"/>
  <c r="GW13" i="8"/>
  <c r="GX13" i="8"/>
  <c r="GY13" i="8"/>
  <c r="GZ13" i="8"/>
  <c r="HA13" i="8"/>
  <c r="HB13" i="8"/>
  <c r="HC13" i="8"/>
  <c r="HD13" i="8"/>
  <c r="HE13" i="8"/>
  <c r="HF13" i="8"/>
  <c r="HG13" i="8"/>
  <c r="HH13" i="8"/>
  <c r="HI13" i="8"/>
  <c r="HJ13" i="8"/>
  <c r="HK13" i="8"/>
  <c r="HL13" i="8"/>
  <c r="HM13" i="8"/>
  <c r="HN13" i="8"/>
  <c r="HO13" i="8"/>
  <c r="HP13" i="8"/>
  <c r="HQ13" i="8"/>
  <c r="HR13" i="8"/>
  <c r="HS13" i="8"/>
  <c r="HT13" i="8"/>
  <c r="HU13" i="8"/>
  <c r="HV13" i="8"/>
  <c r="HW13" i="8"/>
  <c r="HX13" i="8"/>
  <c r="HY13" i="8"/>
  <c r="HZ13" i="8"/>
  <c r="IA13" i="8"/>
  <c r="IB13" i="8"/>
  <c r="IC13" i="8"/>
  <c r="ID13" i="8"/>
  <c r="IE13" i="8"/>
  <c r="IF13" i="8"/>
  <c r="IG13" i="8"/>
  <c r="IH13" i="8"/>
  <c r="II13" i="8"/>
  <c r="IJ13" i="8"/>
  <c r="IK13" i="8"/>
  <c r="IL13" i="8"/>
  <c r="IM13" i="8"/>
  <c r="IN13" i="8"/>
  <c r="IO13" i="8"/>
  <c r="IP13" i="8"/>
  <c r="IQ13" i="8"/>
  <c r="IR13" i="8"/>
  <c r="IS13" i="8"/>
  <c r="IT13" i="8"/>
  <c r="IU13" i="8"/>
  <c r="IV13" i="8"/>
  <c r="F14" i="8"/>
  <c r="G14" i="8"/>
  <c r="H14" i="8"/>
  <c r="I14" i="8"/>
  <c r="J14" i="8"/>
  <c r="K14" i="8"/>
  <c r="L14" i="8"/>
  <c r="M14" i="8"/>
  <c r="N14" i="8"/>
  <c r="O14" i="8"/>
  <c r="P14" i="8"/>
  <c r="Q14" i="8"/>
  <c r="R14" i="8"/>
  <c r="S14" i="8"/>
  <c r="T14" i="8"/>
  <c r="U14" i="8"/>
  <c r="V14" i="8"/>
  <c r="W14" i="8"/>
  <c r="X14" i="8"/>
  <c r="Y14" i="8"/>
  <c r="Z14" i="8"/>
  <c r="AA14" i="8"/>
  <c r="AB14" i="8"/>
  <c r="AC14" i="8"/>
  <c r="AD14" i="8"/>
  <c r="AE14" i="8"/>
  <c r="AF14" i="8"/>
  <c r="AG14" i="8"/>
  <c r="AH14" i="8"/>
  <c r="AI14" i="8"/>
  <c r="AJ14" i="8"/>
  <c r="AK14" i="8"/>
  <c r="AL14" i="8"/>
  <c r="AM14" i="8"/>
  <c r="AN14" i="8"/>
  <c r="AO14" i="8"/>
  <c r="AP14" i="8"/>
  <c r="AQ14" i="8"/>
  <c r="AR14" i="8"/>
  <c r="AS14" i="8"/>
  <c r="AT14" i="8"/>
  <c r="AU14" i="8"/>
  <c r="AV14" i="8"/>
  <c r="AW14" i="8"/>
  <c r="AX14" i="8"/>
  <c r="AY14" i="8"/>
  <c r="AZ14" i="8"/>
  <c r="BA14" i="8"/>
  <c r="BB14" i="8"/>
  <c r="BC14" i="8"/>
  <c r="BD14" i="8"/>
  <c r="BE14" i="8"/>
  <c r="BF14" i="8"/>
  <c r="BG14" i="8"/>
  <c r="BH14" i="8"/>
  <c r="BI14" i="8"/>
  <c r="BJ14" i="8"/>
  <c r="BK14" i="8"/>
  <c r="BL14" i="8"/>
  <c r="BM14" i="8"/>
  <c r="BN14" i="8"/>
  <c r="BO14" i="8"/>
  <c r="BP14" i="8"/>
  <c r="BQ14" i="8"/>
  <c r="BR14" i="8"/>
  <c r="BS14" i="8"/>
  <c r="BT14" i="8"/>
  <c r="BU14" i="8"/>
  <c r="BV14" i="8"/>
  <c r="BW14" i="8"/>
  <c r="BX14" i="8"/>
  <c r="BY14" i="8"/>
  <c r="BZ14" i="8"/>
  <c r="CA14" i="8"/>
  <c r="CB14" i="8"/>
  <c r="CC14" i="8"/>
  <c r="CD14" i="8"/>
  <c r="CE14" i="8"/>
  <c r="CF14" i="8"/>
  <c r="CG14" i="8"/>
  <c r="CH14" i="8"/>
  <c r="CI14" i="8"/>
  <c r="CJ14" i="8"/>
  <c r="CK14" i="8"/>
  <c r="CL14" i="8"/>
  <c r="CM14" i="8"/>
  <c r="CN14" i="8"/>
  <c r="CO14" i="8"/>
  <c r="CP14" i="8"/>
  <c r="CQ14" i="8"/>
  <c r="CR14" i="8"/>
  <c r="CS14" i="8"/>
  <c r="CT14" i="8"/>
  <c r="CU14" i="8"/>
  <c r="CV14" i="8"/>
  <c r="CW14" i="8"/>
  <c r="CX14" i="8"/>
  <c r="CY14" i="8"/>
  <c r="CZ14" i="8"/>
  <c r="DA14" i="8"/>
  <c r="DB14" i="8"/>
  <c r="DC14" i="8"/>
  <c r="DD14" i="8"/>
  <c r="DE14" i="8"/>
  <c r="DF14" i="8"/>
  <c r="DG14" i="8"/>
  <c r="DH14" i="8"/>
  <c r="DI14" i="8"/>
  <c r="DJ14" i="8"/>
  <c r="DK14" i="8"/>
  <c r="DL14" i="8"/>
  <c r="DM14" i="8"/>
  <c r="DN14" i="8"/>
  <c r="DO14" i="8"/>
  <c r="DP14" i="8"/>
  <c r="DQ14" i="8"/>
  <c r="DR14" i="8"/>
  <c r="DS14" i="8"/>
  <c r="DT14" i="8"/>
  <c r="DU14" i="8"/>
  <c r="DV14" i="8"/>
  <c r="DW14" i="8"/>
  <c r="DX14" i="8"/>
  <c r="DY14" i="8"/>
  <c r="DZ14" i="8"/>
  <c r="EA14" i="8"/>
  <c r="EB14" i="8"/>
  <c r="EC14" i="8"/>
  <c r="ED14" i="8"/>
  <c r="EE14" i="8"/>
  <c r="EF14" i="8"/>
  <c r="EG14" i="8"/>
  <c r="EH14" i="8"/>
  <c r="EI14" i="8"/>
  <c r="EJ14" i="8"/>
  <c r="EK14" i="8"/>
  <c r="EL14" i="8"/>
  <c r="EM14" i="8"/>
  <c r="EN14" i="8"/>
  <c r="EO14" i="8"/>
  <c r="EP14" i="8"/>
  <c r="EQ14" i="8"/>
  <c r="ER14" i="8"/>
  <c r="ES14" i="8"/>
  <c r="ET14" i="8"/>
  <c r="EU14" i="8"/>
  <c r="EV14" i="8"/>
  <c r="EW14" i="8"/>
  <c r="EX14" i="8"/>
  <c r="EY14" i="8"/>
  <c r="EZ14" i="8"/>
  <c r="FA14" i="8"/>
  <c r="FB14" i="8"/>
  <c r="FC14" i="8"/>
  <c r="FD14" i="8"/>
  <c r="FE14" i="8"/>
  <c r="FF14" i="8"/>
  <c r="FG14" i="8"/>
  <c r="FH14" i="8"/>
  <c r="FI14" i="8"/>
  <c r="FJ14" i="8"/>
  <c r="FK14" i="8"/>
  <c r="FL14" i="8"/>
  <c r="FM14" i="8"/>
  <c r="FN14" i="8"/>
  <c r="FO14" i="8"/>
  <c r="FP14" i="8"/>
  <c r="FQ14" i="8"/>
  <c r="FR14" i="8"/>
  <c r="FS14" i="8"/>
  <c r="FT14" i="8"/>
  <c r="FU14" i="8"/>
  <c r="FV14" i="8"/>
  <c r="FW14" i="8"/>
  <c r="FX14" i="8"/>
  <c r="FY14" i="8"/>
  <c r="FZ14" i="8"/>
  <c r="GA14" i="8"/>
  <c r="GB14" i="8"/>
  <c r="GC14" i="8"/>
  <c r="GD14" i="8"/>
  <c r="GE14" i="8"/>
  <c r="GF14" i="8"/>
  <c r="GG14" i="8"/>
  <c r="GH14" i="8"/>
  <c r="GI14" i="8"/>
  <c r="GJ14" i="8"/>
  <c r="GK14" i="8"/>
  <c r="GL14" i="8"/>
  <c r="GM14" i="8"/>
  <c r="GN14" i="8"/>
  <c r="GO14" i="8"/>
  <c r="GP14" i="8"/>
  <c r="GQ14" i="8"/>
  <c r="GR14" i="8"/>
  <c r="GS14" i="8"/>
  <c r="GT14" i="8"/>
  <c r="GU14" i="8"/>
  <c r="GV14" i="8"/>
  <c r="GW14" i="8"/>
  <c r="GX14" i="8"/>
  <c r="GY14" i="8"/>
  <c r="GZ14" i="8"/>
  <c r="HA14" i="8"/>
  <c r="HB14" i="8"/>
  <c r="HC14" i="8"/>
  <c r="HD14" i="8"/>
  <c r="HE14" i="8"/>
  <c r="HF14" i="8"/>
  <c r="HG14" i="8"/>
  <c r="HH14" i="8"/>
  <c r="HI14" i="8"/>
  <c r="HJ14" i="8"/>
  <c r="HK14" i="8"/>
  <c r="HL14" i="8"/>
  <c r="HM14" i="8"/>
  <c r="HN14" i="8"/>
  <c r="HO14" i="8"/>
  <c r="HP14" i="8"/>
  <c r="HQ14" i="8"/>
  <c r="HR14" i="8"/>
  <c r="HS14" i="8"/>
  <c r="HT14" i="8"/>
  <c r="HU14" i="8"/>
  <c r="HV14" i="8"/>
  <c r="HW14" i="8"/>
  <c r="HX14" i="8"/>
  <c r="HY14" i="8"/>
  <c r="HZ14" i="8"/>
  <c r="IA14" i="8"/>
  <c r="IB14" i="8"/>
  <c r="IC14" i="8"/>
  <c r="ID14" i="8"/>
  <c r="IE14" i="8"/>
  <c r="IF14" i="8"/>
  <c r="IG14" i="8"/>
  <c r="IH14" i="8"/>
  <c r="II14" i="8"/>
  <c r="IJ14" i="8"/>
  <c r="IK14" i="8"/>
  <c r="IL14" i="8"/>
  <c r="IM14" i="8"/>
  <c r="IN14" i="8"/>
  <c r="IO14" i="8"/>
  <c r="IP14" i="8"/>
  <c r="IQ14" i="8"/>
  <c r="IR14" i="8"/>
  <c r="IS14" i="8"/>
  <c r="IT14" i="8"/>
  <c r="IU14" i="8"/>
  <c r="IV14" i="8"/>
  <c r="F15" i="8"/>
  <c r="G15" i="8"/>
  <c r="H15" i="8"/>
  <c r="I15" i="8"/>
  <c r="J15" i="8"/>
  <c r="K15" i="8"/>
  <c r="L15" i="8"/>
  <c r="M15" i="8"/>
  <c r="N15" i="8"/>
  <c r="O15" i="8"/>
  <c r="P15" i="8"/>
  <c r="Q15" i="8"/>
  <c r="R15" i="8"/>
  <c r="S15" i="8"/>
  <c r="T15" i="8"/>
  <c r="U15" i="8"/>
  <c r="V15" i="8"/>
  <c r="W15" i="8"/>
  <c r="X15" i="8"/>
  <c r="Y15" i="8"/>
  <c r="Z15" i="8"/>
  <c r="AA15" i="8"/>
  <c r="AB15" i="8"/>
  <c r="AC15" i="8"/>
  <c r="AD15" i="8"/>
  <c r="AE15" i="8"/>
  <c r="AF15" i="8"/>
  <c r="AG15" i="8"/>
  <c r="AH15" i="8"/>
  <c r="AI15" i="8"/>
  <c r="AJ15" i="8"/>
  <c r="AK15" i="8"/>
  <c r="AL15" i="8"/>
  <c r="AM15" i="8"/>
  <c r="AN15" i="8"/>
  <c r="AO15" i="8"/>
  <c r="AP15" i="8"/>
  <c r="AQ15" i="8"/>
  <c r="AR15" i="8"/>
  <c r="AS15" i="8"/>
  <c r="AT15" i="8"/>
  <c r="AU15" i="8"/>
  <c r="AV15" i="8"/>
  <c r="AW15" i="8"/>
  <c r="AX15" i="8"/>
  <c r="AY15" i="8"/>
  <c r="AZ15" i="8"/>
  <c r="BA15" i="8"/>
  <c r="BB15" i="8"/>
  <c r="BC15" i="8"/>
  <c r="BD15" i="8"/>
  <c r="BE15" i="8"/>
  <c r="BF15" i="8"/>
  <c r="BG15" i="8"/>
  <c r="BH15" i="8"/>
  <c r="BI15" i="8"/>
  <c r="BJ15" i="8"/>
  <c r="BK15" i="8"/>
  <c r="BL15" i="8"/>
  <c r="BM15" i="8"/>
  <c r="BN15" i="8"/>
  <c r="BO15" i="8"/>
  <c r="BP15" i="8"/>
  <c r="BQ15" i="8"/>
  <c r="BR15" i="8"/>
  <c r="BS15" i="8"/>
  <c r="BT15" i="8"/>
  <c r="BU15" i="8"/>
  <c r="BV15" i="8"/>
  <c r="BW15" i="8"/>
  <c r="BX15" i="8"/>
  <c r="BY15" i="8"/>
  <c r="BZ15" i="8"/>
  <c r="CA15" i="8"/>
  <c r="CB15" i="8"/>
  <c r="CC15" i="8"/>
  <c r="CD15" i="8"/>
  <c r="CE15" i="8"/>
  <c r="CF15" i="8"/>
  <c r="CG15" i="8"/>
  <c r="CH15" i="8"/>
  <c r="CI15" i="8"/>
  <c r="CJ15" i="8"/>
  <c r="CK15" i="8"/>
  <c r="CL15" i="8"/>
  <c r="CM15" i="8"/>
  <c r="CN15" i="8"/>
  <c r="CO15" i="8"/>
  <c r="CP15" i="8"/>
  <c r="CQ15" i="8"/>
  <c r="CR15" i="8"/>
  <c r="CS15" i="8"/>
  <c r="CT15" i="8"/>
  <c r="CU15" i="8"/>
  <c r="CV15" i="8"/>
  <c r="CW15" i="8"/>
  <c r="CX15" i="8"/>
  <c r="CY15" i="8"/>
  <c r="CZ15" i="8"/>
  <c r="DA15" i="8"/>
  <c r="DB15" i="8"/>
  <c r="DC15" i="8"/>
  <c r="DD15" i="8"/>
  <c r="DE15" i="8"/>
  <c r="DF15" i="8"/>
  <c r="DG15" i="8"/>
  <c r="DH15" i="8"/>
  <c r="DI15" i="8"/>
  <c r="DJ15" i="8"/>
  <c r="DK15" i="8"/>
  <c r="DL15" i="8"/>
  <c r="DM15" i="8"/>
  <c r="DN15" i="8"/>
  <c r="DO15" i="8"/>
  <c r="DP15" i="8"/>
  <c r="DQ15" i="8"/>
  <c r="DR15" i="8"/>
  <c r="DS15" i="8"/>
  <c r="DT15" i="8"/>
  <c r="DU15" i="8"/>
  <c r="DV15" i="8"/>
  <c r="DW15" i="8"/>
  <c r="DX15" i="8"/>
  <c r="DY15" i="8"/>
  <c r="DZ15" i="8"/>
  <c r="EA15" i="8"/>
  <c r="EB15" i="8"/>
  <c r="EC15" i="8"/>
  <c r="ED15" i="8"/>
  <c r="EE15" i="8"/>
  <c r="EF15" i="8"/>
  <c r="EG15" i="8"/>
  <c r="EH15" i="8"/>
  <c r="EI15" i="8"/>
  <c r="EJ15" i="8"/>
  <c r="EK15" i="8"/>
  <c r="EL15" i="8"/>
  <c r="EM15" i="8"/>
  <c r="EN15" i="8"/>
  <c r="EO15" i="8"/>
  <c r="EP15" i="8"/>
  <c r="EQ15" i="8"/>
  <c r="ER15" i="8"/>
  <c r="ES15" i="8"/>
  <c r="ET15" i="8"/>
  <c r="EU15" i="8"/>
  <c r="EV15" i="8"/>
  <c r="EW15" i="8"/>
  <c r="EX15" i="8"/>
  <c r="EY15" i="8"/>
  <c r="EZ15" i="8"/>
  <c r="FA15" i="8"/>
  <c r="FB15" i="8"/>
  <c r="FC15" i="8"/>
  <c r="FD15" i="8"/>
  <c r="FE15" i="8"/>
  <c r="FF15" i="8"/>
  <c r="FG15" i="8"/>
  <c r="FH15" i="8"/>
  <c r="FI15" i="8"/>
  <c r="FJ15" i="8"/>
  <c r="FK15" i="8"/>
  <c r="FL15" i="8"/>
  <c r="FM15" i="8"/>
  <c r="FN15" i="8"/>
  <c r="FO15" i="8"/>
  <c r="FP15" i="8"/>
  <c r="FQ15" i="8"/>
  <c r="FR15" i="8"/>
  <c r="FS15" i="8"/>
  <c r="FT15" i="8"/>
  <c r="FU15" i="8"/>
  <c r="FV15" i="8"/>
  <c r="FW15" i="8"/>
  <c r="FX15" i="8"/>
  <c r="FY15" i="8"/>
  <c r="FZ15" i="8"/>
  <c r="GA15" i="8"/>
  <c r="GB15" i="8"/>
  <c r="GC15" i="8"/>
  <c r="GD15" i="8"/>
  <c r="GE15" i="8"/>
  <c r="GF15" i="8"/>
  <c r="GG15" i="8"/>
  <c r="GH15" i="8"/>
  <c r="GI15" i="8"/>
  <c r="GJ15" i="8"/>
  <c r="GK15" i="8"/>
  <c r="GL15" i="8"/>
  <c r="GM15" i="8"/>
  <c r="GN15" i="8"/>
  <c r="GO15" i="8"/>
  <c r="GP15" i="8"/>
  <c r="GQ15" i="8"/>
  <c r="GR15" i="8"/>
  <c r="GS15" i="8"/>
  <c r="GT15" i="8"/>
  <c r="GU15" i="8"/>
  <c r="GV15" i="8"/>
  <c r="GW15" i="8"/>
  <c r="GX15" i="8"/>
  <c r="GY15" i="8"/>
  <c r="GZ15" i="8"/>
  <c r="HA15" i="8"/>
  <c r="HB15" i="8"/>
  <c r="HC15" i="8"/>
  <c r="HD15" i="8"/>
  <c r="HE15" i="8"/>
  <c r="HF15" i="8"/>
  <c r="HG15" i="8"/>
  <c r="HH15" i="8"/>
  <c r="HI15" i="8"/>
  <c r="HJ15" i="8"/>
  <c r="HK15" i="8"/>
  <c r="HL15" i="8"/>
  <c r="HM15" i="8"/>
  <c r="HN15" i="8"/>
  <c r="HO15" i="8"/>
  <c r="HP15" i="8"/>
  <c r="HQ15" i="8"/>
  <c r="HR15" i="8"/>
  <c r="HS15" i="8"/>
  <c r="HT15" i="8"/>
  <c r="HU15" i="8"/>
  <c r="HV15" i="8"/>
  <c r="HW15" i="8"/>
  <c r="HX15" i="8"/>
  <c r="HY15" i="8"/>
  <c r="HZ15" i="8"/>
  <c r="IA15" i="8"/>
  <c r="IB15" i="8"/>
  <c r="IC15" i="8"/>
  <c r="ID15" i="8"/>
  <c r="IE15" i="8"/>
  <c r="IF15" i="8"/>
  <c r="IG15" i="8"/>
  <c r="IH15" i="8"/>
  <c r="II15" i="8"/>
  <c r="IJ15" i="8"/>
  <c r="IK15" i="8"/>
  <c r="IL15" i="8"/>
  <c r="IM15" i="8"/>
  <c r="IN15" i="8"/>
  <c r="IO15" i="8"/>
  <c r="IP15" i="8"/>
  <c r="IQ15" i="8"/>
  <c r="IR15" i="8"/>
  <c r="IS15" i="8"/>
  <c r="IT15" i="8"/>
  <c r="IU15" i="8"/>
  <c r="IV15" i="8"/>
  <c r="F16" i="8"/>
  <c r="G16" i="8"/>
  <c r="H16" i="8"/>
  <c r="I16" i="8"/>
  <c r="J16" i="8"/>
  <c r="K16" i="8"/>
  <c r="L16" i="8"/>
  <c r="M16" i="8"/>
  <c r="N16" i="8"/>
  <c r="O16" i="8"/>
  <c r="P16" i="8"/>
  <c r="Q16" i="8"/>
  <c r="R16" i="8"/>
  <c r="S16" i="8"/>
  <c r="T16" i="8"/>
  <c r="U16" i="8"/>
  <c r="V16" i="8"/>
  <c r="W16" i="8"/>
  <c r="X16" i="8"/>
  <c r="Y16" i="8"/>
  <c r="Z16" i="8"/>
  <c r="AA16" i="8"/>
  <c r="AB16" i="8"/>
  <c r="AC16" i="8"/>
  <c r="AD16" i="8"/>
  <c r="AE16" i="8"/>
  <c r="AF16" i="8"/>
  <c r="AG16" i="8"/>
  <c r="AH16" i="8"/>
  <c r="AI16" i="8"/>
  <c r="AJ16" i="8"/>
  <c r="AK16" i="8"/>
  <c r="AL16" i="8"/>
  <c r="AM16" i="8"/>
  <c r="AN16" i="8"/>
  <c r="AO16" i="8"/>
  <c r="AP16" i="8"/>
  <c r="AQ16" i="8"/>
  <c r="AR16" i="8"/>
  <c r="AS16" i="8"/>
  <c r="AT16" i="8"/>
  <c r="AU16" i="8"/>
  <c r="AV16" i="8"/>
  <c r="AW16" i="8"/>
  <c r="AX16" i="8"/>
  <c r="AY16" i="8"/>
  <c r="AZ16" i="8"/>
  <c r="BA16" i="8"/>
  <c r="BB16" i="8"/>
  <c r="BC16" i="8"/>
  <c r="BD16" i="8"/>
  <c r="BE16" i="8"/>
  <c r="BF16" i="8"/>
  <c r="BG16" i="8"/>
  <c r="BH16" i="8"/>
  <c r="BI16" i="8"/>
  <c r="BJ16" i="8"/>
  <c r="BK16" i="8"/>
  <c r="BL16" i="8"/>
  <c r="BM16" i="8"/>
  <c r="BN16" i="8"/>
  <c r="BO16" i="8"/>
  <c r="BP16" i="8"/>
  <c r="BQ16" i="8"/>
  <c r="BR16" i="8"/>
  <c r="BS16" i="8"/>
  <c r="BT16" i="8"/>
  <c r="BU16" i="8"/>
  <c r="BV16" i="8"/>
  <c r="BW16" i="8"/>
  <c r="BX16" i="8"/>
  <c r="BY16" i="8"/>
  <c r="BZ16" i="8"/>
  <c r="CA16" i="8"/>
  <c r="CB16" i="8"/>
  <c r="CC16" i="8"/>
  <c r="CD16" i="8"/>
  <c r="CE16" i="8"/>
  <c r="CF16" i="8"/>
  <c r="CG16" i="8"/>
  <c r="CH16" i="8"/>
  <c r="CI16" i="8"/>
  <c r="CJ16" i="8"/>
  <c r="CK16" i="8"/>
  <c r="CL16" i="8"/>
  <c r="CM16" i="8"/>
  <c r="CN16" i="8"/>
  <c r="CO16" i="8"/>
  <c r="CP16" i="8"/>
  <c r="CQ16" i="8"/>
  <c r="CR16" i="8"/>
  <c r="CS16" i="8"/>
  <c r="CT16" i="8"/>
  <c r="CU16" i="8"/>
  <c r="CV16" i="8"/>
  <c r="CW16" i="8"/>
  <c r="CX16" i="8"/>
  <c r="CY16" i="8"/>
  <c r="CZ16" i="8"/>
  <c r="DA16" i="8"/>
  <c r="DB16" i="8"/>
  <c r="DC16" i="8"/>
  <c r="DD16" i="8"/>
  <c r="DE16" i="8"/>
  <c r="DF16" i="8"/>
  <c r="DG16" i="8"/>
  <c r="DH16" i="8"/>
  <c r="DI16" i="8"/>
  <c r="DJ16" i="8"/>
  <c r="DK16" i="8"/>
  <c r="DL16" i="8"/>
  <c r="DM16" i="8"/>
  <c r="DN16" i="8"/>
  <c r="DO16" i="8"/>
  <c r="DP16" i="8"/>
  <c r="DQ16" i="8"/>
  <c r="DR16" i="8"/>
  <c r="DS16" i="8"/>
  <c r="DT16" i="8"/>
  <c r="DU16" i="8"/>
  <c r="DV16" i="8"/>
  <c r="DW16" i="8"/>
  <c r="DX16" i="8"/>
  <c r="DY16" i="8"/>
  <c r="DZ16" i="8"/>
  <c r="EA16" i="8"/>
  <c r="EB16" i="8"/>
  <c r="EC16" i="8"/>
  <c r="ED16" i="8"/>
  <c r="EE16" i="8"/>
  <c r="EF16" i="8"/>
  <c r="EG16" i="8"/>
  <c r="EH16" i="8"/>
  <c r="EI16" i="8"/>
  <c r="EJ16" i="8"/>
  <c r="EK16" i="8"/>
  <c r="EL16" i="8"/>
  <c r="EM16" i="8"/>
  <c r="EN16" i="8"/>
  <c r="EO16" i="8"/>
  <c r="EP16" i="8"/>
  <c r="EQ16" i="8"/>
  <c r="ER16" i="8"/>
  <c r="ES16" i="8"/>
  <c r="ET16" i="8"/>
  <c r="EU16" i="8"/>
  <c r="EV16" i="8"/>
  <c r="EW16" i="8"/>
  <c r="EX16" i="8"/>
  <c r="EY16" i="8"/>
  <c r="EZ16" i="8"/>
  <c r="FA16" i="8"/>
  <c r="FB16" i="8"/>
  <c r="FC16" i="8"/>
  <c r="FD16" i="8"/>
  <c r="FE16" i="8"/>
  <c r="FF16" i="8"/>
  <c r="FG16" i="8"/>
  <c r="FH16" i="8"/>
  <c r="FI16" i="8"/>
  <c r="FJ16" i="8"/>
  <c r="FK16" i="8"/>
  <c r="FL16" i="8"/>
  <c r="FM16" i="8"/>
  <c r="FN16" i="8"/>
  <c r="FO16" i="8"/>
  <c r="FP16" i="8"/>
  <c r="FQ16" i="8"/>
  <c r="FR16" i="8"/>
  <c r="FS16" i="8"/>
  <c r="FT16" i="8"/>
  <c r="FU16" i="8"/>
  <c r="FV16" i="8"/>
  <c r="FW16" i="8"/>
  <c r="FX16" i="8"/>
  <c r="FY16" i="8"/>
  <c r="FZ16" i="8"/>
  <c r="GA16" i="8"/>
  <c r="GB16" i="8"/>
  <c r="GC16" i="8"/>
  <c r="GD16" i="8"/>
  <c r="GE16" i="8"/>
  <c r="GF16" i="8"/>
  <c r="GG16" i="8"/>
  <c r="GH16" i="8"/>
  <c r="GI16" i="8"/>
  <c r="GJ16" i="8"/>
  <c r="GK16" i="8"/>
  <c r="GL16" i="8"/>
  <c r="GM16" i="8"/>
  <c r="GN16" i="8"/>
  <c r="GO16" i="8"/>
  <c r="GP16" i="8"/>
  <c r="GQ16" i="8"/>
  <c r="GR16" i="8"/>
  <c r="GS16" i="8"/>
  <c r="GT16" i="8"/>
  <c r="GU16" i="8"/>
  <c r="GV16" i="8"/>
  <c r="GW16" i="8"/>
  <c r="GX16" i="8"/>
  <c r="GY16" i="8"/>
  <c r="GZ16" i="8"/>
  <c r="HA16" i="8"/>
  <c r="HB16" i="8"/>
  <c r="HC16" i="8"/>
  <c r="HD16" i="8"/>
  <c r="HE16" i="8"/>
  <c r="HF16" i="8"/>
  <c r="HG16" i="8"/>
  <c r="HH16" i="8"/>
  <c r="HI16" i="8"/>
  <c r="HJ16" i="8"/>
  <c r="HK16" i="8"/>
  <c r="HL16" i="8"/>
  <c r="HM16" i="8"/>
  <c r="HN16" i="8"/>
  <c r="HO16" i="8"/>
  <c r="HP16" i="8"/>
  <c r="HQ16" i="8"/>
  <c r="HR16" i="8"/>
  <c r="HS16" i="8"/>
  <c r="HT16" i="8"/>
  <c r="HU16" i="8"/>
  <c r="HV16" i="8"/>
  <c r="HW16" i="8"/>
  <c r="HX16" i="8"/>
  <c r="HY16" i="8"/>
  <c r="HZ16" i="8"/>
  <c r="IA16" i="8"/>
  <c r="IB16" i="8"/>
  <c r="IC16" i="8"/>
  <c r="ID16" i="8"/>
  <c r="IE16" i="8"/>
  <c r="IF16" i="8"/>
  <c r="IG16" i="8"/>
  <c r="IH16" i="8"/>
  <c r="II16" i="8"/>
  <c r="IJ16" i="8"/>
  <c r="IK16" i="8"/>
  <c r="IL16" i="8"/>
  <c r="IM16" i="8"/>
  <c r="IN16" i="8"/>
  <c r="IO16" i="8"/>
  <c r="IP16" i="8"/>
  <c r="IQ16" i="8"/>
  <c r="IR16" i="8"/>
  <c r="IS16" i="8"/>
  <c r="IT16" i="8"/>
  <c r="IU16" i="8"/>
  <c r="IV16" i="8"/>
  <c r="F17" i="8"/>
  <c r="G17" i="8"/>
  <c r="H17" i="8"/>
  <c r="I17" i="8"/>
  <c r="J17" i="8"/>
  <c r="K17" i="8"/>
  <c r="L17" i="8"/>
  <c r="M17" i="8"/>
  <c r="N17" i="8"/>
  <c r="O17" i="8"/>
  <c r="P17" i="8"/>
  <c r="Q17" i="8"/>
  <c r="R17" i="8"/>
  <c r="S17" i="8"/>
  <c r="T17" i="8"/>
  <c r="U17" i="8"/>
  <c r="V17" i="8"/>
  <c r="W17" i="8"/>
  <c r="X17" i="8"/>
  <c r="Y17" i="8"/>
  <c r="Z17" i="8"/>
  <c r="AA17" i="8"/>
  <c r="AB17" i="8"/>
  <c r="AC17" i="8"/>
  <c r="AD17" i="8"/>
  <c r="AE17" i="8"/>
  <c r="AF17" i="8"/>
  <c r="AG17" i="8"/>
  <c r="AH17" i="8"/>
  <c r="AI17" i="8"/>
  <c r="AJ17" i="8"/>
  <c r="AK17" i="8"/>
  <c r="AL17" i="8"/>
  <c r="AM17" i="8"/>
  <c r="AN17" i="8"/>
  <c r="AO17" i="8"/>
  <c r="AP17" i="8"/>
  <c r="AQ17" i="8"/>
  <c r="AR17" i="8"/>
  <c r="AS17" i="8"/>
  <c r="AT17" i="8"/>
  <c r="AU17" i="8"/>
  <c r="AV17" i="8"/>
  <c r="AW17" i="8"/>
  <c r="AX17" i="8"/>
  <c r="AY17" i="8"/>
  <c r="AZ17" i="8"/>
  <c r="BA17" i="8"/>
  <c r="BB17" i="8"/>
  <c r="BC17" i="8"/>
  <c r="BD17" i="8"/>
  <c r="BE17" i="8"/>
  <c r="BF17" i="8"/>
  <c r="BG17" i="8"/>
  <c r="BH17" i="8"/>
  <c r="BI17" i="8"/>
  <c r="BJ17" i="8"/>
  <c r="BK17" i="8"/>
  <c r="BL17" i="8"/>
  <c r="BM17" i="8"/>
  <c r="BN17" i="8"/>
  <c r="BO17" i="8"/>
  <c r="BP17" i="8"/>
  <c r="BQ17" i="8"/>
  <c r="BR17" i="8"/>
  <c r="BS17" i="8"/>
  <c r="BT17" i="8"/>
  <c r="BU17" i="8"/>
  <c r="BV17" i="8"/>
  <c r="BW17" i="8"/>
  <c r="BX17" i="8"/>
  <c r="BY17" i="8"/>
  <c r="BZ17" i="8"/>
  <c r="CA17" i="8"/>
  <c r="CB17" i="8"/>
  <c r="CC17" i="8"/>
  <c r="CD17" i="8"/>
  <c r="CE17" i="8"/>
  <c r="CF17" i="8"/>
  <c r="CG17" i="8"/>
  <c r="CH17" i="8"/>
  <c r="CI17" i="8"/>
  <c r="CJ17" i="8"/>
  <c r="CK17" i="8"/>
  <c r="CL17" i="8"/>
  <c r="CM17" i="8"/>
  <c r="CN17" i="8"/>
  <c r="CO17" i="8"/>
  <c r="CP17" i="8"/>
  <c r="CQ17" i="8"/>
  <c r="CR17" i="8"/>
  <c r="CS17" i="8"/>
  <c r="CT17" i="8"/>
  <c r="CU17" i="8"/>
  <c r="CV17" i="8"/>
  <c r="CW17" i="8"/>
  <c r="CX17" i="8"/>
  <c r="CY17" i="8"/>
  <c r="CZ17" i="8"/>
  <c r="DA17" i="8"/>
  <c r="DB17" i="8"/>
  <c r="DC17" i="8"/>
  <c r="DD17" i="8"/>
  <c r="DE17" i="8"/>
  <c r="DF17" i="8"/>
  <c r="DG17" i="8"/>
  <c r="DH17" i="8"/>
  <c r="DI17" i="8"/>
  <c r="DJ17" i="8"/>
  <c r="DK17" i="8"/>
  <c r="DL17" i="8"/>
  <c r="DM17" i="8"/>
  <c r="DN17" i="8"/>
  <c r="DO17" i="8"/>
  <c r="DP17" i="8"/>
  <c r="DQ17" i="8"/>
  <c r="DR17" i="8"/>
  <c r="DS17" i="8"/>
  <c r="DT17" i="8"/>
  <c r="DU17" i="8"/>
  <c r="DV17" i="8"/>
  <c r="DW17" i="8"/>
  <c r="DX17" i="8"/>
  <c r="DY17" i="8"/>
  <c r="DZ17" i="8"/>
  <c r="EA17" i="8"/>
  <c r="EB17" i="8"/>
  <c r="EC17" i="8"/>
  <c r="ED17" i="8"/>
  <c r="EE17" i="8"/>
  <c r="EF17" i="8"/>
  <c r="EG17" i="8"/>
  <c r="EH17" i="8"/>
  <c r="EI17" i="8"/>
  <c r="EJ17" i="8"/>
  <c r="EK17" i="8"/>
  <c r="EL17" i="8"/>
  <c r="EM17" i="8"/>
  <c r="EN17" i="8"/>
  <c r="EO17" i="8"/>
  <c r="EP17" i="8"/>
  <c r="EQ17" i="8"/>
  <c r="ER17" i="8"/>
  <c r="ES17" i="8"/>
  <c r="ET17" i="8"/>
  <c r="EU17" i="8"/>
  <c r="EV17" i="8"/>
  <c r="EW17" i="8"/>
  <c r="EX17" i="8"/>
  <c r="EY17" i="8"/>
  <c r="EZ17" i="8"/>
  <c r="FA17" i="8"/>
  <c r="FB17" i="8"/>
  <c r="FC17" i="8"/>
  <c r="FD17" i="8"/>
  <c r="FE17" i="8"/>
  <c r="FF17" i="8"/>
  <c r="FG17" i="8"/>
  <c r="FH17" i="8"/>
  <c r="FI17" i="8"/>
  <c r="FJ17" i="8"/>
  <c r="FK17" i="8"/>
  <c r="FL17" i="8"/>
  <c r="FM17" i="8"/>
  <c r="FN17" i="8"/>
  <c r="FO17" i="8"/>
  <c r="FP17" i="8"/>
  <c r="FQ17" i="8"/>
  <c r="FR17" i="8"/>
  <c r="FS17" i="8"/>
  <c r="FT17" i="8"/>
  <c r="FU17" i="8"/>
  <c r="FV17" i="8"/>
  <c r="FW17" i="8"/>
  <c r="FX17" i="8"/>
  <c r="FY17" i="8"/>
  <c r="FZ17" i="8"/>
  <c r="GA17" i="8"/>
  <c r="GB17" i="8"/>
  <c r="GC17" i="8"/>
  <c r="GD17" i="8"/>
  <c r="GE17" i="8"/>
  <c r="GF17" i="8"/>
  <c r="GG17" i="8"/>
  <c r="GH17" i="8"/>
  <c r="GI17" i="8"/>
  <c r="GJ17" i="8"/>
  <c r="GK17" i="8"/>
  <c r="GL17" i="8"/>
  <c r="GM17" i="8"/>
  <c r="GN17" i="8"/>
  <c r="GO17" i="8"/>
  <c r="GP17" i="8"/>
  <c r="GQ17" i="8"/>
  <c r="GR17" i="8"/>
  <c r="GS17" i="8"/>
  <c r="GT17" i="8"/>
  <c r="GU17" i="8"/>
  <c r="GV17" i="8"/>
  <c r="GW17" i="8"/>
  <c r="GX17" i="8"/>
  <c r="GY17" i="8"/>
  <c r="GZ17" i="8"/>
  <c r="HA17" i="8"/>
  <c r="HB17" i="8"/>
  <c r="HC17" i="8"/>
  <c r="HD17" i="8"/>
  <c r="HE17" i="8"/>
  <c r="HF17" i="8"/>
  <c r="HG17" i="8"/>
  <c r="HH17" i="8"/>
  <c r="HI17" i="8"/>
  <c r="HJ17" i="8"/>
  <c r="HK17" i="8"/>
  <c r="HL17" i="8"/>
  <c r="HM17" i="8"/>
  <c r="HN17" i="8"/>
  <c r="HO17" i="8"/>
  <c r="HP17" i="8"/>
  <c r="HQ17" i="8"/>
  <c r="HR17" i="8"/>
  <c r="HS17" i="8"/>
  <c r="HT17" i="8"/>
  <c r="HU17" i="8"/>
  <c r="HV17" i="8"/>
  <c r="HW17" i="8"/>
  <c r="HX17" i="8"/>
  <c r="HY17" i="8"/>
  <c r="HZ17" i="8"/>
  <c r="IA17" i="8"/>
  <c r="IB17" i="8"/>
  <c r="IC17" i="8"/>
  <c r="ID17" i="8"/>
  <c r="IE17" i="8"/>
  <c r="IF17" i="8"/>
  <c r="IG17" i="8"/>
  <c r="IH17" i="8"/>
  <c r="II17" i="8"/>
  <c r="IJ17" i="8"/>
  <c r="IK17" i="8"/>
  <c r="IL17" i="8"/>
  <c r="IM17" i="8"/>
  <c r="IN17" i="8"/>
  <c r="IO17" i="8"/>
  <c r="IP17" i="8"/>
  <c r="IQ17" i="8"/>
  <c r="IR17" i="8"/>
  <c r="IS17" i="8"/>
  <c r="IT17" i="8"/>
  <c r="IU17" i="8"/>
  <c r="IV17" i="8"/>
  <c r="F18" i="8"/>
  <c r="G18" i="8"/>
  <c r="H18" i="8"/>
  <c r="I18" i="8"/>
  <c r="J18" i="8"/>
  <c r="K18" i="8"/>
  <c r="L18" i="8"/>
  <c r="M18" i="8"/>
  <c r="N18" i="8"/>
  <c r="O18" i="8"/>
  <c r="P18" i="8"/>
  <c r="Q18" i="8"/>
  <c r="R18" i="8"/>
  <c r="S18" i="8"/>
  <c r="T18" i="8"/>
  <c r="U18" i="8"/>
  <c r="V18" i="8"/>
  <c r="W18" i="8"/>
  <c r="X18" i="8"/>
  <c r="Y18" i="8"/>
  <c r="Z18" i="8"/>
  <c r="AA18" i="8"/>
  <c r="AB18" i="8"/>
  <c r="AC18" i="8"/>
  <c r="AD18" i="8"/>
  <c r="AE18" i="8"/>
  <c r="AF18" i="8"/>
  <c r="AG18" i="8"/>
  <c r="AH18" i="8"/>
  <c r="AI18" i="8"/>
  <c r="AJ18" i="8"/>
  <c r="AK18" i="8"/>
  <c r="AL18" i="8"/>
  <c r="AM18" i="8"/>
  <c r="AN18" i="8"/>
  <c r="AO18" i="8"/>
  <c r="AP18" i="8"/>
  <c r="AQ18" i="8"/>
  <c r="AR18" i="8"/>
  <c r="AS18" i="8"/>
  <c r="AT18" i="8"/>
  <c r="AU18" i="8"/>
  <c r="AV18" i="8"/>
  <c r="AW18" i="8"/>
  <c r="AX18" i="8"/>
  <c r="AY18" i="8"/>
  <c r="AZ18" i="8"/>
  <c r="BA18" i="8"/>
  <c r="BB18" i="8"/>
  <c r="BC18" i="8"/>
  <c r="BD18" i="8"/>
  <c r="BE18" i="8"/>
  <c r="BF18" i="8"/>
  <c r="BG18" i="8"/>
  <c r="BH18" i="8"/>
  <c r="BI18" i="8"/>
  <c r="BJ18" i="8"/>
  <c r="BK18" i="8"/>
  <c r="BL18" i="8"/>
  <c r="BM18" i="8"/>
  <c r="BN18" i="8"/>
  <c r="BO18" i="8"/>
  <c r="BP18" i="8"/>
  <c r="BQ18" i="8"/>
  <c r="BR18" i="8"/>
  <c r="BS18" i="8"/>
  <c r="BT18" i="8"/>
  <c r="BU18" i="8"/>
  <c r="BV18" i="8"/>
  <c r="BW18" i="8"/>
  <c r="BX18" i="8"/>
  <c r="BY18" i="8"/>
  <c r="BZ18" i="8"/>
  <c r="CA18" i="8"/>
  <c r="CB18" i="8"/>
  <c r="CC18" i="8"/>
  <c r="CD18" i="8"/>
  <c r="CE18" i="8"/>
  <c r="CF18" i="8"/>
  <c r="CG18" i="8"/>
  <c r="CH18" i="8"/>
  <c r="CI18" i="8"/>
  <c r="CJ18" i="8"/>
  <c r="CK18" i="8"/>
  <c r="CL18" i="8"/>
  <c r="CM18" i="8"/>
  <c r="CN18" i="8"/>
  <c r="CO18" i="8"/>
  <c r="CP18" i="8"/>
  <c r="CQ18" i="8"/>
  <c r="CR18" i="8"/>
  <c r="CS18" i="8"/>
  <c r="CT18" i="8"/>
  <c r="CU18" i="8"/>
  <c r="CV18" i="8"/>
  <c r="CW18" i="8"/>
  <c r="CX18" i="8"/>
  <c r="CY18" i="8"/>
  <c r="CZ18" i="8"/>
  <c r="DA18" i="8"/>
  <c r="DB18" i="8"/>
  <c r="DC18" i="8"/>
  <c r="DD18" i="8"/>
  <c r="DE18" i="8"/>
  <c r="DF18" i="8"/>
  <c r="DG18" i="8"/>
  <c r="DH18" i="8"/>
  <c r="DI18" i="8"/>
  <c r="DJ18" i="8"/>
  <c r="DK18" i="8"/>
  <c r="DL18" i="8"/>
  <c r="DM18" i="8"/>
  <c r="DN18" i="8"/>
  <c r="DO18" i="8"/>
  <c r="DP18" i="8"/>
  <c r="DQ18" i="8"/>
  <c r="DR18" i="8"/>
  <c r="DS18" i="8"/>
  <c r="DT18" i="8"/>
  <c r="DU18" i="8"/>
  <c r="DV18" i="8"/>
  <c r="DW18" i="8"/>
  <c r="DX18" i="8"/>
  <c r="DY18" i="8"/>
  <c r="DZ18" i="8"/>
  <c r="EA18" i="8"/>
  <c r="EB18" i="8"/>
  <c r="EC18" i="8"/>
  <c r="ED18" i="8"/>
  <c r="EE18" i="8"/>
  <c r="EF18" i="8"/>
  <c r="EG18" i="8"/>
  <c r="EH18" i="8"/>
  <c r="EI18" i="8"/>
  <c r="EJ18" i="8"/>
  <c r="EK18" i="8"/>
  <c r="EL18" i="8"/>
  <c r="EM18" i="8"/>
  <c r="EN18" i="8"/>
  <c r="EO18" i="8"/>
  <c r="EP18" i="8"/>
  <c r="EQ18" i="8"/>
  <c r="ER18" i="8"/>
  <c r="ES18" i="8"/>
  <c r="ET18" i="8"/>
  <c r="EU18" i="8"/>
  <c r="EV18" i="8"/>
  <c r="EW18" i="8"/>
  <c r="EX18" i="8"/>
  <c r="EY18" i="8"/>
  <c r="EZ18" i="8"/>
  <c r="FA18" i="8"/>
  <c r="FB18" i="8"/>
  <c r="FC18" i="8"/>
  <c r="FD18" i="8"/>
  <c r="FE18" i="8"/>
  <c r="FF18" i="8"/>
  <c r="FG18" i="8"/>
  <c r="FH18" i="8"/>
  <c r="FI18" i="8"/>
  <c r="FJ18" i="8"/>
  <c r="FK18" i="8"/>
  <c r="FL18" i="8"/>
  <c r="FM18" i="8"/>
  <c r="FN18" i="8"/>
  <c r="FO18" i="8"/>
  <c r="FP18" i="8"/>
  <c r="FQ18" i="8"/>
  <c r="FR18" i="8"/>
  <c r="FS18" i="8"/>
  <c r="FT18" i="8"/>
  <c r="FU18" i="8"/>
  <c r="FV18" i="8"/>
  <c r="FW18" i="8"/>
  <c r="FX18" i="8"/>
  <c r="FY18" i="8"/>
  <c r="FZ18" i="8"/>
  <c r="GA18" i="8"/>
  <c r="GB18" i="8"/>
  <c r="GC18" i="8"/>
  <c r="GD18" i="8"/>
  <c r="GE18" i="8"/>
  <c r="GF18" i="8"/>
  <c r="GG18" i="8"/>
  <c r="GH18" i="8"/>
  <c r="GI18" i="8"/>
  <c r="GJ18" i="8"/>
  <c r="GK18" i="8"/>
  <c r="GL18" i="8"/>
  <c r="GM18" i="8"/>
  <c r="GN18" i="8"/>
  <c r="GO18" i="8"/>
  <c r="GP18" i="8"/>
  <c r="GQ18" i="8"/>
  <c r="GR18" i="8"/>
  <c r="GS18" i="8"/>
  <c r="GT18" i="8"/>
  <c r="GU18" i="8"/>
  <c r="GV18" i="8"/>
  <c r="GW18" i="8"/>
  <c r="GX18" i="8"/>
  <c r="GY18" i="8"/>
  <c r="GZ18" i="8"/>
  <c r="HA18" i="8"/>
  <c r="HB18" i="8"/>
  <c r="HC18" i="8"/>
  <c r="HD18" i="8"/>
  <c r="HE18" i="8"/>
  <c r="HF18" i="8"/>
  <c r="HG18" i="8"/>
  <c r="HH18" i="8"/>
  <c r="HI18" i="8"/>
  <c r="HJ18" i="8"/>
  <c r="HK18" i="8"/>
  <c r="HL18" i="8"/>
  <c r="HM18" i="8"/>
  <c r="HN18" i="8"/>
  <c r="HO18" i="8"/>
  <c r="HP18" i="8"/>
  <c r="HQ18" i="8"/>
  <c r="HR18" i="8"/>
  <c r="HS18" i="8"/>
  <c r="HT18" i="8"/>
  <c r="HU18" i="8"/>
  <c r="HV18" i="8"/>
  <c r="HW18" i="8"/>
  <c r="HX18" i="8"/>
  <c r="HY18" i="8"/>
  <c r="HZ18" i="8"/>
  <c r="IA18" i="8"/>
  <c r="IB18" i="8"/>
  <c r="IC18" i="8"/>
  <c r="ID18" i="8"/>
  <c r="IE18" i="8"/>
  <c r="IF18" i="8"/>
  <c r="IG18" i="8"/>
  <c r="IH18" i="8"/>
  <c r="II18" i="8"/>
  <c r="IJ18" i="8"/>
  <c r="IK18" i="8"/>
  <c r="IL18" i="8"/>
  <c r="IM18" i="8"/>
  <c r="IN18" i="8"/>
  <c r="IO18" i="8"/>
  <c r="IP18" i="8"/>
  <c r="IQ18" i="8"/>
  <c r="IR18" i="8"/>
  <c r="IS18" i="8"/>
  <c r="IT18" i="8"/>
  <c r="IU18" i="8"/>
  <c r="IV18" i="8"/>
  <c r="F19" i="8"/>
  <c r="G19" i="8"/>
  <c r="H19" i="8"/>
  <c r="I19" i="8"/>
  <c r="J19" i="8"/>
  <c r="K19" i="8"/>
  <c r="L19" i="8"/>
  <c r="M19" i="8"/>
  <c r="N19" i="8"/>
  <c r="O19" i="8"/>
  <c r="P19" i="8"/>
  <c r="Q19" i="8"/>
  <c r="R19" i="8"/>
  <c r="S19" i="8"/>
  <c r="T19" i="8"/>
  <c r="U19" i="8"/>
  <c r="V19" i="8"/>
  <c r="W19" i="8"/>
  <c r="X19" i="8"/>
  <c r="Y19" i="8"/>
  <c r="Z19" i="8"/>
  <c r="AA19" i="8"/>
  <c r="AB19" i="8"/>
  <c r="AC19" i="8"/>
  <c r="AD19" i="8"/>
  <c r="AE19" i="8"/>
  <c r="AF19" i="8"/>
  <c r="AG19" i="8"/>
  <c r="AH19" i="8"/>
  <c r="AI19" i="8"/>
  <c r="AJ19" i="8"/>
  <c r="AK19" i="8"/>
  <c r="AL19" i="8"/>
  <c r="AM19" i="8"/>
  <c r="AN19" i="8"/>
  <c r="AO19" i="8"/>
  <c r="AP19" i="8"/>
  <c r="AQ19" i="8"/>
  <c r="AR19" i="8"/>
  <c r="AS19" i="8"/>
  <c r="AT19" i="8"/>
  <c r="AU19" i="8"/>
  <c r="AV19" i="8"/>
  <c r="AW19" i="8"/>
  <c r="AX19" i="8"/>
  <c r="AY19" i="8"/>
  <c r="AZ19" i="8"/>
  <c r="BA19" i="8"/>
  <c r="BB19" i="8"/>
  <c r="BC19" i="8"/>
  <c r="BD19" i="8"/>
  <c r="BE19" i="8"/>
  <c r="BF19" i="8"/>
  <c r="BG19" i="8"/>
  <c r="BH19" i="8"/>
  <c r="BI19" i="8"/>
  <c r="BJ19" i="8"/>
  <c r="BK19" i="8"/>
  <c r="BL19" i="8"/>
  <c r="BM19" i="8"/>
  <c r="BN19" i="8"/>
  <c r="BO19" i="8"/>
  <c r="BP19" i="8"/>
  <c r="BQ19" i="8"/>
  <c r="BR19" i="8"/>
  <c r="BS19" i="8"/>
  <c r="BT19" i="8"/>
  <c r="BU19" i="8"/>
  <c r="BV19" i="8"/>
  <c r="BW19" i="8"/>
  <c r="BX19" i="8"/>
  <c r="BY19" i="8"/>
  <c r="BZ19" i="8"/>
  <c r="CA19" i="8"/>
  <c r="CB19" i="8"/>
  <c r="CC19" i="8"/>
  <c r="CD19" i="8"/>
  <c r="CE19" i="8"/>
  <c r="CF19" i="8"/>
  <c r="CG19" i="8"/>
  <c r="CH19" i="8"/>
  <c r="CI19" i="8"/>
  <c r="CJ19" i="8"/>
  <c r="CK19" i="8"/>
  <c r="CL19" i="8"/>
  <c r="CM19" i="8"/>
  <c r="CN19" i="8"/>
  <c r="CO19" i="8"/>
  <c r="CP19" i="8"/>
  <c r="CQ19" i="8"/>
  <c r="CR19" i="8"/>
  <c r="CS19" i="8"/>
  <c r="CT19" i="8"/>
  <c r="CU19" i="8"/>
  <c r="CV19" i="8"/>
  <c r="CW19" i="8"/>
  <c r="CX19" i="8"/>
  <c r="CY19" i="8"/>
  <c r="CZ19" i="8"/>
  <c r="DA19" i="8"/>
  <c r="DB19" i="8"/>
  <c r="DC19" i="8"/>
  <c r="DD19" i="8"/>
  <c r="DE19" i="8"/>
  <c r="DF19" i="8"/>
  <c r="DG19" i="8"/>
  <c r="DH19" i="8"/>
  <c r="DI19" i="8"/>
  <c r="DJ19" i="8"/>
  <c r="DK19" i="8"/>
  <c r="DL19" i="8"/>
  <c r="DM19" i="8"/>
  <c r="DN19" i="8"/>
  <c r="DO19" i="8"/>
  <c r="DP19" i="8"/>
  <c r="DQ19" i="8"/>
  <c r="DR19" i="8"/>
  <c r="DS19" i="8"/>
  <c r="DT19" i="8"/>
  <c r="DU19" i="8"/>
  <c r="DV19" i="8"/>
  <c r="DW19" i="8"/>
  <c r="DX19" i="8"/>
  <c r="DY19" i="8"/>
  <c r="DZ19" i="8"/>
  <c r="EA19" i="8"/>
  <c r="EB19" i="8"/>
  <c r="EC19" i="8"/>
  <c r="ED19" i="8"/>
  <c r="EE19" i="8"/>
  <c r="EF19" i="8"/>
  <c r="EG19" i="8"/>
  <c r="EH19" i="8"/>
  <c r="EI19" i="8"/>
  <c r="EJ19" i="8"/>
  <c r="EK19" i="8"/>
  <c r="EL19" i="8"/>
  <c r="EM19" i="8"/>
  <c r="EN19" i="8"/>
  <c r="EO19" i="8"/>
  <c r="EP19" i="8"/>
  <c r="EQ19" i="8"/>
  <c r="ER19" i="8"/>
  <c r="ES19" i="8"/>
  <c r="ET19" i="8"/>
  <c r="EU19" i="8"/>
  <c r="EV19" i="8"/>
  <c r="EW19" i="8"/>
  <c r="EX19" i="8"/>
  <c r="EY19" i="8"/>
  <c r="EZ19" i="8"/>
  <c r="FA19" i="8"/>
  <c r="FB19" i="8"/>
  <c r="FC19" i="8"/>
  <c r="FD19" i="8"/>
  <c r="FE19" i="8"/>
  <c r="FF19" i="8"/>
  <c r="FG19" i="8"/>
  <c r="FH19" i="8"/>
  <c r="FI19" i="8"/>
  <c r="FJ19" i="8"/>
  <c r="FK19" i="8"/>
  <c r="FL19" i="8"/>
  <c r="FM19" i="8"/>
  <c r="FN19" i="8"/>
  <c r="FO19" i="8"/>
  <c r="FP19" i="8"/>
  <c r="FQ19" i="8"/>
  <c r="FR19" i="8"/>
  <c r="FS19" i="8"/>
  <c r="FT19" i="8"/>
  <c r="FU19" i="8"/>
  <c r="FV19" i="8"/>
  <c r="FW19" i="8"/>
  <c r="FX19" i="8"/>
  <c r="FY19" i="8"/>
  <c r="FZ19" i="8"/>
  <c r="GA19" i="8"/>
  <c r="GB19" i="8"/>
  <c r="GC19" i="8"/>
  <c r="GD19" i="8"/>
  <c r="GE19" i="8"/>
  <c r="GF19" i="8"/>
  <c r="GG19" i="8"/>
  <c r="GH19" i="8"/>
  <c r="GI19" i="8"/>
  <c r="GJ19" i="8"/>
  <c r="GK19" i="8"/>
  <c r="GL19" i="8"/>
  <c r="GM19" i="8"/>
  <c r="GN19" i="8"/>
  <c r="GO19" i="8"/>
  <c r="GP19" i="8"/>
  <c r="GQ19" i="8"/>
  <c r="GR19" i="8"/>
  <c r="GS19" i="8"/>
  <c r="GT19" i="8"/>
  <c r="GU19" i="8"/>
  <c r="GV19" i="8"/>
  <c r="GW19" i="8"/>
  <c r="GX19" i="8"/>
  <c r="GY19" i="8"/>
  <c r="GZ19" i="8"/>
  <c r="HA19" i="8"/>
  <c r="HB19" i="8"/>
  <c r="HC19" i="8"/>
  <c r="HD19" i="8"/>
  <c r="HE19" i="8"/>
  <c r="HF19" i="8"/>
  <c r="HG19" i="8"/>
  <c r="HH19" i="8"/>
  <c r="HI19" i="8"/>
  <c r="HJ19" i="8"/>
  <c r="HK19" i="8"/>
  <c r="HL19" i="8"/>
  <c r="HM19" i="8"/>
  <c r="HN19" i="8"/>
  <c r="HO19" i="8"/>
  <c r="HP19" i="8"/>
  <c r="HQ19" i="8"/>
  <c r="HR19" i="8"/>
  <c r="HS19" i="8"/>
  <c r="HT19" i="8"/>
  <c r="HU19" i="8"/>
  <c r="HV19" i="8"/>
  <c r="HW19" i="8"/>
  <c r="HX19" i="8"/>
  <c r="HY19" i="8"/>
  <c r="HZ19" i="8"/>
  <c r="IA19" i="8"/>
  <c r="IB19" i="8"/>
  <c r="IC19" i="8"/>
  <c r="ID19" i="8"/>
  <c r="IE19" i="8"/>
  <c r="IF19" i="8"/>
  <c r="IG19" i="8"/>
  <c r="IH19" i="8"/>
  <c r="II19" i="8"/>
  <c r="IJ19" i="8"/>
  <c r="IK19" i="8"/>
  <c r="IL19" i="8"/>
  <c r="IM19" i="8"/>
  <c r="IN19" i="8"/>
  <c r="IO19" i="8"/>
  <c r="IP19" i="8"/>
  <c r="IQ19" i="8"/>
  <c r="IR19" i="8"/>
  <c r="IS19" i="8"/>
  <c r="IT19" i="8"/>
  <c r="IU19" i="8"/>
  <c r="IV19" i="8"/>
  <c r="F20" i="8"/>
  <c r="G20" i="8"/>
  <c r="H20" i="8"/>
  <c r="I20" i="8"/>
  <c r="J20" i="8"/>
  <c r="K20" i="8"/>
  <c r="L20" i="8"/>
  <c r="M20" i="8"/>
  <c r="N20" i="8"/>
  <c r="O20" i="8"/>
  <c r="P20" i="8"/>
  <c r="Q20" i="8"/>
  <c r="R20" i="8"/>
  <c r="S20" i="8"/>
  <c r="T20" i="8"/>
  <c r="U20" i="8"/>
  <c r="V20" i="8"/>
  <c r="W20" i="8"/>
  <c r="X20" i="8"/>
  <c r="Y20" i="8"/>
  <c r="Z20" i="8"/>
  <c r="AA20" i="8"/>
  <c r="AB20" i="8"/>
  <c r="AC20" i="8"/>
  <c r="AD20" i="8"/>
  <c r="AE20" i="8"/>
  <c r="AF20" i="8"/>
  <c r="AG20" i="8"/>
  <c r="AH20" i="8"/>
  <c r="AI20" i="8"/>
  <c r="AJ20" i="8"/>
  <c r="AK20" i="8"/>
  <c r="AL20" i="8"/>
  <c r="AM20" i="8"/>
  <c r="AN20" i="8"/>
  <c r="AO20" i="8"/>
  <c r="AP20" i="8"/>
  <c r="AQ20" i="8"/>
  <c r="AR20" i="8"/>
  <c r="AS20" i="8"/>
  <c r="AT20" i="8"/>
  <c r="AU20" i="8"/>
  <c r="AV20" i="8"/>
  <c r="AW20" i="8"/>
  <c r="AX20" i="8"/>
  <c r="AY20" i="8"/>
  <c r="AZ20" i="8"/>
  <c r="BA20" i="8"/>
  <c r="BB20" i="8"/>
  <c r="BC20" i="8"/>
  <c r="BD20" i="8"/>
  <c r="BE20" i="8"/>
  <c r="BF20" i="8"/>
  <c r="BG20" i="8"/>
  <c r="BH20" i="8"/>
  <c r="BI20" i="8"/>
  <c r="BJ20" i="8"/>
  <c r="BK20" i="8"/>
  <c r="BL20" i="8"/>
  <c r="BM20" i="8"/>
  <c r="BN20" i="8"/>
  <c r="BO20" i="8"/>
  <c r="BP20" i="8"/>
  <c r="BQ20" i="8"/>
  <c r="BR20" i="8"/>
  <c r="BS20" i="8"/>
  <c r="BT20" i="8"/>
  <c r="BU20" i="8"/>
  <c r="BV20" i="8"/>
  <c r="BW20" i="8"/>
  <c r="BX20" i="8"/>
  <c r="BY20" i="8"/>
  <c r="BZ20" i="8"/>
  <c r="CA20" i="8"/>
  <c r="CB20" i="8"/>
  <c r="CC20" i="8"/>
  <c r="CD20" i="8"/>
  <c r="CE20" i="8"/>
  <c r="CF20" i="8"/>
  <c r="CG20" i="8"/>
  <c r="CH20" i="8"/>
  <c r="CI20" i="8"/>
  <c r="CJ20" i="8"/>
  <c r="CK20" i="8"/>
  <c r="CL20" i="8"/>
  <c r="CM20" i="8"/>
  <c r="CN20" i="8"/>
  <c r="CO20" i="8"/>
  <c r="CP20" i="8"/>
  <c r="CQ20" i="8"/>
  <c r="CR20" i="8"/>
  <c r="CS20" i="8"/>
  <c r="CT20" i="8"/>
  <c r="CU20" i="8"/>
  <c r="CV20" i="8"/>
  <c r="CW20" i="8"/>
  <c r="CX20" i="8"/>
  <c r="CY20" i="8"/>
  <c r="CZ20" i="8"/>
  <c r="DA20" i="8"/>
  <c r="DB20" i="8"/>
  <c r="DC20" i="8"/>
  <c r="DD20" i="8"/>
  <c r="DE20" i="8"/>
  <c r="DF20" i="8"/>
  <c r="DG20" i="8"/>
  <c r="DH20" i="8"/>
  <c r="DI20" i="8"/>
  <c r="DJ20" i="8"/>
  <c r="DK20" i="8"/>
  <c r="DL20" i="8"/>
  <c r="DM20" i="8"/>
  <c r="DN20" i="8"/>
  <c r="DO20" i="8"/>
  <c r="DP20" i="8"/>
  <c r="DQ20" i="8"/>
  <c r="DR20" i="8"/>
  <c r="DS20" i="8"/>
  <c r="DT20" i="8"/>
  <c r="DU20" i="8"/>
  <c r="DV20" i="8"/>
  <c r="DW20" i="8"/>
  <c r="DX20" i="8"/>
  <c r="DY20" i="8"/>
  <c r="DZ20" i="8"/>
  <c r="EA20" i="8"/>
  <c r="EB20" i="8"/>
  <c r="EC20" i="8"/>
  <c r="ED20" i="8"/>
  <c r="EE20" i="8"/>
  <c r="EF20" i="8"/>
  <c r="EG20" i="8"/>
  <c r="EH20" i="8"/>
  <c r="EI20" i="8"/>
  <c r="EJ20" i="8"/>
  <c r="EK20" i="8"/>
  <c r="EL20" i="8"/>
  <c r="EM20" i="8"/>
  <c r="EN20" i="8"/>
  <c r="EO20" i="8"/>
  <c r="EP20" i="8"/>
  <c r="EQ20" i="8"/>
  <c r="ER20" i="8"/>
  <c r="ES20" i="8"/>
  <c r="ET20" i="8"/>
  <c r="EU20" i="8"/>
  <c r="EV20" i="8"/>
  <c r="EW20" i="8"/>
  <c r="EX20" i="8"/>
  <c r="EY20" i="8"/>
  <c r="EZ20" i="8"/>
  <c r="FA20" i="8"/>
  <c r="FB20" i="8"/>
  <c r="FC20" i="8"/>
  <c r="FD20" i="8"/>
  <c r="FE20" i="8"/>
  <c r="FF20" i="8"/>
  <c r="FG20" i="8"/>
  <c r="FH20" i="8"/>
  <c r="FI20" i="8"/>
  <c r="FJ20" i="8"/>
  <c r="FK20" i="8"/>
  <c r="FL20" i="8"/>
  <c r="FM20" i="8"/>
  <c r="FN20" i="8"/>
  <c r="FO20" i="8"/>
  <c r="FP20" i="8"/>
  <c r="FQ20" i="8"/>
  <c r="FR20" i="8"/>
  <c r="FS20" i="8"/>
  <c r="FT20" i="8"/>
  <c r="FU20" i="8"/>
  <c r="FV20" i="8"/>
  <c r="FW20" i="8"/>
  <c r="FX20" i="8"/>
  <c r="FY20" i="8"/>
  <c r="FZ20" i="8"/>
  <c r="GA20" i="8"/>
  <c r="GB20" i="8"/>
  <c r="GC20" i="8"/>
  <c r="GD20" i="8"/>
  <c r="GE20" i="8"/>
  <c r="GF20" i="8"/>
  <c r="GG20" i="8"/>
  <c r="GH20" i="8"/>
  <c r="GI20" i="8"/>
  <c r="GJ20" i="8"/>
  <c r="GK20" i="8"/>
  <c r="GL20" i="8"/>
  <c r="GM20" i="8"/>
  <c r="GN20" i="8"/>
  <c r="GO20" i="8"/>
  <c r="GP20" i="8"/>
  <c r="GQ20" i="8"/>
  <c r="GR20" i="8"/>
  <c r="GS20" i="8"/>
  <c r="GT20" i="8"/>
  <c r="GU20" i="8"/>
  <c r="GV20" i="8"/>
  <c r="GW20" i="8"/>
  <c r="GX20" i="8"/>
  <c r="GY20" i="8"/>
  <c r="GZ20" i="8"/>
  <c r="HA20" i="8"/>
  <c r="HB20" i="8"/>
  <c r="HC20" i="8"/>
  <c r="HD20" i="8"/>
  <c r="HE20" i="8"/>
  <c r="HF20" i="8"/>
  <c r="HG20" i="8"/>
  <c r="HH20" i="8"/>
  <c r="HI20" i="8"/>
  <c r="HJ20" i="8"/>
  <c r="HK20" i="8"/>
  <c r="HL20" i="8"/>
  <c r="HM20" i="8"/>
  <c r="HN20" i="8"/>
  <c r="HO20" i="8"/>
  <c r="HP20" i="8"/>
  <c r="HQ20" i="8"/>
  <c r="HR20" i="8"/>
  <c r="HS20" i="8"/>
  <c r="HT20" i="8"/>
  <c r="HU20" i="8"/>
  <c r="HV20" i="8"/>
  <c r="HW20" i="8"/>
  <c r="HX20" i="8"/>
  <c r="HY20" i="8"/>
  <c r="HZ20" i="8"/>
  <c r="IA20" i="8"/>
  <c r="IB20" i="8"/>
  <c r="IC20" i="8"/>
  <c r="ID20" i="8"/>
  <c r="IE20" i="8"/>
  <c r="IF20" i="8"/>
  <c r="IG20" i="8"/>
  <c r="IH20" i="8"/>
  <c r="II20" i="8"/>
  <c r="IJ20" i="8"/>
  <c r="IK20" i="8"/>
  <c r="IL20" i="8"/>
  <c r="IM20" i="8"/>
  <c r="IN20" i="8"/>
  <c r="IO20" i="8"/>
  <c r="IP20" i="8"/>
  <c r="IQ20" i="8"/>
  <c r="IR20" i="8"/>
  <c r="IS20" i="8"/>
  <c r="IT20" i="8"/>
  <c r="IU20" i="8"/>
  <c r="IV20" i="8"/>
  <c r="F21" i="8"/>
  <c r="G21" i="8"/>
  <c r="H21" i="8"/>
  <c r="I21" i="8"/>
  <c r="J21" i="8"/>
  <c r="K21" i="8"/>
  <c r="L21" i="8"/>
  <c r="M21" i="8"/>
  <c r="N21" i="8"/>
  <c r="O21" i="8"/>
  <c r="P21" i="8"/>
  <c r="Q21" i="8"/>
  <c r="R21" i="8"/>
  <c r="S21" i="8"/>
  <c r="T21" i="8"/>
  <c r="U21" i="8"/>
  <c r="V21" i="8"/>
  <c r="W21" i="8"/>
  <c r="X21" i="8"/>
  <c r="Y21" i="8"/>
  <c r="Z21" i="8"/>
  <c r="AA21" i="8"/>
  <c r="AB21" i="8"/>
  <c r="AC21" i="8"/>
  <c r="AD21" i="8"/>
  <c r="AE21" i="8"/>
  <c r="AF21" i="8"/>
  <c r="AG21" i="8"/>
  <c r="AH21" i="8"/>
  <c r="AI21" i="8"/>
  <c r="AJ21" i="8"/>
  <c r="AK21" i="8"/>
  <c r="AL21" i="8"/>
  <c r="AM21" i="8"/>
  <c r="AN21" i="8"/>
  <c r="AO21" i="8"/>
  <c r="AP21" i="8"/>
  <c r="AQ21" i="8"/>
  <c r="AR21" i="8"/>
  <c r="AS21" i="8"/>
  <c r="AT21" i="8"/>
  <c r="AU21" i="8"/>
  <c r="AV21" i="8"/>
  <c r="AW21" i="8"/>
  <c r="AX21" i="8"/>
  <c r="AY21" i="8"/>
  <c r="AZ21" i="8"/>
  <c r="BA21" i="8"/>
  <c r="BB21" i="8"/>
  <c r="BC21" i="8"/>
  <c r="BD21" i="8"/>
  <c r="BE21" i="8"/>
  <c r="BF21" i="8"/>
  <c r="BG21" i="8"/>
  <c r="BH21" i="8"/>
  <c r="BI21" i="8"/>
  <c r="BJ21" i="8"/>
  <c r="BK21" i="8"/>
  <c r="BL21" i="8"/>
  <c r="BM21" i="8"/>
  <c r="BN21" i="8"/>
  <c r="BO21" i="8"/>
  <c r="BP21" i="8"/>
  <c r="BQ21" i="8"/>
  <c r="BR21" i="8"/>
  <c r="BS21" i="8"/>
  <c r="BT21" i="8"/>
  <c r="BU21" i="8"/>
  <c r="BV21" i="8"/>
  <c r="BW21" i="8"/>
  <c r="BX21" i="8"/>
  <c r="BY21" i="8"/>
  <c r="BZ21" i="8"/>
  <c r="CA21" i="8"/>
  <c r="CB21" i="8"/>
  <c r="CC21" i="8"/>
  <c r="CD21" i="8"/>
  <c r="CE21" i="8"/>
  <c r="CF21" i="8"/>
  <c r="CG21" i="8"/>
  <c r="CH21" i="8"/>
  <c r="CI21" i="8"/>
  <c r="CJ21" i="8"/>
  <c r="CK21" i="8"/>
  <c r="CL21" i="8"/>
  <c r="CM21" i="8"/>
  <c r="CN21" i="8"/>
  <c r="CO21" i="8"/>
  <c r="CP21" i="8"/>
  <c r="CQ21" i="8"/>
  <c r="CR21" i="8"/>
  <c r="CS21" i="8"/>
  <c r="CT21" i="8"/>
  <c r="CU21" i="8"/>
  <c r="CV21" i="8"/>
  <c r="CW21" i="8"/>
  <c r="CX21" i="8"/>
  <c r="CY21" i="8"/>
  <c r="CZ21" i="8"/>
  <c r="DA21" i="8"/>
  <c r="DB21" i="8"/>
  <c r="DC21" i="8"/>
  <c r="DD21" i="8"/>
  <c r="DE21" i="8"/>
  <c r="DF21" i="8"/>
  <c r="DG21" i="8"/>
  <c r="DH21" i="8"/>
  <c r="DI21" i="8"/>
  <c r="DJ21" i="8"/>
  <c r="DK21" i="8"/>
  <c r="DL21" i="8"/>
  <c r="DM21" i="8"/>
  <c r="DN21" i="8"/>
  <c r="DO21" i="8"/>
  <c r="DP21" i="8"/>
  <c r="DQ21" i="8"/>
  <c r="DR21" i="8"/>
  <c r="DS21" i="8"/>
  <c r="DT21" i="8"/>
  <c r="DU21" i="8"/>
  <c r="DV21" i="8"/>
  <c r="DW21" i="8"/>
  <c r="DX21" i="8"/>
  <c r="DY21" i="8"/>
  <c r="DZ21" i="8"/>
  <c r="EA21" i="8"/>
  <c r="EB21" i="8"/>
  <c r="EC21" i="8"/>
  <c r="ED21" i="8"/>
  <c r="EE21" i="8"/>
  <c r="EF21" i="8"/>
  <c r="EG21" i="8"/>
  <c r="EH21" i="8"/>
  <c r="EI21" i="8"/>
  <c r="EJ21" i="8"/>
  <c r="EK21" i="8"/>
  <c r="EL21" i="8"/>
  <c r="EM21" i="8"/>
  <c r="EN21" i="8"/>
  <c r="EO21" i="8"/>
  <c r="EP21" i="8"/>
  <c r="EQ21" i="8"/>
  <c r="ER21" i="8"/>
  <c r="ES21" i="8"/>
  <c r="ET21" i="8"/>
  <c r="EU21" i="8"/>
  <c r="EV21" i="8"/>
  <c r="EW21" i="8"/>
  <c r="EX21" i="8"/>
  <c r="EY21" i="8"/>
  <c r="EZ21" i="8"/>
  <c r="FA21" i="8"/>
  <c r="FB21" i="8"/>
  <c r="FC21" i="8"/>
  <c r="FD21" i="8"/>
  <c r="FE21" i="8"/>
  <c r="FF21" i="8"/>
  <c r="FG21" i="8"/>
  <c r="FH21" i="8"/>
  <c r="FI21" i="8"/>
  <c r="FJ21" i="8"/>
  <c r="FK21" i="8"/>
  <c r="FL21" i="8"/>
  <c r="FM21" i="8"/>
  <c r="FN21" i="8"/>
  <c r="FO21" i="8"/>
  <c r="FP21" i="8"/>
  <c r="FQ21" i="8"/>
  <c r="FR21" i="8"/>
  <c r="FS21" i="8"/>
  <c r="FT21" i="8"/>
  <c r="FU21" i="8"/>
  <c r="FV21" i="8"/>
  <c r="FW21" i="8"/>
  <c r="FX21" i="8"/>
  <c r="FY21" i="8"/>
  <c r="FZ21" i="8"/>
  <c r="GA21" i="8"/>
  <c r="GB21" i="8"/>
  <c r="GC21" i="8"/>
  <c r="GD21" i="8"/>
  <c r="GE21" i="8"/>
  <c r="GF21" i="8"/>
  <c r="GG21" i="8"/>
  <c r="GH21" i="8"/>
  <c r="GI21" i="8"/>
  <c r="GJ21" i="8"/>
  <c r="GK21" i="8"/>
  <c r="GL21" i="8"/>
  <c r="GM21" i="8"/>
  <c r="GN21" i="8"/>
  <c r="GO21" i="8"/>
  <c r="GP21" i="8"/>
  <c r="GQ21" i="8"/>
  <c r="GR21" i="8"/>
  <c r="GS21" i="8"/>
  <c r="GT21" i="8"/>
  <c r="GU21" i="8"/>
  <c r="GV21" i="8"/>
  <c r="GW21" i="8"/>
  <c r="GX21" i="8"/>
  <c r="GY21" i="8"/>
  <c r="GZ21" i="8"/>
  <c r="HA21" i="8"/>
  <c r="HB21" i="8"/>
  <c r="HC21" i="8"/>
  <c r="HD21" i="8"/>
  <c r="HE21" i="8"/>
  <c r="HF21" i="8"/>
  <c r="HG21" i="8"/>
  <c r="HH21" i="8"/>
  <c r="HI21" i="8"/>
  <c r="HJ21" i="8"/>
  <c r="HK21" i="8"/>
  <c r="HL21" i="8"/>
  <c r="HM21" i="8"/>
  <c r="HN21" i="8"/>
  <c r="HO21" i="8"/>
  <c r="HP21" i="8"/>
  <c r="HQ21" i="8"/>
  <c r="HR21" i="8"/>
  <c r="HS21" i="8"/>
  <c r="HT21" i="8"/>
  <c r="HU21" i="8"/>
  <c r="HV21" i="8"/>
  <c r="HW21" i="8"/>
  <c r="HX21" i="8"/>
  <c r="HY21" i="8"/>
  <c r="HZ21" i="8"/>
  <c r="IA21" i="8"/>
  <c r="IB21" i="8"/>
  <c r="IC21" i="8"/>
  <c r="ID21" i="8"/>
  <c r="IE21" i="8"/>
  <c r="IF21" i="8"/>
  <c r="IG21" i="8"/>
  <c r="IH21" i="8"/>
  <c r="II21" i="8"/>
  <c r="IJ21" i="8"/>
  <c r="IK21" i="8"/>
  <c r="IL21" i="8"/>
  <c r="IM21" i="8"/>
  <c r="IN21" i="8"/>
  <c r="IO21" i="8"/>
  <c r="IP21" i="8"/>
  <c r="IQ21" i="8"/>
  <c r="IR21" i="8"/>
  <c r="IS21" i="8"/>
  <c r="IT21" i="8"/>
  <c r="IU21" i="8"/>
  <c r="IV21" i="8"/>
  <c r="F22" i="8"/>
  <c r="G22" i="8"/>
  <c r="H22" i="8"/>
  <c r="I22" i="8"/>
  <c r="J22" i="8"/>
  <c r="K22" i="8"/>
  <c r="L22" i="8"/>
  <c r="M22" i="8"/>
  <c r="N22" i="8"/>
  <c r="O22" i="8"/>
  <c r="P22" i="8"/>
  <c r="Q22" i="8"/>
  <c r="R22" i="8"/>
  <c r="S22" i="8"/>
  <c r="T22" i="8"/>
  <c r="U22" i="8"/>
  <c r="V22" i="8"/>
  <c r="W22" i="8"/>
  <c r="X22" i="8"/>
  <c r="Y22" i="8"/>
  <c r="Z22" i="8"/>
  <c r="AA22" i="8"/>
  <c r="AB22" i="8"/>
  <c r="AC22" i="8"/>
  <c r="AD22" i="8"/>
  <c r="AE22" i="8"/>
  <c r="AF22" i="8"/>
  <c r="AG22" i="8"/>
  <c r="AH22" i="8"/>
  <c r="AI22" i="8"/>
  <c r="AJ22" i="8"/>
  <c r="AK22" i="8"/>
  <c r="AL22" i="8"/>
  <c r="AM22" i="8"/>
  <c r="AN22" i="8"/>
  <c r="AO22" i="8"/>
  <c r="AP22" i="8"/>
  <c r="AQ22" i="8"/>
  <c r="AR22" i="8"/>
  <c r="AS22" i="8"/>
  <c r="AT22" i="8"/>
  <c r="AU22" i="8"/>
  <c r="AV22" i="8"/>
  <c r="AW22" i="8"/>
  <c r="AX22" i="8"/>
  <c r="AY22" i="8"/>
  <c r="AZ22" i="8"/>
  <c r="BA22" i="8"/>
  <c r="BB22" i="8"/>
  <c r="BC22" i="8"/>
  <c r="BD22" i="8"/>
  <c r="BE22" i="8"/>
  <c r="BF22" i="8"/>
  <c r="BG22" i="8"/>
  <c r="BH22" i="8"/>
  <c r="BI22" i="8"/>
  <c r="BJ22" i="8"/>
  <c r="BK22" i="8"/>
  <c r="BL22" i="8"/>
  <c r="BM22" i="8"/>
  <c r="BN22" i="8"/>
  <c r="BO22" i="8"/>
  <c r="BP22" i="8"/>
  <c r="BQ22" i="8"/>
  <c r="BR22" i="8"/>
  <c r="BS22" i="8"/>
  <c r="BT22" i="8"/>
  <c r="BU22" i="8"/>
  <c r="BV22" i="8"/>
  <c r="BW22" i="8"/>
  <c r="BX22" i="8"/>
  <c r="BY22" i="8"/>
  <c r="BZ22" i="8"/>
  <c r="CA22" i="8"/>
  <c r="CB22" i="8"/>
  <c r="CC22" i="8"/>
  <c r="CD22" i="8"/>
  <c r="CE22" i="8"/>
  <c r="CF22" i="8"/>
  <c r="CG22" i="8"/>
  <c r="CH22" i="8"/>
  <c r="CI22" i="8"/>
  <c r="CJ22" i="8"/>
  <c r="CK22" i="8"/>
  <c r="CL22" i="8"/>
  <c r="CM22" i="8"/>
  <c r="CN22" i="8"/>
  <c r="CO22" i="8"/>
  <c r="CP22" i="8"/>
  <c r="CQ22" i="8"/>
  <c r="CR22" i="8"/>
  <c r="CS22" i="8"/>
  <c r="CT22" i="8"/>
  <c r="CU22" i="8"/>
  <c r="CV22" i="8"/>
  <c r="CW22" i="8"/>
  <c r="CX22" i="8"/>
  <c r="CY22" i="8"/>
  <c r="CZ22" i="8"/>
  <c r="DA22" i="8"/>
  <c r="DB22" i="8"/>
  <c r="DC22" i="8"/>
  <c r="DD22" i="8"/>
  <c r="DE22" i="8"/>
  <c r="DF22" i="8"/>
  <c r="DG22" i="8"/>
  <c r="DH22" i="8"/>
  <c r="DI22" i="8"/>
  <c r="DJ22" i="8"/>
  <c r="DK22" i="8"/>
  <c r="DL22" i="8"/>
  <c r="DM22" i="8"/>
  <c r="DN22" i="8"/>
  <c r="DO22" i="8"/>
  <c r="DP22" i="8"/>
  <c r="DQ22" i="8"/>
  <c r="DR22" i="8"/>
  <c r="DS22" i="8"/>
  <c r="DT22" i="8"/>
  <c r="DU22" i="8"/>
  <c r="DV22" i="8"/>
  <c r="DW22" i="8"/>
  <c r="DX22" i="8"/>
  <c r="DY22" i="8"/>
  <c r="DZ22" i="8"/>
  <c r="EA22" i="8"/>
  <c r="EB22" i="8"/>
  <c r="EC22" i="8"/>
  <c r="ED22" i="8"/>
  <c r="EE22" i="8"/>
  <c r="EF22" i="8"/>
  <c r="EG22" i="8"/>
  <c r="EH22" i="8"/>
  <c r="EI22" i="8"/>
  <c r="EJ22" i="8"/>
  <c r="EK22" i="8"/>
  <c r="EL22" i="8"/>
  <c r="EM22" i="8"/>
  <c r="EN22" i="8"/>
  <c r="EO22" i="8"/>
  <c r="EP22" i="8"/>
  <c r="EQ22" i="8"/>
  <c r="ER22" i="8"/>
  <c r="ES22" i="8"/>
  <c r="ET22" i="8"/>
  <c r="EU22" i="8"/>
  <c r="EV22" i="8"/>
  <c r="EW22" i="8"/>
  <c r="EX22" i="8"/>
  <c r="EY22" i="8"/>
  <c r="EZ22" i="8"/>
  <c r="FA22" i="8"/>
  <c r="FB22" i="8"/>
  <c r="FC22" i="8"/>
  <c r="FD22" i="8"/>
  <c r="FE22" i="8"/>
  <c r="FF22" i="8"/>
  <c r="FG22" i="8"/>
  <c r="FH22" i="8"/>
  <c r="FI22" i="8"/>
  <c r="FJ22" i="8"/>
  <c r="FK22" i="8"/>
  <c r="FL22" i="8"/>
  <c r="FM22" i="8"/>
  <c r="FN22" i="8"/>
  <c r="FO22" i="8"/>
  <c r="FP22" i="8"/>
  <c r="FQ22" i="8"/>
  <c r="FR22" i="8"/>
  <c r="FS22" i="8"/>
  <c r="FT22" i="8"/>
  <c r="FU22" i="8"/>
  <c r="FV22" i="8"/>
  <c r="FW22" i="8"/>
  <c r="FX22" i="8"/>
  <c r="FY22" i="8"/>
  <c r="FZ22" i="8"/>
  <c r="GA22" i="8"/>
  <c r="GB22" i="8"/>
  <c r="GC22" i="8"/>
  <c r="GD22" i="8"/>
  <c r="GE22" i="8"/>
  <c r="GF22" i="8"/>
  <c r="GG22" i="8"/>
  <c r="GH22" i="8"/>
  <c r="GI22" i="8"/>
  <c r="GJ22" i="8"/>
  <c r="GK22" i="8"/>
  <c r="GL22" i="8"/>
  <c r="GM22" i="8"/>
  <c r="GN22" i="8"/>
  <c r="GO22" i="8"/>
  <c r="GP22" i="8"/>
  <c r="GQ22" i="8"/>
  <c r="GR22" i="8"/>
  <c r="GS22" i="8"/>
  <c r="GT22" i="8"/>
  <c r="GU22" i="8"/>
  <c r="GV22" i="8"/>
  <c r="GW22" i="8"/>
  <c r="GX22" i="8"/>
  <c r="GY22" i="8"/>
  <c r="GZ22" i="8"/>
  <c r="HA22" i="8"/>
  <c r="HB22" i="8"/>
  <c r="HC22" i="8"/>
  <c r="HD22" i="8"/>
  <c r="HE22" i="8"/>
  <c r="HF22" i="8"/>
  <c r="HG22" i="8"/>
  <c r="HH22" i="8"/>
  <c r="HI22" i="8"/>
  <c r="HJ22" i="8"/>
  <c r="HK22" i="8"/>
  <c r="HL22" i="8"/>
  <c r="HM22" i="8"/>
  <c r="HN22" i="8"/>
  <c r="HO22" i="8"/>
  <c r="HP22" i="8"/>
  <c r="HQ22" i="8"/>
  <c r="HR22" i="8"/>
  <c r="HS22" i="8"/>
  <c r="HT22" i="8"/>
  <c r="HU22" i="8"/>
  <c r="HV22" i="8"/>
  <c r="HW22" i="8"/>
  <c r="HX22" i="8"/>
  <c r="HY22" i="8"/>
  <c r="HZ22" i="8"/>
  <c r="IA22" i="8"/>
  <c r="IB22" i="8"/>
  <c r="IC22" i="8"/>
  <c r="ID22" i="8"/>
  <c r="IE22" i="8"/>
  <c r="IF22" i="8"/>
  <c r="IG22" i="8"/>
  <c r="IH22" i="8"/>
  <c r="II22" i="8"/>
  <c r="IJ22" i="8"/>
  <c r="IK22" i="8"/>
  <c r="IL22" i="8"/>
  <c r="IM22" i="8"/>
  <c r="IN22" i="8"/>
  <c r="IO22" i="8"/>
  <c r="IP22" i="8"/>
  <c r="IQ22" i="8"/>
  <c r="IR22" i="8"/>
  <c r="IS22" i="8"/>
  <c r="IT22" i="8"/>
  <c r="IU22" i="8"/>
  <c r="IV22" i="8"/>
  <c r="F23" i="8"/>
  <c r="G23" i="8"/>
  <c r="H23" i="8"/>
  <c r="I23" i="8"/>
  <c r="J23" i="8"/>
  <c r="K23" i="8"/>
  <c r="L23" i="8"/>
  <c r="M23" i="8"/>
  <c r="N23" i="8"/>
  <c r="O23" i="8"/>
  <c r="P23" i="8"/>
  <c r="Q23" i="8"/>
  <c r="R23" i="8"/>
  <c r="S23" i="8"/>
  <c r="T23" i="8"/>
  <c r="U23" i="8"/>
  <c r="V23" i="8"/>
  <c r="W23" i="8"/>
  <c r="X23" i="8"/>
  <c r="Y23" i="8"/>
  <c r="Z23" i="8"/>
  <c r="AA23" i="8"/>
  <c r="AB23" i="8"/>
  <c r="AC23" i="8"/>
  <c r="AD23" i="8"/>
  <c r="AE23" i="8"/>
  <c r="AF23" i="8"/>
  <c r="AG23" i="8"/>
  <c r="AH23" i="8"/>
  <c r="AI23" i="8"/>
  <c r="AJ23" i="8"/>
  <c r="AK23" i="8"/>
  <c r="AL23" i="8"/>
  <c r="AM23" i="8"/>
  <c r="AN23" i="8"/>
  <c r="AO23" i="8"/>
  <c r="AP23" i="8"/>
  <c r="AQ23" i="8"/>
  <c r="AR23" i="8"/>
  <c r="AS23" i="8"/>
  <c r="AT23" i="8"/>
  <c r="AU23" i="8"/>
  <c r="AV23" i="8"/>
  <c r="AW23" i="8"/>
  <c r="AX23" i="8"/>
  <c r="AY23" i="8"/>
  <c r="AZ23" i="8"/>
  <c r="BA23" i="8"/>
  <c r="BB23" i="8"/>
  <c r="BC23" i="8"/>
  <c r="BD23" i="8"/>
  <c r="BE23" i="8"/>
  <c r="BF23" i="8"/>
  <c r="BG23" i="8"/>
  <c r="BH23" i="8"/>
  <c r="BI23" i="8"/>
  <c r="BJ23" i="8"/>
  <c r="BK23" i="8"/>
  <c r="BL23" i="8"/>
  <c r="BM23" i="8"/>
  <c r="BN23" i="8"/>
  <c r="BO23" i="8"/>
  <c r="BP23" i="8"/>
  <c r="BQ23" i="8"/>
  <c r="BR23" i="8"/>
  <c r="BS23" i="8"/>
  <c r="BT23" i="8"/>
  <c r="BU23" i="8"/>
  <c r="BV23" i="8"/>
  <c r="BW23" i="8"/>
  <c r="BX23" i="8"/>
  <c r="BY23" i="8"/>
  <c r="BZ23" i="8"/>
  <c r="CA23" i="8"/>
  <c r="CB23" i="8"/>
  <c r="CC23" i="8"/>
  <c r="CD23" i="8"/>
  <c r="CE23" i="8"/>
  <c r="CF23" i="8"/>
  <c r="CG23" i="8"/>
  <c r="CH23" i="8"/>
  <c r="CI23" i="8"/>
  <c r="CJ23" i="8"/>
  <c r="CK23" i="8"/>
  <c r="CL23" i="8"/>
  <c r="CM23" i="8"/>
  <c r="CN23" i="8"/>
  <c r="CO23" i="8"/>
  <c r="CP23" i="8"/>
  <c r="CQ23" i="8"/>
  <c r="CR23" i="8"/>
  <c r="CS23" i="8"/>
  <c r="CT23" i="8"/>
  <c r="CU23" i="8"/>
  <c r="CV23" i="8"/>
  <c r="CW23" i="8"/>
  <c r="CX23" i="8"/>
  <c r="CY23" i="8"/>
  <c r="CZ23" i="8"/>
  <c r="DA23" i="8"/>
  <c r="DB23" i="8"/>
  <c r="DC23" i="8"/>
  <c r="DD23" i="8"/>
  <c r="DE23" i="8"/>
  <c r="DF23" i="8"/>
  <c r="DG23" i="8"/>
  <c r="DH23" i="8"/>
  <c r="DI23" i="8"/>
  <c r="DJ23" i="8"/>
  <c r="DK23" i="8"/>
  <c r="DL23" i="8"/>
  <c r="DM23" i="8"/>
  <c r="DN23" i="8"/>
  <c r="DO23" i="8"/>
  <c r="DP23" i="8"/>
  <c r="DQ23" i="8"/>
  <c r="DR23" i="8"/>
  <c r="DS23" i="8"/>
  <c r="DT23" i="8"/>
  <c r="DU23" i="8"/>
  <c r="DV23" i="8"/>
  <c r="DW23" i="8"/>
  <c r="DX23" i="8"/>
  <c r="DY23" i="8"/>
  <c r="DZ23" i="8"/>
  <c r="EA23" i="8"/>
  <c r="EB23" i="8"/>
  <c r="EC23" i="8"/>
  <c r="ED23" i="8"/>
  <c r="EE23" i="8"/>
  <c r="EF23" i="8"/>
  <c r="EG23" i="8"/>
  <c r="EH23" i="8"/>
  <c r="EI23" i="8"/>
  <c r="EJ23" i="8"/>
  <c r="EK23" i="8"/>
  <c r="EL23" i="8"/>
  <c r="EM23" i="8"/>
  <c r="EN23" i="8"/>
  <c r="EO23" i="8"/>
  <c r="EP23" i="8"/>
  <c r="EQ23" i="8"/>
  <c r="ER23" i="8"/>
  <c r="ES23" i="8"/>
  <c r="ET23" i="8"/>
  <c r="EU23" i="8"/>
  <c r="EV23" i="8"/>
  <c r="EW23" i="8"/>
  <c r="EX23" i="8"/>
  <c r="EY23" i="8"/>
  <c r="EZ23" i="8"/>
  <c r="FA23" i="8"/>
  <c r="FB23" i="8"/>
  <c r="FC23" i="8"/>
  <c r="FD23" i="8"/>
  <c r="FE23" i="8"/>
  <c r="FF23" i="8"/>
  <c r="FG23" i="8"/>
  <c r="FH23" i="8"/>
  <c r="FI23" i="8"/>
  <c r="FJ23" i="8"/>
  <c r="FK23" i="8"/>
  <c r="FL23" i="8"/>
  <c r="FM23" i="8"/>
  <c r="FN23" i="8"/>
  <c r="FO23" i="8"/>
  <c r="FP23" i="8"/>
  <c r="FQ23" i="8"/>
  <c r="FR23" i="8"/>
  <c r="FS23" i="8"/>
  <c r="FT23" i="8"/>
  <c r="FU23" i="8"/>
  <c r="FV23" i="8"/>
  <c r="FW23" i="8"/>
  <c r="FX23" i="8"/>
  <c r="FY23" i="8"/>
  <c r="FZ23" i="8"/>
  <c r="GA23" i="8"/>
  <c r="GB23" i="8"/>
  <c r="GC23" i="8"/>
  <c r="GD23" i="8"/>
  <c r="GE23" i="8"/>
  <c r="GF23" i="8"/>
  <c r="GG23" i="8"/>
  <c r="GH23" i="8"/>
  <c r="GI23" i="8"/>
  <c r="GJ23" i="8"/>
  <c r="GK23" i="8"/>
  <c r="GL23" i="8"/>
  <c r="GM23" i="8"/>
  <c r="GN23" i="8"/>
  <c r="GO23" i="8"/>
  <c r="GP23" i="8"/>
  <c r="GQ23" i="8"/>
  <c r="GR23" i="8"/>
  <c r="GS23" i="8"/>
  <c r="GT23" i="8"/>
  <c r="GU23" i="8"/>
  <c r="GV23" i="8"/>
  <c r="GW23" i="8"/>
  <c r="GX23" i="8"/>
  <c r="GY23" i="8"/>
  <c r="GZ23" i="8"/>
  <c r="HA23" i="8"/>
  <c r="HB23" i="8"/>
  <c r="HC23" i="8"/>
  <c r="HD23" i="8"/>
  <c r="HE23" i="8"/>
  <c r="HF23" i="8"/>
  <c r="HG23" i="8"/>
  <c r="HH23" i="8"/>
  <c r="HI23" i="8"/>
  <c r="HJ23" i="8"/>
  <c r="HK23" i="8"/>
  <c r="HL23" i="8"/>
  <c r="HM23" i="8"/>
  <c r="HN23" i="8"/>
  <c r="HO23" i="8"/>
  <c r="HP23" i="8"/>
  <c r="HQ23" i="8"/>
  <c r="HR23" i="8"/>
  <c r="HS23" i="8"/>
  <c r="HT23" i="8"/>
  <c r="HU23" i="8"/>
  <c r="HV23" i="8"/>
  <c r="HW23" i="8"/>
  <c r="HX23" i="8"/>
  <c r="HY23" i="8"/>
  <c r="HZ23" i="8"/>
  <c r="IA23" i="8"/>
  <c r="IB23" i="8"/>
  <c r="IC23" i="8"/>
  <c r="ID23" i="8"/>
  <c r="IE23" i="8"/>
  <c r="IF23" i="8"/>
  <c r="IG23" i="8"/>
  <c r="IH23" i="8"/>
  <c r="II23" i="8"/>
  <c r="IJ23" i="8"/>
  <c r="IK23" i="8"/>
  <c r="IL23" i="8"/>
  <c r="IM23" i="8"/>
  <c r="IN23" i="8"/>
  <c r="IO23" i="8"/>
  <c r="IP23" i="8"/>
  <c r="IQ23" i="8"/>
  <c r="IR23" i="8"/>
  <c r="IS23" i="8"/>
  <c r="IT23" i="8"/>
  <c r="IU23" i="8"/>
  <c r="IV23" i="8"/>
  <c r="F24" i="8"/>
  <c r="G24" i="8"/>
  <c r="H24" i="8"/>
  <c r="I24" i="8"/>
  <c r="J24" i="8"/>
  <c r="K24" i="8"/>
  <c r="L24" i="8"/>
  <c r="M24" i="8"/>
  <c r="N24" i="8"/>
  <c r="O24" i="8"/>
  <c r="P24" i="8"/>
  <c r="Q24" i="8"/>
  <c r="R24" i="8"/>
  <c r="S24" i="8"/>
  <c r="T24" i="8"/>
  <c r="U24" i="8"/>
  <c r="V24" i="8"/>
  <c r="W24" i="8"/>
  <c r="X24" i="8"/>
  <c r="Y24" i="8"/>
  <c r="Z24" i="8"/>
  <c r="AA24" i="8"/>
  <c r="AB24" i="8"/>
  <c r="AC24" i="8"/>
  <c r="AD24" i="8"/>
  <c r="AE24" i="8"/>
  <c r="AF24" i="8"/>
  <c r="AG24" i="8"/>
  <c r="AH24" i="8"/>
  <c r="AI24" i="8"/>
  <c r="AJ24" i="8"/>
  <c r="AK24" i="8"/>
  <c r="AL24" i="8"/>
  <c r="AM24" i="8"/>
  <c r="AN24" i="8"/>
  <c r="AO24" i="8"/>
  <c r="AP24" i="8"/>
  <c r="AQ24" i="8"/>
  <c r="AR24" i="8"/>
  <c r="AS24" i="8"/>
  <c r="AT24" i="8"/>
  <c r="AU24" i="8"/>
  <c r="AV24" i="8"/>
  <c r="AW24" i="8"/>
  <c r="AX24" i="8"/>
  <c r="AY24" i="8"/>
  <c r="AZ24" i="8"/>
  <c r="BA24" i="8"/>
  <c r="BB24" i="8"/>
  <c r="BC24" i="8"/>
  <c r="BD24" i="8"/>
  <c r="BE24" i="8"/>
  <c r="BF24" i="8"/>
  <c r="BG24" i="8"/>
  <c r="BH24" i="8"/>
  <c r="BI24" i="8"/>
  <c r="BJ24" i="8"/>
  <c r="BK24" i="8"/>
  <c r="BL24" i="8"/>
  <c r="BM24" i="8"/>
  <c r="BN24" i="8"/>
  <c r="BO24" i="8"/>
  <c r="BP24" i="8"/>
  <c r="BQ24" i="8"/>
  <c r="BR24" i="8"/>
  <c r="BS24" i="8"/>
  <c r="BT24" i="8"/>
  <c r="BU24" i="8"/>
  <c r="BV24" i="8"/>
  <c r="BW24" i="8"/>
  <c r="BX24" i="8"/>
  <c r="BY24" i="8"/>
  <c r="BZ24" i="8"/>
  <c r="CA24" i="8"/>
  <c r="CB24" i="8"/>
  <c r="CC24" i="8"/>
  <c r="CD24" i="8"/>
  <c r="CE24" i="8"/>
  <c r="CF24" i="8"/>
  <c r="CG24" i="8"/>
  <c r="CH24" i="8"/>
  <c r="CI24" i="8"/>
  <c r="CJ24" i="8"/>
  <c r="CK24" i="8"/>
  <c r="CL24" i="8"/>
  <c r="CM24" i="8"/>
  <c r="CN24" i="8"/>
  <c r="CO24" i="8"/>
  <c r="CP24" i="8"/>
  <c r="CQ24" i="8"/>
  <c r="CR24" i="8"/>
  <c r="CS24" i="8"/>
  <c r="CT24" i="8"/>
  <c r="CU24" i="8"/>
  <c r="CV24" i="8"/>
  <c r="CW24" i="8"/>
  <c r="CX24" i="8"/>
  <c r="CY24" i="8"/>
  <c r="CZ24" i="8"/>
  <c r="DA24" i="8"/>
  <c r="DB24" i="8"/>
  <c r="DC24" i="8"/>
  <c r="DD24" i="8"/>
  <c r="DE24" i="8"/>
  <c r="DF24" i="8"/>
  <c r="DG24" i="8"/>
  <c r="DH24" i="8"/>
  <c r="DI24" i="8"/>
  <c r="DJ24" i="8"/>
  <c r="DK24" i="8"/>
  <c r="DL24" i="8"/>
  <c r="DM24" i="8"/>
  <c r="DN24" i="8"/>
  <c r="DO24" i="8"/>
  <c r="DP24" i="8"/>
  <c r="DQ24" i="8"/>
  <c r="DR24" i="8"/>
  <c r="DS24" i="8"/>
  <c r="DT24" i="8"/>
  <c r="DU24" i="8"/>
  <c r="DV24" i="8"/>
  <c r="DW24" i="8"/>
  <c r="DX24" i="8"/>
  <c r="DY24" i="8"/>
  <c r="DZ24" i="8"/>
  <c r="EA24" i="8"/>
  <c r="EB24" i="8"/>
  <c r="EC24" i="8"/>
  <c r="ED24" i="8"/>
  <c r="EE24" i="8"/>
  <c r="EF24" i="8"/>
  <c r="EG24" i="8"/>
  <c r="EH24" i="8"/>
  <c r="EI24" i="8"/>
  <c r="EJ24" i="8"/>
  <c r="EK24" i="8"/>
  <c r="EL24" i="8"/>
  <c r="EM24" i="8"/>
  <c r="EN24" i="8"/>
  <c r="EO24" i="8"/>
  <c r="EP24" i="8"/>
  <c r="EQ24" i="8"/>
  <c r="ER24" i="8"/>
  <c r="ES24" i="8"/>
  <c r="ET24" i="8"/>
  <c r="EU24" i="8"/>
  <c r="EV24" i="8"/>
  <c r="EW24" i="8"/>
  <c r="EX24" i="8"/>
  <c r="EY24" i="8"/>
  <c r="EZ24" i="8"/>
  <c r="FA24" i="8"/>
  <c r="FB24" i="8"/>
  <c r="FC24" i="8"/>
  <c r="FD24" i="8"/>
  <c r="FE24" i="8"/>
  <c r="FF24" i="8"/>
  <c r="FG24" i="8"/>
  <c r="FH24" i="8"/>
  <c r="FI24" i="8"/>
  <c r="FJ24" i="8"/>
  <c r="FK24" i="8"/>
  <c r="FL24" i="8"/>
  <c r="FM24" i="8"/>
  <c r="FN24" i="8"/>
  <c r="FO24" i="8"/>
  <c r="FP24" i="8"/>
  <c r="FQ24" i="8"/>
  <c r="FR24" i="8"/>
  <c r="FS24" i="8"/>
  <c r="FT24" i="8"/>
  <c r="FU24" i="8"/>
  <c r="FV24" i="8"/>
  <c r="FW24" i="8"/>
  <c r="FX24" i="8"/>
  <c r="FY24" i="8"/>
  <c r="FZ24" i="8"/>
  <c r="GA24" i="8"/>
  <c r="GB24" i="8"/>
  <c r="GC24" i="8"/>
  <c r="GD24" i="8"/>
  <c r="GE24" i="8"/>
  <c r="GF24" i="8"/>
  <c r="GG24" i="8"/>
  <c r="GH24" i="8"/>
  <c r="GI24" i="8"/>
  <c r="GJ24" i="8"/>
  <c r="GK24" i="8"/>
  <c r="GL24" i="8"/>
  <c r="GM24" i="8"/>
  <c r="GN24" i="8"/>
  <c r="GO24" i="8"/>
  <c r="GP24" i="8"/>
  <c r="GQ24" i="8"/>
  <c r="GR24" i="8"/>
  <c r="GS24" i="8"/>
  <c r="GT24" i="8"/>
  <c r="GU24" i="8"/>
  <c r="GV24" i="8"/>
  <c r="GW24" i="8"/>
  <c r="GX24" i="8"/>
  <c r="GY24" i="8"/>
  <c r="GZ24" i="8"/>
  <c r="HA24" i="8"/>
  <c r="HB24" i="8"/>
  <c r="HC24" i="8"/>
  <c r="HD24" i="8"/>
  <c r="HE24" i="8"/>
  <c r="HF24" i="8"/>
  <c r="HG24" i="8"/>
  <c r="HH24" i="8"/>
  <c r="HI24" i="8"/>
  <c r="HJ24" i="8"/>
  <c r="HK24" i="8"/>
  <c r="HL24" i="8"/>
  <c r="HM24" i="8"/>
  <c r="HN24" i="8"/>
  <c r="HO24" i="8"/>
  <c r="HP24" i="8"/>
  <c r="HQ24" i="8"/>
  <c r="HR24" i="8"/>
  <c r="HS24" i="8"/>
  <c r="HT24" i="8"/>
  <c r="HU24" i="8"/>
  <c r="HV24" i="8"/>
  <c r="HW24" i="8"/>
  <c r="HX24" i="8"/>
  <c r="HY24" i="8"/>
  <c r="HZ24" i="8"/>
  <c r="IA24" i="8"/>
  <c r="IB24" i="8"/>
  <c r="IC24" i="8"/>
  <c r="ID24" i="8"/>
  <c r="IE24" i="8"/>
  <c r="IF24" i="8"/>
  <c r="IG24" i="8"/>
  <c r="IH24" i="8"/>
  <c r="II24" i="8"/>
  <c r="IJ24" i="8"/>
  <c r="IK24" i="8"/>
  <c r="IL24" i="8"/>
  <c r="IM24" i="8"/>
  <c r="IN24" i="8"/>
  <c r="IO24" i="8"/>
  <c r="IP24" i="8"/>
  <c r="IQ24" i="8"/>
  <c r="IR24" i="8"/>
  <c r="IS24" i="8"/>
  <c r="IT24" i="8"/>
  <c r="IU24" i="8"/>
  <c r="IV24" i="8"/>
  <c r="F25" i="8"/>
  <c r="G25" i="8"/>
  <c r="H25" i="8"/>
  <c r="I25" i="8"/>
  <c r="J25" i="8"/>
  <c r="K25" i="8"/>
  <c r="L25" i="8"/>
  <c r="M25" i="8"/>
  <c r="N25" i="8"/>
  <c r="O25" i="8"/>
  <c r="P25" i="8"/>
  <c r="Q25" i="8"/>
  <c r="R25" i="8"/>
  <c r="S25" i="8"/>
  <c r="T25" i="8"/>
  <c r="U25" i="8"/>
  <c r="V25" i="8"/>
  <c r="W25" i="8"/>
  <c r="X25" i="8"/>
  <c r="Y25" i="8"/>
  <c r="Z25" i="8"/>
  <c r="AA25" i="8"/>
  <c r="AB25" i="8"/>
  <c r="AC25" i="8"/>
  <c r="AD25" i="8"/>
  <c r="AE25" i="8"/>
  <c r="AF25" i="8"/>
  <c r="AG25" i="8"/>
  <c r="AH25" i="8"/>
  <c r="AI25" i="8"/>
  <c r="AJ25" i="8"/>
  <c r="AK25" i="8"/>
  <c r="AL25" i="8"/>
  <c r="AM25" i="8"/>
  <c r="AN25" i="8"/>
  <c r="AO25" i="8"/>
  <c r="AP25" i="8"/>
  <c r="AQ25" i="8"/>
  <c r="AR25" i="8"/>
  <c r="AS25" i="8"/>
  <c r="AT25" i="8"/>
  <c r="AU25" i="8"/>
  <c r="AV25" i="8"/>
  <c r="AW25" i="8"/>
  <c r="AX25" i="8"/>
  <c r="AY25" i="8"/>
  <c r="AZ25" i="8"/>
  <c r="BA25" i="8"/>
  <c r="BB25" i="8"/>
  <c r="BC25" i="8"/>
  <c r="BD25" i="8"/>
  <c r="BE25" i="8"/>
  <c r="BF25" i="8"/>
  <c r="BG25" i="8"/>
  <c r="BH25" i="8"/>
  <c r="BI25" i="8"/>
  <c r="BJ25" i="8"/>
  <c r="BK25" i="8"/>
  <c r="BL25" i="8"/>
  <c r="BM25" i="8"/>
  <c r="BN25" i="8"/>
  <c r="BO25" i="8"/>
  <c r="BP25" i="8"/>
  <c r="BQ25" i="8"/>
  <c r="BR25" i="8"/>
  <c r="BS25" i="8"/>
  <c r="BT25" i="8"/>
  <c r="BU25" i="8"/>
  <c r="BV25" i="8"/>
  <c r="BW25" i="8"/>
  <c r="BX25" i="8"/>
  <c r="BY25" i="8"/>
  <c r="BZ25" i="8"/>
  <c r="CA25" i="8"/>
  <c r="CB25" i="8"/>
  <c r="CC25" i="8"/>
  <c r="CD25" i="8"/>
  <c r="CE25" i="8"/>
  <c r="CF25" i="8"/>
  <c r="CG25" i="8"/>
  <c r="CH25" i="8"/>
  <c r="CI25" i="8"/>
  <c r="CJ25" i="8"/>
  <c r="CK25" i="8"/>
  <c r="CL25" i="8"/>
  <c r="CM25" i="8"/>
  <c r="CN25" i="8"/>
  <c r="CO25" i="8"/>
  <c r="CP25" i="8"/>
  <c r="CQ25" i="8"/>
  <c r="CR25" i="8"/>
  <c r="CS25" i="8"/>
  <c r="CT25" i="8"/>
  <c r="CU25" i="8"/>
  <c r="CV25" i="8"/>
  <c r="CW25" i="8"/>
  <c r="CX25" i="8"/>
  <c r="CY25" i="8"/>
  <c r="CZ25" i="8"/>
  <c r="DA25" i="8"/>
  <c r="DB25" i="8"/>
  <c r="DC25" i="8"/>
  <c r="DD25" i="8"/>
  <c r="DE25" i="8"/>
  <c r="DF25" i="8"/>
  <c r="DG25" i="8"/>
  <c r="DH25" i="8"/>
  <c r="DI25" i="8"/>
  <c r="DJ25" i="8"/>
  <c r="DK25" i="8"/>
  <c r="DL25" i="8"/>
  <c r="DM25" i="8"/>
  <c r="DN25" i="8"/>
  <c r="DO25" i="8"/>
  <c r="DP25" i="8"/>
  <c r="DQ25" i="8"/>
  <c r="DR25" i="8"/>
  <c r="DS25" i="8"/>
  <c r="DT25" i="8"/>
  <c r="DU25" i="8"/>
  <c r="DV25" i="8"/>
  <c r="DW25" i="8"/>
  <c r="DX25" i="8"/>
  <c r="DY25" i="8"/>
  <c r="DZ25" i="8"/>
  <c r="EA25" i="8"/>
  <c r="EB25" i="8"/>
  <c r="EC25" i="8"/>
  <c r="ED25" i="8"/>
  <c r="EE25" i="8"/>
  <c r="EF25" i="8"/>
  <c r="EG25" i="8"/>
  <c r="EH25" i="8"/>
  <c r="EI25" i="8"/>
  <c r="EJ25" i="8"/>
  <c r="EK25" i="8"/>
  <c r="EL25" i="8"/>
  <c r="EM25" i="8"/>
  <c r="EN25" i="8"/>
  <c r="EO25" i="8"/>
  <c r="EP25" i="8"/>
  <c r="EQ25" i="8"/>
  <c r="ER25" i="8"/>
  <c r="ES25" i="8"/>
  <c r="ET25" i="8"/>
  <c r="EU25" i="8"/>
  <c r="EV25" i="8"/>
  <c r="EW25" i="8"/>
  <c r="EX25" i="8"/>
  <c r="EY25" i="8"/>
  <c r="EZ25" i="8"/>
  <c r="FA25" i="8"/>
  <c r="FB25" i="8"/>
  <c r="FC25" i="8"/>
  <c r="FD25" i="8"/>
  <c r="FE25" i="8"/>
  <c r="FF25" i="8"/>
  <c r="FG25" i="8"/>
  <c r="FH25" i="8"/>
  <c r="FI25" i="8"/>
  <c r="FJ25" i="8"/>
  <c r="FK25" i="8"/>
  <c r="FL25" i="8"/>
  <c r="FM25" i="8"/>
  <c r="FN25" i="8"/>
  <c r="FO25" i="8"/>
  <c r="FP25" i="8"/>
  <c r="FQ25" i="8"/>
  <c r="FR25" i="8"/>
  <c r="FS25" i="8"/>
  <c r="FT25" i="8"/>
  <c r="FU25" i="8"/>
  <c r="FV25" i="8"/>
  <c r="FW25" i="8"/>
  <c r="FX25" i="8"/>
  <c r="FY25" i="8"/>
  <c r="FZ25" i="8"/>
  <c r="GA25" i="8"/>
  <c r="GB25" i="8"/>
  <c r="GC25" i="8"/>
  <c r="GD25" i="8"/>
  <c r="GE25" i="8"/>
  <c r="GF25" i="8"/>
  <c r="GG25" i="8"/>
  <c r="GH25" i="8"/>
  <c r="GI25" i="8"/>
  <c r="GJ25" i="8"/>
  <c r="GK25" i="8"/>
  <c r="GL25" i="8"/>
  <c r="GM25" i="8"/>
  <c r="GN25" i="8"/>
  <c r="GO25" i="8"/>
  <c r="GP25" i="8"/>
  <c r="GQ25" i="8"/>
  <c r="GR25" i="8"/>
  <c r="GS25" i="8"/>
  <c r="GT25" i="8"/>
  <c r="GU25" i="8"/>
  <c r="GV25" i="8"/>
  <c r="GW25" i="8"/>
  <c r="GX25" i="8"/>
  <c r="GY25" i="8"/>
  <c r="GZ25" i="8"/>
  <c r="HA25" i="8"/>
  <c r="HB25" i="8"/>
  <c r="HC25" i="8"/>
  <c r="HD25" i="8"/>
  <c r="HE25" i="8"/>
  <c r="HF25" i="8"/>
  <c r="HG25" i="8"/>
  <c r="HH25" i="8"/>
  <c r="HI25" i="8"/>
  <c r="HJ25" i="8"/>
  <c r="HK25" i="8"/>
  <c r="HL25" i="8"/>
  <c r="HM25" i="8"/>
  <c r="HN25" i="8"/>
  <c r="HO25" i="8"/>
  <c r="HP25" i="8"/>
  <c r="HQ25" i="8"/>
  <c r="HR25" i="8"/>
  <c r="HS25" i="8"/>
  <c r="HT25" i="8"/>
  <c r="HU25" i="8"/>
  <c r="HV25" i="8"/>
  <c r="HW25" i="8"/>
  <c r="HX25" i="8"/>
  <c r="HY25" i="8"/>
  <c r="HZ25" i="8"/>
  <c r="IA25" i="8"/>
  <c r="IB25" i="8"/>
  <c r="IC25" i="8"/>
  <c r="ID25" i="8"/>
  <c r="IE25" i="8"/>
  <c r="IF25" i="8"/>
  <c r="IG25" i="8"/>
  <c r="IH25" i="8"/>
  <c r="II25" i="8"/>
  <c r="IJ25" i="8"/>
  <c r="IK25" i="8"/>
  <c r="IL25" i="8"/>
  <c r="IM25" i="8"/>
  <c r="IN25" i="8"/>
  <c r="IO25" i="8"/>
  <c r="IP25" i="8"/>
  <c r="IQ25" i="8"/>
  <c r="IR25" i="8"/>
  <c r="IS25" i="8"/>
  <c r="IT25" i="8"/>
  <c r="IU25" i="8"/>
  <c r="IV25" i="8"/>
  <c r="F26" i="8"/>
  <c r="G26" i="8"/>
  <c r="H26" i="8"/>
  <c r="I26" i="8"/>
  <c r="J26" i="8"/>
  <c r="K26" i="8"/>
  <c r="L26" i="8"/>
  <c r="M26" i="8"/>
  <c r="N26" i="8"/>
  <c r="O26" i="8"/>
  <c r="P26" i="8"/>
  <c r="Q26" i="8"/>
  <c r="R26" i="8"/>
  <c r="S26" i="8"/>
  <c r="T26" i="8"/>
  <c r="U26" i="8"/>
  <c r="V26" i="8"/>
  <c r="W26" i="8"/>
  <c r="X26" i="8"/>
  <c r="Y26" i="8"/>
  <c r="Z26" i="8"/>
  <c r="AA26" i="8"/>
  <c r="AB26" i="8"/>
  <c r="AC26" i="8"/>
  <c r="AD26" i="8"/>
  <c r="AE26" i="8"/>
  <c r="AF26" i="8"/>
  <c r="AG26" i="8"/>
  <c r="AH26" i="8"/>
  <c r="AI26" i="8"/>
  <c r="AJ26" i="8"/>
  <c r="AK26" i="8"/>
  <c r="AL26" i="8"/>
  <c r="AM26" i="8"/>
  <c r="AN26" i="8"/>
  <c r="AO26" i="8"/>
  <c r="AP26" i="8"/>
  <c r="AQ26" i="8"/>
  <c r="AR26" i="8"/>
  <c r="AS26" i="8"/>
  <c r="AT26" i="8"/>
  <c r="AU26" i="8"/>
  <c r="AV26" i="8"/>
  <c r="AW26" i="8"/>
  <c r="AX26" i="8"/>
  <c r="AY26" i="8"/>
  <c r="AZ26" i="8"/>
  <c r="BA26" i="8"/>
  <c r="BB26" i="8"/>
  <c r="BC26" i="8"/>
  <c r="BD26" i="8"/>
  <c r="BE26" i="8"/>
  <c r="BF26" i="8"/>
  <c r="BG26" i="8"/>
  <c r="BH26" i="8"/>
  <c r="BI26" i="8"/>
  <c r="BJ26" i="8"/>
  <c r="BK26" i="8"/>
  <c r="BL26" i="8"/>
  <c r="BM26" i="8"/>
  <c r="BN26" i="8"/>
  <c r="BO26" i="8"/>
  <c r="BP26" i="8"/>
  <c r="BQ26" i="8"/>
  <c r="BR26" i="8"/>
  <c r="BS26" i="8"/>
  <c r="BT26" i="8"/>
  <c r="BU26" i="8"/>
  <c r="BV26" i="8"/>
  <c r="BW26" i="8"/>
  <c r="BX26" i="8"/>
  <c r="BY26" i="8"/>
  <c r="BZ26" i="8"/>
  <c r="CA26" i="8"/>
  <c r="CB26" i="8"/>
  <c r="CC26" i="8"/>
  <c r="CD26" i="8"/>
  <c r="CE26" i="8"/>
  <c r="CF26" i="8"/>
  <c r="CG26" i="8"/>
  <c r="CH26" i="8"/>
  <c r="CI26" i="8"/>
  <c r="CJ26" i="8"/>
  <c r="CK26" i="8"/>
  <c r="CL26" i="8"/>
  <c r="CM26" i="8"/>
  <c r="CN26" i="8"/>
  <c r="CO26" i="8"/>
  <c r="CP26" i="8"/>
  <c r="CQ26" i="8"/>
  <c r="CR26" i="8"/>
  <c r="CS26" i="8"/>
  <c r="CT26" i="8"/>
  <c r="CU26" i="8"/>
  <c r="CV26" i="8"/>
  <c r="CW26" i="8"/>
  <c r="CX26" i="8"/>
  <c r="CY26" i="8"/>
  <c r="CZ26" i="8"/>
  <c r="DA26" i="8"/>
  <c r="DB26" i="8"/>
  <c r="DC26" i="8"/>
  <c r="DD26" i="8"/>
  <c r="DE26" i="8"/>
  <c r="DF26" i="8"/>
  <c r="DG26" i="8"/>
  <c r="DH26" i="8"/>
  <c r="DI26" i="8"/>
  <c r="DJ26" i="8"/>
  <c r="DK26" i="8"/>
  <c r="DL26" i="8"/>
  <c r="DM26" i="8"/>
  <c r="DN26" i="8"/>
  <c r="DO26" i="8"/>
  <c r="DP26" i="8"/>
  <c r="DQ26" i="8"/>
  <c r="DR26" i="8"/>
  <c r="DS26" i="8"/>
  <c r="DT26" i="8"/>
  <c r="DU26" i="8"/>
  <c r="DV26" i="8"/>
  <c r="DW26" i="8"/>
  <c r="DX26" i="8"/>
  <c r="DY26" i="8"/>
  <c r="DZ26" i="8"/>
  <c r="EA26" i="8"/>
  <c r="EB26" i="8"/>
  <c r="EC26" i="8"/>
  <c r="ED26" i="8"/>
  <c r="EE26" i="8"/>
  <c r="EF26" i="8"/>
  <c r="EG26" i="8"/>
  <c r="EH26" i="8"/>
  <c r="EI26" i="8"/>
  <c r="EJ26" i="8"/>
  <c r="EK26" i="8"/>
  <c r="EL26" i="8"/>
  <c r="EM26" i="8"/>
  <c r="EN26" i="8"/>
  <c r="EO26" i="8"/>
  <c r="EP26" i="8"/>
  <c r="EQ26" i="8"/>
  <c r="ER26" i="8"/>
  <c r="ES26" i="8"/>
  <c r="ET26" i="8"/>
  <c r="EU26" i="8"/>
  <c r="EV26" i="8"/>
  <c r="EW26" i="8"/>
  <c r="EX26" i="8"/>
  <c r="EY26" i="8"/>
  <c r="EZ26" i="8"/>
  <c r="FA26" i="8"/>
  <c r="FB26" i="8"/>
  <c r="FC26" i="8"/>
  <c r="FD26" i="8"/>
  <c r="FE26" i="8"/>
  <c r="FF26" i="8"/>
  <c r="FG26" i="8"/>
  <c r="FH26" i="8"/>
  <c r="FI26" i="8"/>
  <c r="FJ26" i="8"/>
  <c r="FK26" i="8"/>
  <c r="FL26" i="8"/>
  <c r="FM26" i="8"/>
  <c r="FN26" i="8"/>
  <c r="FO26" i="8"/>
  <c r="FP26" i="8"/>
  <c r="FQ26" i="8"/>
  <c r="FR26" i="8"/>
  <c r="FS26" i="8"/>
  <c r="FT26" i="8"/>
  <c r="FU26" i="8"/>
  <c r="FV26" i="8"/>
  <c r="FW26" i="8"/>
  <c r="FX26" i="8"/>
  <c r="FY26" i="8"/>
  <c r="FZ26" i="8"/>
  <c r="GA26" i="8"/>
  <c r="GB26" i="8"/>
  <c r="GC26" i="8"/>
  <c r="GD26" i="8"/>
  <c r="GE26" i="8"/>
  <c r="GF26" i="8"/>
  <c r="GG26" i="8"/>
  <c r="GH26" i="8"/>
  <c r="GI26" i="8"/>
  <c r="GJ26" i="8"/>
  <c r="GK26" i="8"/>
  <c r="GL26" i="8"/>
  <c r="GM26" i="8"/>
  <c r="GN26" i="8"/>
  <c r="GO26" i="8"/>
  <c r="GP26" i="8"/>
  <c r="GQ26" i="8"/>
  <c r="GR26" i="8"/>
  <c r="GS26" i="8"/>
  <c r="GT26" i="8"/>
  <c r="GU26" i="8"/>
  <c r="GV26" i="8"/>
  <c r="GW26" i="8"/>
  <c r="GX26" i="8"/>
  <c r="GY26" i="8"/>
  <c r="GZ26" i="8"/>
  <c r="HA26" i="8"/>
  <c r="HB26" i="8"/>
  <c r="HC26" i="8"/>
  <c r="HD26" i="8"/>
  <c r="HE26" i="8"/>
  <c r="HF26" i="8"/>
  <c r="HG26" i="8"/>
  <c r="HH26" i="8"/>
  <c r="HI26" i="8"/>
  <c r="HJ26" i="8"/>
  <c r="HK26" i="8"/>
  <c r="HL26" i="8"/>
  <c r="HM26" i="8"/>
  <c r="HN26" i="8"/>
  <c r="HO26" i="8"/>
  <c r="HP26" i="8"/>
  <c r="HQ26" i="8"/>
  <c r="HR26" i="8"/>
  <c r="HS26" i="8"/>
  <c r="HT26" i="8"/>
  <c r="HU26" i="8"/>
  <c r="HV26" i="8"/>
  <c r="HW26" i="8"/>
  <c r="HX26" i="8"/>
  <c r="HY26" i="8"/>
  <c r="HZ26" i="8"/>
  <c r="IA26" i="8"/>
  <c r="IB26" i="8"/>
  <c r="IC26" i="8"/>
  <c r="ID26" i="8"/>
  <c r="IE26" i="8"/>
  <c r="IF26" i="8"/>
  <c r="IG26" i="8"/>
  <c r="IH26" i="8"/>
  <c r="II26" i="8"/>
  <c r="IJ26" i="8"/>
  <c r="IK26" i="8"/>
  <c r="IL26" i="8"/>
  <c r="IM26" i="8"/>
  <c r="IN26" i="8"/>
  <c r="IO26" i="8"/>
  <c r="IP26" i="8"/>
  <c r="IQ26" i="8"/>
  <c r="IR26" i="8"/>
  <c r="IS26" i="8"/>
  <c r="IT26" i="8"/>
  <c r="IU26" i="8"/>
  <c r="IV26" i="8"/>
  <c r="F27" i="8"/>
  <c r="G27" i="8"/>
  <c r="H27" i="8"/>
  <c r="I27" i="8"/>
  <c r="J27" i="8"/>
  <c r="K27" i="8"/>
  <c r="L27" i="8"/>
  <c r="M27" i="8"/>
  <c r="N27" i="8"/>
  <c r="O27" i="8"/>
  <c r="P27" i="8"/>
  <c r="Q27" i="8"/>
  <c r="R27" i="8"/>
  <c r="S27" i="8"/>
  <c r="T27" i="8"/>
  <c r="U27" i="8"/>
  <c r="V27" i="8"/>
  <c r="W27" i="8"/>
  <c r="X27" i="8"/>
  <c r="Y27" i="8"/>
  <c r="Z27" i="8"/>
  <c r="AA27" i="8"/>
  <c r="AB27" i="8"/>
  <c r="AC27" i="8"/>
  <c r="AD27" i="8"/>
  <c r="AE27" i="8"/>
  <c r="AF27" i="8"/>
  <c r="AG27" i="8"/>
  <c r="AH27" i="8"/>
  <c r="AI27" i="8"/>
  <c r="AJ27" i="8"/>
  <c r="AK27" i="8"/>
  <c r="AL27" i="8"/>
  <c r="AM27" i="8"/>
  <c r="AN27" i="8"/>
  <c r="AO27" i="8"/>
  <c r="AP27" i="8"/>
  <c r="AQ27" i="8"/>
  <c r="AR27" i="8"/>
  <c r="AS27" i="8"/>
  <c r="AT27" i="8"/>
  <c r="AU27" i="8"/>
  <c r="AV27" i="8"/>
  <c r="AW27" i="8"/>
  <c r="AX27" i="8"/>
  <c r="AY27" i="8"/>
  <c r="AZ27" i="8"/>
  <c r="BA27" i="8"/>
  <c r="BB27" i="8"/>
  <c r="BC27" i="8"/>
  <c r="BD27" i="8"/>
  <c r="BE27" i="8"/>
  <c r="BF27" i="8"/>
  <c r="BG27" i="8"/>
  <c r="BH27" i="8"/>
  <c r="BI27" i="8"/>
  <c r="BJ27" i="8"/>
  <c r="BK27" i="8"/>
  <c r="BL27" i="8"/>
  <c r="BM27" i="8"/>
  <c r="BN27" i="8"/>
  <c r="BO27" i="8"/>
  <c r="BP27" i="8"/>
  <c r="BQ27" i="8"/>
  <c r="BR27" i="8"/>
  <c r="BS27" i="8"/>
  <c r="BT27" i="8"/>
  <c r="BU27" i="8"/>
  <c r="BV27" i="8"/>
  <c r="BW27" i="8"/>
  <c r="BX27" i="8"/>
  <c r="BY27" i="8"/>
  <c r="BZ27" i="8"/>
  <c r="CA27" i="8"/>
  <c r="CB27" i="8"/>
  <c r="CC27" i="8"/>
  <c r="CD27" i="8"/>
  <c r="CE27" i="8"/>
  <c r="CF27" i="8"/>
  <c r="CG27" i="8"/>
  <c r="CH27" i="8"/>
  <c r="CI27" i="8"/>
  <c r="CJ27" i="8"/>
  <c r="CK27" i="8"/>
  <c r="CL27" i="8"/>
  <c r="CM27" i="8"/>
  <c r="CN27" i="8"/>
  <c r="CO27" i="8"/>
  <c r="CP27" i="8"/>
  <c r="CQ27" i="8"/>
  <c r="CR27" i="8"/>
  <c r="CS27" i="8"/>
  <c r="CT27" i="8"/>
  <c r="CU27" i="8"/>
  <c r="CV27" i="8"/>
  <c r="CW27" i="8"/>
  <c r="CX27" i="8"/>
  <c r="CY27" i="8"/>
  <c r="CZ27" i="8"/>
  <c r="DA27" i="8"/>
  <c r="DB27" i="8"/>
  <c r="DC27" i="8"/>
  <c r="DD27" i="8"/>
  <c r="DE27" i="8"/>
  <c r="DF27" i="8"/>
  <c r="DG27" i="8"/>
  <c r="DH27" i="8"/>
  <c r="DI27" i="8"/>
  <c r="DJ27" i="8"/>
  <c r="DK27" i="8"/>
  <c r="DL27" i="8"/>
  <c r="DM27" i="8"/>
  <c r="DN27" i="8"/>
  <c r="DO27" i="8"/>
  <c r="DP27" i="8"/>
  <c r="DQ27" i="8"/>
  <c r="DR27" i="8"/>
  <c r="DS27" i="8"/>
  <c r="DT27" i="8"/>
  <c r="DU27" i="8"/>
  <c r="DV27" i="8"/>
  <c r="DW27" i="8"/>
  <c r="DX27" i="8"/>
  <c r="DY27" i="8"/>
  <c r="DZ27" i="8"/>
  <c r="EA27" i="8"/>
  <c r="EB27" i="8"/>
  <c r="EC27" i="8"/>
  <c r="ED27" i="8"/>
  <c r="EE27" i="8"/>
  <c r="EF27" i="8"/>
  <c r="EG27" i="8"/>
  <c r="EH27" i="8"/>
  <c r="EI27" i="8"/>
  <c r="EJ27" i="8"/>
  <c r="EK27" i="8"/>
  <c r="EL27" i="8"/>
  <c r="EM27" i="8"/>
  <c r="EN27" i="8"/>
  <c r="EO27" i="8"/>
  <c r="EP27" i="8"/>
  <c r="EQ27" i="8"/>
  <c r="ER27" i="8"/>
  <c r="ES27" i="8"/>
  <c r="ET27" i="8"/>
  <c r="EU27" i="8"/>
  <c r="EV27" i="8"/>
  <c r="EW27" i="8"/>
  <c r="EX27" i="8"/>
  <c r="EY27" i="8"/>
  <c r="EZ27" i="8"/>
  <c r="FA27" i="8"/>
  <c r="FB27" i="8"/>
  <c r="FC27" i="8"/>
  <c r="FD27" i="8"/>
  <c r="FE27" i="8"/>
  <c r="FF27" i="8"/>
  <c r="FG27" i="8"/>
  <c r="FH27" i="8"/>
  <c r="FI27" i="8"/>
  <c r="FJ27" i="8"/>
  <c r="FK27" i="8"/>
  <c r="FL27" i="8"/>
  <c r="FM27" i="8"/>
  <c r="FN27" i="8"/>
  <c r="FO27" i="8"/>
  <c r="FP27" i="8"/>
  <c r="FQ27" i="8"/>
  <c r="FR27" i="8"/>
  <c r="FS27" i="8"/>
  <c r="FT27" i="8"/>
  <c r="FU27" i="8"/>
  <c r="FV27" i="8"/>
  <c r="FW27" i="8"/>
  <c r="FX27" i="8"/>
  <c r="FY27" i="8"/>
  <c r="FZ27" i="8"/>
  <c r="GA27" i="8"/>
  <c r="GB27" i="8"/>
  <c r="GC27" i="8"/>
  <c r="GD27" i="8"/>
  <c r="GE27" i="8"/>
  <c r="GF27" i="8"/>
  <c r="GG27" i="8"/>
  <c r="GH27" i="8"/>
  <c r="GI27" i="8"/>
  <c r="GJ27" i="8"/>
  <c r="GK27" i="8"/>
  <c r="GL27" i="8"/>
  <c r="GM27" i="8"/>
  <c r="GN27" i="8"/>
  <c r="GO27" i="8"/>
  <c r="GP27" i="8"/>
  <c r="GQ27" i="8"/>
  <c r="GR27" i="8"/>
  <c r="GS27" i="8"/>
  <c r="GT27" i="8"/>
  <c r="GU27" i="8"/>
  <c r="GV27" i="8"/>
  <c r="GW27" i="8"/>
  <c r="GX27" i="8"/>
  <c r="GY27" i="8"/>
  <c r="GZ27" i="8"/>
  <c r="HA27" i="8"/>
  <c r="HB27" i="8"/>
  <c r="HC27" i="8"/>
  <c r="HD27" i="8"/>
  <c r="HE27" i="8"/>
  <c r="HF27" i="8"/>
  <c r="HG27" i="8"/>
  <c r="HH27" i="8"/>
  <c r="HI27" i="8"/>
  <c r="HJ27" i="8"/>
  <c r="HK27" i="8"/>
  <c r="HL27" i="8"/>
  <c r="HM27" i="8"/>
  <c r="HN27" i="8"/>
  <c r="HO27" i="8"/>
  <c r="HP27" i="8"/>
  <c r="HQ27" i="8"/>
  <c r="HR27" i="8"/>
  <c r="HS27" i="8"/>
  <c r="HT27" i="8"/>
  <c r="HU27" i="8"/>
  <c r="HV27" i="8"/>
  <c r="HW27" i="8"/>
  <c r="HX27" i="8"/>
  <c r="HY27" i="8"/>
  <c r="HZ27" i="8"/>
  <c r="IA27" i="8"/>
  <c r="IB27" i="8"/>
  <c r="IC27" i="8"/>
  <c r="ID27" i="8"/>
  <c r="IE27" i="8"/>
  <c r="IF27" i="8"/>
  <c r="IG27" i="8"/>
  <c r="IH27" i="8"/>
  <c r="II27" i="8"/>
  <c r="IJ27" i="8"/>
  <c r="IK27" i="8"/>
  <c r="IL27" i="8"/>
  <c r="IM27" i="8"/>
  <c r="IN27" i="8"/>
  <c r="IO27" i="8"/>
  <c r="IP27" i="8"/>
  <c r="IQ27" i="8"/>
  <c r="IR27" i="8"/>
  <c r="IS27" i="8"/>
  <c r="IT27" i="8"/>
  <c r="IU27" i="8"/>
  <c r="IV27" i="8"/>
  <c r="F28" i="8"/>
  <c r="G28" i="8"/>
  <c r="H28" i="8"/>
  <c r="I28" i="8"/>
  <c r="J28" i="8"/>
  <c r="K28" i="8"/>
  <c r="L28" i="8"/>
  <c r="M28" i="8"/>
  <c r="N28" i="8"/>
  <c r="O28" i="8"/>
  <c r="P28" i="8"/>
  <c r="Q28" i="8"/>
  <c r="R28" i="8"/>
  <c r="S28" i="8"/>
  <c r="T28" i="8"/>
  <c r="U28" i="8"/>
  <c r="V28" i="8"/>
  <c r="W28" i="8"/>
  <c r="X28" i="8"/>
  <c r="Y28" i="8"/>
  <c r="Z28" i="8"/>
  <c r="AA28" i="8"/>
  <c r="AB28" i="8"/>
  <c r="AC28" i="8"/>
  <c r="AD28" i="8"/>
  <c r="AE28" i="8"/>
  <c r="AF28" i="8"/>
  <c r="AG28" i="8"/>
  <c r="AH28" i="8"/>
  <c r="AI28" i="8"/>
  <c r="AJ28" i="8"/>
  <c r="AK28" i="8"/>
  <c r="AL28" i="8"/>
  <c r="AM28" i="8"/>
  <c r="AN28" i="8"/>
  <c r="AO28" i="8"/>
  <c r="AP28" i="8"/>
  <c r="AQ28" i="8"/>
  <c r="AR28" i="8"/>
  <c r="AS28" i="8"/>
  <c r="AT28" i="8"/>
  <c r="AU28" i="8"/>
  <c r="AV28" i="8"/>
  <c r="AW28" i="8"/>
  <c r="AX28" i="8"/>
  <c r="AY28" i="8"/>
  <c r="AZ28" i="8"/>
  <c r="BA28" i="8"/>
  <c r="BB28" i="8"/>
  <c r="BC28" i="8"/>
  <c r="BD28" i="8"/>
  <c r="BE28" i="8"/>
  <c r="BF28" i="8"/>
  <c r="BG28" i="8"/>
  <c r="BH28" i="8"/>
  <c r="BI28" i="8"/>
  <c r="BJ28" i="8"/>
  <c r="BK28" i="8"/>
  <c r="BL28" i="8"/>
  <c r="BM28" i="8"/>
  <c r="BN28" i="8"/>
  <c r="BO28" i="8"/>
  <c r="BP28" i="8"/>
  <c r="BQ28" i="8"/>
  <c r="BR28" i="8"/>
  <c r="BS28" i="8"/>
  <c r="BT28" i="8"/>
  <c r="BU28" i="8"/>
  <c r="BV28" i="8"/>
  <c r="BW28" i="8"/>
  <c r="BX28" i="8"/>
  <c r="BY28" i="8"/>
  <c r="BZ28" i="8"/>
  <c r="CA28" i="8"/>
  <c r="CB28" i="8"/>
  <c r="CC28" i="8"/>
  <c r="CD28" i="8"/>
  <c r="CE28" i="8"/>
  <c r="CF28" i="8"/>
  <c r="CG28" i="8"/>
  <c r="CH28" i="8"/>
  <c r="CI28" i="8"/>
  <c r="CJ28" i="8"/>
  <c r="CK28" i="8"/>
  <c r="CL28" i="8"/>
  <c r="CM28" i="8"/>
  <c r="CN28" i="8"/>
  <c r="CO28" i="8"/>
  <c r="CP28" i="8"/>
  <c r="CQ28" i="8"/>
  <c r="CR28" i="8"/>
  <c r="CS28" i="8"/>
  <c r="CT28" i="8"/>
  <c r="CU28" i="8"/>
  <c r="CV28" i="8"/>
  <c r="CW28" i="8"/>
  <c r="CX28" i="8"/>
  <c r="CY28" i="8"/>
  <c r="CZ28" i="8"/>
  <c r="DA28" i="8"/>
  <c r="DB28" i="8"/>
  <c r="DC28" i="8"/>
  <c r="DD28" i="8"/>
  <c r="DE28" i="8"/>
  <c r="DF28" i="8"/>
  <c r="DG28" i="8"/>
  <c r="DH28" i="8"/>
  <c r="DI28" i="8"/>
  <c r="DJ28" i="8"/>
  <c r="DK28" i="8"/>
  <c r="DL28" i="8"/>
  <c r="DM28" i="8"/>
  <c r="DN28" i="8"/>
  <c r="DO28" i="8"/>
  <c r="DP28" i="8"/>
  <c r="DQ28" i="8"/>
  <c r="DR28" i="8"/>
  <c r="DS28" i="8"/>
  <c r="DT28" i="8"/>
  <c r="DU28" i="8"/>
  <c r="DV28" i="8"/>
  <c r="DW28" i="8"/>
  <c r="DX28" i="8"/>
  <c r="DY28" i="8"/>
  <c r="DZ28" i="8"/>
  <c r="EA28" i="8"/>
  <c r="EB28" i="8"/>
  <c r="EC28" i="8"/>
  <c r="ED28" i="8"/>
  <c r="EE28" i="8"/>
  <c r="EF28" i="8"/>
  <c r="EG28" i="8"/>
  <c r="EH28" i="8"/>
  <c r="EI28" i="8"/>
  <c r="EJ28" i="8"/>
  <c r="EK28" i="8"/>
  <c r="EL28" i="8"/>
  <c r="EM28" i="8"/>
  <c r="EN28" i="8"/>
  <c r="EO28" i="8"/>
  <c r="EP28" i="8"/>
  <c r="EQ28" i="8"/>
  <c r="ER28" i="8"/>
  <c r="ES28" i="8"/>
  <c r="ET28" i="8"/>
  <c r="EU28" i="8"/>
  <c r="EV28" i="8"/>
  <c r="EW28" i="8"/>
  <c r="EX28" i="8"/>
  <c r="EY28" i="8"/>
  <c r="EZ28" i="8"/>
  <c r="FA28" i="8"/>
  <c r="FB28" i="8"/>
  <c r="FC28" i="8"/>
  <c r="FD28" i="8"/>
  <c r="FE28" i="8"/>
  <c r="FF28" i="8"/>
  <c r="FG28" i="8"/>
  <c r="FH28" i="8"/>
  <c r="FI28" i="8"/>
  <c r="FJ28" i="8"/>
  <c r="FK28" i="8"/>
  <c r="FL28" i="8"/>
  <c r="FM28" i="8"/>
  <c r="FN28" i="8"/>
  <c r="FO28" i="8"/>
  <c r="FP28" i="8"/>
  <c r="FQ28" i="8"/>
  <c r="FR28" i="8"/>
  <c r="FS28" i="8"/>
  <c r="FT28" i="8"/>
  <c r="FU28" i="8"/>
  <c r="FV28" i="8"/>
  <c r="FW28" i="8"/>
  <c r="FX28" i="8"/>
  <c r="FY28" i="8"/>
  <c r="FZ28" i="8"/>
  <c r="GA28" i="8"/>
  <c r="GB28" i="8"/>
  <c r="GC28" i="8"/>
  <c r="GD28" i="8"/>
  <c r="GE28" i="8"/>
  <c r="GF28" i="8"/>
  <c r="GG28" i="8"/>
  <c r="GH28" i="8"/>
  <c r="GI28" i="8"/>
  <c r="GJ28" i="8"/>
  <c r="GK28" i="8"/>
  <c r="GL28" i="8"/>
  <c r="GM28" i="8"/>
  <c r="GN28" i="8"/>
  <c r="GO28" i="8"/>
  <c r="GP28" i="8"/>
  <c r="GQ28" i="8"/>
  <c r="GR28" i="8"/>
  <c r="GS28" i="8"/>
  <c r="GT28" i="8"/>
  <c r="GU28" i="8"/>
  <c r="GV28" i="8"/>
  <c r="GW28" i="8"/>
  <c r="GX28" i="8"/>
  <c r="GY28" i="8"/>
  <c r="GZ28" i="8"/>
  <c r="HA28" i="8"/>
  <c r="HB28" i="8"/>
  <c r="HC28" i="8"/>
  <c r="HD28" i="8"/>
  <c r="HE28" i="8"/>
  <c r="HF28" i="8"/>
  <c r="HG28" i="8"/>
  <c r="HH28" i="8"/>
  <c r="HI28" i="8"/>
  <c r="HJ28" i="8"/>
  <c r="HK28" i="8"/>
  <c r="HL28" i="8"/>
  <c r="HM28" i="8"/>
  <c r="HN28" i="8"/>
  <c r="HO28" i="8"/>
  <c r="HP28" i="8"/>
  <c r="HQ28" i="8"/>
  <c r="HR28" i="8"/>
  <c r="HS28" i="8"/>
  <c r="HT28" i="8"/>
  <c r="HU28" i="8"/>
  <c r="HV28" i="8"/>
  <c r="HW28" i="8"/>
  <c r="HX28" i="8"/>
  <c r="HY28" i="8"/>
  <c r="HZ28" i="8"/>
  <c r="IA28" i="8"/>
  <c r="IB28" i="8"/>
  <c r="IC28" i="8"/>
  <c r="ID28" i="8"/>
  <c r="IE28" i="8"/>
  <c r="IF28" i="8"/>
  <c r="IG28" i="8"/>
  <c r="IH28" i="8"/>
  <c r="II28" i="8"/>
  <c r="IJ28" i="8"/>
  <c r="IK28" i="8"/>
  <c r="IL28" i="8"/>
  <c r="IM28" i="8"/>
  <c r="IN28" i="8"/>
  <c r="IO28" i="8"/>
  <c r="IP28" i="8"/>
  <c r="IQ28" i="8"/>
  <c r="IR28" i="8"/>
  <c r="IS28" i="8"/>
  <c r="IT28" i="8"/>
  <c r="IU28" i="8"/>
  <c r="IV28" i="8"/>
  <c r="F29" i="8"/>
  <c r="G29" i="8"/>
  <c r="H29" i="8"/>
  <c r="I29" i="8"/>
  <c r="J29" i="8"/>
  <c r="K29" i="8"/>
  <c r="L29" i="8"/>
  <c r="M29" i="8"/>
  <c r="N29" i="8"/>
  <c r="O29" i="8"/>
  <c r="P29" i="8"/>
  <c r="Q29" i="8"/>
  <c r="R29" i="8"/>
  <c r="S29" i="8"/>
  <c r="T29" i="8"/>
  <c r="U29" i="8"/>
  <c r="V29" i="8"/>
  <c r="W29" i="8"/>
  <c r="X29" i="8"/>
  <c r="Y29" i="8"/>
  <c r="Z29" i="8"/>
  <c r="AA29" i="8"/>
  <c r="AB29" i="8"/>
  <c r="AC29" i="8"/>
  <c r="AD29" i="8"/>
  <c r="AE29" i="8"/>
  <c r="AF29" i="8"/>
  <c r="AG29" i="8"/>
  <c r="AH29" i="8"/>
  <c r="AI29" i="8"/>
  <c r="AJ29" i="8"/>
  <c r="AK29" i="8"/>
  <c r="AL29" i="8"/>
  <c r="AM29" i="8"/>
  <c r="AN29" i="8"/>
  <c r="AO29" i="8"/>
  <c r="AP29" i="8"/>
  <c r="AQ29" i="8"/>
  <c r="AR29" i="8"/>
  <c r="AS29" i="8"/>
  <c r="AT29" i="8"/>
  <c r="AU29" i="8"/>
  <c r="AV29" i="8"/>
  <c r="AW29" i="8"/>
  <c r="AX29" i="8"/>
  <c r="AY29" i="8"/>
  <c r="AZ29" i="8"/>
  <c r="BA29" i="8"/>
  <c r="BB29" i="8"/>
  <c r="BC29" i="8"/>
  <c r="BD29" i="8"/>
  <c r="BE29" i="8"/>
  <c r="BF29" i="8"/>
  <c r="BG29" i="8"/>
  <c r="BH29" i="8"/>
  <c r="BI29" i="8"/>
  <c r="BJ29" i="8"/>
  <c r="BK29" i="8"/>
  <c r="BL29" i="8"/>
  <c r="BM29" i="8"/>
  <c r="BN29" i="8"/>
  <c r="BO29" i="8"/>
  <c r="BP29" i="8"/>
  <c r="BQ29" i="8"/>
  <c r="BR29" i="8"/>
  <c r="BS29" i="8"/>
  <c r="BT29" i="8"/>
  <c r="BU29" i="8"/>
  <c r="BV29" i="8"/>
  <c r="BW29" i="8"/>
  <c r="BX29" i="8"/>
  <c r="BY29" i="8"/>
  <c r="BZ29" i="8"/>
  <c r="CA29" i="8"/>
  <c r="CB29" i="8"/>
  <c r="CC29" i="8"/>
  <c r="CD29" i="8"/>
  <c r="CE29" i="8"/>
  <c r="CF29" i="8"/>
  <c r="CG29" i="8"/>
  <c r="CH29" i="8"/>
  <c r="CI29" i="8"/>
  <c r="CJ29" i="8"/>
  <c r="CK29" i="8"/>
  <c r="CL29" i="8"/>
  <c r="CM29" i="8"/>
  <c r="CN29" i="8"/>
  <c r="CO29" i="8"/>
  <c r="CP29" i="8"/>
  <c r="CQ29" i="8"/>
  <c r="CR29" i="8"/>
  <c r="CS29" i="8"/>
  <c r="CT29" i="8"/>
  <c r="CU29" i="8"/>
  <c r="CV29" i="8"/>
  <c r="CW29" i="8"/>
  <c r="CX29" i="8"/>
  <c r="CY29" i="8"/>
  <c r="CZ29" i="8"/>
  <c r="DA29" i="8"/>
  <c r="DB29" i="8"/>
  <c r="DC29" i="8"/>
  <c r="DD29" i="8"/>
  <c r="DE29" i="8"/>
  <c r="DF29" i="8"/>
  <c r="DG29" i="8"/>
  <c r="DH29" i="8"/>
  <c r="DI29" i="8"/>
  <c r="DJ29" i="8"/>
  <c r="DK29" i="8"/>
  <c r="DL29" i="8"/>
  <c r="DM29" i="8"/>
  <c r="DN29" i="8"/>
  <c r="DO29" i="8"/>
  <c r="DP29" i="8"/>
  <c r="DQ29" i="8"/>
  <c r="DR29" i="8"/>
  <c r="DS29" i="8"/>
  <c r="DT29" i="8"/>
  <c r="DU29" i="8"/>
  <c r="DV29" i="8"/>
  <c r="DW29" i="8"/>
  <c r="DX29" i="8"/>
  <c r="DY29" i="8"/>
  <c r="DZ29" i="8"/>
  <c r="EA29" i="8"/>
  <c r="EB29" i="8"/>
  <c r="EC29" i="8"/>
  <c r="ED29" i="8"/>
  <c r="EE29" i="8"/>
  <c r="EF29" i="8"/>
  <c r="EG29" i="8"/>
  <c r="EH29" i="8"/>
  <c r="EI29" i="8"/>
  <c r="EJ29" i="8"/>
  <c r="EK29" i="8"/>
  <c r="EL29" i="8"/>
  <c r="EM29" i="8"/>
  <c r="EN29" i="8"/>
  <c r="EO29" i="8"/>
  <c r="EP29" i="8"/>
  <c r="EQ29" i="8"/>
  <c r="ER29" i="8"/>
  <c r="ES29" i="8"/>
  <c r="ET29" i="8"/>
  <c r="EU29" i="8"/>
  <c r="EV29" i="8"/>
  <c r="EW29" i="8"/>
  <c r="EX29" i="8"/>
  <c r="EY29" i="8"/>
  <c r="EZ29" i="8"/>
  <c r="FA29" i="8"/>
  <c r="FB29" i="8"/>
  <c r="FC29" i="8"/>
  <c r="FD29" i="8"/>
  <c r="FE29" i="8"/>
  <c r="FF29" i="8"/>
  <c r="FG29" i="8"/>
  <c r="FH29" i="8"/>
  <c r="FI29" i="8"/>
  <c r="FJ29" i="8"/>
  <c r="FK29" i="8"/>
  <c r="FL29" i="8"/>
  <c r="FM29" i="8"/>
  <c r="FN29" i="8"/>
  <c r="FO29" i="8"/>
  <c r="FP29" i="8"/>
  <c r="FQ29" i="8"/>
  <c r="FR29" i="8"/>
  <c r="FS29" i="8"/>
  <c r="FT29" i="8"/>
  <c r="FU29" i="8"/>
  <c r="FV29" i="8"/>
  <c r="FW29" i="8"/>
  <c r="FX29" i="8"/>
  <c r="FY29" i="8"/>
  <c r="FZ29" i="8"/>
  <c r="GA29" i="8"/>
  <c r="GB29" i="8"/>
  <c r="GC29" i="8"/>
  <c r="GD29" i="8"/>
  <c r="GE29" i="8"/>
  <c r="GF29" i="8"/>
  <c r="GG29" i="8"/>
  <c r="GH29" i="8"/>
  <c r="GI29" i="8"/>
  <c r="GJ29" i="8"/>
  <c r="GK29" i="8"/>
  <c r="GL29" i="8"/>
  <c r="GM29" i="8"/>
  <c r="GN29" i="8"/>
  <c r="GO29" i="8"/>
  <c r="GP29" i="8"/>
  <c r="GQ29" i="8"/>
  <c r="GR29" i="8"/>
  <c r="GS29" i="8"/>
  <c r="GT29" i="8"/>
  <c r="GU29" i="8"/>
  <c r="GV29" i="8"/>
  <c r="GW29" i="8"/>
  <c r="GX29" i="8"/>
  <c r="GY29" i="8"/>
  <c r="GZ29" i="8"/>
  <c r="HA29" i="8"/>
  <c r="HB29" i="8"/>
  <c r="HC29" i="8"/>
  <c r="HD29" i="8"/>
  <c r="HE29" i="8"/>
  <c r="HF29" i="8"/>
  <c r="HG29" i="8"/>
  <c r="HH29" i="8"/>
  <c r="HI29" i="8"/>
  <c r="HJ29" i="8"/>
  <c r="HK29" i="8"/>
  <c r="HL29" i="8"/>
  <c r="HM29" i="8"/>
  <c r="HN29" i="8"/>
  <c r="HO29" i="8"/>
  <c r="HP29" i="8"/>
  <c r="HQ29" i="8"/>
  <c r="HR29" i="8"/>
  <c r="HS29" i="8"/>
  <c r="HT29" i="8"/>
  <c r="HU29" i="8"/>
  <c r="HV29" i="8"/>
  <c r="HW29" i="8"/>
  <c r="HX29" i="8"/>
  <c r="HY29" i="8"/>
  <c r="HZ29" i="8"/>
  <c r="IA29" i="8"/>
  <c r="IB29" i="8"/>
  <c r="IC29" i="8"/>
  <c r="ID29" i="8"/>
  <c r="IE29" i="8"/>
  <c r="IF29" i="8"/>
  <c r="IG29" i="8"/>
  <c r="IH29" i="8"/>
  <c r="II29" i="8"/>
  <c r="IJ29" i="8"/>
  <c r="IK29" i="8"/>
  <c r="IL29" i="8"/>
  <c r="IM29" i="8"/>
  <c r="IN29" i="8"/>
  <c r="IO29" i="8"/>
  <c r="IP29" i="8"/>
  <c r="IQ29" i="8"/>
  <c r="IR29" i="8"/>
  <c r="IS29" i="8"/>
  <c r="IT29" i="8"/>
  <c r="IU29" i="8"/>
  <c r="IV29" i="8"/>
  <c r="F30" i="8"/>
  <c r="G30" i="8"/>
  <c r="H30" i="8"/>
  <c r="I30" i="8"/>
  <c r="J30" i="8"/>
  <c r="K30" i="8"/>
  <c r="L30" i="8"/>
  <c r="M30" i="8"/>
  <c r="N30" i="8"/>
  <c r="O30" i="8"/>
  <c r="P30" i="8"/>
  <c r="Q30" i="8"/>
  <c r="R30" i="8"/>
  <c r="S30" i="8"/>
  <c r="T30" i="8"/>
  <c r="U30" i="8"/>
  <c r="V30" i="8"/>
  <c r="W30" i="8"/>
  <c r="X30" i="8"/>
  <c r="Y30" i="8"/>
  <c r="Z30" i="8"/>
  <c r="AA30" i="8"/>
  <c r="AB30" i="8"/>
  <c r="AC30" i="8"/>
  <c r="AD30" i="8"/>
  <c r="AE30" i="8"/>
  <c r="AF30" i="8"/>
  <c r="AG30" i="8"/>
  <c r="AH30" i="8"/>
  <c r="AI30" i="8"/>
  <c r="AJ30" i="8"/>
  <c r="AK30" i="8"/>
  <c r="AL30" i="8"/>
  <c r="AM30" i="8"/>
  <c r="AN30" i="8"/>
  <c r="AO30" i="8"/>
  <c r="AP30" i="8"/>
  <c r="AQ30" i="8"/>
  <c r="AR30" i="8"/>
  <c r="AS30" i="8"/>
  <c r="AT30" i="8"/>
  <c r="AU30" i="8"/>
  <c r="AV30" i="8"/>
  <c r="AW30" i="8"/>
  <c r="AX30" i="8"/>
  <c r="AY30" i="8"/>
  <c r="AZ30" i="8"/>
  <c r="BA30" i="8"/>
  <c r="BB30" i="8"/>
  <c r="BC30" i="8"/>
  <c r="BD30" i="8"/>
  <c r="BE30" i="8"/>
  <c r="BF30" i="8"/>
  <c r="BG30" i="8"/>
  <c r="BH30" i="8"/>
  <c r="BI30" i="8"/>
  <c r="BJ30" i="8"/>
  <c r="BK30" i="8"/>
  <c r="BL30" i="8"/>
  <c r="BM30" i="8"/>
  <c r="BN30" i="8"/>
  <c r="BO30" i="8"/>
  <c r="BP30" i="8"/>
  <c r="BQ30" i="8"/>
  <c r="BR30" i="8"/>
  <c r="BS30" i="8"/>
  <c r="BT30" i="8"/>
  <c r="BU30" i="8"/>
  <c r="BV30" i="8"/>
  <c r="BW30" i="8"/>
  <c r="BX30" i="8"/>
  <c r="BY30" i="8"/>
  <c r="BZ30" i="8"/>
  <c r="CA30" i="8"/>
  <c r="CB30" i="8"/>
  <c r="CC30" i="8"/>
  <c r="CD30" i="8"/>
  <c r="CE30" i="8"/>
  <c r="CF30" i="8"/>
  <c r="CG30" i="8"/>
  <c r="CH30" i="8"/>
  <c r="CI30" i="8"/>
  <c r="CJ30" i="8"/>
  <c r="CK30" i="8"/>
  <c r="CL30" i="8"/>
  <c r="CM30" i="8"/>
  <c r="CN30" i="8"/>
  <c r="CO30" i="8"/>
  <c r="CP30" i="8"/>
  <c r="CQ30" i="8"/>
  <c r="CR30" i="8"/>
  <c r="CS30" i="8"/>
  <c r="CT30" i="8"/>
  <c r="CU30" i="8"/>
  <c r="CV30" i="8"/>
  <c r="CW30" i="8"/>
  <c r="CX30" i="8"/>
  <c r="CY30" i="8"/>
  <c r="CZ30" i="8"/>
  <c r="DA30" i="8"/>
  <c r="DB30" i="8"/>
  <c r="DC30" i="8"/>
  <c r="DD30" i="8"/>
  <c r="DE30" i="8"/>
  <c r="DF30" i="8"/>
  <c r="DG30" i="8"/>
  <c r="DH30" i="8"/>
  <c r="DI30" i="8"/>
  <c r="DJ30" i="8"/>
  <c r="DK30" i="8"/>
  <c r="DL30" i="8"/>
  <c r="DM30" i="8"/>
  <c r="DN30" i="8"/>
  <c r="DO30" i="8"/>
  <c r="DP30" i="8"/>
  <c r="DQ30" i="8"/>
  <c r="DR30" i="8"/>
  <c r="DS30" i="8"/>
  <c r="DT30" i="8"/>
  <c r="DU30" i="8"/>
  <c r="DV30" i="8"/>
  <c r="DW30" i="8"/>
  <c r="DX30" i="8"/>
  <c r="DY30" i="8"/>
  <c r="DZ30" i="8"/>
  <c r="EA30" i="8"/>
  <c r="EB30" i="8"/>
  <c r="EC30" i="8"/>
  <c r="ED30" i="8"/>
  <c r="EE30" i="8"/>
  <c r="EF30" i="8"/>
  <c r="EG30" i="8"/>
  <c r="EH30" i="8"/>
  <c r="EI30" i="8"/>
  <c r="EJ30" i="8"/>
  <c r="EK30" i="8"/>
  <c r="EL30" i="8"/>
  <c r="EM30" i="8"/>
  <c r="EN30" i="8"/>
  <c r="EO30" i="8"/>
  <c r="EP30" i="8"/>
  <c r="EQ30" i="8"/>
  <c r="ER30" i="8"/>
  <c r="ES30" i="8"/>
  <c r="ET30" i="8"/>
  <c r="EU30" i="8"/>
  <c r="EV30" i="8"/>
  <c r="EW30" i="8"/>
  <c r="EX30" i="8"/>
  <c r="EY30" i="8"/>
  <c r="EZ30" i="8"/>
  <c r="FA30" i="8"/>
  <c r="FB30" i="8"/>
  <c r="FC30" i="8"/>
  <c r="FD30" i="8"/>
  <c r="FE30" i="8"/>
  <c r="FF30" i="8"/>
  <c r="FG30" i="8"/>
  <c r="FH30" i="8"/>
  <c r="FI30" i="8"/>
  <c r="FJ30" i="8"/>
  <c r="FK30" i="8"/>
  <c r="FL30" i="8"/>
  <c r="FM30" i="8"/>
  <c r="FN30" i="8"/>
  <c r="FO30" i="8"/>
  <c r="FP30" i="8"/>
  <c r="FQ30" i="8"/>
  <c r="FR30" i="8"/>
  <c r="FS30" i="8"/>
  <c r="FT30" i="8"/>
  <c r="FU30" i="8"/>
  <c r="FV30" i="8"/>
  <c r="FW30" i="8"/>
  <c r="FX30" i="8"/>
  <c r="FY30" i="8"/>
  <c r="FZ30" i="8"/>
  <c r="GA30" i="8"/>
  <c r="GB30" i="8"/>
  <c r="GC30" i="8"/>
  <c r="GD30" i="8"/>
  <c r="GE30" i="8"/>
  <c r="GF30" i="8"/>
  <c r="GG30" i="8"/>
  <c r="GH30" i="8"/>
  <c r="GI30" i="8"/>
  <c r="GJ30" i="8"/>
  <c r="GK30" i="8"/>
  <c r="GL30" i="8"/>
  <c r="GM30" i="8"/>
  <c r="GN30" i="8"/>
  <c r="GO30" i="8"/>
  <c r="GP30" i="8"/>
  <c r="GQ30" i="8"/>
  <c r="GR30" i="8"/>
  <c r="GS30" i="8"/>
  <c r="GT30" i="8"/>
  <c r="GU30" i="8"/>
  <c r="GV30" i="8"/>
  <c r="GW30" i="8"/>
  <c r="GX30" i="8"/>
  <c r="GY30" i="8"/>
  <c r="GZ30" i="8"/>
  <c r="HA30" i="8"/>
  <c r="HB30" i="8"/>
  <c r="HC30" i="8"/>
  <c r="HD30" i="8"/>
  <c r="HE30" i="8"/>
  <c r="HF30" i="8"/>
  <c r="HG30" i="8"/>
  <c r="HH30" i="8"/>
  <c r="HI30" i="8"/>
  <c r="HJ30" i="8"/>
  <c r="HK30" i="8"/>
  <c r="HL30" i="8"/>
  <c r="HM30" i="8"/>
  <c r="HN30" i="8"/>
  <c r="HO30" i="8"/>
  <c r="HP30" i="8"/>
  <c r="HQ30" i="8"/>
  <c r="HR30" i="8"/>
  <c r="HS30" i="8"/>
  <c r="HT30" i="8"/>
  <c r="HU30" i="8"/>
  <c r="HV30" i="8"/>
  <c r="HW30" i="8"/>
  <c r="HX30" i="8"/>
  <c r="HY30" i="8"/>
  <c r="HZ30" i="8"/>
  <c r="IA30" i="8"/>
  <c r="IB30" i="8"/>
  <c r="IC30" i="8"/>
  <c r="ID30" i="8"/>
  <c r="IE30" i="8"/>
  <c r="IF30" i="8"/>
  <c r="IG30" i="8"/>
  <c r="IH30" i="8"/>
  <c r="II30" i="8"/>
  <c r="IJ30" i="8"/>
  <c r="IK30" i="8"/>
  <c r="IL30" i="8"/>
  <c r="IM30" i="8"/>
  <c r="IN30" i="8"/>
  <c r="IO30" i="8"/>
  <c r="IP30" i="8"/>
  <c r="IQ30" i="8"/>
  <c r="IR30" i="8"/>
  <c r="IS30" i="8"/>
  <c r="IT30" i="8"/>
  <c r="IU30" i="8"/>
  <c r="IV30" i="8"/>
  <c r="F31" i="8"/>
  <c r="G31" i="8"/>
  <c r="H31" i="8"/>
  <c r="I31" i="8"/>
  <c r="J31" i="8"/>
  <c r="K31" i="8"/>
  <c r="L31" i="8"/>
  <c r="M31" i="8"/>
  <c r="N31" i="8"/>
  <c r="O31" i="8"/>
  <c r="P31" i="8"/>
  <c r="Q31" i="8"/>
  <c r="R31" i="8"/>
  <c r="S31" i="8"/>
  <c r="T31" i="8"/>
  <c r="U31" i="8"/>
  <c r="V31" i="8"/>
  <c r="W31" i="8"/>
  <c r="X31" i="8"/>
  <c r="Y31" i="8"/>
  <c r="Z31" i="8"/>
  <c r="AA31" i="8"/>
  <c r="AB31" i="8"/>
  <c r="AC31" i="8"/>
  <c r="AD31" i="8"/>
  <c r="AE31" i="8"/>
  <c r="AF31" i="8"/>
  <c r="AG31" i="8"/>
  <c r="AH31" i="8"/>
  <c r="AI31" i="8"/>
  <c r="AJ31" i="8"/>
  <c r="AK31" i="8"/>
  <c r="AL31" i="8"/>
  <c r="AM31" i="8"/>
  <c r="AN31" i="8"/>
  <c r="AO31" i="8"/>
  <c r="AP31" i="8"/>
  <c r="AQ31" i="8"/>
  <c r="AR31" i="8"/>
  <c r="AS31" i="8"/>
  <c r="AT31" i="8"/>
  <c r="AU31" i="8"/>
  <c r="AV31" i="8"/>
  <c r="AW31" i="8"/>
  <c r="AX31" i="8"/>
  <c r="AY31" i="8"/>
  <c r="AZ31" i="8"/>
  <c r="BA31" i="8"/>
  <c r="BB31" i="8"/>
  <c r="BC31" i="8"/>
  <c r="BD31" i="8"/>
  <c r="BE31" i="8"/>
  <c r="BF31" i="8"/>
  <c r="BG31" i="8"/>
  <c r="BH31" i="8"/>
  <c r="BI31" i="8"/>
  <c r="BJ31" i="8"/>
  <c r="BK31" i="8"/>
  <c r="BL31" i="8"/>
  <c r="BM31" i="8"/>
  <c r="BN31" i="8"/>
  <c r="BO31" i="8"/>
  <c r="BP31" i="8"/>
  <c r="BQ31" i="8"/>
  <c r="BR31" i="8"/>
  <c r="BS31" i="8"/>
  <c r="BT31" i="8"/>
  <c r="BU31" i="8"/>
  <c r="BV31" i="8"/>
  <c r="BW31" i="8"/>
  <c r="BX31" i="8"/>
  <c r="BY31" i="8"/>
  <c r="BZ31" i="8"/>
  <c r="CA31" i="8"/>
  <c r="CB31" i="8"/>
  <c r="CC31" i="8"/>
  <c r="CD31" i="8"/>
  <c r="CE31" i="8"/>
  <c r="CF31" i="8"/>
  <c r="CG31" i="8"/>
  <c r="CH31" i="8"/>
  <c r="CI31" i="8"/>
  <c r="CJ31" i="8"/>
  <c r="CK31" i="8"/>
  <c r="CL31" i="8"/>
  <c r="CM31" i="8"/>
  <c r="CN31" i="8"/>
  <c r="CO31" i="8"/>
  <c r="CP31" i="8"/>
  <c r="CQ31" i="8"/>
  <c r="CR31" i="8"/>
  <c r="CS31" i="8"/>
  <c r="CT31" i="8"/>
  <c r="CU31" i="8"/>
  <c r="CV31" i="8"/>
  <c r="CW31" i="8"/>
  <c r="CX31" i="8"/>
  <c r="CY31" i="8"/>
  <c r="CZ31" i="8"/>
  <c r="DA31" i="8"/>
  <c r="DB31" i="8"/>
  <c r="DC31" i="8"/>
  <c r="DD31" i="8"/>
  <c r="DE31" i="8"/>
  <c r="DF31" i="8"/>
  <c r="DG31" i="8"/>
  <c r="DH31" i="8"/>
  <c r="DI31" i="8"/>
  <c r="DJ31" i="8"/>
  <c r="DK31" i="8"/>
  <c r="DL31" i="8"/>
  <c r="DM31" i="8"/>
  <c r="DN31" i="8"/>
  <c r="DO31" i="8"/>
  <c r="DP31" i="8"/>
  <c r="DQ31" i="8"/>
  <c r="DR31" i="8"/>
  <c r="DS31" i="8"/>
  <c r="DT31" i="8"/>
  <c r="DU31" i="8"/>
  <c r="DV31" i="8"/>
  <c r="DW31" i="8"/>
  <c r="DX31" i="8"/>
  <c r="DY31" i="8"/>
  <c r="DZ31" i="8"/>
  <c r="EA31" i="8"/>
  <c r="EB31" i="8"/>
  <c r="EC31" i="8"/>
  <c r="ED31" i="8"/>
  <c r="EE31" i="8"/>
  <c r="EF31" i="8"/>
  <c r="EG31" i="8"/>
  <c r="EH31" i="8"/>
  <c r="EI31" i="8"/>
  <c r="EJ31" i="8"/>
  <c r="EK31" i="8"/>
  <c r="EL31" i="8"/>
  <c r="EM31" i="8"/>
  <c r="EN31" i="8"/>
  <c r="EO31" i="8"/>
  <c r="EP31" i="8"/>
  <c r="EQ31" i="8"/>
  <c r="ER31" i="8"/>
  <c r="ES31" i="8"/>
  <c r="ET31" i="8"/>
  <c r="EU31" i="8"/>
  <c r="EV31" i="8"/>
  <c r="EW31" i="8"/>
  <c r="EX31" i="8"/>
  <c r="EY31" i="8"/>
  <c r="EZ31" i="8"/>
  <c r="FA31" i="8"/>
  <c r="FB31" i="8"/>
  <c r="FC31" i="8"/>
  <c r="FD31" i="8"/>
  <c r="FE31" i="8"/>
  <c r="FF31" i="8"/>
  <c r="FG31" i="8"/>
  <c r="FH31" i="8"/>
  <c r="FI31" i="8"/>
  <c r="FJ31" i="8"/>
  <c r="FK31" i="8"/>
  <c r="FL31" i="8"/>
  <c r="FM31" i="8"/>
  <c r="FN31" i="8"/>
  <c r="FO31" i="8"/>
  <c r="FP31" i="8"/>
  <c r="FQ31" i="8"/>
  <c r="FR31" i="8"/>
  <c r="FS31" i="8"/>
  <c r="FT31" i="8"/>
  <c r="FU31" i="8"/>
  <c r="FV31" i="8"/>
  <c r="FW31" i="8"/>
  <c r="FX31" i="8"/>
  <c r="FY31" i="8"/>
  <c r="FZ31" i="8"/>
  <c r="GA31" i="8"/>
  <c r="GB31" i="8"/>
  <c r="GC31" i="8"/>
  <c r="GD31" i="8"/>
  <c r="GE31" i="8"/>
  <c r="GF31" i="8"/>
  <c r="GG31" i="8"/>
  <c r="GH31" i="8"/>
  <c r="GI31" i="8"/>
  <c r="GJ31" i="8"/>
  <c r="GK31" i="8"/>
  <c r="GL31" i="8"/>
  <c r="GM31" i="8"/>
  <c r="GN31" i="8"/>
  <c r="GO31" i="8"/>
  <c r="GP31" i="8"/>
  <c r="GQ31" i="8"/>
  <c r="GR31" i="8"/>
  <c r="GS31" i="8"/>
  <c r="GT31" i="8"/>
  <c r="GU31" i="8"/>
  <c r="GV31" i="8"/>
  <c r="GW31" i="8"/>
  <c r="GX31" i="8"/>
  <c r="GY31" i="8"/>
  <c r="GZ31" i="8"/>
  <c r="HA31" i="8"/>
  <c r="HB31" i="8"/>
  <c r="HC31" i="8"/>
  <c r="HD31" i="8"/>
  <c r="HE31" i="8"/>
  <c r="HF31" i="8"/>
  <c r="HG31" i="8"/>
  <c r="HH31" i="8"/>
  <c r="HI31" i="8"/>
  <c r="HJ31" i="8"/>
  <c r="HK31" i="8"/>
  <c r="HL31" i="8"/>
  <c r="HM31" i="8"/>
  <c r="HN31" i="8"/>
  <c r="HO31" i="8"/>
  <c r="HP31" i="8"/>
  <c r="HQ31" i="8"/>
  <c r="HR31" i="8"/>
  <c r="HS31" i="8"/>
  <c r="HT31" i="8"/>
  <c r="HU31" i="8"/>
  <c r="HV31" i="8"/>
  <c r="HW31" i="8"/>
  <c r="HX31" i="8"/>
  <c r="HY31" i="8"/>
  <c r="HZ31" i="8"/>
  <c r="IA31" i="8"/>
  <c r="IB31" i="8"/>
  <c r="IC31" i="8"/>
  <c r="ID31" i="8"/>
  <c r="IE31" i="8"/>
  <c r="IF31" i="8"/>
  <c r="IG31" i="8"/>
  <c r="IH31" i="8"/>
  <c r="II31" i="8"/>
  <c r="IJ31" i="8"/>
  <c r="IK31" i="8"/>
  <c r="IL31" i="8"/>
  <c r="IM31" i="8"/>
  <c r="IN31" i="8"/>
  <c r="IO31" i="8"/>
  <c r="IP31" i="8"/>
  <c r="IQ31" i="8"/>
  <c r="IR31" i="8"/>
  <c r="IS31" i="8"/>
  <c r="IT31" i="8"/>
  <c r="IU31" i="8"/>
  <c r="IV31" i="8"/>
  <c r="F32" i="8"/>
  <c r="G32" i="8"/>
  <c r="H32" i="8"/>
  <c r="I32" i="8"/>
  <c r="J32" i="8"/>
  <c r="K32" i="8"/>
  <c r="L32" i="8"/>
  <c r="M32" i="8"/>
  <c r="N32" i="8"/>
  <c r="O32" i="8"/>
  <c r="P32" i="8"/>
  <c r="Q32" i="8"/>
  <c r="R32" i="8"/>
  <c r="S32" i="8"/>
  <c r="T32" i="8"/>
  <c r="U32" i="8"/>
  <c r="V32" i="8"/>
  <c r="W32" i="8"/>
  <c r="X32" i="8"/>
  <c r="Y32" i="8"/>
  <c r="Z32" i="8"/>
  <c r="AA32" i="8"/>
  <c r="AB32" i="8"/>
  <c r="AC32" i="8"/>
  <c r="AD32" i="8"/>
  <c r="AE32" i="8"/>
  <c r="AF32" i="8"/>
  <c r="AG32" i="8"/>
  <c r="AH32" i="8"/>
  <c r="AI32" i="8"/>
  <c r="AJ32" i="8"/>
  <c r="AK32" i="8"/>
  <c r="AL32" i="8"/>
  <c r="AM32" i="8"/>
  <c r="AN32" i="8"/>
  <c r="AO32" i="8"/>
  <c r="AP32" i="8"/>
  <c r="AQ32" i="8"/>
  <c r="AR32" i="8"/>
  <c r="AS32" i="8"/>
  <c r="AT32" i="8"/>
  <c r="AU32" i="8"/>
  <c r="AV32" i="8"/>
  <c r="AW32" i="8"/>
  <c r="AX32" i="8"/>
  <c r="AY32" i="8"/>
  <c r="AZ32" i="8"/>
  <c r="BA32" i="8"/>
  <c r="BB32" i="8"/>
  <c r="BC32" i="8"/>
  <c r="BD32" i="8"/>
  <c r="BE32" i="8"/>
  <c r="BF32" i="8"/>
  <c r="BG32" i="8"/>
  <c r="BH32" i="8"/>
  <c r="BI32" i="8"/>
  <c r="BJ32" i="8"/>
  <c r="BK32" i="8"/>
  <c r="BL32" i="8"/>
  <c r="BM32" i="8"/>
  <c r="BN32" i="8"/>
  <c r="BO32" i="8"/>
  <c r="BP32" i="8"/>
  <c r="BQ32" i="8"/>
  <c r="BR32" i="8"/>
  <c r="BS32" i="8"/>
  <c r="BT32" i="8"/>
  <c r="BU32" i="8"/>
  <c r="BV32" i="8"/>
  <c r="BW32" i="8"/>
  <c r="BX32" i="8"/>
  <c r="BY32" i="8"/>
  <c r="BZ32" i="8"/>
  <c r="CA32" i="8"/>
  <c r="CB32" i="8"/>
  <c r="CC32" i="8"/>
  <c r="CD32" i="8"/>
  <c r="CE32" i="8"/>
  <c r="CF32" i="8"/>
  <c r="CG32" i="8"/>
  <c r="CH32" i="8"/>
  <c r="CI32" i="8"/>
  <c r="CJ32" i="8"/>
  <c r="CK32" i="8"/>
  <c r="CL32" i="8"/>
  <c r="CM32" i="8"/>
  <c r="CN32" i="8"/>
  <c r="CO32" i="8"/>
  <c r="CP32" i="8"/>
  <c r="CQ32" i="8"/>
  <c r="CR32" i="8"/>
  <c r="CS32" i="8"/>
  <c r="CT32" i="8"/>
  <c r="CU32" i="8"/>
  <c r="CV32" i="8"/>
  <c r="CW32" i="8"/>
  <c r="CX32" i="8"/>
  <c r="CY32" i="8"/>
  <c r="CZ32" i="8"/>
  <c r="DA32" i="8"/>
  <c r="DB32" i="8"/>
  <c r="DC32" i="8"/>
  <c r="DD32" i="8"/>
  <c r="DE32" i="8"/>
  <c r="DF32" i="8"/>
  <c r="DG32" i="8"/>
  <c r="DH32" i="8"/>
  <c r="DI32" i="8"/>
  <c r="DJ32" i="8"/>
  <c r="DK32" i="8"/>
  <c r="DL32" i="8"/>
  <c r="DM32" i="8"/>
  <c r="DN32" i="8"/>
  <c r="DO32" i="8"/>
  <c r="DP32" i="8"/>
  <c r="DQ32" i="8"/>
  <c r="DR32" i="8"/>
  <c r="DS32" i="8"/>
  <c r="DT32" i="8"/>
  <c r="DU32" i="8"/>
  <c r="DV32" i="8"/>
  <c r="DW32" i="8"/>
  <c r="DX32" i="8"/>
  <c r="DY32" i="8"/>
  <c r="DZ32" i="8"/>
  <c r="EA32" i="8"/>
  <c r="EB32" i="8"/>
  <c r="EC32" i="8"/>
  <c r="ED32" i="8"/>
  <c r="EE32" i="8"/>
  <c r="EF32" i="8"/>
  <c r="EG32" i="8"/>
  <c r="EH32" i="8"/>
  <c r="EI32" i="8"/>
  <c r="EJ32" i="8"/>
  <c r="EK32" i="8"/>
  <c r="EL32" i="8"/>
  <c r="EM32" i="8"/>
  <c r="EN32" i="8"/>
  <c r="EO32" i="8"/>
  <c r="EP32" i="8"/>
  <c r="EQ32" i="8"/>
  <c r="ER32" i="8"/>
  <c r="ES32" i="8"/>
  <c r="ET32" i="8"/>
  <c r="EU32" i="8"/>
  <c r="EV32" i="8"/>
  <c r="EW32" i="8"/>
  <c r="EX32" i="8"/>
  <c r="EY32" i="8"/>
  <c r="EZ32" i="8"/>
  <c r="FA32" i="8"/>
  <c r="FB32" i="8"/>
  <c r="FC32" i="8"/>
  <c r="FD32" i="8"/>
  <c r="FE32" i="8"/>
  <c r="FF32" i="8"/>
  <c r="FG32" i="8"/>
  <c r="FH32" i="8"/>
  <c r="FI32" i="8"/>
  <c r="FJ32" i="8"/>
  <c r="FK32" i="8"/>
  <c r="FL32" i="8"/>
  <c r="FM32" i="8"/>
  <c r="FN32" i="8"/>
  <c r="FO32" i="8"/>
  <c r="FP32" i="8"/>
  <c r="FQ32" i="8"/>
  <c r="FR32" i="8"/>
  <c r="FS32" i="8"/>
  <c r="FT32" i="8"/>
  <c r="FU32" i="8"/>
  <c r="FV32" i="8"/>
  <c r="FW32" i="8"/>
  <c r="FX32" i="8"/>
  <c r="FY32" i="8"/>
  <c r="FZ32" i="8"/>
  <c r="GA32" i="8"/>
  <c r="GB32" i="8"/>
  <c r="GC32" i="8"/>
  <c r="GD32" i="8"/>
  <c r="GE32" i="8"/>
  <c r="GF32" i="8"/>
  <c r="GG32" i="8"/>
  <c r="GH32" i="8"/>
  <c r="GI32" i="8"/>
  <c r="GJ32" i="8"/>
  <c r="GK32" i="8"/>
  <c r="GL32" i="8"/>
  <c r="GM32" i="8"/>
  <c r="GN32" i="8"/>
  <c r="GO32" i="8"/>
  <c r="GP32" i="8"/>
  <c r="GQ32" i="8"/>
  <c r="GR32" i="8"/>
  <c r="GS32" i="8"/>
  <c r="GT32" i="8"/>
  <c r="GU32" i="8"/>
  <c r="GV32" i="8"/>
  <c r="GW32" i="8"/>
  <c r="GX32" i="8"/>
  <c r="GY32" i="8"/>
  <c r="GZ32" i="8"/>
  <c r="HA32" i="8"/>
  <c r="HB32" i="8"/>
  <c r="HC32" i="8"/>
  <c r="HD32" i="8"/>
  <c r="HE32" i="8"/>
  <c r="HF32" i="8"/>
  <c r="HG32" i="8"/>
  <c r="HH32" i="8"/>
  <c r="HI32" i="8"/>
  <c r="HJ32" i="8"/>
  <c r="HK32" i="8"/>
  <c r="HL32" i="8"/>
  <c r="HM32" i="8"/>
  <c r="HN32" i="8"/>
  <c r="HO32" i="8"/>
  <c r="HP32" i="8"/>
  <c r="HQ32" i="8"/>
  <c r="HR32" i="8"/>
  <c r="HS32" i="8"/>
  <c r="HT32" i="8"/>
  <c r="HU32" i="8"/>
  <c r="HV32" i="8"/>
  <c r="HW32" i="8"/>
  <c r="HX32" i="8"/>
  <c r="HY32" i="8"/>
  <c r="HZ32" i="8"/>
  <c r="IA32" i="8"/>
  <c r="IB32" i="8"/>
  <c r="IC32" i="8"/>
  <c r="ID32" i="8"/>
  <c r="IE32" i="8"/>
  <c r="IF32" i="8"/>
  <c r="IG32" i="8"/>
  <c r="IH32" i="8"/>
  <c r="II32" i="8"/>
  <c r="IJ32" i="8"/>
  <c r="IK32" i="8"/>
  <c r="IL32" i="8"/>
  <c r="IM32" i="8"/>
  <c r="IN32" i="8"/>
  <c r="IO32" i="8"/>
  <c r="IP32" i="8"/>
  <c r="IQ32" i="8"/>
  <c r="IR32" i="8"/>
  <c r="IS32" i="8"/>
  <c r="IT32" i="8"/>
  <c r="IU32" i="8"/>
  <c r="IV32" i="8"/>
  <c r="F33" i="8"/>
  <c r="G33" i="8"/>
  <c r="H33" i="8"/>
  <c r="I33" i="8"/>
  <c r="J33" i="8"/>
  <c r="K33" i="8"/>
  <c r="L33" i="8"/>
  <c r="M33" i="8"/>
  <c r="N33" i="8"/>
  <c r="O33" i="8"/>
  <c r="P33" i="8"/>
  <c r="Q33" i="8"/>
  <c r="R33" i="8"/>
  <c r="S33" i="8"/>
  <c r="T33" i="8"/>
  <c r="U33" i="8"/>
  <c r="V33" i="8"/>
  <c r="W33" i="8"/>
  <c r="X33" i="8"/>
  <c r="Y33" i="8"/>
  <c r="Z33" i="8"/>
  <c r="AA33" i="8"/>
  <c r="AB33" i="8"/>
  <c r="AC33" i="8"/>
  <c r="AD33" i="8"/>
  <c r="AE33" i="8"/>
  <c r="AF33" i="8"/>
  <c r="AG33" i="8"/>
  <c r="AH33" i="8"/>
  <c r="AI33" i="8"/>
  <c r="AJ33" i="8"/>
  <c r="AK33" i="8"/>
  <c r="AL33" i="8"/>
  <c r="AM33" i="8"/>
  <c r="AN33" i="8"/>
  <c r="AO33" i="8"/>
  <c r="AP33" i="8"/>
  <c r="AQ33" i="8"/>
  <c r="AR33" i="8"/>
  <c r="AS33" i="8"/>
  <c r="AT33" i="8"/>
  <c r="AU33" i="8"/>
  <c r="AV33" i="8"/>
  <c r="AW33" i="8"/>
  <c r="AX33" i="8"/>
  <c r="AY33" i="8"/>
  <c r="AZ33" i="8"/>
  <c r="BA33" i="8"/>
  <c r="BB33" i="8"/>
  <c r="BC33" i="8"/>
  <c r="BD33" i="8"/>
  <c r="BE33" i="8"/>
  <c r="BF33" i="8"/>
  <c r="BG33" i="8"/>
  <c r="BH33" i="8"/>
  <c r="BI33" i="8"/>
  <c r="BJ33" i="8"/>
  <c r="BK33" i="8"/>
  <c r="BL33" i="8"/>
  <c r="BM33" i="8"/>
  <c r="BN33" i="8"/>
  <c r="BO33" i="8"/>
  <c r="BP33" i="8"/>
  <c r="BQ33" i="8"/>
  <c r="BR33" i="8"/>
  <c r="BS33" i="8"/>
  <c r="BT33" i="8"/>
  <c r="BU33" i="8"/>
  <c r="BV33" i="8"/>
  <c r="BW33" i="8"/>
  <c r="BX33" i="8"/>
  <c r="BY33" i="8"/>
  <c r="BZ33" i="8"/>
  <c r="CA33" i="8"/>
  <c r="CB33" i="8"/>
  <c r="CC33" i="8"/>
  <c r="CD33" i="8"/>
  <c r="CE33" i="8"/>
  <c r="CF33" i="8"/>
  <c r="CG33" i="8"/>
  <c r="CH33" i="8"/>
  <c r="CI33" i="8"/>
  <c r="CJ33" i="8"/>
  <c r="CK33" i="8"/>
  <c r="CL33" i="8"/>
  <c r="CM33" i="8"/>
  <c r="CN33" i="8"/>
  <c r="CO33" i="8"/>
  <c r="CP33" i="8"/>
  <c r="CQ33" i="8"/>
  <c r="CR33" i="8"/>
  <c r="CS33" i="8"/>
  <c r="CT33" i="8"/>
  <c r="CU33" i="8"/>
  <c r="CV33" i="8"/>
  <c r="CW33" i="8"/>
  <c r="CX33" i="8"/>
  <c r="CY33" i="8"/>
  <c r="CZ33" i="8"/>
  <c r="DA33" i="8"/>
  <c r="DB33" i="8"/>
  <c r="DC33" i="8"/>
  <c r="DD33" i="8"/>
  <c r="DE33" i="8"/>
  <c r="DF33" i="8"/>
  <c r="DG33" i="8"/>
  <c r="DH33" i="8"/>
  <c r="DI33" i="8"/>
  <c r="DJ33" i="8"/>
  <c r="DK33" i="8"/>
  <c r="DL33" i="8"/>
  <c r="DM33" i="8"/>
  <c r="DN33" i="8"/>
  <c r="DO33" i="8"/>
  <c r="DP33" i="8"/>
  <c r="DQ33" i="8"/>
  <c r="DR33" i="8"/>
  <c r="DS33" i="8"/>
  <c r="DT33" i="8"/>
  <c r="DU33" i="8"/>
  <c r="DV33" i="8"/>
  <c r="DW33" i="8"/>
  <c r="DX33" i="8"/>
  <c r="DY33" i="8"/>
  <c r="DZ33" i="8"/>
  <c r="EA33" i="8"/>
  <c r="EB33" i="8"/>
  <c r="EC33" i="8"/>
  <c r="ED33" i="8"/>
  <c r="EE33" i="8"/>
  <c r="EF33" i="8"/>
  <c r="EG33" i="8"/>
  <c r="EH33" i="8"/>
  <c r="EI33" i="8"/>
  <c r="EJ33" i="8"/>
  <c r="EK33" i="8"/>
  <c r="EL33" i="8"/>
  <c r="EM33" i="8"/>
  <c r="EN33" i="8"/>
  <c r="EO33" i="8"/>
  <c r="EP33" i="8"/>
  <c r="EQ33" i="8"/>
  <c r="ER33" i="8"/>
  <c r="ES33" i="8"/>
  <c r="ET33" i="8"/>
  <c r="EU33" i="8"/>
  <c r="EV33" i="8"/>
  <c r="EW33" i="8"/>
  <c r="EX33" i="8"/>
  <c r="EY33" i="8"/>
  <c r="EZ33" i="8"/>
  <c r="FA33" i="8"/>
  <c r="FB33" i="8"/>
  <c r="FC33" i="8"/>
  <c r="FD33" i="8"/>
  <c r="FE33" i="8"/>
  <c r="FF33" i="8"/>
  <c r="FG33" i="8"/>
  <c r="FH33" i="8"/>
  <c r="FI33" i="8"/>
  <c r="FJ33" i="8"/>
  <c r="FK33" i="8"/>
  <c r="FL33" i="8"/>
  <c r="FM33" i="8"/>
  <c r="FN33" i="8"/>
  <c r="FO33" i="8"/>
  <c r="FP33" i="8"/>
  <c r="FQ33" i="8"/>
  <c r="FR33" i="8"/>
  <c r="FS33" i="8"/>
  <c r="FT33" i="8"/>
  <c r="FU33" i="8"/>
  <c r="FV33" i="8"/>
  <c r="FW33" i="8"/>
  <c r="FX33" i="8"/>
  <c r="FY33" i="8"/>
  <c r="FZ33" i="8"/>
  <c r="GA33" i="8"/>
  <c r="GB33" i="8"/>
  <c r="GC33" i="8"/>
  <c r="GD33" i="8"/>
  <c r="GE33" i="8"/>
  <c r="GF33" i="8"/>
  <c r="GG33" i="8"/>
  <c r="GH33" i="8"/>
  <c r="GI33" i="8"/>
  <c r="GJ33" i="8"/>
  <c r="GK33" i="8"/>
  <c r="GL33" i="8"/>
  <c r="GM33" i="8"/>
  <c r="GN33" i="8"/>
  <c r="GO33" i="8"/>
  <c r="GP33" i="8"/>
  <c r="GQ33" i="8"/>
  <c r="GR33" i="8"/>
  <c r="GS33" i="8"/>
  <c r="GT33" i="8"/>
  <c r="GU33" i="8"/>
  <c r="GV33" i="8"/>
  <c r="GW33" i="8"/>
  <c r="GX33" i="8"/>
  <c r="GY33" i="8"/>
  <c r="GZ33" i="8"/>
  <c r="HA33" i="8"/>
  <c r="HB33" i="8"/>
  <c r="HC33" i="8"/>
  <c r="HD33" i="8"/>
  <c r="HE33" i="8"/>
  <c r="HF33" i="8"/>
  <c r="HG33" i="8"/>
  <c r="HH33" i="8"/>
  <c r="HI33" i="8"/>
  <c r="HJ33" i="8"/>
  <c r="HK33" i="8"/>
  <c r="HL33" i="8"/>
  <c r="HM33" i="8"/>
  <c r="HN33" i="8"/>
  <c r="HO33" i="8"/>
  <c r="HP33" i="8"/>
  <c r="HQ33" i="8"/>
  <c r="HR33" i="8"/>
  <c r="HS33" i="8"/>
  <c r="HT33" i="8"/>
  <c r="HU33" i="8"/>
  <c r="HV33" i="8"/>
  <c r="HW33" i="8"/>
  <c r="HX33" i="8"/>
  <c r="HY33" i="8"/>
  <c r="HZ33" i="8"/>
  <c r="IA33" i="8"/>
  <c r="IB33" i="8"/>
  <c r="IC33" i="8"/>
  <c r="ID33" i="8"/>
  <c r="IE33" i="8"/>
  <c r="IF33" i="8"/>
  <c r="IG33" i="8"/>
  <c r="IH33" i="8"/>
  <c r="II33" i="8"/>
  <c r="IJ33" i="8"/>
  <c r="IK33" i="8"/>
  <c r="IL33" i="8"/>
  <c r="IM33" i="8"/>
  <c r="IN33" i="8"/>
  <c r="IO33" i="8"/>
  <c r="IP33" i="8"/>
  <c r="IQ33" i="8"/>
  <c r="IR33" i="8"/>
  <c r="IS33" i="8"/>
  <c r="IT33" i="8"/>
  <c r="IU33" i="8"/>
  <c r="IV33" i="8"/>
  <c r="F34" i="8"/>
  <c r="G34" i="8"/>
  <c r="H34" i="8"/>
  <c r="I34" i="8"/>
  <c r="J34" i="8"/>
  <c r="K34" i="8"/>
  <c r="L34" i="8"/>
  <c r="M34" i="8"/>
  <c r="N34" i="8"/>
  <c r="O34" i="8"/>
  <c r="P34" i="8"/>
  <c r="Q34" i="8"/>
  <c r="R34" i="8"/>
  <c r="S34" i="8"/>
  <c r="T34" i="8"/>
  <c r="U34" i="8"/>
  <c r="V34" i="8"/>
  <c r="W34" i="8"/>
  <c r="X34" i="8"/>
  <c r="Y34" i="8"/>
  <c r="Z34" i="8"/>
  <c r="AA34" i="8"/>
  <c r="AB34" i="8"/>
  <c r="AC34" i="8"/>
  <c r="AD34" i="8"/>
  <c r="AE34" i="8"/>
  <c r="AF34" i="8"/>
  <c r="AG34" i="8"/>
  <c r="AH34" i="8"/>
  <c r="AI34" i="8"/>
  <c r="AJ34" i="8"/>
  <c r="AK34" i="8"/>
  <c r="AL34" i="8"/>
  <c r="AM34" i="8"/>
  <c r="AN34" i="8"/>
  <c r="AO34" i="8"/>
  <c r="AP34" i="8"/>
  <c r="AQ34" i="8"/>
  <c r="AR34" i="8"/>
  <c r="AS34" i="8"/>
  <c r="AT34" i="8"/>
  <c r="AU34" i="8"/>
  <c r="AV34" i="8"/>
  <c r="AW34" i="8"/>
  <c r="AX34" i="8"/>
  <c r="AY34" i="8"/>
  <c r="AZ34" i="8"/>
  <c r="BA34" i="8"/>
  <c r="BB34" i="8"/>
  <c r="BC34" i="8"/>
  <c r="BD34" i="8"/>
  <c r="BE34" i="8"/>
  <c r="BF34" i="8"/>
  <c r="BG34" i="8"/>
  <c r="BH34" i="8"/>
  <c r="BI34" i="8"/>
  <c r="BJ34" i="8"/>
  <c r="BK34" i="8"/>
  <c r="BL34" i="8"/>
  <c r="BM34" i="8"/>
  <c r="BN34" i="8"/>
  <c r="BO34" i="8"/>
  <c r="BP34" i="8"/>
  <c r="BQ34" i="8"/>
  <c r="BR34" i="8"/>
  <c r="BS34" i="8"/>
  <c r="BT34" i="8"/>
  <c r="BU34" i="8"/>
  <c r="BV34" i="8"/>
  <c r="BW34" i="8"/>
  <c r="BX34" i="8"/>
  <c r="BY34" i="8"/>
  <c r="BZ34" i="8"/>
  <c r="CA34" i="8"/>
  <c r="CB34" i="8"/>
  <c r="CC34" i="8"/>
  <c r="CD34" i="8"/>
  <c r="CE34" i="8"/>
  <c r="CF34" i="8"/>
  <c r="CG34" i="8"/>
  <c r="CH34" i="8"/>
  <c r="CI34" i="8"/>
  <c r="CJ34" i="8"/>
  <c r="CK34" i="8"/>
  <c r="CL34" i="8"/>
  <c r="CM34" i="8"/>
  <c r="CN34" i="8"/>
  <c r="CO34" i="8"/>
  <c r="CP34" i="8"/>
  <c r="CQ34" i="8"/>
  <c r="CR34" i="8"/>
  <c r="CS34" i="8"/>
  <c r="CT34" i="8"/>
  <c r="CU34" i="8"/>
  <c r="CV34" i="8"/>
  <c r="CW34" i="8"/>
  <c r="CX34" i="8"/>
  <c r="CY34" i="8"/>
  <c r="CZ34" i="8"/>
  <c r="DA34" i="8"/>
  <c r="DB34" i="8"/>
  <c r="DC34" i="8"/>
  <c r="DD34" i="8"/>
  <c r="DE34" i="8"/>
  <c r="DF34" i="8"/>
  <c r="DG34" i="8"/>
  <c r="DH34" i="8"/>
  <c r="DI34" i="8"/>
  <c r="DJ34" i="8"/>
  <c r="DK34" i="8"/>
  <c r="DL34" i="8"/>
  <c r="DM34" i="8"/>
  <c r="DN34" i="8"/>
  <c r="DO34" i="8"/>
  <c r="DP34" i="8"/>
  <c r="DQ34" i="8"/>
  <c r="DR34" i="8"/>
  <c r="DS34" i="8"/>
  <c r="DT34" i="8"/>
  <c r="DU34" i="8"/>
  <c r="DV34" i="8"/>
  <c r="DW34" i="8"/>
  <c r="DX34" i="8"/>
  <c r="DY34" i="8"/>
  <c r="DZ34" i="8"/>
  <c r="EA34" i="8"/>
  <c r="EB34" i="8"/>
  <c r="EC34" i="8"/>
  <c r="ED34" i="8"/>
  <c r="EE34" i="8"/>
  <c r="EF34" i="8"/>
  <c r="EG34" i="8"/>
  <c r="EH34" i="8"/>
  <c r="EI34" i="8"/>
  <c r="EJ34" i="8"/>
  <c r="EK34" i="8"/>
  <c r="EL34" i="8"/>
  <c r="EM34" i="8"/>
  <c r="EN34" i="8"/>
  <c r="EO34" i="8"/>
  <c r="EP34" i="8"/>
  <c r="EQ34" i="8"/>
  <c r="ER34" i="8"/>
  <c r="ES34" i="8"/>
  <c r="ET34" i="8"/>
  <c r="EU34" i="8"/>
  <c r="EV34" i="8"/>
  <c r="EW34" i="8"/>
  <c r="EX34" i="8"/>
  <c r="EY34" i="8"/>
  <c r="EZ34" i="8"/>
  <c r="FA34" i="8"/>
  <c r="FB34" i="8"/>
  <c r="FC34" i="8"/>
  <c r="FD34" i="8"/>
  <c r="FE34" i="8"/>
  <c r="FF34" i="8"/>
  <c r="FG34" i="8"/>
  <c r="FH34" i="8"/>
  <c r="FI34" i="8"/>
  <c r="FJ34" i="8"/>
  <c r="FK34" i="8"/>
  <c r="FL34" i="8"/>
  <c r="FM34" i="8"/>
  <c r="FN34" i="8"/>
  <c r="FO34" i="8"/>
  <c r="FP34" i="8"/>
  <c r="FQ34" i="8"/>
  <c r="FR34" i="8"/>
  <c r="FS34" i="8"/>
  <c r="FT34" i="8"/>
  <c r="FU34" i="8"/>
  <c r="FV34" i="8"/>
  <c r="FW34" i="8"/>
  <c r="FX34" i="8"/>
  <c r="FY34" i="8"/>
  <c r="FZ34" i="8"/>
  <c r="GA34" i="8"/>
  <c r="GB34" i="8"/>
  <c r="GC34" i="8"/>
  <c r="GD34" i="8"/>
  <c r="GE34" i="8"/>
  <c r="GF34" i="8"/>
  <c r="GG34" i="8"/>
  <c r="GH34" i="8"/>
  <c r="GI34" i="8"/>
  <c r="GJ34" i="8"/>
  <c r="GK34" i="8"/>
  <c r="GL34" i="8"/>
  <c r="GM34" i="8"/>
  <c r="GN34" i="8"/>
  <c r="GO34" i="8"/>
  <c r="GP34" i="8"/>
  <c r="GQ34" i="8"/>
  <c r="GR34" i="8"/>
  <c r="GS34" i="8"/>
  <c r="GT34" i="8"/>
  <c r="GU34" i="8"/>
  <c r="GV34" i="8"/>
  <c r="GW34" i="8"/>
  <c r="GX34" i="8"/>
  <c r="GY34" i="8"/>
  <c r="GZ34" i="8"/>
  <c r="HA34" i="8"/>
  <c r="HB34" i="8"/>
  <c r="HC34" i="8"/>
  <c r="HD34" i="8"/>
  <c r="HE34" i="8"/>
  <c r="HF34" i="8"/>
  <c r="HG34" i="8"/>
  <c r="HH34" i="8"/>
  <c r="HI34" i="8"/>
  <c r="HJ34" i="8"/>
  <c r="HK34" i="8"/>
  <c r="HL34" i="8"/>
  <c r="HM34" i="8"/>
  <c r="HN34" i="8"/>
  <c r="HO34" i="8"/>
  <c r="HP34" i="8"/>
  <c r="HQ34" i="8"/>
  <c r="HR34" i="8"/>
  <c r="HS34" i="8"/>
  <c r="HT34" i="8"/>
  <c r="HU34" i="8"/>
  <c r="HV34" i="8"/>
  <c r="HW34" i="8"/>
  <c r="HX34" i="8"/>
  <c r="HY34" i="8"/>
  <c r="HZ34" i="8"/>
  <c r="IA34" i="8"/>
  <c r="IB34" i="8"/>
  <c r="IC34" i="8"/>
  <c r="ID34" i="8"/>
  <c r="IE34" i="8"/>
  <c r="IF34" i="8"/>
  <c r="IG34" i="8"/>
  <c r="IH34" i="8"/>
  <c r="II34" i="8"/>
  <c r="IJ34" i="8"/>
  <c r="IK34" i="8"/>
  <c r="IL34" i="8"/>
  <c r="IM34" i="8"/>
  <c r="IN34" i="8"/>
  <c r="IO34" i="8"/>
  <c r="IP34" i="8"/>
  <c r="IQ34" i="8"/>
  <c r="IR34" i="8"/>
  <c r="IS34" i="8"/>
  <c r="IT34" i="8"/>
  <c r="IU34" i="8"/>
  <c r="IV34" i="8"/>
  <c r="F35" i="8"/>
  <c r="G35" i="8"/>
  <c r="H35" i="8"/>
  <c r="I35" i="8"/>
  <c r="J35" i="8"/>
  <c r="K35" i="8"/>
  <c r="L35" i="8"/>
  <c r="M35" i="8"/>
  <c r="N35" i="8"/>
  <c r="O35" i="8"/>
  <c r="P35" i="8"/>
  <c r="Q35" i="8"/>
  <c r="R35" i="8"/>
  <c r="S35" i="8"/>
  <c r="T35" i="8"/>
  <c r="U35" i="8"/>
  <c r="V35" i="8"/>
  <c r="W35" i="8"/>
  <c r="X35" i="8"/>
  <c r="Y35" i="8"/>
  <c r="Z35" i="8"/>
  <c r="AA35" i="8"/>
  <c r="AB35" i="8"/>
  <c r="AC35" i="8"/>
  <c r="AD35" i="8"/>
  <c r="AE35" i="8"/>
  <c r="AF35" i="8"/>
  <c r="AG35" i="8"/>
  <c r="AH35" i="8"/>
  <c r="AI35" i="8"/>
  <c r="AJ35" i="8"/>
  <c r="AK35" i="8"/>
  <c r="AL35" i="8"/>
  <c r="AM35" i="8"/>
  <c r="AN35" i="8"/>
  <c r="AO35" i="8"/>
  <c r="AP35" i="8"/>
  <c r="AQ35" i="8"/>
  <c r="AR35" i="8"/>
  <c r="AS35" i="8"/>
  <c r="AT35" i="8"/>
  <c r="AU35" i="8"/>
  <c r="AV35" i="8"/>
  <c r="AW35" i="8"/>
  <c r="AX35" i="8"/>
  <c r="AY35" i="8"/>
  <c r="AZ35" i="8"/>
  <c r="BA35" i="8"/>
  <c r="BB35" i="8"/>
  <c r="BC35" i="8"/>
  <c r="BD35" i="8"/>
  <c r="BE35" i="8"/>
  <c r="BF35" i="8"/>
  <c r="BG35" i="8"/>
  <c r="BH35" i="8"/>
  <c r="BI35" i="8"/>
  <c r="BJ35" i="8"/>
  <c r="BK35" i="8"/>
  <c r="BL35" i="8"/>
  <c r="BM35" i="8"/>
  <c r="BN35" i="8"/>
  <c r="BO35" i="8"/>
  <c r="BP35" i="8"/>
  <c r="BQ35" i="8"/>
  <c r="BR35" i="8"/>
  <c r="BS35" i="8"/>
  <c r="BT35" i="8"/>
  <c r="BU35" i="8"/>
  <c r="BV35" i="8"/>
  <c r="BW35" i="8"/>
  <c r="BX35" i="8"/>
  <c r="BY35" i="8"/>
  <c r="BZ35" i="8"/>
  <c r="CA35" i="8"/>
  <c r="CB35" i="8"/>
  <c r="CC35" i="8"/>
  <c r="CD35" i="8"/>
  <c r="CE35" i="8"/>
  <c r="CF35" i="8"/>
  <c r="CG35" i="8"/>
  <c r="CH35" i="8"/>
  <c r="CI35" i="8"/>
  <c r="CJ35" i="8"/>
  <c r="CK35" i="8"/>
  <c r="CL35" i="8"/>
  <c r="CM35" i="8"/>
  <c r="CN35" i="8"/>
  <c r="CO35" i="8"/>
  <c r="CP35" i="8"/>
  <c r="CQ35" i="8"/>
  <c r="CR35" i="8"/>
  <c r="CS35" i="8"/>
  <c r="CT35" i="8"/>
  <c r="CU35" i="8"/>
  <c r="CV35" i="8"/>
  <c r="CW35" i="8"/>
  <c r="CX35" i="8"/>
  <c r="CY35" i="8"/>
  <c r="CZ35" i="8"/>
  <c r="DA35" i="8"/>
  <c r="DB35" i="8"/>
  <c r="DC35" i="8"/>
  <c r="DD35" i="8"/>
  <c r="DE35" i="8"/>
  <c r="DF35" i="8"/>
  <c r="DG35" i="8"/>
  <c r="DH35" i="8"/>
  <c r="DI35" i="8"/>
  <c r="DJ35" i="8"/>
  <c r="DK35" i="8"/>
  <c r="DL35" i="8"/>
  <c r="DM35" i="8"/>
  <c r="DN35" i="8"/>
  <c r="DO35" i="8"/>
  <c r="DP35" i="8"/>
  <c r="DQ35" i="8"/>
  <c r="DR35" i="8"/>
  <c r="DS35" i="8"/>
  <c r="DT35" i="8"/>
  <c r="DU35" i="8"/>
  <c r="DV35" i="8"/>
  <c r="DW35" i="8"/>
  <c r="DX35" i="8"/>
  <c r="DY35" i="8"/>
  <c r="DZ35" i="8"/>
  <c r="EA35" i="8"/>
  <c r="EB35" i="8"/>
  <c r="EC35" i="8"/>
  <c r="ED35" i="8"/>
  <c r="EE35" i="8"/>
  <c r="EF35" i="8"/>
  <c r="EG35" i="8"/>
  <c r="EH35" i="8"/>
  <c r="EI35" i="8"/>
  <c r="EJ35" i="8"/>
  <c r="EK35" i="8"/>
  <c r="EL35" i="8"/>
  <c r="EM35" i="8"/>
  <c r="EN35" i="8"/>
  <c r="EO35" i="8"/>
  <c r="EP35" i="8"/>
  <c r="EQ35" i="8"/>
  <c r="ER35" i="8"/>
  <c r="ES35" i="8"/>
  <c r="ET35" i="8"/>
  <c r="EU35" i="8"/>
  <c r="EV35" i="8"/>
  <c r="EW35" i="8"/>
  <c r="EX35" i="8"/>
  <c r="EY35" i="8"/>
  <c r="EZ35" i="8"/>
  <c r="FA35" i="8"/>
  <c r="FB35" i="8"/>
  <c r="FC35" i="8"/>
  <c r="FD35" i="8"/>
  <c r="FE35" i="8"/>
  <c r="FF35" i="8"/>
  <c r="FG35" i="8"/>
  <c r="FH35" i="8"/>
  <c r="FI35" i="8"/>
  <c r="FJ35" i="8"/>
  <c r="FK35" i="8"/>
  <c r="FL35" i="8"/>
  <c r="FM35" i="8"/>
  <c r="FN35" i="8"/>
  <c r="FO35" i="8"/>
  <c r="FP35" i="8"/>
  <c r="FQ35" i="8"/>
  <c r="FR35" i="8"/>
  <c r="FS35" i="8"/>
  <c r="FT35" i="8"/>
  <c r="FU35" i="8"/>
  <c r="FV35" i="8"/>
  <c r="FW35" i="8"/>
  <c r="FX35" i="8"/>
  <c r="FY35" i="8"/>
  <c r="FZ35" i="8"/>
  <c r="GA35" i="8"/>
  <c r="GB35" i="8"/>
  <c r="GC35" i="8"/>
  <c r="GD35" i="8"/>
  <c r="GE35" i="8"/>
  <c r="GF35" i="8"/>
  <c r="GG35" i="8"/>
  <c r="GH35" i="8"/>
  <c r="GI35" i="8"/>
  <c r="GJ35" i="8"/>
  <c r="GK35" i="8"/>
  <c r="GL35" i="8"/>
  <c r="GM35" i="8"/>
  <c r="GN35" i="8"/>
  <c r="GO35" i="8"/>
  <c r="GP35" i="8"/>
  <c r="GQ35" i="8"/>
  <c r="GR35" i="8"/>
  <c r="GS35" i="8"/>
  <c r="GT35" i="8"/>
  <c r="GU35" i="8"/>
  <c r="GV35" i="8"/>
  <c r="GW35" i="8"/>
  <c r="GX35" i="8"/>
  <c r="GY35" i="8"/>
  <c r="GZ35" i="8"/>
  <c r="HA35" i="8"/>
  <c r="HB35" i="8"/>
  <c r="HC35" i="8"/>
  <c r="HD35" i="8"/>
  <c r="HE35" i="8"/>
  <c r="HF35" i="8"/>
  <c r="HG35" i="8"/>
  <c r="HH35" i="8"/>
  <c r="HI35" i="8"/>
  <c r="HJ35" i="8"/>
  <c r="HK35" i="8"/>
  <c r="HL35" i="8"/>
  <c r="HM35" i="8"/>
  <c r="HN35" i="8"/>
  <c r="HO35" i="8"/>
  <c r="HP35" i="8"/>
  <c r="HQ35" i="8"/>
  <c r="HR35" i="8"/>
  <c r="HS35" i="8"/>
  <c r="HT35" i="8"/>
  <c r="HU35" i="8"/>
  <c r="HV35" i="8"/>
  <c r="HW35" i="8"/>
  <c r="HX35" i="8"/>
  <c r="HY35" i="8"/>
  <c r="HZ35" i="8"/>
  <c r="IA35" i="8"/>
  <c r="IB35" i="8"/>
  <c r="IC35" i="8"/>
  <c r="ID35" i="8"/>
  <c r="IE35" i="8"/>
  <c r="IF35" i="8"/>
  <c r="IG35" i="8"/>
  <c r="IH35" i="8"/>
  <c r="II35" i="8"/>
  <c r="IJ35" i="8"/>
  <c r="IK35" i="8"/>
  <c r="IL35" i="8"/>
  <c r="IM35" i="8"/>
  <c r="IN35" i="8"/>
  <c r="IO35" i="8"/>
  <c r="IP35" i="8"/>
  <c r="IQ35" i="8"/>
  <c r="IR35" i="8"/>
  <c r="IS35" i="8"/>
  <c r="IT35" i="8"/>
  <c r="IU35" i="8"/>
  <c r="IV35" i="8"/>
  <c r="F36" i="8"/>
  <c r="G36" i="8"/>
  <c r="H36" i="8"/>
  <c r="I36" i="8"/>
  <c r="J36" i="8"/>
  <c r="K36" i="8"/>
  <c r="L36" i="8"/>
  <c r="M36" i="8"/>
  <c r="N36" i="8"/>
  <c r="O36" i="8"/>
  <c r="P36" i="8"/>
  <c r="Q36" i="8"/>
  <c r="R36" i="8"/>
  <c r="S36" i="8"/>
  <c r="T36" i="8"/>
  <c r="U36" i="8"/>
  <c r="V36" i="8"/>
  <c r="W36" i="8"/>
  <c r="X36" i="8"/>
  <c r="Y36" i="8"/>
  <c r="Z36" i="8"/>
  <c r="AA36" i="8"/>
  <c r="AB36" i="8"/>
  <c r="AC36" i="8"/>
  <c r="AD36" i="8"/>
  <c r="AE36" i="8"/>
  <c r="AF36" i="8"/>
  <c r="AG36" i="8"/>
  <c r="AH36" i="8"/>
  <c r="AI36" i="8"/>
  <c r="AJ36" i="8"/>
  <c r="AK36" i="8"/>
  <c r="AL36" i="8"/>
  <c r="AM36" i="8"/>
  <c r="AN36" i="8"/>
  <c r="AO36" i="8"/>
  <c r="AP36" i="8"/>
  <c r="AQ36" i="8"/>
  <c r="AR36" i="8"/>
  <c r="AS36" i="8"/>
  <c r="AT36" i="8"/>
  <c r="AU36" i="8"/>
  <c r="AV36" i="8"/>
  <c r="AW36" i="8"/>
  <c r="AX36" i="8"/>
  <c r="AY36" i="8"/>
  <c r="AZ36" i="8"/>
  <c r="BA36" i="8"/>
  <c r="BB36" i="8"/>
  <c r="BC36" i="8"/>
  <c r="BD36" i="8"/>
  <c r="BE36" i="8"/>
  <c r="BF36" i="8"/>
  <c r="BG36" i="8"/>
  <c r="BH36" i="8"/>
  <c r="BI36" i="8"/>
  <c r="BJ36" i="8"/>
  <c r="BK36" i="8"/>
  <c r="BL36" i="8"/>
  <c r="BM36" i="8"/>
  <c r="BN36" i="8"/>
  <c r="BO36" i="8"/>
  <c r="BP36" i="8"/>
  <c r="BQ36" i="8"/>
  <c r="BR36" i="8"/>
  <c r="BS36" i="8"/>
  <c r="BT36" i="8"/>
  <c r="BU36" i="8"/>
  <c r="BV36" i="8"/>
  <c r="BW36" i="8"/>
  <c r="BX36" i="8"/>
  <c r="BY36" i="8"/>
  <c r="BZ36" i="8"/>
  <c r="CA36" i="8"/>
  <c r="CB36" i="8"/>
  <c r="CC36" i="8"/>
  <c r="CD36" i="8"/>
  <c r="CE36" i="8"/>
  <c r="CF36" i="8"/>
  <c r="CG36" i="8"/>
  <c r="CH36" i="8"/>
  <c r="CI36" i="8"/>
  <c r="CJ36" i="8"/>
  <c r="CK36" i="8"/>
  <c r="CL36" i="8"/>
  <c r="CM36" i="8"/>
  <c r="CN36" i="8"/>
  <c r="CO36" i="8"/>
  <c r="CP36" i="8"/>
  <c r="CQ36" i="8"/>
  <c r="CR36" i="8"/>
  <c r="CS36" i="8"/>
  <c r="CT36" i="8"/>
  <c r="CU36" i="8"/>
  <c r="CV36" i="8"/>
  <c r="CW36" i="8"/>
  <c r="CX36" i="8"/>
  <c r="CY36" i="8"/>
  <c r="CZ36" i="8"/>
  <c r="DA36" i="8"/>
  <c r="DB36" i="8"/>
  <c r="DC36" i="8"/>
  <c r="DD36" i="8"/>
  <c r="DE36" i="8"/>
  <c r="DF36" i="8"/>
  <c r="DG36" i="8"/>
  <c r="DH36" i="8"/>
  <c r="DI36" i="8"/>
  <c r="DJ36" i="8"/>
  <c r="DK36" i="8"/>
  <c r="DL36" i="8"/>
  <c r="DM36" i="8"/>
  <c r="DN36" i="8"/>
  <c r="DO36" i="8"/>
  <c r="DP36" i="8"/>
  <c r="DQ36" i="8"/>
  <c r="DR36" i="8"/>
  <c r="DS36" i="8"/>
  <c r="DT36" i="8"/>
  <c r="DU36" i="8"/>
  <c r="DV36" i="8"/>
  <c r="DW36" i="8"/>
  <c r="DX36" i="8"/>
  <c r="DY36" i="8"/>
  <c r="DZ36" i="8"/>
  <c r="EA36" i="8"/>
  <c r="EB36" i="8"/>
  <c r="EC36" i="8"/>
  <c r="ED36" i="8"/>
  <c r="EE36" i="8"/>
  <c r="EF36" i="8"/>
  <c r="EG36" i="8"/>
  <c r="EH36" i="8"/>
  <c r="EI36" i="8"/>
  <c r="EJ36" i="8"/>
  <c r="EK36" i="8"/>
  <c r="EL36" i="8"/>
  <c r="EM36" i="8"/>
  <c r="EN36" i="8"/>
  <c r="EO36" i="8"/>
  <c r="EP36" i="8"/>
  <c r="EQ36" i="8"/>
  <c r="ER36" i="8"/>
  <c r="ES36" i="8"/>
  <c r="ET36" i="8"/>
  <c r="EU36" i="8"/>
  <c r="EV36" i="8"/>
  <c r="EW36" i="8"/>
  <c r="EX36" i="8"/>
  <c r="EY36" i="8"/>
  <c r="EZ36" i="8"/>
  <c r="FA36" i="8"/>
  <c r="FB36" i="8"/>
  <c r="FC36" i="8"/>
  <c r="FD36" i="8"/>
  <c r="FE36" i="8"/>
  <c r="FF36" i="8"/>
  <c r="FG36" i="8"/>
  <c r="FH36" i="8"/>
  <c r="FI36" i="8"/>
  <c r="FJ36" i="8"/>
  <c r="FK36" i="8"/>
  <c r="FL36" i="8"/>
  <c r="FM36" i="8"/>
  <c r="FN36" i="8"/>
  <c r="FO36" i="8"/>
  <c r="FP36" i="8"/>
  <c r="FQ36" i="8"/>
  <c r="FR36" i="8"/>
  <c r="FS36" i="8"/>
  <c r="FT36" i="8"/>
  <c r="FU36" i="8"/>
  <c r="FV36" i="8"/>
  <c r="FW36" i="8"/>
  <c r="FX36" i="8"/>
  <c r="FY36" i="8"/>
  <c r="FZ36" i="8"/>
  <c r="GA36" i="8"/>
  <c r="GB36" i="8"/>
  <c r="GC36" i="8"/>
  <c r="GD36" i="8"/>
  <c r="GE36" i="8"/>
  <c r="GF36" i="8"/>
  <c r="GG36" i="8"/>
  <c r="GH36" i="8"/>
  <c r="GI36" i="8"/>
  <c r="GJ36" i="8"/>
  <c r="GK36" i="8"/>
  <c r="GL36" i="8"/>
  <c r="GM36" i="8"/>
  <c r="GN36" i="8"/>
  <c r="GO36" i="8"/>
  <c r="GP36" i="8"/>
  <c r="GQ36" i="8"/>
  <c r="GR36" i="8"/>
  <c r="GS36" i="8"/>
  <c r="GT36" i="8"/>
  <c r="GU36" i="8"/>
  <c r="GV36" i="8"/>
  <c r="GW36" i="8"/>
  <c r="GX36" i="8"/>
  <c r="GY36" i="8"/>
  <c r="GZ36" i="8"/>
  <c r="HA36" i="8"/>
  <c r="HB36" i="8"/>
  <c r="HC36" i="8"/>
  <c r="HD36" i="8"/>
  <c r="HE36" i="8"/>
  <c r="HF36" i="8"/>
  <c r="HG36" i="8"/>
  <c r="HH36" i="8"/>
  <c r="HI36" i="8"/>
  <c r="HJ36" i="8"/>
  <c r="HK36" i="8"/>
  <c r="HL36" i="8"/>
  <c r="HM36" i="8"/>
  <c r="HN36" i="8"/>
  <c r="HO36" i="8"/>
  <c r="HP36" i="8"/>
  <c r="HQ36" i="8"/>
  <c r="HR36" i="8"/>
  <c r="HS36" i="8"/>
  <c r="HT36" i="8"/>
  <c r="HU36" i="8"/>
  <c r="HV36" i="8"/>
  <c r="HW36" i="8"/>
  <c r="HX36" i="8"/>
  <c r="HY36" i="8"/>
  <c r="HZ36" i="8"/>
  <c r="IA36" i="8"/>
  <c r="IB36" i="8"/>
  <c r="IC36" i="8"/>
  <c r="ID36" i="8"/>
  <c r="IE36" i="8"/>
  <c r="IF36" i="8"/>
  <c r="IG36" i="8"/>
  <c r="IH36" i="8"/>
  <c r="II36" i="8"/>
  <c r="IJ36" i="8"/>
  <c r="IK36" i="8"/>
  <c r="IL36" i="8"/>
  <c r="IM36" i="8"/>
  <c r="IN36" i="8"/>
  <c r="IO36" i="8"/>
  <c r="IP36" i="8"/>
  <c r="IQ36" i="8"/>
  <c r="IR36" i="8"/>
  <c r="IS36" i="8"/>
  <c r="IT36" i="8"/>
  <c r="IU36" i="8"/>
  <c r="IV36" i="8"/>
  <c r="F37" i="8"/>
  <c r="G37" i="8"/>
  <c r="H37" i="8"/>
  <c r="I37" i="8"/>
  <c r="J37" i="8"/>
  <c r="K37" i="8"/>
  <c r="L37" i="8"/>
  <c r="M37" i="8"/>
  <c r="N37" i="8"/>
  <c r="O37" i="8"/>
  <c r="P37" i="8"/>
  <c r="Q37" i="8"/>
  <c r="R37" i="8"/>
  <c r="S37" i="8"/>
  <c r="T37" i="8"/>
  <c r="U37" i="8"/>
  <c r="V37" i="8"/>
  <c r="W37" i="8"/>
  <c r="X37" i="8"/>
  <c r="Y37" i="8"/>
  <c r="Z37" i="8"/>
  <c r="AA37" i="8"/>
  <c r="AB37" i="8"/>
  <c r="AC37" i="8"/>
  <c r="AD37" i="8"/>
  <c r="AE37" i="8"/>
  <c r="AF37" i="8"/>
  <c r="AG37" i="8"/>
  <c r="AH37" i="8"/>
  <c r="AI37" i="8"/>
  <c r="AJ37" i="8"/>
  <c r="AK37" i="8"/>
  <c r="AL37" i="8"/>
  <c r="AM37" i="8"/>
  <c r="AN37" i="8"/>
  <c r="AO37" i="8"/>
  <c r="AP37" i="8"/>
  <c r="AQ37" i="8"/>
  <c r="AR37" i="8"/>
  <c r="AS37" i="8"/>
  <c r="AT37" i="8"/>
  <c r="AU37" i="8"/>
  <c r="AV37" i="8"/>
  <c r="AW37" i="8"/>
  <c r="AX37" i="8"/>
  <c r="AY37" i="8"/>
  <c r="AZ37" i="8"/>
  <c r="BA37" i="8"/>
  <c r="BB37" i="8"/>
  <c r="BC37" i="8"/>
  <c r="BD37" i="8"/>
  <c r="BE37" i="8"/>
  <c r="BF37" i="8"/>
  <c r="BG37" i="8"/>
  <c r="BH37" i="8"/>
  <c r="BI37" i="8"/>
  <c r="BJ37" i="8"/>
  <c r="BK37" i="8"/>
  <c r="BL37" i="8"/>
  <c r="BM37" i="8"/>
  <c r="BN37" i="8"/>
  <c r="BO37" i="8"/>
  <c r="BP37" i="8"/>
  <c r="BQ37" i="8"/>
  <c r="BR37" i="8"/>
  <c r="BS37" i="8"/>
  <c r="BT37" i="8"/>
  <c r="BU37" i="8"/>
  <c r="BV37" i="8"/>
  <c r="BW37" i="8"/>
  <c r="BX37" i="8"/>
  <c r="BY37" i="8"/>
  <c r="BZ37" i="8"/>
  <c r="CA37" i="8"/>
  <c r="CB37" i="8"/>
  <c r="CC37" i="8"/>
  <c r="CD37" i="8"/>
  <c r="CE37" i="8"/>
  <c r="CF37" i="8"/>
  <c r="CG37" i="8"/>
  <c r="CH37" i="8"/>
  <c r="CI37" i="8"/>
  <c r="CJ37" i="8"/>
  <c r="CK37" i="8"/>
  <c r="CL37" i="8"/>
  <c r="CM37" i="8"/>
  <c r="CN37" i="8"/>
  <c r="CO37" i="8"/>
  <c r="CP37" i="8"/>
  <c r="CQ37" i="8"/>
  <c r="CR37" i="8"/>
  <c r="CS37" i="8"/>
  <c r="CT37" i="8"/>
  <c r="CU37" i="8"/>
  <c r="CV37" i="8"/>
  <c r="CW37" i="8"/>
  <c r="CX37" i="8"/>
  <c r="CY37" i="8"/>
  <c r="CZ37" i="8"/>
  <c r="DA37" i="8"/>
  <c r="DB37" i="8"/>
  <c r="DC37" i="8"/>
  <c r="DD37" i="8"/>
  <c r="DE37" i="8"/>
  <c r="DF37" i="8"/>
  <c r="DG37" i="8"/>
  <c r="DH37" i="8"/>
  <c r="DI37" i="8"/>
  <c r="DJ37" i="8"/>
  <c r="DK37" i="8"/>
  <c r="DL37" i="8"/>
  <c r="DM37" i="8"/>
  <c r="DN37" i="8"/>
  <c r="DO37" i="8"/>
  <c r="DP37" i="8"/>
  <c r="DQ37" i="8"/>
  <c r="DR37" i="8"/>
  <c r="DS37" i="8"/>
  <c r="DT37" i="8"/>
  <c r="DU37" i="8"/>
  <c r="DV37" i="8"/>
  <c r="DW37" i="8"/>
  <c r="DX37" i="8"/>
  <c r="DY37" i="8"/>
  <c r="DZ37" i="8"/>
  <c r="EA37" i="8"/>
  <c r="EB37" i="8"/>
  <c r="EC37" i="8"/>
  <c r="ED37" i="8"/>
  <c r="EE37" i="8"/>
  <c r="EF37" i="8"/>
  <c r="EG37" i="8"/>
  <c r="EH37" i="8"/>
  <c r="EI37" i="8"/>
  <c r="EJ37" i="8"/>
  <c r="EK37" i="8"/>
  <c r="EL37" i="8"/>
  <c r="EM37" i="8"/>
  <c r="EN37" i="8"/>
  <c r="EO37" i="8"/>
  <c r="EP37" i="8"/>
  <c r="EQ37" i="8"/>
  <c r="ER37" i="8"/>
  <c r="ES37" i="8"/>
  <c r="ET37" i="8"/>
  <c r="EU37" i="8"/>
  <c r="EV37" i="8"/>
  <c r="EW37" i="8"/>
  <c r="EX37" i="8"/>
  <c r="EY37" i="8"/>
  <c r="EZ37" i="8"/>
  <c r="FA37" i="8"/>
  <c r="FB37" i="8"/>
  <c r="FC37" i="8"/>
  <c r="FD37" i="8"/>
  <c r="FE37" i="8"/>
  <c r="FF37" i="8"/>
  <c r="FG37" i="8"/>
  <c r="FH37" i="8"/>
  <c r="FI37" i="8"/>
  <c r="FJ37" i="8"/>
  <c r="FK37" i="8"/>
  <c r="FL37" i="8"/>
  <c r="FM37" i="8"/>
  <c r="FN37" i="8"/>
  <c r="FO37" i="8"/>
  <c r="FP37" i="8"/>
  <c r="FQ37" i="8"/>
  <c r="FR37" i="8"/>
  <c r="FS37" i="8"/>
  <c r="FT37" i="8"/>
  <c r="FU37" i="8"/>
  <c r="FV37" i="8"/>
  <c r="FW37" i="8"/>
  <c r="FX37" i="8"/>
  <c r="FY37" i="8"/>
  <c r="FZ37" i="8"/>
  <c r="GA37" i="8"/>
  <c r="GB37" i="8"/>
  <c r="GC37" i="8"/>
  <c r="GD37" i="8"/>
  <c r="GE37" i="8"/>
  <c r="GF37" i="8"/>
  <c r="GG37" i="8"/>
  <c r="GH37" i="8"/>
  <c r="GI37" i="8"/>
  <c r="GJ37" i="8"/>
  <c r="GK37" i="8"/>
  <c r="GL37" i="8"/>
  <c r="GM37" i="8"/>
  <c r="GN37" i="8"/>
  <c r="GO37" i="8"/>
  <c r="GP37" i="8"/>
  <c r="GQ37" i="8"/>
  <c r="GR37" i="8"/>
  <c r="GS37" i="8"/>
  <c r="GT37" i="8"/>
  <c r="GU37" i="8"/>
  <c r="GV37" i="8"/>
  <c r="GW37" i="8"/>
  <c r="GX37" i="8"/>
  <c r="GY37" i="8"/>
  <c r="GZ37" i="8"/>
  <c r="HA37" i="8"/>
  <c r="HB37" i="8"/>
  <c r="HC37" i="8"/>
  <c r="HD37" i="8"/>
  <c r="HE37" i="8"/>
  <c r="HF37" i="8"/>
  <c r="HG37" i="8"/>
  <c r="HH37" i="8"/>
  <c r="HI37" i="8"/>
  <c r="HJ37" i="8"/>
  <c r="HK37" i="8"/>
  <c r="HL37" i="8"/>
  <c r="HM37" i="8"/>
  <c r="HN37" i="8"/>
  <c r="HO37" i="8"/>
  <c r="HP37" i="8"/>
  <c r="HQ37" i="8"/>
  <c r="HR37" i="8"/>
  <c r="HS37" i="8"/>
  <c r="HT37" i="8"/>
  <c r="HU37" i="8"/>
  <c r="HV37" i="8"/>
  <c r="HW37" i="8"/>
  <c r="HX37" i="8"/>
  <c r="HY37" i="8"/>
  <c r="HZ37" i="8"/>
  <c r="IA37" i="8"/>
  <c r="IB37" i="8"/>
  <c r="IC37" i="8"/>
  <c r="ID37" i="8"/>
  <c r="IE37" i="8"/>
  <c r="IF37" i="8"/>
  <c r="IG37" i="8"/>
  <c r="IH37" i="8"/>
  <c r="II37" i="8"/>
  <c r="IJ37" i="8"/>
  <c r="IK37" i="8"/>
  <c r="IL37" i="8"/>
  <c r="IM37" i="8"/>
  <c r="IN37" i="8"/>
  <c r="IO37" i="8"/>
  <c r="IP37" i="8"/>
  <c r="IQ37" i="8"/>
  <c r="IR37" i="8"/>
  <c r="IS37" i="8"/>
  <c r="IT37" i="8"/>
  <c r="IU37" i="8"/>
  <c r="IV37" i="8"/>
  <c r="F38" i="8"/>
  <c r="G38" i="8"/>
  <c r="H38" i="8"/>
  <c r="I38" i="8"/>
  <c r="J38" i="8"/>
  <c r="K38" i="8"/>
  <c r="L38" i="8"/>
  <c r="M38" i="8"/>
  <c r="N38" i="8"/>
  <c r="O38" i="8"/>
  <c r="P38" i="8"/>
  <c r="Q38" i="8"/>
  <c r="R38" i="8"/>
  <c r="S38" i="8"/>
  <c r="T38" i="8"/>
  <c r="U38" i="8"/>
  <c r="V38" i="8"/>
  <c r="W38" i="8"/>
  <c r="X38" i="8"/>
  <c r="Y38" i="8"/>
  <c r="Z38" i="8"/>
  <c r="AA38" i="8"/>
  <c r="AB38" i="8"/>
  <c r="AC38" i="8"/>
  <c r="AD38" i="8"/>
  <c r="AE38" i="8"/>
  <c r="AF38" i="8"/>
  <c r="AG38" i="8"/>
  <c r="AH38" i="8"/>
  <c r="AI38" i="8"/>
  <c r="AJ38" i="8"/>
  <c r="AK38" i="8"/>
  <c r="AL38" i="8"/>
  <c r="AM38" i="8"/>
  <c r="AN38" i="8"/>
  <c r="AO38" i="8"/>
  <c r="AP38" i="8"/>
  <c r="AQ38" i="8"/>
  <c r="AR38" i="8"/>
  <c r="AS38" i="8"/>
  <c r="AT38" i="8"/>
  <c r="AU38" i="8"/>
  <c r="AV38" i="8"/>
  <c r="AW38" i="8"/>
  <c r="AX38" i="8"/>
  <c r="AY38" i="8"/>
  <c r="AZ38" i="8"/>
  <c r="BA38" i="8"/>
  <c r="BB38" i="8"/>
  <c r="BC38" i="8"/>
  <c r="BD38" i="8"/>
  <c r="BE38" i="8"/>
  <c r="BF38" i="8"/>
  <c r="BG38" i="8"/>
  <c r="BH38" i="8"/>
  <c r="BI38" i="8"/>
  <c r="BJ38" i="8"/>
  <c r="BK38" i="8"/>
  <c r="BL38" i="8"/>
  <c r="BM38" i="8"/>
  <c r="BN38" i="8"/>
  <c r="BO38" i="8"/>
  <c r="BP38" i="8"/>
  <c r="BQ38" i="8"/>
  <c r="BR38" i="8"/>
  <c r="BS38" i="8"/>
  <c r="BT38" i="8"/>
  <c r="BU38" i="8"/>
  <c r="BV38" i="8"/>
  <c r="BW38" i="8"/>
  <c r="BX38" i="8"/>
  <c r="BY38" i="8"/>
  <c r="BZ38" i="8"/>
  <c r="CA38" i="8"/>
  <c r="CB38" i="8"/>
  <c r="CC38" i="8"/>
  <c r="CD38" i="8"/>
  <c r="CE38" i="8"/>
  <c r="CF38" i="8"/>
  <c r="CG38" i="8"/>
  <c r="CH38" i="8"/>
  <c r="CI38" i="8"/>
  <c r="CJ38" i="8"/>
  <c r="CK38" i="8"/>
  <c r="CL38" i="8"/>
  <c r="CM38" i="8"/>
  <c r="CN38" i="8"/>
  <c r="CO38" i="8"/>
  <c r="CP38" i="8"/>
  <c r="CQ38" i="8"/>
  <c r="CR38" i="8"/>
  <c r="CS38" i="8"/>
  <c r="CT38" i="8"/>
  <c r="CU38" i="8"/>
  <c r="CV38" i="8"/>
  <c r="CW38" i="8"/>
  <c r="CX38" i="8"/>
  <c r="CY38" i="8"/>
  <c r="CZ38" i="8"/>
  <c r="DA38" i="8"/>
  <c r="DB38" i="8"/>
  <c r="DC38" i="8"/>
  <c r="DD38" i="8"/>
  <c r="DE38" i="8"/>
  <c r="DF38" i="8"/>
  <c r="DG38" i="8"/>
  <c r="DH38" i="8"/>
  <c r="DI38" i="8"/>
  <c r="DJ38" i="8"/>
  <c r="DK38" i="8"/>
  <c r="DL38" i="8"/>
  <c r="DM38" i="8"/>
  <c r="DN38" i="8"/>
  <c r="DO38" i="8"/>
  <c r="DP38" i="8"/>
  <c r="DQ38" i="8"/>
  <c r="DR38" i="8"/>
  <c r="DS38" i="8"/>
  <c r="DT38" i="8"/>
  <c r="DU38" i="8"/>
  <c r="DV38" i="8"/>
  <c r="DW38" i="8"/>
  <c r="DX38" i="8"/>
  <c r="DY38" i="8"/>
  <c r="DZ38" i="8"/>
  <c r="EA38" i="8"/>
  <c r="EB38" i="8"/>
  <c r="EC38" i="8"/>
  <c r="ED38" i="8"/>
  <c r="EE38" i="8"/>
  <c r="EF38" i="8"/>
  <c r="EG38" i="8"/>
  <c r="EH38" i="8"/>
  <c r="EI38" i="8"/>
  <c r="EJ38" i="8"/>
  <c r="EK38" i="8"/>
  <c r="EL38" i="8"/>
  <c r="EM38" i="8"/>
  <c r="EN38" i="8"/>
  <c r="EO38" i="8"/>
  <c r="EP38" i="8"/>
  <c r="EQ38" i="8"/>
  <c r="ER38" i="8"/>
  <c r="ES38" i="8"/>
  <c r="ET38" i="8"/>
  <c r="EU38" i="8"/>
  <c r="EV38" i="8"/>
  <c r="EW38" i="8"/>
  <c r="EX38" i="8"/>
  <c r="EY38" i="8"/>
  <c r="EZ38" i="8"/>
  <c r="FA38" i="8"/>
  <c r="FB38" i="8"/>
  <c r="FC38" i="8"/>
  <c r="FD38" i="8"/>
  <c r="FE38" i="8"/>
  <c r="FF38" i="8"/>
  <c r="FG38" i="8"/>
  <c r="FH38" i="8"/>
  <c r="FI38" i="8"/>
  <c r="FJ38" i="8"/>
  <c r="FK38" i="8"/>
  <c r="FL38" i="8"/>
  <c r="FM38" i="8"/>
  <c r="FN38" i="8"/>
  <c r="FO38" i="8"/>
  <c r="FP38" i="8"/>
  <c r="FQ38" i="8"/>
  <c r="FR38" i="8"/>
  <c r="FS38" i="8"/>
  <c r="FT38" i="8"/>
  <c r="FU38" i="8"/>
  <c r="FV38" i="8"/>
  <c r="FW38" i="8"/>
  <c r="FX38" i="8"/>
  <c r="FY38" i="8"/>
  <c r="FZ38" i="8"/>
  <c r="GA38" i="8"/>
  <c r="GB38" i="8"/>
  <c r="GC38" i="8"/>
  <c r="GD38" i="8"/>
  <c r="GE38" i="8"/>
  <c r="GF38" i="8"/>
  <c r="GG38" i="8"/>
  <c r="GH38" i="8"/>
  <c r="GI38" i="8"/>
  <c r="GJ38" i="8"/>
  <c r="GK38" i="8"/>
  <c r="GL38" i="8"/>
  <c r="GM38" i="8"/>
  <c r="GN38" i="8"/>
  <c r="GO38" i="8"/>
  <c r="GP38" i="8"/>
  <c r="GQ38" i="8"/>
  <c r="GR38" i="8"/>
  <c r="GS38" i="8"/>
  <c r="GT38" i="8"/>
  <c r="GU38" i="8"/>
  <c r="GV38" i="8"/>
  <c r="GW38" i="8"/>
  <c r="GX38" i="8"/>
  <c r="GY38" i="8"/>
  <c r="GZ38" i="8"/>
  <c r="HA38" i="8"/>
  <c r="HB38" i="8"/>
  <c r="HC38" i="8"/>
  <c r="HD38" i="8"/>
  <c r="HE38" i="8"/>
  <c r="HF38" i="8"/>
  <c r="HG38" i="8"/>
  <c r="HH38" i="8"/>
  <c r="HI38" i="8"/>
  <c r="HJ38" i="8"/>
  <c r="HK38" i="8"/>
  <c r="HL38" i="8"/>
  <c r="HM38" i="8"/>
  <c r="HN38" i="8"/>
  <c r="HO38" i="8"/>
  <c r="HP38" i="8"/>
  <c r="HQ38" i="8"/>
  <c r="HR38" i="8"/>
  <c r="HS38" i="8"/>
  <c r="HT38" i="8"/>
  <c r="HU38" i="8"/>
  <c r="HV38" i="8"/>
  <c r="HW38" i="8"/>
  <c r="HX38" i="8"/>
  <c r="HY38" i="8"/>
  <c r="HZ38" i="8"/>
  <c r="IA38" i="8"/>
  <c r="IB38" i="8"/>
  <c r="IC38" i="8"/>
  <c r="ID38" i="8"/>
  <c r="IE38" i="8"/>
  <c r="IF38" i="8"/>
  <c r="IG38" i="8"/>
  <c r="IH38" i="8"/>
  <c r="II38" i="8"/>
  <c r="IJ38" i="8"/>
  <c r="IK38" i="8"/>
  <c r="IL38" i="8"/>
  <c r="IM38" i="8"/>
  <c r="IN38" i="8"/>
  <c r="IO38" i="8"/>
  <c r="IP38" i="8"/>
  <c r="IQ38" i="8"/>
  <c r="IR38" i="8"/>
  <c r="IS38" i="8"/>
  <c r="IT38" i="8"/>
  <c r="IU38" i="8"/>
  <c r="IV38" i="8"/>
  <c r="F39" i="8"/>
  <c r="G39" i="8"/>
  <c r="H39" i="8"/>
  <c r="I39" i="8"/>
  <c r="J39" i="8"/>
  <c r="K39" i="8"/>
  <c r="L39" i="8"/>
  <c r="M39" i="8"/>
  <c r="N39" i="8"/>
  <c r="O39" i="8"/>
  <c r="P39" i="8"/>
  <c r="Q39" i="8"/>
  <c r="R39" i="8"/>
  <c r="S39" i="8"/>
  <c r="T39" i="8"/>
  <c r="U39" i="8"/>
  <c r="V39" i="8"/>
  <c r="W39" i="8"/>
  <c r="X39" i="8"/>
  <c r="Y39" i="8"/>
  <c r="Z39" i="8"/>
  <c r="AA39" i="8"/>
  <c r="AB39" i="8"/>
  <c r="AC39" i="8"/>
  <c r="AD39" i="8"/>
  <c r="AE39" i="8"/>
  <c r="AF39" i="8"/>
  <c r="AG39" i="8"/>
  <c r="AH39" i="8"/>
  <c r="AI39" i="8"/>
  <c r="AJ39" i="8"/>
  <c r="AK39" i="8"/>
  <c r="AL39" i="8"/>
  <c r="AM39" i="8"/>
  <c r="AN39" i="8"/>
  <c r="AO39" i="8"/>
  <c r="AP39" i="8"/>
  <c r="AQ39" i="8"/>
  <c r="AR39" i="8"/>
  <c r="AS39" i="8"/>
  <c r="AT39" i="8"/>
  <c r="AU39" i="8"/>
  <c r="AV39" i="8"/>
  <c r="AW39" i="8"/>
  <c r="AX39" i="8"/>
  <c r="AY39" i="8"/>
  <c r="AZ39" i="8"/>
  <c r="BA39" i="8"/>
  <c r="BB39" i="8"/>
  <c r="BC39" i="8"/>
  <c r="BD39" i="8"/>
  <c r="BE39" i="8"/>
  <c r="BF39" i="8"/>
  <c r="BG39" i="8"/>
  <c r="BH39" i="8"/>
  <c r="BI39" i="8"/>
  <c r="BJ39" i="8"/>
  <c r="BK39" i="8"/>
  <c r="BL39" i="8"/>
  <c r="BM39" i="8"/>
  <c r="BN39" i="8"/>
  <c r="BO39" i="8"/>
  <c r="BP39" i="8"/>
  <c r="BQ39" i="8"/>
  <c r="BR39" i="8"/>
  <c r="BS39" i="8"/>
  <c r="BT39" i="8"/>
  <c r="BU39" i="8"/>
  <c r="BV39" i="8"/>
  <c r="BW39" i="8"/>
  <c r="BX39" i="8"/>
  <c r="BY39" i="8"/>
  <c r="BZ39" i="8"/>
  <c r="CA39" i="8"/>
  <c r="CB39" i="8"/>
  <c r="CC39" i="8"/>
  <c r="CD39" i="8"/>
  <c r="CE39" i="8"/>
  <c r="CF39" i="8"/>
  <c r="CG39" i="8"/>
  <c r="CH39" i="8"/>
  <c r="CI39" i="8"/>
  <c r="CJ39" i="8"/>
  <c r="CK39" i="8"/>
  <c r="CL39" i="8"/>
  <c r="CM39" i="8"/>
  <c r="CN39" i="8"/>
  <c r="CO39" i="8"/>
  <c r="CP39" i="8"/>
  <c r="CQ39" i="8"/>
  <c r="CR39" i="8"/>
  <c r="CS39" i="8"/>
  <c r="CT39" i="8"/>
  <c r="CU39" i="8"/>
  <c r="CV39" i="8"/>
  <c r="CW39" i="8"/>
  <c r="CX39" i="8"/>
  <c r="CY39" i="8"/>
  <c r="CZ39" i="8"/>
  <c r="DA39" i="8"/>
  <c r="DB39" i="8"/>
  <c r="DC39" i="8"/>
  <c r="DD39" i="8"/>
  <c r="DE39" i="8"/>
  <c r="DF39" i="8"/>
  <c r="DG39" i="8"/>
  <c r="DH39" i="8"/>
  <c r="DI39" i="8"/>
  <c r="DJ39" i="8"/>
  <c r="DK39" i="8"/>
  <c r="DL39" i="8"/>
  <c r="DM39" i="8"/>
  <c r="DN39" i="8"/>
  <c r="DO39" i="8"/>
  <c r="DP39" i="8"/>
  <c r="DQ39" i="8"/>
  <c r="DR39" i="8"/>
  <c r="DS39" i="8"/>
  <c r="DT39" i="8"/>
  <c r="DU39" i="8"/>
  <c r="DV39" i="8"/>
  <c r="DW39" i="8"/>
  <c r="DX39" i="8"/>
  <c r="DY39" i="8"/>
  <c r="DZ39" i="8"/>
  <c r="EA39" i="8"/>
  <c r="EB39" i="8"/>
  <c r="EC39" i="8"/>
  <c r="ED39" i="8"/>
  <c r="EE39" i="8"/>
  <c r="EF39" i="8"/>
  <c r="EG39" i="8"/>
  <c r="EH39" i="8"/>
  <c r="EI39" i="8"/>
  <c r="EJ39" i="8"/>
  <c r="EK39" i="8"/>
  <c r="EL39" i="8"/>
  <c r="EM39" i="8"/>
  <c r="EN39" i="8"/>
  <c r="EO39" i="8"/>
  <c r="EP39" i="8"/>
  <c r="EQ39" i="8"/>
  <c r="ER39" i="8"/>
  <c r="ES39" i="8"/>
  <c r="ET39" i="8"/>
  <c r="EU39" i="8"/>
  <c r="EV39" i="8"/>
  <c r="EW39" i="8"/>
  <c r="EX39" i="8"/>
  <c r="EY39" i="8"/>
  <c r="EZ39" i="8"/>
  <c r="FA39" i="8"/>
  <c r="FB39" i="8"/>
  <c r="FC39" i="8"/>
  <c r="FD39" i="8"/>
  <c r="FE39" i="8"/>
  <c r="FF39" i="8"/>
  <c r="FG39" i="8"/>
  <c r="FH39" i="8"/>
  <c r="FI39" i="8"/>
  <c r="FJ39" i="8"/>
  <c r="FK39" i="8"/>
  <c r="FL39" i="8"/>
  <c r="FM39" i="8"/>
  <c r="FN39" i="8"/>
  <c r="FO39" i="8"/>
  <c r="FP39" i="8"/>
  <c r="FQ39" i="8"/>
  <c r="FR39" i="8"/>
  <c r="FS39" i="8"/>
  <c r="FT39" i="8"/>
  <c r="FU39" i="8"/>
  <c r="FV39" i="8"/>
  <c r="FW39" i="8"/>
  <c r="FX39" i="8"/>
  <c r="FY39" i="8"/>
  <c r="FZ39" i="8"/>
  <c r="GA39" i="8"/>
  <c r="GB39" i="8"/>
  <c r="GC39" i="8"/>
  <c r="GD39" i="8"/>
  <c r="GE39" i="8"/>
  <c r="GF39" i="8"/>
  <c r="GG39" i="8"/>
  <c r="GH39" i="8"/>
  <c r="GI39" i="8"/>
  <c r="GJ39" i="8"/>
  <c r="GK39" i="8"/>
  <c r="GL39" i="8"/>
  <c r="GM39" i="8"/>
  <c r="GN39" i="8"/>
  <c r="GO39" i="8"/>
  <c r="GP39" i="8"/>
  <c r="GQ39" i="8"/>
  <c r="GR39" i="8"/>
  <c r="GS39" i="8"/>
  <c r="GT39" i="8"/>
  <c r="GU39" i="8"/>
  <c r="GV39" i="8"/>
  <c r="GW39" i="8"/>
  <c r="GX39" i="8"/>
  <c r="GY39" i="8"/>
  <c r="GZ39" i="8"/>
  <c r="HA39" i="8"/>
  <c r="HB39" i="8"/>
  <c r="HC39" i="8"/>
  <c r="HD39" i="8"/>
  <c r="HE39" i="8"/>
  <c r="HF39" i="8"/>
  <c r="HG39" i="8"/>
  <c r="HH39" i="8"/>
  <c r="HI39" i="8"/>
  <c r="HJ39" i="8"/>
  <c r="HK39" i="8"/>
  <c r="HL39" i="8"/>
  <c r="HM39" i="8"/>
  <c r="HN39" i="8"/>
  <c r="HO39" i="8"/>
  <c r="HP39" i="8"/>
  <c r="HQ39" i="8"/>
  <c r="HR39" i="8"/>
  <c r="HS39" i="8"/>
  <c r="HT39" i="8"/>
  <c r="HU39" i="8"/>
  <c r="HV39" i="8"/>
  <c r="HW39" i="8"/>
  <c r="HX39" i="8"/>
  <c r="HY39" i="8"/>
  <c r="HZ39" i="8"/>
  <c r="IA39" i="8"/>
  <c r="IB39" i="8"/>
  <c r="IC39" i="8"/>
  <c r="ID39" i="8"/>
  <c r="IE39" i="8"/>
  <c r="IF39" i="8"/>
  <c r="IG39" i="8"/>
  <c r="IH39" i="8"/>
  <c r="II39" i="8"/>
  <c r="IJ39" i="8"/>
  <c r="IK39" i="8"/>
  <c r="IL39" i="8"/>
  <c r="IM39" i="8"/>
  <c r="IN39" i="8"/>
  <c r="IO39" i="8"/>
  <c r="IP39" i="8"/>
  <c r="IQ39" i="8"/>
  <c r="IR39" i="8"/>
  <c r="IS39" i="8"/>
  <c r="IT39" i="8"/>
  <c r="IU39" i="8"/>
  <c r="IV39" i="8"/>
  <c r="F40" i="8"/>
  <c r="G40" i="8"/>
  <c r="H40" i="8"/>
  <c r="I40" i="8"/>
  <c r="J40" i="8"/>
  <c r="K40" i="8"/>
  <c r="L40" i="8"/>
  <c r="M40" i="8"/>
  <c r="N40" i="8"/>
  <c r="O40" i="8"/>
  <c r="P40" i="8"/>
  <c r="Q40" i="8"/>
  <c r="R40" i="8"/>
  <c r="S40" i="8"/>
  <c r="T40" i="8"/>
  <c r="U40" i="8"/>
  <c r="V40" i="8"/>
  <c r="W40" i="8"/>
  <c r="X40" i="8"/>
  <c r="Y40" i="8"/>
  <c r="Z40" i="8"/>
  <c r="AA40" i="8"/>
  <c r="AB40" i="8"/>
  <c r="AC40" i="8"/>
  <c r="AD40" i="8"/>
  <c r="AE40" i="8"/>
  <c r="AF40" i="8"/>
  <c r="AG40" i="8"/>
  <c r="AH40" i="8"/>
  <c r="AI40" i="8"/>
  <c r="AJ40" i="8"/>
  <c r="AK40" i="8"/>
  <c r="AL40" i="8"/>
  <c r="AM40" i="8"/>
  <c r="AN40" i="8"/>
  <c r="AO40" i="8"/>
  <c r="AP40" i="8"/>
  <c r="AQ40" i="8"/>
  <c r="AR40" i="8"/>
  <c r="AS40" i="8"/>
  <c r="AT40" i="8"/>
  <c r="AU40" i="8"/>
  <c r="AV40" i="8"/>
  <c r="AW40" i="8"/>
  <c r="AX40" i="8"/>
  <c r="AY40" i="8"/>
  <c r="AZ40" i="8"/>
  <c r="BA40" i="8"/>
  <c r="BB40" i="8"/>
  <c r="BC40" i="8"/>
  <c r="BD40" i="8"/>
  <c r="BE40" i="8"/>
  <c r="BF40" i="8"/>
  <c r="BG40" i="8"/>
  <c r="BH40" i="8"/>
  <c r="BI40" i="8"/>
  <c r="BJ40" i="8"/>
  <c r="BK40" i="8"/>
  <c r="BL40" i="8"/>
  <c r="BM40" i="8"/>
  <c r="BN40" i="8"/>
  <c r="BO40" i="8"/>
  <c r="BP40" i="8"/>
  <c r="BQ40" i="8"/>
  <c r="BR40" i="8"/>
  <c r="BS40" i="8"/>
  <c r="BT40" i="8"/>
  <c r="BU40" i="8"/>
  <c r="BV40" i="8"/>
  <c r="BW40" i="8"/>
  <c r="BX40" i="8"/>
  <c r="BY40" i="8"/>
  <c r="BZ40" i="8"/>
  <c r="CA40" i="8"/>
  <c r="CB40" i="8"/>
  <c r="CC40" i="8"/>
  <c r="CD40" i="8"/>
  <c r="CE40" i="8"/>
  <c r="CF40" i="8"/>
  <c r="CG40" i="8"/>
  <c r="CH40" i="8"/>
  <c r="CI40" i="8"/>
  <c r="CJ40" i="8"/>
  <c r="CK40" i="8"/>
  <c r="CL40" i="8"/>
  <c r="CM40" i="8"/>
  <c r="CN40" i="8"/>
  <c r="CO40" i="8"/>
  <c r="CP40" i="8"/>
  <c r="CQ40" i="8"/>
  <c r="CR40" i="8"/>
  <c r="CS40" i="8"/>
  <c r="CT40" i="8"/>
  <c r="CU40" i="8"/>
  <c r="CV40" i="8"/>
  <c r="CW40" i="8"/>
  <c r="CX40" i="8"/>
  <c r="CY40" i="8"/>
  <c r="CZ40" i="8"/>
  <c r="DA40" i="8"/>
  <c r="DB40" i="8"/>
  <c r="DC40" i="8"/>
  <c r="DD40" i="8"/>
  <c r="DE40" i="8"/>
  <c r="DF40" i="8"/>
  <c r="DG40" i="8"/>
  <c r="DH40" i="8"/>
  <c r="DI40" i="8"/>
  <c r="DJ40" i="8"/>
  <c r="DK40" i="8"/>
  <c r="DL40" i="8"/>
  <c r="DM40" i="8"/>
  <c r="DN40" i="8"/>
  <c r="DO40" i="8"/>
  <c r="DP40" i="8"/>
  <c r="DQ40" i="8"/>
  <c r="DR40" i="8"/>
  <c r="DS40" i="8"/>
  <c r="DT40" i="8"/>
  <c r="DU40" i="8"/>
  <c r="DV40" i="8"/>
  <c r="DW40" i="8"/>
  <c r="DX40" i="8"/>
  <c r="DY40" i="8"/>
  <c r="DZ40" i="8"/>
  <c r="EA40" i="8"/>
  <c r="EB40" i="8"/>
  <c r="EC40" i="8"/>
  <c r="ED40" i="8"/>
  <c r="EE40" i="8"/>
  <c r="EF40" i="8"/>
  <c r="EG40" i="8"/>
  <c r="EH40" i="8"/>
  <c r="EI40" i="8"/>
  <c r="EJ40" i="8"/>
  <c r="EK40" i="8"/>
  <c r="EL40" i="8"/>
  <c r="EM40" i="8"/>
  <c r="EN40" i="8"/>
  <c r="EO40" i="8"/>
  <c r="EP40" i="8"/>
  <c r="EQ40" i="8"/>
  <c r="ER40" i="8"/>
  <c r="ES40" i="8"/>
  <c r="ET40" i="8"/>
  <c r="EU40" i="8"/>
  <c r="EV40" i="8"/>
  <c r="EW40" i="8"/>
  <c r="EX40" i="8"/>
  <c r="EY40" i="8"/>
  <c r="EZ40" i="8"/>
  <c r="FA40" i="8"/>
  <c r="FB40" i="8"/>
  <c r="FC40" i="8"/>
  <c r="FD40" i="8"/>
  <c r="FE40" i="8"/>
  <c r="FF40" i="8"/>
  <c r="FG40" i="8"/>
  <c r="FH40" i="8"/>
  <c r="FI40" i="8"/>
  <c r="FJ40" i="8"/>
  <c r="FK40" i="8"/>
  <c r="FL40" i="8"/>
  <c r="FM40" i="8"/>
  <c r="FN40" i="8"/>
  <c r="FO40" i="8"/>
  <c r="FP40" i="8"/>
  <c r="FQ40" i="8"/>
  <c r="FR40" i="8"/>
  <c r="FS40" i="8"/>
  <c r="FT40" i="8"/>
  <c r="FU40" i="8"/>
  <c r="FV40" i="8"/>
  <c r="FW40" i="8"/>
  <c r="FX40" i="8"/>
  <c r="FY40" i="8"/>
  <c r="FZ40" i="8"/>
  <c r="GA40" i="8"/>
  <c r="GB40" i="8"/>
  <c r="GC40" i="8"/>
  <c r="GD40" i="8"/>
  <c r="GE40" i="8"/>
  <c r="GF40" i="8"/>
  <c r="GG40" i="8"/>
  <c r="GH40" i="8"/>
  <c r="GI40" i="8"/>
  <c r="GJ40" i="8"/>
  <c r="GK40" i="8"/>
  <c r="GL40" i="8"/>
  <c r="GM40" i="8"/>
  <c r="GN40" i="8"/>
  <c r="GO40" i="8"/>
  <c r="GP40" i="8"/>
  <c r="GQ40" i="8"/>
  <c r="GR40" i="8"/>
  <c r="GS40" i="8"/>
  <c r="GT40" i="8"/>
  <c r="GU40" i="8"/>
  <c r="GV40" i="8"/>
  <c r="GW40" i="8"/>
  <c r="GX40" i="8"/>
  <c r="GY40" i="8"/>
  <c r="GZ40" i="8"/>
  <c r="HA40" i="8"/>
  <c r="HB40" i="8"/>
  <c r="HC40" i="8"/>
  <c r="HD40" i="8"/>
  <c r="HE40" i="8"/>
  <c r="HF40" i="8"/>
  <c r="HG40" i="8"/>
  <c r="HH40" i="8"/>
  <c r="HI40" i="8"/>
  <c r="HJ40" i="8"/>
  <c r="HK40" i="8"/>
  <c r="HL40" i="8"/>
  <c r="HM40" i="8"/>
  <c r="HN40" i="8"/>
  <c r="HO40" i="8"/>
  <c r="HP40" i="8"/>
  <c r="HQ40" i="8"/>
  <c r="HR40" i="8"/>
  <c r="HS40" i="8"/>
  <c r="HT40" i="8"/>
  <c r="HU40" i="8"/>
  <c r="HV40" i="8"/>
  <c r="HW40" i="8"/>
  <c r="HX40" i="8"/>
  <c r="HY40" i="8"/>
  <c r="HZ40" i="8"/>
  <c r="IA40" i="8"/>
  <c r="IB40" i="8"/>
  <c r="IC40" i="8"/>
  <c r="ID40" i="8"/>
  <c r="IE40" i="8"/>
  <c r="IF40" i="8"/>
  <c r="IG40" i="8"/>
  <c r="IH40" i="8"/>
  <c r="II40" i="8"/>
  <c r="IJ40" i="8"/>
  <c r="IK40" i="8"/>
  <c r="IL40" i="8"/>
  <c r="IM40" i="8"/>
  <c r="IN40" i="8"/>
  <c r="IO40" i="8"/>
  <c r="IP40" i="8"/>
  <c r="IQ40" i="8"/>
  <c r="IR40" i="8"/>
  <c r="IS40" i="8"/>
  <c r="IT40" i="8"/>
  <c r="IU40" i="8"/>
  <c r="IV40" i="8"/>
  <c r="F41" i="8"/>
  <c r="G41" i="8"/>
  <c r="H41" i="8"/>
  <c r="I41" i="8"/>
  <c r="J41" i="8"/>
  <c r="K41" i="8"/>
  <c r="L41" i="8"/>
  <c r="M41" i="8"/>
  <c r="N41" i="8"/>
  <c r="O41" i="8"/>
  <c r="P41" i="8"/>
  <c r="Q41" i="8"/>
  <c r="R41" i="8"/>
  <c r="S41" i="8"/>
  <c r="T41" i="8"/>
  <c r="U41" i="8"/>
  <c r="V41" i="8"/>
  <c r="W41" i="8"/>
  <c r="X41" i="8"/>
  <c r="Y41" i="8"/>
  <c r="Z41" i="8"/>
  <c r="AA41" i="8"/>
  <c r="AB41" i="8"/>
  <c r="AC41" i="8"/>
  <c r="AD41" i="8"/>
  <c r="AE41" i="8"/>
  <c r="AF41" i="8"/>
  <c r="AG41" i="8"/>
  <c r="AH41" i="8"/>
  <c r="AI41" i="8"/>
  <c r="AJ41" i="8"/>
  <c r="AK41" i="8"/>
  <c r="AL41" i="8"/>
  <c r="AM41" i="8"/>
  <c r="AN41" i="8"/>
  <c r="AO41" i="8"/>
  <c r="AP41" i="8"/>
  <c r="AQ41" i="8"/>
  <c r="AR41" i="8"/>
  <c r="AS41" i="8"/>
  <c r="AT41" i="8"/>
  <c r="AU41" i="8"/>
  <c r="AV41" i="8"/>
  <c r="AW41" i="8"/>
  <c r="AX41" i="8"/>
  <c r="AY41" i="8"/>
  <c r="AZ41" i="8"/>
  <c r="BA41" i="8"/>
  <c r="BB41" i="8"/>
  <c r="BC41" i="8"/>
  <c r="BD41" i="8"/>
  <c r="BE41" i="8"/>
  <c r="BF41" i="8"/>
  <c r="BG41" i="8"/>
  <c r="BH41" i="8"/>
  <c r="BI41" i="8"/>
  <c r="BJ41" i="8"/>
  <c r="BK41" i="8"/>
  <c r="BL41" i="8"/>
  <c r="BM41" i="8"/>
  <c r="BN41" i="8"/>
  <c r="BO41" i="8"/>
  <c r="BP41" i="8"/>
  <c r="BQ41" i="8"/>
  <c r="BR41" i="8"/>
  <c r="BS41" i="8"/>
  <c r="BT41" i="8"/>
  <c r="BU41" i="8"/>
  <c r="BV41" i="8"/>
  <c r="BW41" i="8"/>
  <c r="BX41" i="8"/>
  <c r="BY41" i="8"/>
  <c r="BZ41" i="8"/>
  <c r="CA41" i="8"/>
  <c r="CB41" i="8"/>
  <c r="CC41" i="8"/>
  <c r="CD41" i="8"/>
  <c r="CE41" i="8"/>
  <c r="CF41" i="8"/>
  <c r="CG41" i="8"/>
  <c r="CH41" i="8"/>
  <c r="CI41" i="8"/>
  <c r="CJ41" i="8"/>
  <c r="CK41" i="8"/>
  <c r="CL41" i="8"/>
  <c r="CM41" i="8"/>
  <c r="CN41" i="8"/>
  <c r="CO41" i="8"/>
  <c r="CP41" i="8"/>
  <c r="CQ41" i="8"/>
  <c r="CR41" i="8"/>
  <c r="CS41" i="8"/>
  <c r="CT41" i="8"/>
  <c r="CU41" i="8"/>
  <c r="CV41" i="8"/>
  <c r="CW41" i="8"/>
  <c r="CX41" i="8"/>
  <c r="CY41" i="8"/>
  <c r="CZ41" i="8"/>
  <c r="DA41" i="8"/>
  <c r="DB41" i="8"/>
  <c r="DC41" i="8"/>
  <c r="DD41" i="8"/>
  <c r="DE41" i="8"/>
  <c r="DF41" i="8"/>
  <c r="DG41" i="8"/>
  <c r="DH41" i="8"/>
  <c r="DI41" i="8"/>
  <c r="DJ41" i="8"/>
  <c r="DK41" i="8"/>
  <c r="DL41" i="8"/>
  <c r="DM41" i="8"/>
  <c r="DN41" i="8"/>
  <c r="DO41" i="8"/>
  <c r="DP41" i="8"/>
  <c r="DQ41" i="8"/>
  <c r="DR41" i="8"/>
  <c r="DS41" i="8"/>
  <c r="DT41" i="8"/>
  <c r="DU41" i="8"/>
  <c r="DV41" i="8"/>
  <c r="DW41" i="8"/>
  <c r="DX41" i="8"/>
  <c r="DY41" i="8"/>
  <c r="DZ41" i="8"/>
  <c r="EA41" i="8"/>
  <c r="EB41" i="8"/>
  <c r="EC41" i="8"/>
  <c r="ED41" i="8"/>
  <c r="EE41" i="8"/>
  <c r="EF41" i="8"/>
  <c r="EG41" i="8"/>
  <c r="EH41" i="8"/>
  <c r="EI41" i="8"/>
  <c r="EJ41" i="8"/>
  <c r="EK41" i="8"/>
  <c r="EL41" i="8"/>
  <c r="EM41" i="8"/>
  <c r="EN41" i="8"/>
  <c r="EO41" i="8"/>
  <c r="EP41" i="8"/>
  <c r="EQ41" i="8"/>
  <c r="ER41" i="8"/>
  <c r="ES41" i="8"/>
  <c r="ET41" i="8"/>
  <c r="EU41" i="8"/>
  <c r="EV41" i="8"/>
  <c r="EW41" i="8"/>
  <c r="EX41" i="8"/>
  <c r="EY41" i="8"/>
  <c r="EZ41" i="8"/>
  <c r="FA41" i="8"/>
  <c r="FB41" i="8"/>
  <c r="FC41" i="8"/>
  <c r="FD41" i="8"/>
  <c r="FE41" i="8"/>
  <c r="FF41" i="8"/>
  <c r="FG41" i="8"/>
  <c r="FH41" i="8"/>
  <c r="FI41" i="8"/>
  <c r="FJ41" i="8"/>
  <c r="FK41" i="8"/>
  <c r="FL41" i="8"/>
  <c r="FM41" i="8"/>
  <c r="FN41" i="8"/>
  <c r="FO41" i="8"/>
  <c r="FP41" i="8"/>
  <c r="FQ41" i="8"/>
  <c r="FR41" i="8"/>
  <c r="FS41" i="8"/>
  <c r="FT41" i="8"/>
  <c r="FU41" i="8"/>
  <c r="FV41" i="8"/>
  <c r="FW41" i="8"/>
  <c r="FX41" i="8"/>
  <c r="FY41" i="8"/>
  <c r="FZ41" i="8"/>
  <c r="GA41" i="8"/>
  <c r="GB41" i="8"/>
  <c r="GC41" i="8"/>
  <c r="GD41" i="8"/>
  <c r="GE41" i="8"/>
  <c r="GF41" i="8"/>
  <c r="GG41" i="8"/>
  <c r="GH41" i="8"/>
  <c r="GI41" i="8"/>
  <c r="GJ41" i="8"/>
  <c r="GK41" i="8"/>
  <c r="GL41" i="8"/>
  <c r="GM41" i="8"/>
  <c r="GN41" i="8"/>
  <c r="GO41" i="8"/>
  <c r="GP41" i="8"/>
  <c r="GQ41" i="8"/>
  <c r="GR41" i="8"/>
  <c r="GS41" i="8"/>
  <c r="GT41" i="8"/>
  <c r="GU41" i="8"/>
  <c r="GV41" i="8"/>
  <c r="GW41" i="8"/>
  <c r="GX41" i="8"/>
  <c r="GY41" i="8"/>
  <c r="GZ41" i="8"/>
  <c r="HA41" i="8"/>
  <c r="HB41" i="8"/>
  <c r="HC41" i="8"/>
  <c r="HD41" i="8"/>
  <c r="HE41" i="8"/>
  <c r="HF41" i="8"/>
  <c r="HG41" i="8"/>
  <c r="HH41" i="8"/>
  <c r="HI41" i="8"/>
  <c r="HJ41" i="8"/>
  <c r="HK41" i="8"/>
  <c r="HL41" i="8"/>
  <c r="HM41" i="8"/>
  <c r="HN41" i="8"/>
  <c r="HO41" i="8"/>
  <c r="HP41" i="8"/>
  <c r="HQ41" i="8"/>
  <c r="HR41" i="8"/>
  <c r="HS41" i="8"/>
  <c r="HT41" i="8"/>
  <c r="HU41" i="8"/>
  <c r="HV41" i="8"/>
  <c r="HW41" i="8"/>
  <c r="HX41" i="8"/>
  <c r="HY41" i="8"/>
  <c r="HZ41" i="8"/>
  <c r="IA41" i="8"/>
  <c r="IB41" i="8"/>
  <c r="IC41" i="8"/>
  <c r="ID41" i="8"/>
  <c r="IE41" i="8"/>
  <c r="IF41" i="8"/>
  <c r="IG41" i="8"/>
  <c r="IH41" i="8"/>
  <c r="II41" i="8"/>
  <c r="IJ41" i="8"/>
  <c r="IK41" i="8"/>
  <c r="IL41" i="8"/>
  <c r="IM41" i="8"/>
  <c r="IN41" i="8"/>
  <c r="IO41" i="8"/>
  <c r="IP41" i="8"/>
  <c r="IQ41" i="8"/>
  <c r="IR41" i="8"/>
  <c r="IS41" i="8"/>
  <c r="IT41" i="8"/>
  <c r="IU41" i="8"/>
  <c r="IV41" i="8"/>
  <c r="F42" i="8"/>
  <c r="G42" i="8"/>
  <c r="H42" i="8"/>
  <c r="I42" i="8"/>
  <c r="J42" i="8"/>
  <c r="K42" i="8"/>
  <c r="L42" i="8"/>
  <c r="M42" i="8"/>
  <c r="N42" i="8"/>
  <c r="O42" i="8"/>
  <c r="P42" i="8"/>
  <c r="Q42" i="8"/>
  <c r="R42" i="8"/>
  <c r="S42" i="8"/>
  <c r="T42" i="8"/>
  <c r="U42" i="8"/>
  <c r="V42" i="8"/>
  <c r="W42" i="8"/>
  <c r="X42" i="8"/>
  <c r="Y42" i="8"/>
  <c r="Z42" i="8"/>
  <c r="AA42" i="8"/>
  <c r="AB42" i="8"/>
  <c r="AC42" i="8"/>
  <c r="AD42" i="8"/>
  <c r="AE42" i="8"/>
  <c r="AF42" i="8"/>
  <c r="AG42" i="8"/>
  <c r="AH42" i="8"/>
  <c r="AI42" i="8"/>
  <c r="AJ42" i="8"/>
  <c r="AK42" i="8"/>
  <c r="AL42" i="8"/>
  <c r="AM42" i="8"/>
  <c r="AN42" i="8"/>
  <c r="AO42" i="8"/>
  <c r="AP42" i="8"/>
  <c r="AQ42" i="8"/>
  <c r="AR42" i="8"/>
  <c r="AS42" i="8"/>
  <c r="AT42" i="8"/>
  <c r="AU42" i="8"/>
  <c r="AV42" i="8"/>
  <c r="AW42" i="8"/>
  <c r="AX42" i="8"/>
  <c r="AY42" i="8"/>
  <c r="AZ42" i="8"/>
  <c r="BA42" i="8"/>
  <c r="BB42" i="8"/>
  <c r="BC42" i="8"/>
  <c r="BD42" i="8"/>
  <c r="BE42" i="8"/>
  <c r="BF42" i="8"/>
  <c r="BG42" i="8"/>
  <c r="BH42" i="8"/>
  <c r="BI42" i="8"/>
  <c r="BJ42" i="8"/>
  <c r="BK42" i="8"/>
  <c r="BL42" i="8"/>
  <c r="BM42" i="8"/>
  <c r="BN42" i="8"/>
  <c r="BO42" i="8"/>
  <c r="BP42" i="8"/>
  <c r="BQ42" i="8"/>
  <c r="BR42" i="8"/>
  <c r="BS42" i="8"/>
  <c r="BT42" i="8"/>
  <c r="BU42" i="8"/>
  <c r="BV42" i="8"/>
  <c r="BW42" i="8"/>
  <c r="BX42" i="8"/>
  <c r="BY42" i="8"/>
  <c r="BZ42" i="8"/>
  <c r="CA42" i="8"/>
  <c r="CB42" i="8"/>
  <c r="CC42" i="8"/>
  <c r="CD42" i="8"/>
  <c r="CE42" i="8"/>
  <c r="CF42" i="8"/>
  <c r="CG42" i="8"/>
  <c r="CH42" i="8"/>
  <c r="CI42" i="8"/>
  <c r="CJ42" i="8"/>
  <c r="CK42" i="8"/>
  <c r="CL42" i="8"/>
  <c r="CM42" i="8"/>
  <c r="CN42" i="8"/>
  <c r="CO42" i="8"/>
  <c r="CP42" i="8"/>
  <c r="CQ42" i="8"/>
  <c r="CR42" i="8"/>
  <c r="CS42" i="8"/>
  <c r="CT42" i="8"/>
  <c r="CU42" i="8"/>
  <c r="CV42" i="8"/>
  <c r="CW42" i="8"/>
  <c r="CX42" i="8"/>
  <c r="CY42" i="8"/>
  <c r="CZ42" i="8"/>
  <c r="DA42" i="8"/>
  <c r="DB42" i="8"/>
  <c r="DC42" i="8"/>
  <c r="DD42" i="8"/>
  <c r="DE42" i="8"/>
  <c r="DF42" i="8"/>
  <c r="DG42" i="8"/>
  <c r="DH42" i="8"/>
  <c r="DI42" i="8"/>
  <c r="DJ42" i="8"/>
  <c r="DK42" i="8"/>
  <c r="DL42" i="8"/>
  <c r="DM42" i="8"/>
  <c r="DN42" i="8"/>
  <c r="DO42" i="8"/>
  <c r="DP42" i="8"/>
  <c r="DQ42" i="8"/>
  <c r="DR42" i="8"/>
  <c r="DS42" i="8"/>
  <c r="DT42" i="8"/>
  <c r="DU42" i="8"/>
  <c r="DV42" i="8"/>
  <c r="DW42" i="8"/>
  <c r="DX42" i="8"/>
  <c r="DY42" i="8"/>
  <c r="DZ42" i="8"/>
  <c r="EA42" i="8"/>
  <c r="EB42" i="8"/>
  <c r="EC42" i="8"/>
  <c r="ED42" i="8"/>
  <c r="EE42" i="8"/>
  <c r="EF42" i="8"/>
  <c r="EG42" i="8"/>
  <c r="EH42" i="8"/>
  <c r="EI42" i="8"/>
  <c r="EJ42" i="8"/>
  <c r="EK42" i="8"/>
  <c r="EL42" i="8"/>
  <c r="EM42" i="8"/>
  <c r="EN42" i="8"/>
  <c r="EO42" i="8"/>
  <c r="EP42" i="8"/>
  <c r="EQ42" i="8"/>
  <c r="ER42" i="8"/>
  <c r="ES42" i="8"/>
  <c r="ET42" i="8"/>
  <c r="EU42" i="8"/>
  <c r="EV42" i="8"/>
  <c r="EW42" i="8"/>
  <c r="EX42" i="8"/>
  <c r="EY42" i="8"/>
  <c r="EZ42" i="8"/>
  <c r="FA42" i="8"/>
  <c r="FB42" i="8"/>
  <c r="FC42" i="8"/>
  <c r="FD42" i="8"/>
  <c r="FE42" i="8"/>
  <c r="FF42" i="8"/>
  <c r="FG42" i="8"/>
  <c r="FH42" i="8"/>
  <c r="FI42" i="8"/>
  <c r="FJ42" i="8"/>
  <c r="FK42" i="8"/>
  <c r="FL42" i="8"/>
  <c r="FM42" i="8"/>
  <c r="FN42" i="8"/>
  <c r="FO42" i="8"/>
  <c r="FP42" i="8"/>
  <c r="FQ42" i="8"/>
  <c r="FR42" i="8"/>
  <c r="FS42" i="8"/>
  <c r="FT42" i="8"/>
  <c r="FU42" i="8"/>
  <c r="FV42" i="8"/>
  <c r="FW42" i="8"/>
  <c r="FX42" i="8"/>
  <c r="FY42" i="8"/>
  <c r="FZ42" i="8"/>
  <c r="GA42" i="8"/>
  <c r="GB42" i="8"/>
  <c r="GC42" i="8"/>
  <c r="GD42" i="8"/>
  <c r="GE42" i="8"/>
  <c r="GF42" i="8"/>
  <c r="GG42" i="8"/>
  <c r="GH42" i="8"/>
  <c r="GI42" i="8"/>
  <c r="GJ42" i="8"/>
  <c r="GK42" i="8"/>
  <c r="GL42" i="8"/>
  <c r="GM42" i="8"/>
  <c r="GN42" i="8"/>
  <c r="GO42" i="8"/>
  <c r="GP42" i="8"/>
  <c r="GQ42" i="8"/>
  <c r="GR42" i="8"/>
  <c r="GS42" i="8"/>
  <c r="GT42" i="8"/>
  <c r="GU42" i="8"/>
  <c r="GV42" i="8"/>
  <c r="GW42" i="8"/>
  <c r="GX42" i="8"/>
  <c r="GY42" i="8"/>
  <c r="GZ42" i="8"/>
  <c r="HA42" i="8"/>
  <c r="HB42" i="8"/>
  <c r="HC42" i="8"/>
  <c r="HD42" i="8"/>
  <c r="HE42" i="8"/>
  <c r="HF42" i="8"/>
  <c r="HG42" i="8"/>
  <c r="HH42" i="8"/>
  <c r="HI42" i="8"/>
  <c r="HJ42" i="8"/>
  <c r="HK42" i="8"/>
  <c r="HL42" i="8"/>
  <c r="HM42" i="8"/>
  <c r="HN42" i="8"/>
  <c r="HO42" i="8"/>
  <c r="HP42" i="8"/>
  <c r="HQ42" i="8"/>
  <c r="HR42" i="8"/>
  <c r="HS42" i="8"/>
  <c r="HT42" i="8"/>
  <c r="HU42" i="8"/>
  <c r="HV42" i="8"/>
  <c r="HW42" i="8"/>
  <c r="HX42" i="8"/>
  <c r="HY42" i="8"/>
  <c r="HZ42" i="8"/>
  <c r="IA42" i="8"/>
  <c r="IB42" i="8"/>
  <c r="IC42" i="8"/>
  <c r="ID42" i="8"/>
  <c r="IE42" i="8"/>
  <c r="IF42" i="8"/>
  <c r="IG42" i="8"/>
  <c r="IH42" i="8"/>
  <c r="II42" i="8"/>
  <c r="IJ42" i="8"/>
  <c r="IK42" i="8"/>
  <c r="IL42" i="8"/>
  <c r="IM42" i="8"/>
  <c r="IN42" i="8"/>
  <c r="IO42" i="8"/>
  <c r="IP42" i="8"/>
  <c r="IQ42" i="8"/>
  <c r="IR42" i="8"/>
  <c r="IS42" i="8"/>
  <c r="IT42" i="8"/>
  <c r="IU42" i="8"/>
  <c r="IV42" i="8"/>
  <c r="F43" i="8"/>
  <c r="G43" i="8"/>
  <c r="H43" i="8"/>
  <c r="I43" i="8"/>
  <c r="J43" i="8"/>
  <c r="K43" i="8"/>
  <c r="L43" i="8"/>
  <c r="M43" i="8"/>
  <c r="N43" i="8"/>
  <c r="O43" i="8"/>
  <c r="P43" i="8"/>
  <c r="Q43" i="8"/>
  <c r="R43" i="8"/>
  <c r="S43" i="8"/>
  <c r="T43" i="8"/>
  <c r="U43" i="8"/>
  <c r="V43" i="8"/>
  <c r="W43" i="8"/>
  <c r="X43" i="8"/>
  <c r="Y43" i="8"/>
  <c r="Z43" i="8"/>
  <c r="AA43" i="8"/>
  <c r="AB43" i="8"/>
  <c r="AC43" i="8"/>
  <c r="AD43" i="8"/>
  <c r="AE43" i="8"/>
  <c r="AF43" i="8"/>
  <c r="AG43" i="8"/>
  <c r="AH43" i="8"/>
  <c r="AI43" i="8"/>
  <c r="AJ43" i="8"/>
  <c r="AK43" i="8"/>
  <c r="AL43" i="8"/>
  <c r="AM43" i="8"/>
  <c r="AN43" i="8"/>
  <c r="AO43" i="8"/>
  <c r="AP43" i="8"/>
  <c r="AQ43" i="8"/>
  <c r="AR43" i="8"/>
  <c r="AS43" i="8"/>
  <c r="AT43" i="8"/>
  <c r="AU43" i="8"/>
  <c r="AV43" i="8"/>
  <c r="AW43" i="8"/>
  <c r="AX43" i="8"/>
  <c r="AY43" i="8"/>
  <c r="AZ43" i="8"/>
  <c r="BA43" i="8"/>
  <c r="BB43" i="8"/>
  <c r="BC43" i="8"/>
  <c r="BD43" i="8"/>
  <c r="BE43" i="8"/>
  <c r="BF43" i="8"/>
  <c r="BG43" i="8"/>
  <c r="BH43" i="8"/>
  <c r="BI43" i="8"/>
  <c r="BJ43" i="8"/>
  <c r="BK43" i="8"/>
  <c r="BL43" i="8"/>
  <c r="BM43" i="8"/>
  <c r="BN43" i="8"/>
  <c r="BO43" i="8"/>
  <c r="BP43" i="8"/>
  <c r="BQ43" i="8"/>
  <c r="BR43" i="8"/>
  <c r="BS43" i="8"/>
  <c r="BT43" i="8"/>
  <c r="BU43" i="8"/>
  <c r="BV43" i="8"/>
  <c r="BW43" i="8"/>
  <c r="BX43" i="8"/>
  <c r="BY43" i="8"/>
  <c r="BZ43" i="8"/>
  <c r="CA43" i="8"/>
  <c r="CB43" i="8"/>
  <c r="CC43" i="8"/>
  <c r="CD43" i="8"/>
  <c r="CE43" i="8"/>
  <c r="CF43" i="8"/>
  <c r="CG43" i="8"/>
  <c r="CH43" i="8"/>
  <c r="CI43" i="8"/>
  <c r="CJ43" i="8"/>
  <c r="CK43" i="8"/>
  <c r="CL43" i="8"/>
  <c r="CM43" i="8"/>
  <c r="CN43" i="8"/>
  <c r="CO43" i="8"/>
  <c r="CP43" i="8"/>
  <c r="CQ43" i="8"/>
  <c r="CR43" i="8"/>
  <c r="CS43" i="8"/>
  <c r="CT43" i="8"/>
  <c r="CU43" i="8"/>
  <c r="CV43" i="8"/>
  <c r="CW43" i="8"/>
  <c r="CX43" i="8"/>
  <c r="CY43" i="8"/>
  <c r="CZ43" i="8"/>
  <c r="DA43" i="8"/>
  <c r="DB43" i="8"/>
  <c r="DC43" i="8"/>
  <c r="DD43" i="8"/>
  <c r="DE43" i="8"/>
  <c r="DF43" i="8"/>
  <c r="DG43" i="8"/>
  <c r="DH43" i="8"/>
  <c r="DI43" i="8"/>
  <c r="DJ43" i="8"/>
  <c r="DK43" i="8"/>
  <c r="DL43" i="8"/>
  <c r="DM43" i="8"/>
  <c r="DN43" i="8"/>
  <c r="DO43" i="8"/>
  <c r="DP43" i="8"/>
  <c r="DQ43" i="8"/>
  <c r="DR43" i="8"/>
  <c r="DS43" i="8"/>
  <c r="DT43" i="8"/>
  <c r="DU43" i="8"/>
  <c r="DV43" i="8"/>
  <c r="DW43" i="8"/>
  <c r="DX43" i="8"/>
  <c r="DY43" i="8"/>
  <c r="DZ43" i="8"/>
  <c r="EA43" i="8"/>
  <c r="EB43" i="8"/>
  <c r="EC43" i="8"/>
  <c r="ED43" i="8"/>
  <c r="EE43" i="8"/>
  <c r="EF43" i="8"/>
  <c r="EG43" i="8"/>
  <c r="EH43" i="8"/>
  <c r="EI43" i="8"/>
  <c r="EJ43" i="8"/>
  <c r="EK43" i="8"/>
  <c r="EL43" i="8"/>
  <c r="EM43" i="8"/>
  <c r="EN43" i="8"/>
  <c r="EO43" i="8"/>
  <c r="EP43" i="8"/>
  <c r="EQ43" i="8"/>
  <c r="ER43" i="8"/>
  <c r="ES43" i="8"/>
  <c r="ET43" i="8"/>
  <c r="EU43" i="8"/>
  <c r="EV43" i="8"/>
  <c r="EW43" i="8"/>
  <c r="EX43" i="8"/>
  <c r="EY43" i="8"/>
  <c r="EZ43" i="8"/>
  <c r="FA43" i="8"/>
  <c r="FB43" i="8"/>
  <c r="FC43" i="8"/>
  <c r="FD43" i="8"/>
  <c r="FE43" i="8"/>
  <c r="FF43" i="8"/>
  <c r="FG43" i="8"/>
  <c r="FH43" i="8"/>
  <c r="FI43" i="8"/>
  <c r="FJ43" i="8"/>
  <c r="FK43" i="8"/>
  <c r="FL43" i="8"/>
  <c r="FM43" i="8"/>
  <c r="FN43" i="8"/>
  <c r="FO43" i="8"/>
  <c r="FP43" i="8"/>
  <c r="FQ43" i="8"/>
  <c r="FR43" i="8"/>
  <c r="FS43" i="8"/>
  <c r="FT43" i="8"/>
  <c r="FU43" i="8"/>
  <c r="FV43" i="8"/>
  <c r="FW43" i="8"/>
  <c r="FX43" i="8"/>
  <c r="FY43" i="8"/>
  <c r="FZ43" i="8"/>
  <c r="GA43" i="8"/>
  <c r="GB43" i="8"/>
  <c r="GC43" i="8"/>
  <c r="GL43" i="8"/>
  <c r="GM43" i="8"/>
  <c r="GN43" i="8"/>
  <c r="GO43" i="8"/>
  <c r="GP43" i="8"/>
  <c r="GQ43" i="8"/>
  <c r="GR43" i="8"/>
  <c r="GS43" i="8"/>
  <c r="GT43" i="8"/>
  <c r="GU43" i="8"/>
  <c r="GV43" i="8"/>
  <c r="GW43" i="8"/>
  <c r="GX43" i="8"/>
  <c r="GY43" i="8"/>
  <c r="GZ43" i="8"/>
  <c r="HA43" i="8"/>
  <c r="HB43" i="8"/>
  <c r="HC43" i="8"/>
  <c r="HD43" i="8"/>
  <c r="HE43" i="8"/>
  <c r="HF43" i="8"/>
  <c r="HG43" i="8"/>
  <c r="HH43" i="8"/>
  <c r="HI43" i="8"/>
  <c r="HJ43" i="8"/>
  <c r="HK43" i="8"/>
  <c r="HL43" i="8"/>
  <c r="HM43" i="8"/>
  <c r="HN43" i="8"/>
  <c r="HO43" i="8"/>
  <c r="HP43" i="8"/>
  <c r="HQ43" i="8"/>
  <c r="HR43" i="8"/>
  <c r="HS43" i="8"/>
  <c r="HT43" i="8"/>
  <c r="HU43" i="8"/>
  <c r="HV43" i="8"/>
  <c r="HW43" i="8"/>
  <c r="HX43" i="8"/>
  <c r="HY43" i="8"/>
  <c r="HZ43" i="8"/>
  <c r="IA43" i="8"/>
  <c r="IB43" i="8"/>
  <c r="IC43" i="8"/>
  <c r="ID43" i="8"/>
  <c r="IE43" i="8"/>
  <c r="IF43" i="8"/>
  <c r="IG43" i="8"/>
  <c r="IH43" i="8"/>
  <c r="II43" i="8"/>
  <c r="IJ43" i="8"/>
  <c r="IK43" i="8"/>
  <c r="IL43" i="8"/>
  <c r="IM43" i="8"/>
  <c r="IN43" i="8"/>
  <c r="IO43" i="8"/>
  <c r="IP43" i="8"/>
  <c r="IQ43" i="8"/>
  <c r="IR43" i="8"/>
  <c r="IS43" i="8"/>
  <c r="IT43" i="8"/>
  <c r="IU43" i="8"/>
  <c r="IV43" i="8"/>
  <c r="F44" i="8"/>
  <c r="G44" i="8"/>
  <c r="H44" i="8"/>
  <c r="I44" i="8"/>
  <c r="J44" i="8"/>
  <c r="K44" i="8"/>
  <c r="L44" i="8"/>
  <c r="M44" i="8"/>
  <c r="N44" i="8"/>
  <c r="O44" i="8"/>
  <c r="P44" i="8"/>
  <c r="Q44" i="8"/>
  <c r="R44" i="8"/>
  <c r="S44" i="8"/>
  <c r="T44" i="8"/>
  <c r="U44" i="8"/>
  <c r="V44" i="8"/>
  <c r="W44" i="8"/>
  <c r="X44" i="8"/>
  <c r="Y44" i="8"/>
  <c r="Z44" i="8"/>
  <c r="AA44" i="8"/>
  <c r="AB44" i="8"/>
  <c r="AC44" i="8"/>
  <c r="AD44" i="8"/>
  <c r="AE44" i="8"/>
  <c r="AF44" i="8"/>
  <c r="AG44" i="8"/>
  <c r="AH44" i="8"/>
  <c r="AI44" i="8"/>
  <c r="AJ44" i="8"/>
  <c r="AK44" i="8"/>
  <c r="AL44" i="8"/>
  <c r="AM44" i="8"/>
  <c r="AN44" i="8"/>
  <c r="AO44" i="8"/>
  <c r="AP44" i="8"/>
  <c r="AQ44" i="8"/>
  <c r="AR44" i="8"/>
  <c r="AS44" i="8"/>
  <c r="AT44" i="8"/>
  <c r="AU44" i="8"/>
  <c r="AV44" i="8"/>
  <c r="AW44" i="8"/>
  <c r="AX44" i="8"/>
  <c r="AY44" i="8"/>
  <c r="AZ44" i="8"/>
  <c r="BA44" i="8"/>
  <c r="BB44" i="8"/>
  <c r="BC44" i="8"/>
  <c r="BD44" i="8"/>
  <c r="BE44" i="8"/>
  <c r="BF44" i="8"/>
  <c r="BG44" i="8"/>
  <c r="BH44" i="8"/>
  <c r="BI44" i="8"/>
  <c r="BJ44" i="8"/>
  <c r="BK44" i="8"/>
  <c r="BL44" i="8"/>
  <c r="BM44" i="8"/>
  <c r="BN44" i="8"/>
  <c r="BO44" i="8"/>
  <c r="BP44" i="8"/>
  <c r="BQ44" i="8"/>
  <c r="BR44" i="8"/>
  <c r="BS44" i="8"/>
  <c r="BT44" i="8"/>
  <c r="BU44" i="8"/>
  <c r="BV44" i="8"/>
  <c r="BW44" i="8"/>
  <c r="BX44" i="8"/>
  <c r="BY44" i="8"/>
  <c r="BZ44" i="8"/>
  <c r="CA44" i="8"/>
  <c r="CB44" i="8"/>
  <c r="CC44" i="8"/>
  <c r="CD44" i="8"/>
  <c r="CE44" i="8"/>
  <c r="CF44" i="8"/>
  <c r="CG44" i="8"/>
  <c r="CH44" i="8"/>
  <c r="CI44" i="8"/>
  <c r="CJ44" i="8"/>
  <c r="CK44" i="8"/>
  <c r="CL44" i="8"/>
  <c r="CM44" i="8"/>
  <c r="CN44" i="8"/>
  <c r="CO44" i="8"/>
  <c r="CP44" i="8"/>
  <c r="CQ44" i="8"/>
  <c r="CR44" i="8"/>
  <c r="CS44" i="8"/>
  <c r="CT44" i="8"/>
  <c r="CU44" i="8"/>
  <c r="CV44" i="8"/>
  <c r="CW44" i="8"/>
  <c r="CX44" i="8"/>
  <c r="CY44" i="8"/>
  <c r="CZ44" i="8"/>
  <c r="DA44" i="8"/>
  <c r="DB44" i="8"/>
  <c r="DC44" i="8"/>
  <c r="DD44" i="8"/>
  <c r="DE44" i="8"/>
  <c r="DF44" i="8"/>
  <c r="DG44" i="8"/>
  <c r="DH44" i="8"/>
  <c r="DI44" i="8"/>
  <c r="DJ44" i="8"/>
  <c r="DK44" i="8"/>
  <c r="DL44" i="8"/>
  <c r="DM44" i="8"/>
  <c r="DN44" i="8"/>
  <c r="DO44" i="8"/>
  <c r="DP44" i="8"/>
  <c r="DQ44" i="8"/>
  <c r="DR44" i="8"/>
  <c r="DS44" i="8"/>
  <c r="DT44" i="8"/>
  <c r="DU44" i="8"/>
  <c r="DV44" i="8"/>
  <c r="DW44" i="8"/>
  <c r="DX44" i="8"/>
  <c r="DY44" i="8"/>
  <c r="DZ44" i="8"/>
  <c r="EA44" i="8"/>
  <c r="EB44" i="8"/>
  <c r="EC44" i="8"/>
  <c r="ED44" i="8"/>
  <c r="EE44" i="8"/>
  <c r="EN44" i="8"/>
  <c r="EO44" i="8"/>
  <c r="EP44" i="8"/>
  <c r="EQ44" i="8"/>
  <c r="ER44" i="8"/>
  <c r="ES44" i="8"/>
  <c r="ET44" i="8"/>
  <c r="EU44" i="8"/>
  <c r="EV44" i="8"/>
  <c r="EW44" i="8"/>
  <c r="EX44" i="8"/>
  <c r="EY44" i="8"/>
  <c r="EZ44" i="8"/>
  <c r="FA44" i="8"/>
  <c r="FB44" i="8"/>
  <c r="FC44" i="8"/>
  <c r="FD44" i="8"/>
  <c r="FE44" i="8"/>
  <c r="FF44" i="8"/>
  <c r="FG44" i="8"/>
  <c r="FH44" i="8"/>
  <c r="FI44" i="8"/>
  <c r="FJ44" i="8"/>
  <c r="FK44" i="8"/>
  <c r="FL44" i="8"/>
  <c r="FM44" i="8"/>
  <c r="FN44" i="8"/>
  <c r="FO44" i="8"/>
  <c r="FP44" i="8"/>
  <c r="FQ44" i="8"/>
  <c r="FR44" i="8"/>
  <c r="FS44" i="8"/>
  <c r="FT44" i="8"/>
  <c r="FU44" i="8"/>
  <c r="FV44" i="8"/>
  <c r="FW44" i="8"/>
  <c r="FX44" i="8"/>
  <c r="FY44" i="8"/>
  <c r="FZ44" i="8"/>
  <c r="GA44" i="8"/>
  <c r="GB44" i="8"/>
  <c r="GC44" i="8"/>
  <c r="GD44" i="8"/>
  <c r="GE44" i="8"/>
  <c r="GF44" i="8"/>
  <c r="GG44" i="8"/>
  <c r="GH44" i="8"/>
  <c r="GI44" i="8"/>
  <c r="GJ44" i="8"/>
  <c r="GK44" i="8"/>
  <c r="GL44" i="8"/>
  <c r="GM44" i="8"/>
  <c r="GN44" i="8"/>
  <c r="GO44" i="8"/>
  <c r="GP44" i="8"/>
  <c r="GQ44" i="8"/>
  <c r="GR44" i="8"/>
  <c r="GS44" i="8"/>
  <c r="GT44" i="8"/>
  <c r="GU44" i="8"/>
  <c r="GV44" i="8"/>
  <c r="GW44" i="8"/>
  <c r="GX44" i="8"/>
  <c r="GY44" i="8"/>
  <c r="GZ44" i="8"/>
  <c r="HA44" i="8"/>
  <c r="HB44" i="8"/>
  <c r="HC44" i="8"/>
  <c r="HD44" i="8"/>
  <c r="HE44" i="8"/>
  <c r="HF44" i="8"/>
  <c r="HG44" i="8"/>
  <c r="HH44" i="8"/>
  <c r="HI44" i="8"/>
  <c r="HJ44" i="8"/>
  <c r="HK44" i="8"/>
  <c r="HL44" i="8"/>
  <c r="HM44" i="8"/>
  <c r="HN44" i="8"/>
  <c r="HO44" i="8"/>
  <c r="HP44" i="8"/>
  <c r="HQ44" i="8"/>
  <c r="HR44" i="8"/>
  <c r="HS44" i="8"/>
  <c r="HT44" i="8"/>
  <c r="HU44" i="8"/>
  <c r="HV44" i="8"/>
  <c r="HW44" i="8"/>
  <c r="HX44" i="8"/>
  <c r="HY44" i="8"/>
  <c r="HZ44" i="8"/>
  <c r="IA44" i="8"/>
  <c r="IB44" i="8"/>
  <c r="IC44" i="8"/>
  <c r="ID44" i="8"/>
  <c r="IE44" i="8"/>
  <c r="IF44" i="8"/>
  <c r="IG44" i="8"/>
  <c r="IH44" i="8"/>
  <c r="II44" i="8"/>
  <c r="IJ44" i="8"/>
  <c r="IK44" i="8"/>
  <c r="IL44" i="8"/>
  <c r="IM44" i="8"/>
  <c r="IN44" i="8"/>
  <c r="IO44" i="8"/>
  <c r="IP44" i="8"/>
  <c r="IQ44" i="8"/>
  <c r="IR44" i="8"/>
  <c r="IS44" i="8"/>
  <c r="IT44" i="8"/>
  <c r="IU44" i="8"/>
  <c r="IV44" i="8"/>
  <c r="F45" i="8"/>
  <c r="G45" i="8"/>
  <c r="H45" i="8"/>
  <c r="I45" i="8"/>
  <c r="J45" i="8"/>
  <c r="K45" i="8"/>
  <c r="L45" i="8"/>
  <c r="M45" i="8"/>
  <c r="N45" i="8"/>
  <c r="O45" i="8"/>
  <c r="P45" i="8"/>
  <c r="Q45" i="8"/>
  <c r="R45" i="8"/>
  <c r="S45" i="8"/>
  <c r="T45" i="8"/>
  <c r="U45" i="8"/>
  <c r="V45" i="8"/>
  <c r="W45" i="8"/>
  <c r="X45" i="8"/>
  <c r="Y45" i="8"/>
  <c r="Z45" i="8"/>
  <c r="AA45" i="8"/>
  <c r="AB45" i="8"/>
  <c r="AC45" i="8"/>
  <c r="AL45" i="8"/>
  <c r="AM45" i="8"/>
  <c r="AN45" i="8"/>
  <c r="AO45" i="8"/>
  <c r="AP45" i="8"/>
  <c r="AQ45" i="8"/>
  <c r="AR45" i="8"/>
  <c r="AS45" i="8"/>
  <c r="AT45" i="8"/>
  <c r="AU45" i="8"/>
  <c r="AV45" i="8"/>
  <c r="AW45" i="8"/>
  <c r="AX45" i="8"/>
  <c r="AY45" i="8"/>
  <c r="AZ45" i="8"/>
  <c r="BA45" i="8"/>
  <c r="BB45" i="8"/>
  <c r="BC45" i="8"/>
  <c r="BD45" i="8"/>
  <c r="BE45" i="8"/>
  <c r="BF45" i="8"/>
  <c r="BG45" i="8"/>
  <c r="BH45" i="8"/>
  <c r="BI45" i="8"/>
  <c r="BJ45" i="8"/>
  <c r="BK45" i="8"/>
  <c r="BL45" i="8"/>
  <c r="BM45" i="8"/>
  <c r="BN45" i="8"/>
  <c r="BO45" i="8"/>
  <c r="BP45" i="8"/>
  <c r="BQ45" i="8"/>
  <c r="BR45" i="8"/>
  <c r="BS45" i="8"/>
  <c r="BT45" i="8"/>
  <c r="BU45" i="8"/>
  <c r="BV45" i="8"/>
  <c r="BW45" i="8"/>
  <c r="BX45" i="8"/>
  <c r="BY45" i="8"/>
  <c r="BZ45" i="8"/>
  <c r="CA45" i="8"/>
  <c r="CB45" i="8"/>
  <c r="CC45" i="8"/>
  <c r="CD45" i="8"/>
  <c r="CE45" i="8"/>
  <c r="CF45" i="8"/>
  <c r="CG45" i="8"/>
  <c r="CH45" i="8"/>
  <c r="CI45" i="8"/>
  <c r="CJ45" i="8"/>
  <c r="CK45" i="8"/>
  <c r="CL45" i="8"/>
  <c r="CM45" i="8"/>
  <c r="CN45" i="8"/>
  <c r="CO45" i="8"/>
  <c r="CP45" i="8"/>
  <c r="CQ45" i="8"/>
  <c r="CR45" i="8"/>
  <c r="CS45" i="8"/>
  <c r="CT45" i="8"/>
  <c r="CU45" i="8"/>
  <c r="CV45" i="8"/>
  <c r="CW45" i="8"/>
  <c r="CX45" i="8"/>
  <c r="CY45" i="8"/>
  <c r="CZ45" i="8"/>
  <c r="DA45" i="8"/>
  <c r="DB45" i="8"/>
  <c r="DC45" i="8"/>
  <c r="DD45" i="8"/>
  <c r="DE45" i="8"/>
  <c r="DF45" i="8"/>
  <c r="DG45" i="8"/>
  <c r="DH45" i="8"/>
  <c r="DI45" i="8"/>
  <c r="DJ45" i="8"/>
  <c r="DK45" i="8"/>
  <c r="DL45" i="8"/>
  <c r="DM45" i="8"/>
  <c r="DN45" i="8"/>
  <c r="DO45" i="8"/>
  <c r="DP45" i="8"/>
  <c r="DQ45" i="8"/>
  <c r="DR45" i="8"/>
  <c r="DS45" i="8"/>
  <c r="DT45" i="8"/>
  <c r="DU45" i="8"/>
  <c r="DV45" i="8"/>
  <c r="DW45" i="8"/>
  <c r="DX45" i="8"/>
  <c r="DY45" i="8"/>
  <c r="DZ45" i="8"/>
  <c r="EA45" i="8"/>
  <c r="EB45" i="8"/>
  <c r="EC45" i="8"/>
  <c r="ED45" i="8"/>
  <c r="EE45" i="8"/>
  <c r="EF45" i="8"/>
  <c r="EG45" i="8"/>
  <c r="EH45" i="8"/>
  <c r="EI45" i="8"/>
  <c r="EJ45" i="8"/>
  <c r="EK45" i="8"/>
  <c r="EL45" i="8"/>
  <c r="EM45" i="8"/>
  <c r="EN45" i="8"/>
  <c r="EO45" i="8"/>
  <c r="EP45" i="8"/>
  <c r="EQ45" i="8"/>
  <c r="ER45" i="8"/>
  <c r="ES45" i="8"/>
  <c r="ET45" i="8"/>
  <c r="EU45" i="8"/>
  <c r="EV45" i="8"/>
  <c r="EW45" i="8"/>
  <c r="EX45" i="8"/>
  <c r="EY45" i="8"/>
  <c r="EZ45" i="8"/>
  <c r="FA45" i="8"/>
  <c r="FB45" i="8"/>
  <c r="FC45" i="8"/>
  <c r="FD45" i="8"/>
  <c r="FE45" i="8"/>
  <c r="FF45" i="8"/>
  <c r="FG45" i="8"/>
  <c r="FH45" i="8"/>
  <c r="FI45" i="8"/>
  <c r="FJ45" i="8"/>
  <c r="FK45" i="8"/>
  <c r="FL45" i="8"/>
  <c r="FM45" i="8"/>
  <c r="FN45" i="8"/>
  <c r="FO45" i="8"/>
  <c r="FP45" i="8"/>
  <c r="FQ45" i="8"/>
  <c r="FR45" i="8"/>
  <c r="FS45" i="8"/>
  <c r="FT45" i="8"/>
  <c r="FU45" i="8"/>
  <c r="FV45" i="8"/>
  <c r="FW45" i="8"/>
  <c r="FX45" i="8"/>
  <c r="FY45" i="8"/>
  <c r="FZ45" i="8"/>
  <c r="GA45" i="8"/>
  <c r="GB45" i="8"/>
  <c r="GC45" i="8"/>
  <c r="GD45" i="8"/>
  <c r="GE45" i="8"/>
  <c r="GF45" i="8"/>
  <c r="GG45" i="8"/>
  <c r="GH45" i="8"/>
  <c r="GI45" i="8"/>
  <c r="GJ45" i="8"/>
  <c r="GK45" i="8"/>
  <c r="GL45" i="8"/>
  <c r="GM45" i="8"/>
  <c r="GN45" i="8"/>
  <c r="GO45" i="8"/>
  <c r="GP45" i="8"/>
  <c r="GQ45" i="8"/>
  <c r="GR45" i="8"/>
  <c r="GS45" i="8"/>
  <c r="GT45" i="8"/>
  <c r="GU45" i="8"/>
  <c r="GV45" i="8"/>
  <c r="GW45" i="8"/>
  <c r="GX45" i="8"/>
  <c r="GY45" i="8"/>
  <c r="GZ45" i="8"/>
  <c r="HA45" i="8"/>
  <c r="HB45" i="8"/>
  <c r="HC45" i="8"/>
  <c r="HD45" i="8"/>
  <c r="HE45" i="8"/>
  <c r="HF45" i="8"/>
  <c r="HG45" i="8"/>
  <c r="HH45" i="8"/>
  <c r="HI45" i="8"/>
  <c r="HJ45" i="8"/>
  <c r="HK45" i="8"/>
  <c r="HL45" i="8"/>
  <c r="HM45" i="8"/>
  <c r="HN45" i="8"/>
  <c r="HO45" i="8"/>
  <c r="HP45" i="8"/>
  <c r="HQ45" i="8"/>
  <c r="HR45" i="8"/>
  <c r="HS45" i="8"/>
  <c r="HT45" i="8"/>
  <c r="HU45" i="8"/>
  <c r="HV45" i="8"/>
  <c r="HW45" i="8"/>
  <c r="HX45" i="8"/>
  <c r="HY45" i="8"/>
  <c r="HZ45" i="8"/>
  <c r="IA45" i="8"/>
  <c r="IB45" i="8"/>
  <c r="IC45" i="8"/>
  <c r="ID45" i="8"/>
  <c r="IE45" i="8"/>
  <c r="IF45" i="8"/>
  <c r="IG45" i="8"/>
  <c r="IH45" i="8"/>
  <c r="II45" i="8"/>
  <c r="IJ45" i="8"/>
  <c r="IK45" i="8"/>
  <c r="IL45" i="8"/>
  <c r="IM45" i="8"/>
  <c r="IN45" i="8"/>
  <c r="IO45" i="8"/>
  <c r="IP45" i="8"/>
  <c r="IQ45" i="8"/>
  <c r="IR45" i="8"/>
  <c r="IS45" i="8"/>
  <c r="IT45" i="8"/>
  <c r="IU45" i="8"/>
  <c r="IV45" i="8"/>
  <c r="F46" i="8"/>
  <c r="G46" i="8"/>
  <c r="H46" i="8"/>
  <c r="I46" i="8"/>
  <c r="J46" i="8"/>
  <c r="K46" i="8"/>
  <c r="L46" i="8"/>
  <c r="M46" i="8"/>
  <c r="N46" i="8"/>
  <c r="O46" i="8"/>
  <c r="P46" i="8"/>
  <c r="Q46" i="8"/>
  <c r="R46" i="8"/>
  <c r="S46" i="8"/>
  <c r="T46" i="8"/>
  <c r="U46" i="8"/>
  <c r="V46" i="8"/>
  <c r="W46" i="8"/>
  <c r="X46" i="8"/>
  <c r="Y46" i="8"/>
  <c r="Z46" i="8"/>
  <c r="AA46" i="8"/>
  <c r="AB46" i="8"/>
  <c r="AC46" i="8"/>
  <c r="AD46" i="8"/>
  <c r="AE46" i="8"/>
  <c r="AF46" i="8"/>
  <c r="AG46" i="8"/>
  <c r="AH46" i="8"/>
  <c r="AI46" i="8"/>
  <c r="AJ46" i="8"/>
  <c r="AK46" i="8"/>
  <c r="AL46" i="8"/>
  <c r="AM46" i="8"/>
  <c r="AN46" i="8"/>
  <c r="AO46" i="8"/>
  <c r="AP46" i="8"/>
  <c r="AQ46" i="8"/>
  <c r="AR46" i="8"/>
  <c r="AS46" i="8"/>
  <c r="AT46" i="8"/>
  <c r="AU46" i="8"/>
  <c r="AV46" i="8"/>
  <c r="AW46" i="8"/>
  <c r="AX46" i="8"/>
  <c r="AY46" i="8"/>
  <c r="AZ46" i="8"/>
  <c r="BA46" i="8"/>
  <c r="BB46" i="8"/>
  <c r="BG46" i="8"/>
  <c r="BK46" i="8"/>
  <c r="BL46" i="8"/>
  <c r="BM46" i="8"/>
  <c r="BN46" i="8"/>
  <c r="BO46" i="8"/>
  <c r="BP46" i="8"/>
  <c r="BQ46" i="8"/>
  <c r="BR46" i="8"/>
  <c r="BS46" i="8"/>
  <c r="BT46" i="8"/>
  <c r="BU46" i="8"/>
  <c r="BV46" i="8"/>
  <c r="BW46" i="8"/>
  <c r="BX46" i="8"/>
  <c r="BY46" i="8"/>
  <c r="BZ46" i="8"/>
  <c r="CA46" i="8"/>
  <c r="CB46" i="8"/>
  <c r="CC46" i="8"/>
  <c r="CD46" i="8"/>
  <c r="CE46" i="8"/>
  <c r="CN46" i="8"/>
  <c r="CO46" i="8"/>
  <c r="CP46" i="8"/>
  <c r="CQ46" i="8"/>
  <c r="CR46" i="8"/>
  <c r="CS46" i="8"/>
  <c r="CT46" i="8"/>
  <c r="CU46" i="8"/>
  <c r="CV46" i="8"/>
  <c r="CW46" i="8"/>
  <c r="CX46" i="8"/>
  <c r="CY46" i="8"/>
  <c r="CZ46" i="8"/>
  <c r="DA46" i="8"/>
  <c r="DB46" i="8"/>
  <c r="DC46" i="8"/>
  <c r="DD46" i="8"/>
  <c r="DE46" i="8"/>
  <c r="DF46" i="8"/>
  <c r="DG46" i="8"/>
  <c r="DH46" i="8"/>
  <c r="DI46" i="8"/>
  <c r="DJ46" i="8"/>
  <c r="DK46" i="8"/>
  <c r="DL46" i="8"/>
  <c r="DM46" i="8"/>
  <c r="DN46" i="8"/>
  <c r="DO46" i="8"/>
  <c r="DP46" i="8"/>
  <c r="DQ46" i="8"/>
  <c r="DR46" i="8"/>
  <c r="DS46" i="8"/>
  <c r="DT46" i="8"/>
  <c r="DU46" i="8"/>
  <c r="DV46" i="8"/>
  <c r="DW46" i="8"/>
  <c r="DX46" i="8"/>
  <c r="DY46" i="8"/>
  <c r="DZ46" i="8"/>
  <c r="EA46" i="8"/>
  <c r="EB46" i="8"/>
  <c r="EC46" i="8"/>
  <c r="ED46" i="8"/>
  <c r="EE46" i="8"/>
  <c r="EF46" i="8"/>
  <c r="EG46" i="8"/>
  <c r="EH46" i="8"/>
  <c r="EI46" i="8"/>
  <c r="EJ46" i="8"/>
  <c r="EK46" i="8"/>
  <c r="EL46" i="8"/>
  <c r="EM46" i="8"/>
  <c r="EN46" i="8"/>
  <c r="EO46" i="8"/>
  <c r="EP46" i="8"/>
  <c r="EQ46" i="8"/>
  <c r="ER46" i="8"/>
  <c r="ES46" i="8"/>
  <c r="ET46" i="8"/>
  <c r="EU46" i="8"/>
  <c r="EV46" i="8"/>
  <c r="EW46" i="8"/>
  <c r="EX46" i="8"/>
  <c r="EY46" i="8"/>
  <c r="EZ46" i="8"/>
  <c r="FA46" i="8"/>
  <c r="FB46" i="8"/>
  <c r="FC46" i="8"/>
  <c r="FD46" i="8"/>
  <c r="FE46" i="8"/>
  <c r="FF46" i="8"/>
  <c r="FG46" i="8"/>
  <c r="FH46" i="8"/>
  <c r="FI46" i="8"/>
  <c r="FJ46" i="8"/>
  <c r="FK46" i="8"/>
  <c r="FL46" i="8"/>
  <c r="FM46" i="8"/>
  <c r="FN46" i="8"/>
  <c r="FO46" i="8"/>
  <c r="FP46" i="8"/>
  <c r="FQ46" i="8"/>
  <c r="FR46" i="8"/>
  <c r="FS46" i="8"/>
  <c r="FT46" i="8"/>
  <c r="FU46" i="8"/>
  <c r="FV46" i="8"/>
  <c r="FW46" i="8"/>
  <c r="FX46" i="8"/>
  <c r="FY46" i="8"/>
  <c r="FZ46" i="8"/>
  <c r="GA46" i="8"/>
  <c r="GB46" i="8"/>
  <c r="GC46" i="8"/>
  <c r="GD46" i="8"/>
  <c r="GE46" i="8"/>
  <c r="GF46" i="8"/>
  <c r="GG46" i="8"/>
  <c r="GH46" i="8"/>
  <c r="GI46" i="8"/>
  <c r="GJ46" i="8"/>
  <c r="GK46" i="8"/>
  <c r="GL46" i="8"/>
  <c r="GM46" i="8"/>
  <c r="GN46" i="8"/>
  <c r="GO46" i="8"/>
  <c r="GP46" i="8"/>
  <c r="GQ46" i="8"/>
  <c r="GR46" i="8"/>
  <c r="GS46" i="8"/>
  <c r="GT46" i="8"/>
  <c r="GU46" i="8"/>
  <c r="GV46" i="8"/>
  <c r="GW46" i="8"/>
  <c r="GX46" i="8"/>
  <c r="GY46" i="8"/>
  <c r="GZ46" i="8"/>
  <c r="HA46" i="8"/>
  <c r="HB46" i="8"/>
  <c r="HC46" i="8"/>
  <c r="HD46" i="8"/>
  <c r="HE46" i="8"/>
  <c r="HF46" i="8"/>
  <c r="HG46" i="8"/>
  <c r="HH46" i="8"/>
  <c r="HI46" i="8"/>
  <c r="HJ46" i="8"/>
  <c r="HK46" i="8"/>
  <c r="HL46" i="8"/>
  <c r="HM46" i="8"/>
  <c r="HN46" i="8"/>
  <c r="HO46" i="8"/>
  <c r="HP46" i="8"/>
  <c r="HQ46" i="8"/>
  <c r="HR46" i="8"/>
  <c r="HS46" i="8"/>
  <c r="HT46" i="8"/>
  <c r="HU46" i="8"/>
  <c r="HV46" i="8"/>
  <c r="HW46" i="8"/>
  <c r="HX46" i="8"/>
  <c r="HY46" i="8"/>
  <c r="HZ46" i="8"/>
  <c r="IA46" i="8"/>
  <c r="IB46" i="8"/>
  <c r="IC46" i="8"/>
  <c r="ID46" i="8"/>
  <c r="IE46" i="8"/>
  <c r="IF46" i="8"/>
  <c r="IG46" i="8"/>
  <c r="IH46" i="8"/>
  <c r="II46" i="8"/>
  <c r="IJ46" i="8"/>
  <c r="IK46" i="8"/>
  <c r="IL46" i="8"/>
  <c r="IM46" i="8"/>
  <c r="IN46" i="8"/>
  <c r="IO46" i="8"/>
  <c r="IP46" i="8"/>
  <c r="IQ46" i="8"/>
  <c r="IR46" i="8"/>
  <c r="IS46" i="8"/>
  <c r="IT46" i="8"/>
  <c r="IU46" i="8"/>
  <c r="IV46" i="8"/>
  <c r="F47" i="8"/>
  <c r="G47" i="8"/>
  <c r="H47" i="8"/>
  <c r="I47" i="8"/>
  <c r="J47" i="8"/>
  <c r="K47" i="8"/>
  <c r="L47" i="8"/>
  <c r="M47" i="8"/>
  <c r="N47" i="8"/>
  <c r="O47" i="8"/>
  <c r="P47" i="8"/>
  <c r="Q47" i="8"/>
  <c r="R47" i="8"/>
  <c r="S47" i="8"/>
  <c r="T47" i="8"/>
  <c r="U47" i="8"/>
  <c r="V47" i="8"/>
  <c r="W47" i="8"/>
  <c r="X47" i="8"/>
  <c r="Y47" i="8"/>
  <c r="Z47" i="8"/>
  <c r="AA47" i="8"/>
  <c r="AB47" i="8"/>
  <c r="AC47" i="8"/>
  <c r="AD47" i="8"/>
  <c r="AE47" i="8"/>
  <c r="AF47" i="8"/>
  <c r="AG47" i="8"/>
  <c r="AH47" i="8"/>
  <c r="AI47" i="8"/>
  <c r="AJ47" i="8"/>
  <c r="AK47" i="8"/>
  <c r="AL47" i="8"/>
  <c r="AM47" i="8"/>
  <c r="AN47" i="8"/>
  <c r="AO47" i="8"/>
  <c r="AP47" i="8"/>
  <c r="AQ47" i="8"/>
  <c r="AR47" i="8"/>
  <c r="AS47" i="8"/>
  <c r="AT47" i="8"/>
  <c r="AU47" i="8"/>
  <c r="AV47" i="8"/>
  <c r="AW47" i="8"/>
  <c r="AX47" i="8"/>
  <c r="AY47" i="8"/>
  <c r="AZ47" i="8"/>
  <c r="BA47" i="8"/>
  <c r="BB47" i="8"/>
  <c r="BC47" i="8"/>
  <c r="BD47" i="8"/>
  <c r="BE47" i="8"/>
  <c r="BF47" i="8"/>
  <c r="BG47" i="8"/>
  <c r="BH47" i="8"/>
  <c r="BI47" i="8"/>
  <c r="BJ47" i="8"/>
  <c r="BK47" i="8"/>
  <c r="BL47" i="8"/>
  <c r="BM47" i="8"/>
  <c r="BN47" i="8"/>
  <c r="BO47" i="8"/>
  <c r="BP47" i="8"/>
  <c r="BQ47" i="8"/>
  <c r="BR47" i="8"/>
  <c r="BS47" i="8"/>
  <c r="BT47" i="8"/>
  <c r="BU47" i="8"/>
  <c r="BV47" i="8"/>
  <c r="BW47" i="8"/>
  <c r="BX47" i="8"/>
  <c r="BY47" i="8"/>
  <c r="BZ47" i="8"/>
  <c r="CA47" i="8"/>
  <c r="CB47" i="8"/>
  <c r="CC47" i="8"/>
  <c r="CD47" i="8"/>
  <c r="CE47" i="8"/>
  <c r="CF47" i="8"/>
  <c r="CG47" i="8"/>
  <c r="CH47" i="8"/>
  <c r="CI47" i="8"/>
  <c r="CJ47" i="8"/>
  <c r="CK47" i="8"/>
  <c r="CL47" i="8"/>
  <c r="CM47" i="8"/>
  <c r="CN47" i="8"/>
  <c r="CO47" i="8"/>
  <c r="CP47" i="8"/>
  <c r="CQ47" i="8"/>
  <c r="CR47" i="8"/>
  <c r="CS47" i="8"/>
  <c r="CT47" i="8"/>
  <c r="CU47" i="8"/>
  <c r="CV47" i="8"/>
  <c r="CW47" i="8"/>
  <c r="CX47" i="8"/>
  <c r="CY47" i="8"/>
  <c r="CZ47" i="8"/>
  <c r="DA47" i="8"/>
  <c r="DB47" i="8"/>
  <c r="DC47" i="8"/>
  <c r="DD47" i="8"/>
  <c r="DE47" i="8"/>
  <c r="DF47" i="8"/>
  <c r="DG47" i="8"/>
  <c r="DH47" i="8"/>
  <c r="DI47" i="8"/>
  <c r="DJ47" i="8"/>
  <c r="DK47" i="8"/>
  <c r="DL47" i="8"/>
  <c r="DM47" i="8"/>
  <c r="DN47" i="8"/>
  <c r="DO47" i="8"/>
  <c r="DP47" i="8"/>
  <c r="DQ47" i="8"/>
  <c r="DR47" i="8"/>
  <c r="DS47" i="8"/>
  <c r="DT47" i="8"/>
  <c r="DU47" i="8"/>
  <c r="DV47" i="8"/>
  <c r="DW47" i="8"/>
  <c r="DX47" i="8"/>
  <c r="DY47" i="8"/>
  <c r="DZ47" i="8"/>
  <c r="EA47" i="8"/>
  <c r="EB47" i="8"/>
  <c r="EC47" i="8"/>
  <c r="ED47" i="8"/>
  <c r="EE47" i="8"/>
  <c r="EF47" i="8"/>
  <c r="EG47" i="8"/>
  <c r="EH47" i="8"/>
  <c r="EI47" i="8"/>
  <c r="EJ47" i="8"/>
  <c r="EK47" i="8"/>
  <c r="EL47" i="8"/>
  <c r="EM47" i="8"/>
  <c r="EN47" i="8"/>
  <c r="EO47" i="8"/>
  <c r="EP47" i="8"/>
  <c r="EQ47" i="8"/>
  <c r="ER47" i="8"/>
  <c r="ES47" i="8"/>
  <c r="ET47" i="8"/>
  <c r="EU47" i="8"/>
  <c r="EV47" i="8"/>
  <c r="EW47" i="8"/>
  <c r="EX47" i="8"/>
  <c r="EY47" i="8"/>
  <c r="EZ47" i="8"/>
  <c r="FA47" i="8"/>
  <c r="FB47" i="8"/>
  <c r="FC47" i="8"/>
  <c r="FD47" i="8"/>
  <c r="FE47" i="8"/>
  <c r="FF47" i="8"/>
  <c r="FG47" i="8"/>
  <c r="FH47" i="8"/>
  <c r="FI47" i="8"/>
  <c r="FJ47" i="8"/>
  <c r="FK47" i="8"/>
  <c r="FL47" i="8"/>
  <c r="FM47" i="8"/>
  <c r="FN47" i="8"/>
  <c r="FO47" i="8"/>
  <c r="FP47" i="8"/>
  <c r="FQ47" i="8"/>
  <c r="FR47" i="8"/>
  <c r="FS47" i="8"/>
  <c r="FT47" i="8"/>
  <c r="FU47" i="8"/>
  <c r="FV47" i="8"/>
  <c r="FW47" i="8"/>
  <c r="FX47" i="8"/>
  <c r="FY47" i="8"/>
  <c r="FZ47" i="8"/>
  <c r="GA47" i="8"/>
  <c r="GB47" i="8"/>
  <c r="GC47" i="8"/>
  <c r="GD47" i="8"/>
  <c r="GE47" i="8"/>
  <c r="GF47" i="8"/>
  <c r="GG47" i="8"/>
  <c r="GH47" i="8"/>
  <c r="GI47" i="8"/>
  <c r="GJ47" i="8"/>
  <c r="GK47" i="8"/>
  <c r="GL47" i="8"/>
  <c r="GM47" i="8"/>
  <c r="GN47" i="8"/>
  <c r="GO47" i="8"/>
  <c r="GP47" i="8"/>
  <c r="GQ47" i="8"/>
  <c r="GR47" i="8"/>
  <c r="GS47" i="8"/>
  <c r="GT47" i="8"/>
  <c r="GU47" i="8"/>
  <c r="GV47" i="8"/>
  <c r="GW47" i="8"/>
  <c r="GX47" i="8"/>
  <c r="GY47" i="8"/>
  <c r="GZ47" i="8"/>
  <c r="HA47" i="8"/>
  <c r="HB47" i="8"/>
  <c r="HC47" i="8"/>
  <c r="HD47" i="8"/>
  <c r="HE47" i="8"/>
  <c r="HF47" i="8"/>
  <c r="HG47" i="8"/>
  <c r="HH47" i="8"/>
  <c r="HI47" i="8"/>
  <c r="HJ47" i="8"/>
  <c r="HK47" i="8"/>
  <c r="HL47" i="8"/>
  <c r="HM47" i="8"/>
  <c r="HN47" i="8"/>
  <c r="HO47" i="8"/>
  <c r="HP47" i="8"/>
  <c r="HQ47" i="8"/>
  <c r="HR47" i="8"/>
  <c r="HS47" i="8"/>
  <c r="HT47" i="8"/>
  <c r="HU47" i="8"/>
  <c r="HV47" i="8"/>
  <c r="HW47" i="8"/>
  <c r="HX47" i="8"/>
  <c r="HY47" i="8"/>
  <c r="HZ47" i="8"/>
  <c r="IA47" i="8"/>
  <c r="IB47" i="8"/>
  <c r="IC47" i="8"/>
  <c r="ID47" i="8"/>
  <c r="IE47" i="8"/>
  <c r="IF47" i="8"/>
  <c r="IG47" i="8"/>
  <c r="IH47" i="8"/>
  <c r="II47" i="8"/>
  <c r="IJ47" i="8"/>
  <c r="IK47" i="8"/>
  <c r="IL47" i="8"/>
  <c r="IM47" i="8"/>
  <c r="IN47" i="8"/>
  <c r="IO47" i="8"/>
  <c r="IP47" i="8"/>
  <c r="IQ47" i="8"/>
  <c r="IR47" i="8"/>
  <c r="IS47" i="8"/>
  <c r="IT47" i="8"/>
  <c r="IU47" i="8"/>
  <c r="IV47" i="8"/>
  <c r="F48" i="8"/>
  <c r="G48" i="8"/>
  <c r="H48" i="8"/>
  <c r="I48" i="8"/>
  <c r="J48" i="8"/>
  <c r="K48" i="8"/>
  <c r="L48" i="8"/>
  <c r="M48" i="8"/>
  <c r="N48" i="8"/>
  <c r="O48" i="8"/>
  <c r="P48" i="8"/>
  <c r="Q48" i="8"/>
  <c r="R48" i="8"/>
  <c r="S48" i="8"/>
  <c r="T48" i="8"/>
  <c r="U48" i="8"/>
  <c r="V48" i="8"/>
  <c r="W48" i="8"/>
  <c r="X48" i="8"/>
  <c r="Y48" i="8"/>
  <c r="Z48" i="8"/>
  <c r="AA48" i="8"/>
  <c r="AB48" i="8"/>
  <c r="AC48" i="8"/>
  <c r="AD48" i="8"/>
  <c r="AE48" i="8"/>
  <c r="AF48" i="8"/>
  <c r="AG48" i="8"/>
  <c r="AH48" i="8"/>
  <c r="AI48" i="8"/>
  <c r="AJ48" i="8"/>
  <c r="AK48" i="8"/>
  <c r="AL48" i="8"/>
  <c r="AM48" i="8"/>
  <c r="AN48" i="8"/>
  <c r="AO48" i="8"/>
  <c r="AP48" i="8"/>
  <c r="AQ48" i="8"/>
  <c r="AR48" i="8"/>
  <c r="AS48" i="8"/>
  <c r="AT48" i="8"/>
  <c r="AU48" i="8"/>
  <c r="AV48" i="8"/>
  <c r="AW48" i="8"/>
  <c r="AX48" i="8"/>
  <c r="AY48" i="8"/>
  <c r="AZ48" i="8"/>
  <c r="BA48" i="8"/>
  <c r="BB48" i="8"/>
  <c r="BC48" i="8"/>
  <c r="BD48" i="8"/>
  <c r="BE48" i="8"/>
  <c r="BF48" i="8"/>
  <c r="BG48" i="8"/>
  <c r="BH48" i="8"/>
  <c r="BI48" i="8"/>
  <c r="BJ48" i="8"/>
  <c r="BK48" i="8"/>
  <c r="BL48" i="8"/>
  <c r="BM48" i="8"/>
  <c r="BN48" i="8"/>
  <c r="BO48" i="8"/>
  <c r="BP48" i="8"/>
  <c r="BQ48" i="8"/>
  <c r="BR48" i="8"/>
  <c r="BS48" i="8"/>
  <c r="BT48" i="8"/>
  <c r="BU48" i="8"/>
  <c r="BV48" i="8"/>
  <c r="BW48" i="8"/>
  <c r="BX48" i="8"/>
  <c r="BY48" i="8"/>
  <c r="BZ48" i="8"/>
  <c r="CA48" i="8"/>
  <c r="CB48" i="8"/>
  <c r="CC48" i="8"/>
  <c r="CD48" i="8"/>
  <c r="CE48" i="8"/>
  <c r="CF48" i="8"/>
  <c r="CG48" i="8"/>
  <c r="CH48" i="8"/>
  <c r="CI48" i="8"/>
  <c r="CJ48" i="8"/>
  <c r="CK48" i="8"/>
  <c r="CL48" i="8"/>
  <c r="CM48" i="8"/>
  <c r="CN48" i="8"/>
  <c r="CO48" i="8"/>
  <c r="CP48" i="8"/>
  <c r="CQ48" i="8"/>
  <c r="CR48" i="8"/>
  <c r="CS48" i="8"/>
  <c r="CT48" i="8"/>
  <c r="CU48" i="8"/>
  <c r="CV48" i="8"/>
  <c r="CW48" i="8"/>
  <c r="CX48" i="8"/>
  <c r="CY48" i="8"/>
  <c r="CZ48" i="8"/>
  <c r="DA48" i="8"/>
  <c r="DB48" i="8"/>
  <c r="DC48" i="8"/>
  <c r="DD48" i="8"/>
  <c r="DE48" i="8"/>
  <c r="DF48" i="8"/>
  <c r="DG48" i="8"/>
  <c r="DH48" i="8"/>
  <c r="DI48" i="8"/>
  <c r="DJ48" i="8"/>
  <c r="DK48" i="8"/>
  <c r="DL48" i="8"/>
  <c r="DM48" i="8"/>
  <c r="DN48" i="8"/>
  <c r="DO48" i="8"/>
  <c r="DP48" i="8"/>
  <c r="DQ48" i="8"/>
  <c r="DR48" i="8"/>
  <c r="DS48" i="8"/>
  <c r="DT48" i="8"/>
  <c r="DU48" i="8"/>
  <c r="DV48" i="8"/>
  <c r="DW48" i="8"/>
  <c r="DX48" i="8"/>
  <c r="DY48" i="8"/>
  <c r="DZ48" i="8"/>
  <c r="EA48" i="8"/>
  <c r="EB48" i="8"/>
  <c r="EC48" i="8"/>
  <c r="ED48" i="8"/>
  <c r="EE48" i="8"/>
  <c r="EF48" i="8"/>
  <c r="EG48" i="8"/>
  <c r="EH48" i="8"/>
  <c r="EI48" i="8"/>
  <c r="EJ48" i="8"/>
  <c r="EK48" i="8"/>
  <c r="EL48" i="8"/>
  <c r="EM48" i="8"/>
  <c r="EN48" i="8"/>
  <c r="EO48" i="8"/>
  <c r="EP48" i="8"/>
  <c r="EQ48" i="8"/>
  <c r="ER48" i="8"/>
  <c r="ES48" i="8"/>
  <c r="ET48" i="8"/>
  <c r="EU48" i="8"/>
  <c r="EV48" i="8"/>
  <c r="EW48" i="8"/>
  <c r="EX48" i="8"/>
  <c r="EY48" i="8"/>
  <c r="EZ48" i="8"/>
  <c r="FA48" i="8"/>
  <c r="FB48" i="8"/>
  <c r="FC48" i="8"/>
  <c r="FD48" i="8"/>
  <c r="FE48" i="8"/>
  <c r="FF48" i="8"/>
  <c r="FG48" i="8"/>
  <c r="FH48" i="8"/>
  <c r="FI48" i="8"/>
  <c r="FJ48" i="8"/>
  <c r="FK48" i="8"/>
  <c r="FL48" i="8"/>
  <c r="FM48" i="8"/>
  <c r="FN48" i="8"/>
  <c r="FO48" i="8"/>
  <c r="FP48" i="8"/>
  <c r="FQ48" i="8"/>
  <c r="FR48" i="8"/>
  <c r="FS48" i="8"/>
  <c r="FT48" i="8"/>
  <c r="FU48" i="8"/>
  <c r="FV48" i="8"/>
  <c r="FW48" i="8"/>
  <c r="FX48" i="8"/>
  <c r="FY48" i="8"/>
  <c r="FZ48" i="8"/>
  <c r="GA48" i="8"/>
  <c r="GB48" i="8"/>
  <c r="GC48" i="8"/>
  <c r="GD48" i="8"/>
  <c r="GE48" i="8"/>
  <c r="GF48" i="8"/>
  <c r="GG48" i="8"/>
  <c r="GH48" i="8"/>
  <c r="GI48" i="8"/>
  <c r="GJ48" i="8"/>
  <c r="GK48" i="8"/>
  <c r="GL48" i="8"/>
  <c r="GM48" i="8"/>
  <c r="GN48" i="8"/>
  <c r="GO48" i="8"/>
  <c r="GP48" i="8"/>
  <c r="GQ48" i="8"/>
  <c r="GR48" i="8"/>
  <c r="GS48" i="8"/>
  <c r="GT48" i="8"/>
  <c r="GU48" i="8"/>
  <c r="GV48" i="8"/>
  <c r="GW48" i="8"/>
  <c r="GX48" i="8"/>
  <c r="GY48" i="8"/>
  <c r="GZ48" i="8"/>
  <c r="HA48" i="8"/>
  <c r="HB48" i="8"/>
  <c r="HC48" i="8"/>
  <c r="HD48" i="8"/>
  <c r="HE48" i="8"/>
  <c r="HF48" i="8"/>
  <c r="HG48" i="8"/>
  <c r="HH48" i="8"/>
  <c r="HI48" i="8"/>
  <c r="HJ48" i="8"/>
  <c r="HK48" i="8"/>
  <c r="HL48" i="8"/>
  <c r="HM48" i="8"/>
  <c r="HN48" i="8"/>
  <c r="HO48" i="8"/>
  <c r="HP48" i="8"/>
  <c r="HQ48" i="8"/>
  <c r="HR48" i="8"/>
  <c r="HS48" i="8"/>
  <c r="HT48" i="8"/>
  <c r="HU48" i="8"/>
  <c r="HV48" i="8"/>
  <c r="HW48" i="8"/>
  <c r="HX48" i="8"/>
  <c r="HY48" i="8"/>
  <c r="HZ48" i="8"/>
  <c r="IA48" i="8"/>
  <c r="IB48" i="8"/>
  <c r="IC48" i="8"/>
  <c r="ID48" i="8"/>
  <c r="IE48" i="8"/>
  <c r="IF48" i="8"/>
  <c r="IG48" i="8"/>
  <c r="IH48" i="8"/>
  <c r="II48" i="8"/>
  <c r="IJ48" i="8"/>
  <c r="IK48" i="8"/>
  <c r="IL48" i="8"/>
  <c r="IM48" i="8"/>
  <c r="IN48" i="8"/>
  <c r="IO48" i="8"/>
  <c r="IP48" i="8"/>
  <c r="IQ48" i="8"/>
  <c r="IR48" i="8"/>
  <c r="IS48" i="8"/>
  <c r="IT48" i="8"/>
  <c r="IU48" i="8"/>
  <c r="IV48" i="8"/>
  <c r="F49" i="8"/>
  <c r="G49" i="8"/>
  <c r="H49" i="8"/>
  <c r="I49" i="8"/>
  <c r="J49" i="8"/>
  <c r="K49" i="8"/>
  <c r="L49" i="8"/>
  <c r="M49" i="8"/>
  <c r="N49" i="8"/>
  <c r="O49" i="8"/>
  <c r="P49" i="8"/>
  <c r="Q49" i="8"/>
  <c r="R49" i="8"/>
  <c r="S49" i="8"/>
  <c r="T49" i="8"/>
  <c r="U49" i="8"/>
  <c r="V49" i="8"/>
  <c r="W49" i="8"/>
  <c r="X49" i="8"/>
  <c r="Y49" i="8"/>
  <c r="Z49" i="8"/>
  <c r="AA49" i="8"/>
  <c r="AB49" i="8"/>
  <c r="AC49" i="8"/>
  <c r="AD49" i="8"/>
  <c r="AE49" i="8"/>
  <c r="AF49" i="8"/>
  <c r="AG49" i="8"/>
  <c r="AH49" i="8"/>
  <c r="AI49" i="8"/>
  <c r="AJ49" i="8"/>
  <c r="AK49" i="8"/>
  <c r="AL49" i="8"/>
  <c r="AM49" i="8"/>
  <c r="AN49" i="8"/>
  <c r="AO49" i="8"/>
  <c r="AP49" i="8"/>
  <c r="AQ49" i="8"/>
  <c r="AR49" i="8"/>
  <c r="AS49" i="8"/>
  <c r="AT49" i="8"/>
  <c r="AU49" i="8"/>
  <c r="AV49" i="8"/>
  <c r="AW49" i="8"/>
  <c r="AX49" i="8"/>
  <c r="AY49" i="8"/>
  <c r="AZ49" i="8"/>
  <c r="BA49" i="8"/>
  <c r="BB49" i="8"/>
  <c r="BC49" i="8"/>
  <c r="BD49" i="8"/>
  <c r="BE49" i="8"/>
  <c r="BF49" i="8"/>
  <c r="BG49" i="8"/>
  <c r="BH49" i="8"/>
  <c r="BI49" i="8"/>
  <c r="BJ49" i="8"/>
  <c r="BK49" i="8"/>
  <c r="BL49" i="8"/>
  <c r="BM49" i="8"/>
  <c r="BN49" i="8"/>
  <c r="BO49" i="8"/>
  <c r="BP49" i="8"/>
  <c r="BQ49" i="8"/>
  <c r="BR49" i="8"/>
  <c r="BS49" i="8"/>
  <c r="BT49" i="8"/>
  <c r="BU49" i="8"/>
  <c r="BV49" i="8"/>
  <c r="BW49" i="8"/>
  <c r="BX49" i="8"/>
  <c r="BY49" i="8"/>
  <c r="BZ49" i="8"/>
  <c r="CA49" i="8"/>
  <c r="CB49" i="8"/>
  <c r="CC49" i="8"/>
  <c r="CD49" i="8"/>
  <c r="CE49" i="8"/>
  <c r="CF49" i="8"/>
  <c r="CG49" i="8"/>
  <c r="CH49" i="8"/>
  <c r="CI49" i="8"/>
  <c r="CJ49" i="8"/>
  <c r="CK49" i="8"/>
  <c r="CL49" i="8"/>
  <c r="CM49" i="8"/>
  <c r="CN49" i="8"/>
  <c r="CO49" i="8"/>
  <c r="CP49" i="8"/>
  <c r="CQ49" i="8"/>
  <c r="CR49" i="8"/>
  <c r="CS49" i="8"/>
  <c r="CT49" i="8"/>
  <c r="CU49" i="8"/>
  <c r="CV49" i="8"/>
  <c r="CW49" i="8"/>
  <c r="CX49" i="8"/>
  <c r="CY49" i="8"/>
  <c r="CZ49" i="8"/>
  <c r="DA49" i="8"/>
  <c r="DB49" i="8"/>
  <c r="DC49" i="8"/>
  <c r="DD49" i="8"/>
  <c r="DE49" i="8"/>
  <c r="DF49" i="8"/>
  <c r="DG49" i="8"/>
  <c r="DH49" i="8"/>
  <c r="DI49" i="8"/>
  <c r="DJ49" i="8"/>
  <c r="DK49" i="8"/>
  <c r="DL49" i="8"/>
  <c r="DM49" i="8"/>
  <c r="DN49" i="8"/>
  <c r="DO49" i="8"/>
  <c r="DP49" i="8"/>
  <c r="DQ49" i="8"/>
  <c r="DR49" i="8"/>
  <c r="DS49" i="8"/>
  <c r="DT49" i="8"/>
  <c r="DU49" i="8"/>
  <c r="DV49" i="8"/>
  <c r="DW49" i="8"/>
  <c r="DX49" i="8"/>
  <c r="DY49" i="8"/>
  <c r="DZ49" i="8"/>
  <c r="EA49" i="8"/>
  <c r="EB49" i="8"/>
  <c r="EC49" i="8"/>
  <c r="ED49" i="8"/>
  <c r="EE49" i="8"/>
  <c r="EF49" i="8"/>
  <c r="EG49" i="8"/>
  <c r="EH49" i="8"/>
  <c r="EI49" i="8"/>
  <c r="EJ49" i="8"/>
  <c r="EK49" i="8"/>
  <c r="EL49" i="8"/>
  <c r="EM49" i="8"/>
  <c r="EN49" i="8"/>
  <c r="EO49" i="8"/>
  <c r="EP49" i="8"/>
  <c r="EQ49" i="8"/>
  <c r="ER49" i="8"/>
  <c r="ES49" i="8"/>
  <c r="ET49" i="8"/>
  <c r="EU49" i="8"/>
  <c r="EV49" i="8"/>
  <c r="EW49" i="8"/>
  <c r="EX49" i="8"/>
  <c r="EY49" i="8"/>
  <c r="EZ49" i="8"/>
  <c r="FA49" i="8"/>
  <c r="FB49" i="8"/>
  <c r="FC49" i="8"/>
  <c r="FD49" i="8"/>
  <c r="FE49" i="8"/>
  <c r="FF49" i="8"/>
  <c r="FG49" i="8"/>
  <c r="FH49" i="8"/>
  <c r="FI49" i="8"/>
  <c r="FJ49" i="8"/>
  <c r="FK49" i="8"/>
  <c r="FL49" i="8"/>
  <c r="FM49" i="8"/>
  <c r="FN49" i="8"/>
  <c r="FO49" i="8"/>
  <c r="FP49" i="8"/>
  <c r="FQ49" i="8"/>
  <c r="FR49" i="8"/>
  <c r="FS49" i="8"/>
  <c r="FT49" i="8"/>
  <c r="FU49" i="8"/>
  <c r="FV49" i="8"/>
  <c r="FW49" i="8"/>
  <c r="FX49" i="8"/>
  <c r="FY49" i="8"/>
  <c r="FZ49" i="8"/>
  <c r="GA49" i="8"/>
  <c r="GB49" i="8"/>
  <c r="GC49" i="8"/>
  <c r="GD49" i="8"/>
  <c r="GE49" i="8"/>
  <c r="GF49" i="8"/>
  <c r="GG49" i="8"/>
  <c r="GH49" i="8"/>
  <c r="GI49" i="8"/>
  <c r="GJ49" i="8"/>
  <c r="GK49" i="8"/>
  <c r="GL49" i="8"/>
  <c r="GM49" i="8"/>
  <c r="GN49" i="8"/>
  <c r="GO49" i="8"/>
  <c r="GP49" i="8"/>
  <c r="GQ49" i="8"/>
  <c r="GR49" i="8"/>
  <c r="GS49" i="8"/>
  <c r="GT49" i="8"/>
  <c r="GU49" i="8"/>
  <c r="GV49" i="8"/>
  <c r="GW49" i="8"/>
  <c r="GX49" i="8"/>
  <c r="GY49" i="8"/>
  <c r="GZ49" i="8"/>
  <c r="HA49" i="8"/>
  <c r="HB49" i="8"/>
  <c r="HC49" i="8"/>
  <c r="HD49" i="8"/>
  <c r="HE49" i="8"/>
  <c r="HF49" i="8"/>
  <c r="HG49" i="8"/>
  <c r="HH49" i="8"/>
  <c r="HI49" i="8"/>
  <c r="HJ49" i="8"/>
  <c r="HK49" i="8"/>
  <c r="HL49" i="8"/>
  <c r="HM49" i="8"/>
  <c r="HN49" i="8"/>
  <c r="HO49" i="8"/>
  <c r="HP49" i="8"/>
  <c r="HQ49" i="8"/>
  <c r="HR49" i="8"/>
  <c r="HS49" i="8"/>
  <c r="HT49" i="8"/>
  <c r="HU49" i="8"/>
  <c r="HV49" i="8"/>
  <c r="HW49" i="8"/>
  <c r="HX49" i="8"/>
  <c r="HY49" i="8"/>
  <c r="HZ49" i="8"/>
  <c r="IA49" i="8"/>
  <c r="IB49" i="8"/>
  <c r="IC49" i="8"/>
  <c r="ID49" i="8"/>
  <c r="IE49" i="8"/>
  <c r="IF49" i="8"/>
  <c r="IG49" i="8"/>
  <c r="IH49" i="8"/>
  <c r="II49" i="8"/>
  <c r="IJ49" i="8"/>
  <c r="IK49" i="8"/>
  <c r="IL49" i="8"/>
  <c r="IM49" i="8"/>
  <c r="IN49" i="8"/>
  <c r="IO49" i="8"/>
  <c r="IP49" i="8"/>
  <c r="IQ49" i="8"/>
  <c r="IR49" i="8"/>
  <c r="IS49" i="8"/>
  <c r="IT49" i="8"/>
  <c r="IU49" i="8"/>
  <c r="IV49" i="8"/>
  <c r="F50" i="8"/>
  <c r="G50" i="8"/>
  <c r="H50" i="8"/>
  <c r="I50" i="8"/>
  <c r="J50" i="8"/>
  <c r="K50" i="8"/>
  <c r="L50" i="8"/>
  <c r="M50" i="8"/>
  <c r="N50" i="8"/>
  <c r="O50" i="8"/>
  <c r="P50" i="8"/>
  <c r="Q50" i="8"/>
  <c r="R50" i="8"/>
  <c r="S50" i="8"/>
  <c r="T50" i="8"/>
  <c r="U50" i="8"/>
  <c r="V50" i="8"/>
  <c r="W50" i="8"/>
  <c r="X50" i="8"/>
  <c r="Y50" i="8"/>
  <c r="Z50" i="8"/>
  <c r="AA50" i="8"/>
  <c r="AB50" i="8"/>
  <c r="AC50" i="8"/>
  <c r="AD50" i="8"/>
  <c r="AE50" i="8"/>
  <c r="AF50" i="8"/>
  <c r="AG50" i="8"/>
  <c r="AH50" i="8"/>
  <c r="AI50" i="8"/>
  <c r="AJ50" i="8"/>
  <c r="AK50" i="8"/>
  <c r="AL50" i="8"/>
  <c r="AM50" i="8"/>
  <c r="AN50" i="8"/>
  <c r="AO50" i="8"/>
  <c r="AP50" i="8"/>
  <c r="AQ50" i="8"/>
  <c r="AR50" i="8"/>
  <c r="AS50" i="8"/>
  <c r="AT50" i="8"/>
  <c r="AU50" i="8"/>
  <c r="AV50" i="8"/>
  <c r="AW50" i="8"/>
  <c r="AX50" i="8"/>
  <c r="AY50" i="8"/>
  <c r="AZ50" i="8"/>
  <c r="BA50" i="8"/>
  <c r="BB50" i="8"/>
  <c r="BC50" i="8"/>
  <c r="BD50" i="8"/>
  <c r="BE50" i="8"/>
  <c r="BF50" i="8"/>
  <c r="BG50" i="8"/>
  <c r="BH50" i="8"/>
  <c r="BI50" i="8"/>
  <c r="BJ50" i="8"/>
  <c r="BK50" i="8"/>
  <c r="BL50" i="8"/>
  <c r="BM50" i="8"/>
  <c r="BN50" i="8"/>
  <c r="BO50" i="8"/>
  <c r="BP50" i="8"/>
  <c r="BQ50" i="8"/>
  <c r="BR50" i="8"/>
  <c r="BS50" i="8"/>
  <c r="BT50" i="8"/>
  <c r="BU50" i="8"/>
  <c r="BV50" i="8"/>
  <c r="BW50" i="8"/>
  <c r="BX50" i="8"/>
  <c r="BY50" i="8"/>
  <c r="BZ50" i="8"/>
  <c r="CA50" i="8"/>
  <c r="CB50" i="8"/>
  <c r="CC50" i="8"/>
  <c r="CD50" i="8"/>
  <c r="CE50" i="8"/>
  <c r="CF50" i="8"/>
  <c r="CG50" i="8"/>
  <c r="CH50" i="8"/>
  <c r="CI50" i="8"/>
  <c r="CJ50" i="8"/>
  <c r="CK50" i="8"/>
  <c r="CL50" i="8"/>
  <c r="CM50" i="8"/>
  <c r="CN50" i="8"/>
  <c r="CO50" i="8"/>
  <c r="CP50" i="8"/>
  <c r="CQ50" i="8"/>
  <c r="CR50" i="8"/>
  <c r="CS50" i="8"/>
  <c r="CT50" i="8"/>
  <c r="CU50" i="8"/>
  <c r="CV50" i="8"/>
  <c r="CW50" i="8"/>
  <c r="CX50" i="8"/>
  <c r="CY50" i="8"/>
  <c r="CZ50" i="8"/>
  <c r="DA50" i="8"/>
  <c r="DB50" i="8"/>
  <c r="DC50" i="8"/>
  <c r="DD50" i="8"/>
  <c r="DE50" i="8"/>
  <c r="DF50" i="8"/>
  <c r="DG50" i="8"/>
  <c r="DH50" i="8"/>
  <c r="DI50" i="8"/>
  <c r="DJ50" i="8"/>
  <c r="DK50" i="8"/>
  <c r="DL50" i="8"/>
  <c r="DM50" i="8"/>
  <c r="DN50" i="8"/>
  <c r="DO50" i="8"/>
  <c r="DP50" i="8"/>
  <c r="DQ50" i="8"/>
  <c r="DR50" i="8"/>
  <c r="DS50" i="8"/>
  <c r="DT50" i="8"/>
  <c r="DU50" i="8"/>
  <c r="DV50" i="8"/>
  <c r="DW50" i="8"/>
  <c r="DX50" i="8"/>
  <c r="DY50" i="8"/>
  <c r="DZ50" i="8"/>
  <c r="EA50" i="8"/>
  <c r="EB50" i="8"/>
  <c r="EC50" i="8"/>
  <c r="ED50" i="8"/>
  <c r="EE50" i="8"/>
  <c r="EF50" i="8"/>
  <c r="EG50" i="8"/>
  <c r="EH50" i="8"/>
  <c r="EI50" i="8"/>
  <c r="EJ50" i="8"/>
  <c r="EK50" i="8"/>
  <c r="EL50" i="8"/>
  <c r="EM50" i="8"/>
  <c r="EN50" i="8"/>
  <c r="EO50" i="8"/>
  <c r="EP50" i="8"/>
  <c r="EQ50" i="8"/>
  <c r="ER50" i="8"/>
  <c r="ES50" i="8"/>
  <c r="ET50" i="8"/>
  <c r="EU50" i="8"/>
  <c r="EV50" i="8"/>
  <c r="EW50" i="8"/>
  <c r="EX50" i="8"/>
  <c r="EY50" i="8"/>
  <c r="EZ50" i="8"/>
  <c r="FA50" i="8"/>
  <c r="FB50" i="8"/>
  <c r="FC50" i="8"/>
  <c r="FD50" i="8"/>
  <c r="FE50" i="8"/>
  <c r="FF50" i="8"/>
  <c r="FG50" i="8"/>
  <c r="FH50" i="8"/>
  <c r="FI50" i="8"/>
  <c r="FJ50" i="8"/>
  <c r="FK50" i="8"/>
  <c r="FL50" i="8"/>
  <c r="FM50" i="8"/>
  <c r="FN50" i="8"/>
  <c r="FO50" i="8"/>
  <c r="FP50" i="8"/>
  <c r="FQ50" i="8"/>
  <c r="FR50" i="8"/>
  <c r="FS50" i="8"/>
  <c r="FT50" i="8"/>
  <c r="FU50" i="8"/>
  <c r="FV50" i="8"/>
  <c r="FW50" i="8"/>
  <c r="FX50" i="8"/>
  <c r="FY50" i="8"/>
  <c r="FZ50" i="8"/>
  <c r="GA50" i="8"/>
  <c r="GB50" i="8"/>
  <c r="GC50" i="8"/>
  <c r="GD50" i="8"/>
  <c r="GE50" i="8"/>
  <c r="GF50" i="8"/>
  <c r="GG50" i="8"/>
  <c r="GH50" i="8"/>
  <c r="GI50" i="8"/>
  <c r="GJ50" i="8"/>
  <c r="GK50" i="8"/>
  <c r="GL50" i="8"/>
  <c r="GM50" i="8"/>
  <c r="GN50" i="8"/>
  <c r="GO50" i="8"/>
  <c r="GP50" i="8"/>
  <c r="GQ50" i="8"/>
  <c r="GR50" i="8"/>
  <c r="GS50" i="8"/>
  <c r="GT50" i="8"/>
  <c r="GU50" i="8"/>
  <c r="GV50" i="8"/>
  <c r="GW50" i="8"/>
  <c r="GX50" i="8"/>
  <c r="GY50" i="8"/>
  <c r="GZ50" i="8"/>
  <c r="HA50" i="8"/>
  <c r="HB50" i="8"/>
  <c r="HC50" i="8"/>
  <c r="HD50" i="8"/>
  <c r="HE50" i="8"/>
  <c r="HF50" i="8"/>
  <c r="HG50" i="8"/>
  <c r="HH50" i="8"/>
  <c r="HI50" i="8"/>
  <c r="HJ50" i="8"/>
  <c r="HK50" i="8"/>
  <c r="HL50" i="8"/>
  <c r="HM50" i="8"/>
  <c r="HN50" i="8"/>
  <c r="HO50" i="8"/>
  <c r="HP50" i="8"/>
  <c r="HQ50" i="8"/>
  <c r="HR50" i="8"/>
  <c r="HS50" i="8"/>
  <c r="HT50" i="8"/>
  <c r="HU50" i="8"/>
  <c r="HV50" i="8"/>
  <c r="HW50" i="8"/>
  <c r="HX50" i="8"/>
  <c r="HY50" i="8"/>
  <c r="HZ50" i="8"/>
  <c r="IA50" i="8"/>
  <c r="IB50" i="8"/>
  <c r="IC50" i="8"/>
  <c r="ID50" i="8"/>
  <c r="IE50" i="8"/>
  <c r="IF50" i="8"/>
  <c r="IG50" i="8"/>
  <c r="IH50" i="8"/>
  <c r="II50" i="8"/>
  <c r="IJ50" i="8"/>
  <c r="IK50" i="8"/>
  <c r="IL50" i="8"/>
  <c r="IM50" i="8"/>
  <c r="IN50" i="8"/>
  <c r="IO50" i="8"/>
  <c r="IP50" i="8"/>
  <c r="IQ50" i="8"/>
  <c r="IR50" i="8"/>
  <c r="IS50" i="8"/>
  <c r="IT50" i="8"/>
  <c r="IU50" i="8"/>
  <c r="IV50" i="8"/>
  <c r="F51" i="8"/>
  <c r="G51" i="8"/>
  <c r="H51" i="8"/>
  <c r="I51" i="8"/>
  <c r="J51" i="8"/>
  <c r="K51" i="8"/>
  <c r="L51" i="8"/>
  <c r="M51" i="8"/>
  <c r="N51" i="8"/>
  <c r="O51" i="8"/>
  <c r="P51" i="8"/>
  <c r="Q51" i="8"/>
  <c r="R51" i="8"/>
  <c r="S51" i="8"/>
  <c r="T51" i="8"/>
  <c r="U51" i="8"/>
  <c r="V51" i="8"/>
  <c r="W51" i="8"/>
  <c r="X51" i="8"/>
  <c r="Y51" i="8"/>
  <c r="Z51" i="8"/>
  <c r="AA51" i="8"/>
  <c r="AB51" i="8"/>
  <c r="AC51" i="8"/>
  <c r="AD51" i="8"/>
  <c r="AE51" i="8"/>
  <c r="AF51" i="8"/>
  <c r="AG51" i="8"/>
  <c r="AH51" i="8"/>
  <c r="AI51" i="8"/>
  <c r="AJ51" i="8"/>
  <c r="AK51" i="8"/>
  <c r="AL51" i="8"/>
  <c r="AM51" i="8"/>
  <c r="AN51" i="8"/>
  <c r="AO51" i="8"/>
  <c r="AP51" i="8"/>
  <c r="AQ51" i="8"/>
  <c r="AR51" i="8"/>
  <c r="AS51" i="8"/>
  <c r="AT51" i="8"/>
  <c r="AU51" i="8"/>
  <c r="AV51" i="8"/>
  <c r="AW51" i="8"/>
  <c r="AX51" i="8"/>
  <c r="AY51" i="8"/>
  <c r="AZ51" i="8"/>
  <c r="BA51" i="8"/>
  <c r="BB51" i="8"/>
  <c r="BC51" i="8"/>
  <c r="BD51" i="8"/>
  <c r="BE51" i="8"/>
  <c r="BF51" i="8"/>
  <c r="BG51" i="8"/>
  <c r="BH51" i="8"/>
  <c r="BI51" i="8"/>
  <c r="BJ51" i="8"/>
  <c r="BK51" i="8"/>
  <c r="BL51" i="8"/>
  <c r="BM51" i="8"/>
  <c r="BN51" i="8"/>
  <c r="BO51" i="8"/>
  <c r="BP51" i="8"/>
  <c r="BQ51" i="8"/>
  <c r="BR51" i="8"/>
  <c r="BS51" i="8"/>
  <c r="BT51" i="8"/>
  <c r="BU51" i="8"/>
  <c r="BV51" i="8"/>
  <c r="BW51" i="8"/>
  <c r="BX51" i="8"/>
  <c r="BY51" i="8"/>
  <c r="BZ51" i="8"/>
  <c r="CA51" i="8"/>
  <c r="CB51" i="8"/>
  <c r="CC51" i="8"/>
  <c r="CD51" i="8"/>
  <c r="CE51" i="8"/>
  <c r="CF51" i="8"/>
  <c r="CG51" i="8"/>
  <c r="CH51" i="8"/>
  <c r="CI51" i="8"/>
  <c r="CJ51" i="8"/>
  <c r="CK51" i="8"/>
  <c r="CL51" i="8"/>
  <c r="CM51" i="8"/>
  <c r="CN51" i="8"/>
  <c r="CO51" i="8"/>
  <c r="CP51" i="8"/>
  <c r="CQ51" i="8"/>
  <c r="CR51" i="8"/>
  <c r="CS51" i="8"/>
  <c r="CT51" i="8"/>
  <c r="CU51" i="8"/>
  <c r="CV51" i="8"/>
  <c r="CW51" i="8"/>
  <c r="CX51" i="8"/>
  <c r="CY51" i="8"/>
  <c r="CZ51" i="8"/>
  <c r="DA51" i="8"/>
  <c r="DB51" i="8"/>
  <c r="DC51" i="8"/>
  <c r="DD51" i="8"/>
  <c r="DE51" i="8"/>
  <c r="DF51" i="8"/>
  <c r="DG51" i="8"/>
  <c r="DH51" i="8"/>
  <c r="DI51" i="8"/>
  <c r="DJ51" i="8"/>
  <c r="DK51" i="8"/>
  <c r="DL51" i="8"/>
  <c r="DM51" i="8"/>
  <c r="DN51" i="8"/>
  <c r="DO51" i="8"/>
  <c r="DP51" i="8"/>
  <c r="DQ51" i="8"/>
  <c r="DR51" i="8"/>
  <c r="DS51" i="8"/>
  <c r="DT51" i="8"/>
  <c r="DU51" i="8"/>
  <c r="DV51" i="8"/>
  <c r="DW51" i="8"/>
  <c r="DX51" i="8"/>
  <c r="DY51" i="8"/>
  <c r="DZ51" i="8"/>
  <c r="EA51" i="8"/>
  <c r="EB51" i="8"/>
  <c r="EC51" i="8"/>
  <c r="ED51" i="8"/>
  <c r="EE51" i="8"/>
  <c r="EF51" i="8"/>
  <c r="EG51" i="8"/>
  <c r="EH51" i="8"/>
  <c r="EI51" i="8"/>
  <c r="EJ51" i="8"/>
  <c r="EK51" i="8"/>
  <c r="EL51" i="8"/>
  <c r="EM51" i="8"/>
  <c r="EN51" i="8"/>
  <c r="EO51" i="8"/>
  <c r="EP51" i="8"/>
  <c r="EQ51" i="8"/>
  <c r="ER51" i="8"/>
  <c r="ES51" i="8"/>
  <c r="ET51" i="8"/>
  <c r="EU51" i="8"/>
  <c r="EV51" i="8"/>
  <c r="EW51" i="8"/>
  <c r="EX51" i="8"/>
  <c r="EY51" i="8"/>
  <c r="EZ51" i="8"/>
  <c r="FA51" i="8"/>
  <c r="FB51" i="8"/>
  <c r="FC51" i="8"/>
  <c r="FD51" i="8"/>
  <c r="FE51" i="8"/>
  <c r="FF51" i="8"/>
  <c r="FG51" i="8"/>
  <c r="FH51" i="8"/>
  <c r="FI51" i="8"/>
  <c r="FJ51" i="8"/>
  <c r="FK51" i="8"/>
  <c r="FL51" i="8"/>
  <c r="FM51" i="8"/>
  <c r="FN51" i="8"/>
  <c r="FO51" i="8"/>
  <c r="FP51" i="8"/>
  <c r="FQ51" i="8"/>
  <c r="FR51" i="8"/>
  <c r="FS51" i="8"/>
  <c r="FT51" i="8"/>
  <c r="FU51" i="8"/>
  <c r="FV51" i="8"/>
  <c r="FW51" i="8"/>
  <c r="FX51" i="8"/>
  <c r="FY51" i="8"/>
  <c r="FZ51" i="8"/>
  <c r="GA51" i="8"/>
  <c r="GB51" i="8"/>
  <c r="GC51" i="8"/>
  <c r="GD51" i="8"/>
  <c r="GE51" i="8"/>
  <c r="GF51" i="8"/>
  <c r="GG51" i="8"/>
  <c r="GH51" i="8"/>
  <c r="GI51" i="8"/>
  <c r="GJ51" i="8"/>
  <c r="GK51" i="8"/>
  <c r="GL51" i="8"/>
  <c r="GM51" i="8"/>
  <c r="GN51" i="8"/>
  <c r="GO51" i="8"/>
  <c r="GP51" i="8"/>
  <c r="GQ51" i="8"/>
  <c r="GR51" i="8"/>
  <c r="GS51" i="8"/>
  <c r="GT51" i="8"/>
  <c r="GU51" i="8"/>
  <c r="GV51" i="8"/>
  <c r="GW51" i="8"/>
  <c r="GX51" i="8"/>
  <c r="GY51" i="8"/>
  <c r="GZ51" i="8"/>
  <c r="HA51" i="8"/>
  <c r="HB51" i="8"/>
  <c r="HC51" i="8"/>
  <c r="HD51" i="8"/>
  <c r="HE51" i="8"/>
  <c r="HF51" i="8"/>
  <c r="HG51" i="8"/>
  <c r="HH51" i="8"/>
  <c r="HI51" i="8"/>
  <c r="HJ51" i="8"/>
  <c r="HK51" i="8"/>
  <c r="HL51" i="8"/>
  <c r="HM51" i="8"/>
  <c r="HN51" i="8"/>
  <c r="HO51" i="8"/>
  <c r="HP51" i="8"/>
  <c r="HQ51" i="8"/>
  <c r="HR51" i="8"/>
  <c r="HS51" i="8"/>
  <c r="HT51" i="8"/>
  <c r="HU51" i="8"/>
  <c r="HV51" i="8"/>
  <c r="HW51" i="8"/>
  <c r="HX51" i="8"/>
  <c r="HY51" i="8"/>
  <c r="HZ51" i="8"/>
  <c r="IA51" i="8"/>
  <c r="IB51" i="8"/>
  <c r="IC51" i="8"/>
  <c r="ID51" i="8"/>
  <c r="IE51" i="8"/>
  <c r="IF51" i="8"/>
  <c r="IG51" i="8"/>
  <c r="IH51" i="8"/>
  <c r="II51" i="8"/>
  <c r="IJ51" i="8"/>
  <c r="IK51" i="8"/>
  <c r="IL51" i="8"/>
  <c r="IM51" i="8"/>
  <c r="IN51" i="8"/>
  <c r="IO51" i="8"/>
  <c r="IP51" i="8"/>
  <c r="IQ51" i="8"/>
  <c r="IR51" i="8"/>
  <c r="IS51" i="8"/>
  <c r="IT51" i="8"/>
  <c r="IU51" i="8"/>
  <c r="IV51" i="8"/>
  <c r="F52" i="8"/>
  <c r="G52" i="8"/>
  <c r="H52" i="8"/>
  <c r="I52" i="8"/>
  <c r="J52" i="8"/>
  <c r="K52" i="8"/>
  <c r="L52" i="8"/>
  <c r="M52" i="8"/>
  <c r="N52" i="8"/>
  <c r="O52" i="8"/>
  <c r="P52" i="8"/>
  <c r="Q52" i="8"/>
  <c r="R52" i="8"/>
  <c r="S52" i="8"/>
  <c r="T52" i="8"/>
  <c r="U52" i="8"/>
  <c r="V52" i="8"/>
  <c r="W52" i="8"/>
  <c r="X52" i="8"/>
  <c r="Y52" i="8"/>
  <c r="Z52" i="8"/>
  <c r="AA52" i="8"/>
  <c r="AB52" i="8"/>
  <c r="AC52" i="8"/>
  <c r="AD52" i="8"/>
  <c r="AE52" i="8"/>
  <c r="AF52" i="8"/>
  <c r="AG52" i="8"/>
  <c r="AH52" i="8"/>
  <c r="AI52" i="8"/>
  <c r="AJ52" i="8"/>
  <c r="AK52" i="8"/>
  <c r="AL52" i="8"/>
  <c r="AM52" i="8"/>
  <c r="AN52" i="8"/>
  <c r="AO52" i="8"/>
  <c r="AP52" i="8"/>
  <c r="AQ52" i="8"/>
  <c r="AR52" i="8"/>
  <c r="AS52" i="8"/>
  <c r="AT52" i="8"/>
  <c r="AU52" i="8"/>
  <c r="AV52" i="8"/>
  <c r="AW52" i="8"/>
  <c r="AX52" i="8"/>
  <c r="AY52" i="8"/>
  <c r="AZ52" i="8"/>
  <c r="BA52" i="8"/>
  <c r="BB52" i="8"/>
  <c r="BC52" i="8"/>
  <c r="BD52" i="8"/>
  <c r="BE52" i="8"/>
  <c r="BF52" i="8"/>
  <c r="BG52" i="8"/>
  <c r="BH52" i="8"/>
  <c r="BI52" i="8"/>
  <c r="BJ52" i="8"/>
  <c r="BK52" i="8"/>
  <c r="BL52" i="8"/>
  <c r="BM52" i="8"/>
  <c r="BN52" i="8"/>
  <c r="BO52" i="8"/>
  <c r="BP52" i="8"/>
  <c r="BQ52" i="8"/>
  <c r="BR52" i="8"/>
  <c r="BS52" i="8"/>
  <c r="BT52" i="8"/>
  <c r="BU52" i="8"/>
  <c r="BV52" i="8"/>
  <c r="BW52" i="8"/>
  <c r="BX52" i="8"/>
  <c r="BY52" i="8"/>
  <c r="BZ52" i="8"/>
  <c r="CA52" i="8"/>
  <c r="CB52" i="8"/>
  <c r="CC52" i="8"/>
  <c r="CD52" i="8"/>
  <c r="CE52" i="8"/>
  <c r="CF52" i="8"/>
  <c r="CG52" i="8"/>
  <c r="CH52" i="8"/>
  <c r="CI52" i="8"/>
  <c r="CJ52" i="8"/>
  <c r="CK52" i="8"/>
  <c r="CL52" i="8"/>
  <c r="CM52" i="8"/>
  <c r="CN52" i="8"/>
  <c r="CO52" i="8"/>
  <c r="CP52" i="8"/>
  <c r="CQ52" i="8"/>
  <c r="CR52" i="8"/>
  <c r="CS52" i="8"/>
  <c r="CT52" i="8"/>
  <c r="CU52" i="8"/>
  <c r="CV52" i="8"/>
  <c r="CW52" i="8"/>
  <c r="CX52" i="8"/>
  <c r="CY52" i="8"/>
  <c r="CZ52" i="8"/>
  <c r="DA52" i="8"/>
  <c r="DB52" i="8"/>
  <c r="DC52" i="8"/>
  <c r="DD52" i="8"/>
  <c r="DE52" i="8"/>
  <c r="DF52" i="8"/>
  <c r="DG52" i="8"/>
  <c r="DH52" i="8"/>
  <c r="DI52" i="8"/>
  <c r="DJ52" i="8"/>
  <c r="DK52" i="8"/>
  <c r="DL52" i="8"/>
  <c r="DM52" i="8"/>
  <c r="DN52" i="8"/>
  <c r="DO52" i="8"/>
  <c r="DP52" i="8"/>
  <c r="DQ52" i="8"/>
  <c r="DR52" i="8"/>
  <c r="DS52" i="8"/>
  <c r="DT52" i="8"/>
  <c r="DU52" i="8"/>
  <c r="DV52" i="8"/>
  <c r="DW52" i="8"/>
  <c r="DX52" i="8"/>
  <c r="DY52" i="8"/>
  <c r="DZ52" i="8"/>
  <c r="EA52" i="8"/>
  <c r="EB52" i="8"/>
  <c r="EC52" i="8"/>
  <c r="ED52" i="8"/>
  <c r="EE52" i="8"/>
  <c r="EF52" i="8"/>
  <c r="EG52" i="8"/>
  <c r="EH52" i="8"/>
  <c r="EI52" i="8"/>
  <c r="EJ52" i="8"/>
  <c r="EK52" i="8"/>
  <c r="EL52" i="8"/>
  <c r="EM52" i="8"/>
  <c r="EN52" i="8"/>
  <c r="EO52" i="8"/>
  <c r="EP52" i="8"/>
  <c r="EQ52" i="8"/>
  <c r="ER52" i="8"/>
  <c r="ES52" i="8"/>
  <c r="ET52" i="8"/>
  <c r="EU52" i="8"/>
  <c r="EV52" i="8"/>
  <c r="EW52" i="8"/>
  <c r="EX52" i="8"/>
  <c r="EY52" i="8"/>
  <c r="EZ52" i="8"/>
  <c r="FA52" i="8"/>
  <c r="FB52" i="8"/>
  <c r="FC52" i="8"/>
  <c r="FD52" i="8"/>
  <c r="FE52" i="8"/>
  <c r="FF52" i="8"/>
  <c r="FG52" i="8"/>
  <c r="FH52" i="8"/>
  <c r="FI52" i="8"/>
  <c r="FJ52" i="8"/>
  <c r="FK52" i="8"/>
  <c r="FL52" i="8"/>
  <c r="FM52" i="8"/>
  <c r="FN52" i="8"/>
  <c r="FO52" i="8"/>
  <c r="FP52" i="8"/>
  <c r="FQ52" i="8"/>
  <c r="FR52" i="8"/>
  <c r="FS52" i="8"/>
  <c r="FT52" i="8"/>
  <c r="FU52" i="8"/>
  <c r="FV52" i="8"/>
  <c r="FW52" i="8"/>
  <c r="FX52" i="8"/>
  <c r="FY52" i="8"/>
  <c r="FZ52" i="8"/>
  <c r="GA52" i="8"/>
  <c r="GB52" i="8"/>
  <c r="GC52" i="8"/>
  <c r="GD52" i="8"/>
  <c r="GE52" i="8"/>
  <c r="GF52" i="8"/>
  <c r="GG52" i="8"/>
  <c r="GH52" i="8"/>
  <c r="GI52" i="8"/>
  <c r="GJ52" i="8"/>
  <c r="GK52" i="8"/>
  <c r="GL52" i="8"/>
  <c r="GM52" i="8"/>
  <c r="GN52" i="8"/>
  <c r="GO52" i="8"/>
  <c r="GP52" i="8"/>
  <c r="GQ52" i="8"/>
  <c r="GR52" i="8"/>
  <c r="GS52" i="8"/>
  <c r="GT52" i="8"/>
  <c r="GU52" i="8"/>
  <c r="GV52" i="8"/>
  <c r="GW52" i="8"/>
  <c r="GX52" i="8"/>
  <c r="GY52" i="8"/>
  <c r="GZ52" i="8"/>
  <c r="HA52" i="8"/>
  <c r="HB52" i="8"/>
  <c r="HC52" i="8"/>
  <c r="HD52" i="8"/>
  <c r="HE52" i="8"/>
  <c r="HF52" i="8"/>
  <c r="HG52" i="8"/>
  <c r="HH52" i="8"/>
  <c r="HI52" i="8"/>
  <c r="HJ52" i="8"/>
  <c r="HK52" i="8"/>
  <c r="HL52" i="8"/>
  <c r="HM52" i="8"/>
  <c r="HN52" i="8"/>
  <c r="HO52" i="8"/>
  <c r="HP52" i="8"/>
  <c r="HQ52" i="8"/>
  <c r="HR52" i="8"/>
  <c r="HS52" i="8"/>
  <c r="HT52" i="8"/>
  <c r="HU52" i="8"/>
  <c r="HV52" i="8"/>
  <c r="HW52" i="8"/>
  <c r="HX52" i="8"/>
  <c r="HY52" i="8"/>
  <c r="HZ52" i="8"/>
  <c r="IA52" i="8"/>
  <c r="IB52" i="8"/>
  <c r="IC52" i="8"/>
  <c r="ID52" i="8"/>
  <c r="IE52" i="8"/>
  <c r="IF52" i="8"/>
  <c r="IG52" i="8"/>
  <c r="IH52" i="8"/>
  <c r="II52" i="8"/>
  <c r="IJ52" i="8"/>
  <c r="IK52" i="8"/>
  <c r="IL52" i="8"/>
  <c r="IM52" i="8"/>
  <c r="IN52" i="8"/>
  <c r="IO52" i="8"/>
  <c r="IP52" i="8"/>
  <c r="IQ52" i="8"/>
  <c r="IR52" i="8"/>
  <c r="IS52" i="8"/>
  <c r="IT52" i="8"/>
  <c r="IU52" i="8"/>
  <c r="IV52" i="8"/>
  <c r="F53" i="8"/>
  <c r="G53" i="8"/>
  <c r="H53" i="8"/>
  <c r="I53" i="8"/>
  <c r="J53" i="8"/>
  <c r="K53" i="8"/>
  <c r="L53" i="8"/>
  <c r="M53" i="8"/>
  <c r="N53" i="8"/>
  <c r="O53" i="8"/>
  <c r="P53" i="8"/>
  <c r="Q53" i="8"/>
  <c r="R53" i="8"/>
  <c r="S53" i="8"/>
  <c r="T53" i="8"/>
  <c r="U53" i="8"/>
  <c r="V53" i="8"/>
  <c r="W53" i="8"/>
  <c r="X53" i="8"/>
  <c r="Y53" i="8"/>
  <c r="Z53" i="8"/>
  <c r="AA53" i="8"/>
  <c r="AB53" i="8"/>
  <c r="AC53" i="8"/>
  <c r="AD53" i="8"/>
  <c r="AE53" i="8"/>
  <c r="AF53" i="8"/>
  <c r="AG53" i="8"/>
  <c r="AH53" i="8"/>
  <c r="AI53" i="8"/>
  <c r="AJ53" i="8"/>
  <c r="AK53" i="8"/>
  <c r="AL53" i="8"/>
  <c r="AM53" i="8"/>
  <c r="AN53" i="8"/>
  <c r="AO53" i="8"/>
  <c r="AP53" i="8"/>
  <c r="AQ53" i="8"/>
  <c r="AR53" i="8"/>
  <c r="AS53" i="8"/>
  <c r="AT53" i="8"/>
  <c r="AU53" i="8"/>
  <c r="AV53" i="8"/>
  <c r="AW53" i="8"/>
  <c r="AX53" i="8"/>
  <c r="AY53" i="8"/>
  <c r="AZ53" i="8"/>
  <c r="BA53" i="8"/>
  <c r="BB53" i="8"/>
  <c r="BC53" i="8"/>
  <c r="BD53" i="8"/>
  <c r="BE53" i="8"/>
  <c r="BF53" i="8"/>
  <c r="BG53" i="8"/>
  <c r="BH53" i="8"/>
  <c r="BI53" i="8"/>
  <c r="BJ53" i="8"/>
  <c r="BK53" i="8"/>
  <c r="BL53" i="8"/>
  <c r="BM53" i="8"/>
  <c r="BN53" i="8"/>
  <c r="BO53" i="8"/>
  <c r="BP53" i="8"/>
  <c r="BQ53" i="8"/>
  <c r="BR53" i="8"/>
  <c r="BS53" i="8"/>
  <c r="BT53" i="8"/>
  <c r="BU53" i="8"/>
  <c r="BV53" i="8"/>
  <c r="BW53" i="8"/>
  <c r="BX53" i="8"/>
  <c r="BY53" i="8"/>
  <c r="BZ53" i="8"/>
  <c r="CA53" i="8"/>
  <c r="CB53" i="8"/>
  <c r="CC53" i="8"/>
  <c r="CD53" i="8"/>
  <c r="CE53" i="8"/>
  <c r="CF53" i="8"/>
  <c r="CG53" i="8"/>
  <c r="CH53" i="8"/>
  <c r="CI53" i="8"/>
  <c r="CJ53" i="8"/>
  <c r="CK53" i="8"/>
  <c r="CL53" i="8"/>
  <c r="CM53" i="8"/>
  <c r="CN53" i="8"/>
  <c r="CO53" i="8"/>
  <c r="CP53" i="8"/>
  <c r="CQ53" i="8"/>
  <c r="CR53" i="8"/>
  <c r="CS53" i="8"/>
  <c r="CT53" i="8"/>
  <c r="CU53" i="8"/>
  <c r="CV53" i="8"/>
  <c r="CW53" i="8"/>
  <c r="CX53" i="8"/>
  <c r="CY53" i="8"/>
  <c r="CZ53" i="8"/>
  <c r="DA53" i="8"/>
  <c r="DB53" i="8"/>
  <c r="DC53" i="8"/>
  <c r="DD53" i="8"/>
  <c r="DE53" i="8"/>
  <c r="DF53" i="8"/>
  <c r="DG53" i="8"/>
  <c r="DH53" i="8"/>
  <c r="DI53" i="8"/>
  <c r="DJ53" i="8"/>
  <c r="DK53" i="8"/>
  <c r="DL53" i="8"/>
  <c r="DM53" i="8"/>
  <c r="DN53" i="8"/>
  <c r="DO53" i="8"/>
  <c r="DP53" i="8"/>
  <c r="DQ53" i="8"/>
  <c r="DR53" i="8"/>
  <c r="DS53" i="8"/>
  <c r="DT53" i="8"/>
  <c r="DU53" i="8"/>
  <c r="DV53" i="8"/>
  <c r="DW53" i="8"/>
  <c r="DX53" i="8"/>
  <c r="DY53" i="8"/>
  <c r="DZ53" i="8"/>
  <c r="EA53" i="8"/>
  <c r="EB53" i="8"/>
  <c r="EC53" i="8"/>
  <c r="ED53" i="8"/>
  <c r="EE53" i="8"/>
  <c r="EF53" i="8"/>
  <c r="EG53" i="8"/>
  <c r="EH53" i="8"/>
  <c r="EI53" i="8"/>
  <c r="EJ53" i="8"/>
  <c r="EK53" i="8"/>
  <c r="EL53" i="8"/>
  <c r="EM53" i="8"/>
  <c r="EN53" i="8"/>
  <c r="EO53" i="8"/>
  <c r="EP53" i="8"/>
  <c r="EQ53" i="8"/>
  <c r="ER53" i="8"/>
  <c r="ES53" i="8"/>
  <c r="ET53" i="8"/>
  <c r="EU53" i="8"/>
  <c r="EV53" i="8"/>
  <c r="EW53" i="8"/>
  <c r="EX53" i="8"/>
  <c r="EY53" i="8"/>
  <c r="EZ53" i="8"/>
  <c r="FA53" i="8"/>
  <c r="FB53" i="8"/>
  <c r="FC53" i="8"/>
  <c r="FD53" i="8"/>
  <c r="FE53" i="8"/>
  <c r="FF53" i="8"/>
  <c r="FG53" i="8"/>
  <c r="FH53" i="8"/>
  <c r="FI53" i="8"/>
  <c r="FJ53" i="8"/>
  <c r="FK53" i="8"/>
  <c r="FL53" i="8"/>
  <c r="FM53" i="8"/>
  <c r="FN53" i="8"/>
  <c r="FO53" i="8"/>
  <c r="FP53" i="8"/>
  <c r="FQ53" i="8"/>
  <c r="FR53" i="8"/>
  <c r="FS53" i="8"/>
  <c r="FT53" i="8"/>
  <c r="FU53" i="8"/>
  <c r="FV53" i="8"/>
  <c r="FW53" i="8"/>
  <c r="FX53" i="8"/>
  <c r="FY53" i="8"/>
  <c r="FZ53" i="8"/>
  <c r="GA53" i="8"/>
  <c r="GB53" i="8"/>
  <c r="GC53" i="8"/>
  <c r="GD53" i="8"/>
  <c r="GE53" i="8"/>
  <c r="GF53" i="8"/>
  <c r="GG53" i="8"/>
  <c r="GH53" i="8"/>
  <c r="GI53" i="8"/>
  <c r="GJ53" i="8"/>
  <c r="GK53" i="8"/>
  <c r="GL53" i="8"/>
  <c r="GM53" i="8"/>
  <c r="GN53" i="8"/>
  <c r="GO53" i="8"/>
  <c r="GP53" i="8"/>
  <c r="GQ53" i="8"/>
  <c r="GR53" i="8"/>
  <c r="GS53" i="8"/>
  <c r="GT53" i="8"/>
  <c r="GU53" i="8"/>
  <c r="GV53" i="8"/>
  <c r="GW53" i="8"/>
  <c r="GX53" i="8"/>
  <c r="GY53" i="8"/>
  <c r="GZ53" i="8"/>
  <c r="HA53" i="8"/>
  <c r="HB53" i="8"/>
  <c r="HC53" i="8"/>
  <c r="HD53" i="8"/>
  <c r="HE53" i="8"/>
  <c r="HF53" i="8"/>
  <c r="HG53" i="8"/>
  <c r="HH53" i="8"/>
  <c r="HI53" i="8"/>
  <c r="HJ53" i="8"/>
  <c r="HK53" i="8"/>
  <c r="HL53" i="8"/>
  <c r="HM53" i="8"/>
  <c r="HN53" i="8"/>
  <c r="HO53" i="8"/>
  <c r="HP53" i="8"/>
  <c r="HQ53" i="8"/>
  <c r="HR53" i="8"/>
  <c r="HS53" i="8"/>
  <c r="HT53" i="8"/>
  <c r="HU53" i="8"/>
  <c r="HV53" i="8"/>
  <c r="HW53" i="8"/>
  <c r="HX53" i="8"/>
  <c r="HY53" i="8"/>
  <c r="HZ53" i="8"/>
  <c r="IA53" i="8"/>
  <c r="IB53" i="8"/>
  <c r="IC53" i="8"/>
  <c r="ID53" i="8"/>
  <c r="IE53" i="8"/>
  <c r="IF53" i="8"/>
  <c r="IG53" i="8"/>
  <c r="IH53" i="8"/>
  <c r="II53" i="8"/>
  <c r="IJ53" i="8"/>
  <c r="IK53" i="8"/>
  <c r="IL53" i="8"/>
  <c r="IM53" i="8"/>
  <c r="IN53" i="8"/>
  <c r="IO53" i="8"/>
  <c r="IP53" i="8"/>
  <c r="IQ53" i="8"/>
  <c r="IR53" i="8"/>
  <c r="IS53" i="8"/>
  <c r="IT53" i="8"/>
  <c r="IU53" i="8"/>
  <c r="IV53" i="8"/>
  <c r="F54" i="8"/>
  <c r="G54" i="8"/>
  <c r="H54" i="8"/>
  <c r="I54" i="8"/>
  <c r="J54" i="8"/>
  <c r="K54" i="8"/>
  <c r="L54" i="8"/>
  <c r="M54" i="8"/>
  <c r="N54" i="8"/>
  <c r="O54" i="8"/>
  <c r="P54" i="8"/>
  <c r="Q54" i="8"/>
  <c r="R54" i="8"/>
  <c r="S54" i="8"/>
  <c r="T54" i="8"/>
  <c r="U54" i="8"/>
  <c r="V54" i="8"/>
  <c r="W54" i="8"/>
  <c r="X54" i="8"/>
  <c r="Y54" i="8"/>
  <c r="Z54" i="8"/>
  <c r="AA54" i="8"/>
  <c r="AB54" i="8"/>
  <c r="AC54" i="8"/>
  <c r="AD54" i="8"/>
  <c r="AE54" i="8"/>
  <c r="AF54" i="8"/>
  <c r="AG54" i="8"/>
  <c r="AH54" i="8"/>
  <c r="AI54" i="8"/>
  <c r="AJ54" i="8"/>
  <c r="AK54" i="8"/>
  <c r="AL54" i="8"/>
  <c r="AM54" i="8"/>
  <c r="AN54" i="8"/>
  <c r="AO54" i="8"/>
  <c r="AP54" i="8"/>
  <c r="AQ54" i="8"/>
  <c r="AR54" i="8"/>
  <c r="AS54" i="8"/>
  <c r="AT54" i="8"/>
  <c r="AU54" i="8"/>
  <c r="AV54" i="8"/>
  <c r="AW54" i="8"/>
  <c r="AX54" i="8"/>
  <c r="AY54" i="8"/>
  <c r="AZ54" i="8"/>
  <c r="BA54" i="8"/>
  <c r="BB54" i="8"/>
  <c r="BC54" i="8"/>
  <c r="BD54" i="8"/>
  <c r="BE54" i="8"/>
  <c r="BF54" i="8"/>
  <c r="BG54" i="8"/>
  <c r="BH54" i="8"/>
  <c r="BI54" i="8"/>
  <c r="BJ54" i="8"/>
  <c r="BK54" i="8"/>
  <c r="BL54" i="8"/>
  <c r="BM54" i="8"/>
  <c r="BN54" i="8"/>
  <c r="BO54" i="8"/>
  <c r="BP54" i="8"/>
  <c r="BQ54" i="8"/>
  <c r="BR54" i="8"/>
  <c r="BS54" i="8"/>
  <c r="BT54" i="8"/>
  <c r="BU54" i="8"/>
  <c r="BV54" i="8"/>
  <c r="BW54" i="8"/>
  <c r="BX54" i="8"/>
  <c r="BY54" i="8"/>
  <c r="BZ54" i="8"/>
  <c r="CA54" i="8"/>
  <c r="CB54" i="8"/>
  <c r="CC54" i="8"/>
  <c r="CD54" i="8"/>
  <c r="CE54" i="8"/>
  <c r="CF54" i="8"/>
  <c r="CG54" i="8"/>
  <c r="CH54" i="8"/>
  <c r="CI54" i="8"/>
  <c r="CJ54" i="8"/>
  <c r="CK54" i="8"/>
  <c r="CL54" i="8"/>
  <c r="CM54" i="8"/>
  <c r="CN54" i="8"/>
  <c r="CO54" i="8"/>
  <c r="CP54" i="8"/>
  <c r="CQ54" i="8"/>
  <c r="CR54" i="8"/>
  <c r="CS54" i="8"/>
  <c r="CT54" i="8"/>
  <c r="CU54" i="8"/>
  <c r="CV54" i="8"/>
  <c r="CW54" i="8"/>
  <c r="CX54" i="8"/>
  <c r="CY54" i="8"/>
  <c r="CZ54" i="8"/>
  <c r="DA54" i="8"/>
  <c r="DB54" i="8"/>
  <c r="DC54" i="8"/>
  <c r="DD54" i="8"/>
  <c r="DE54" i="8"/>
  <c r="DF54" i="8"/>
  <c r="DG54" i="8"/>
  <c r="DH54" i="8"/>
  <c r="DI54" i="8"/>
  <c r="DJ54" i="8"/>
  <c r="DK54" i="8"/>
  <c r="DL54" i="8"/>
  <c r="DM54" i="8"/>
  <c r="DN54" i="8"/>
  <c r="DO54" i="8"/>
  <c r="DP54" i="8"/>
  <c r="DQ54" i="8"/>
  <c r="DR54" i="8"/>
  <c r="DS54" i="8"/>
  <c r="DT54" i="8"/>
  <c r="DU54" i="8"/>
  <c r="DV54" i="8"/>
  <c r="DW54" i="8"/>
  <c r="DX54" i="8"/>
  <c r="DY54" i="8"/>
  <c r="DZ54" i="8"/>
  <c r="EA54" i="8"/>
  <c r="EB54" i="8"/>
  <c r="EC54" i="8"/>
  <c r="ED54" i="8"/>
  <c r="EE54" i="8"/>
  <c r="EF54" i="8"/>
  <c r="EG54" i="8"/>
  <c r="EH54" i="8"/>
  <c r="EI54" i="8"/>
  <c r="EJ54" i="8"/>
  <c r="EK54" i="8"/>
  <c r="EL54" i="8"/>
  <c r="EM54" i="8"/>
  <c r="EN54" i="8"/>
  <c r="EO54" i="8"/>
  <c r="EP54" i="8"/>
  <c r="EQ54" i="8"/>
  <c r="ER54" i="8"/>
  <c r="ES54" i="8"/>
  <c r="ET54" i="8"/>
  <c r="EU54" i="8"/>
  <c r="EV54" i="8"/>
  <c r="EW54" i="8"/>
  <c r="EX54" i="8"/>
  <c r="EY54" i="8"/>
  <c r="EZ54" i="8"/>
  <c r="FA54" i="8"/>
  <c r="FB54" i="8"/>
  <c r="FC54" i="8"/>
  <c r="FD54" i="8"/>
  <c r="FE54" i="8"/>
  <c r="FF54" i="8"/>
  <c r="FG54" i="8"/>
  <c r="FH54" i="8"/>
  <c r="FI54" i="8"/>
  <c r="FJ54" i="8"/>
  <c r="FK54" i="8"/>
  <c r="FL54" i="8"/>
  <c r="FM54" i="8"/>
  <c r="FN54" i="8"/>
  <c r="FO54" i="8"/>
  <c r="FP54" i="8"/>
  <c r="FQ54" i="8"/>
  <c r="FR54" i="8"/>
  <c r="FS54" i="8"/>
  <c r="FT54" i="8"/>
  <c r="FU54" i="8"/>
  <c r="FV54" i="8"/>
  <c r="FW54" i="8"/>
  <c r="FX54" i="8"/>
  <c r="FY54" i="8"/>
  <c r="FZ54" i="8"/>
  <c r="GA54" i="8"/>
  <c r="GB54" i="8"/>
  <c r="GC54" i="8"/>
  <c r="GD54" i="8"/>
  <c r="GE54" i="8"/>
  <c r="GF54" i="8"/>
  <c r="GG54" i="8"/>
  <c r="GH54" i="8"/>
  <c r="GI54" i="8"/>
  <c r="GJ54" i="8"/>
  <c r="GK54" i="8"/>
  <c r="GL54" i="8"/>
  <c r="GM54" i="8"/>
  <c r="GN54" i="8"/>
  <c r="GO54" i="8"/>
  <c r="GP54" i="8"/>
  <c r="GQ54" i="8"/>
  <c r="GR54" i="8"/>
  <c r="GS54" i="8"/>
  <c r="GT54" i="8"/>
  <c r="GU54" i="8"/>
  <c r="GV54" i="8"/>
  <c r="GW54" i="8"/>
  <c r="GX54" i="8"/>
  <c r="GY54" i="8"/>
  <c r="GZ54" i="8"/>
  <c r="HA54" i="8"/>
  <c r="HB54" i="8"/>
  <c r="HC54" i="8"/>
  <c r="HD54" i="8"/>
  <c r="HE54" i="8"/>
  <c r="HF54" i="8"/>
  <c r="HG54" i="8"/>
  <c r="HH54" i="8"/>
  <c r="HI54" i="8"/>
  <c r="HJ54" i="8"/>
  <c r="HK54" i="8"/>
  <c r="HL54" i="8"/>
  <c r="HM54" i="8"/>
  <c r="HN54" i="8"/>
  <c r="HO54" i="8"/>
  <c r="HP54" i="8"/>
  <c r="HQ54" i="8"/>
  <c r="HR54" i="8"/>
  <c r="HS54" i="8"/>
  <c r="HT54" i="8"/>
  <c r="HU54" i="8"/>
  <c r="HV54" i="8"/>
  <c r="HW54" i="8"/>
  <c r="HX54" i="8"/>
  <c r="HY54" i="8"/>
  <c r="HZ54" i="8"/>
  <c r="IA54" i="8"/>
  <c r="IB54" i="8"/>
  <c r="IC54" i="8"/>
  <c r="ID54" i="8"/>
  <c r="IE54" i="8"/>
  <c r="IF54" i="8"/>
  <c r="IG54" i="8"/>
  <c r="IH54" i="8"/>
  <c r="II54" i="8"/>
  <c r="IJ54" i="8"/>
  <c r="IK54" i="8"/>
  <c r="IL54" i="8"/>
  <c r="IM54" i="8"/>
  <c r="IN54" i="8"/>
  <c r="IO54" i="8"/>
  <c r="IP54" i="8"/>
  <c r="IQ54" i="8"/>
  <c r="IR54" i="8"/>
  <c r="IS54" i="8"/>
  <c r="IT54" i="8"/>
  <c r="IU54" i="8"/>
  <c r="IV54" i="8"/>
  <c r="F55" i="8"/>
  <c r="G55" i="8"/>
  <c r="H55" i="8"/>
  <c r="I55" i="8"/>
  <c r="J55" i="8"/>
  <c r="K55" i="8"/>
  <c r="L55" i="8"/>
  <c r="M55" i="8"/>
  <c r="N55" i="8"/>
  <c r="O55" i="8"/>
  <c r="P55" i="8"/>
  <c r="Q55" i="8"/>
  <c r="R55" i="8"/>
  <c r="S55" i="8"/>
  <c r="T55" i="8"/>
  <c r="U55" i="8"/>
  <c r="V55" i="8"/>
  <c r="W55" i="8"/>
  <c r="X55" i="8"/>
  <c r="Y55" i="8"/>
  <c r="Z55" i="8"/>
  <c r="AA55" i="8"/>
  <c r="AB55" i="8"/>
  <c r="AC55" i="8"/>
  <c r="AD55" i="8"/>
  <c r="AE55" i="8"/>
  <c r="AF55" i="8"/>
  <c r="AG55" i="8"/>
  <c r="AH55" i="8"/>
  <c r="AI55" i="8"/>
  <c r="AJ55" i="8"/>
  <c r="AK55" i="8"/>
  <c r="AL55" i="8"/>
  <c r="AM55" i="8"/>
  <c r="AN55" i="8"/>
  <c r="AO55" i="8"/>
  <c r="AP55" i="8"/>
  <c r="AQ55" i="8"/>
  <c r="AR55" i="8"/>
  <c r="AS55" i="8"/>
  <c r="AT55" i="8"/>
  <c r="AU55" i="8"/>
  <c r="AV55" i="8"/>
  <c r="AW55" i="8"/>
  <c r="AX55" i="8"/>
  <c r="AY55" i="8"/>
  <c r="AZ55" i="8"/>
  <c r="BA55" i="8"/>
  <c r="BB55" i="8"/>
  <c r="BC55" i="8"/>
  <c r="BD55" i="8"/>
  <c r="BE55" i="8"/>
  <c r="BF55" i="8"/>
  <c r="BG55" i="8"/>
  <c r="BH55" i="8"/>
  <c r="BI55" i="8"/>
  <c r="BJ55" i="8"/>
  <c r="BK55" i="8"/>
  <c r="BL55" i="8"/>
  <c r="BM55" i="8"/>
  <c r="BN55" i="8"/>
  <c r="BO55" i="8"/>
  <c r="BP55" i="8"/>
  <c r="BQ55" i="8"/>
  <c r="BR55" i="8"/>
  <c r="BS55" i="8"/>
  <c r="BT55" i="8"/>
  <c r="BU55" i="8"/>
  <c r="BV55" i="8"/>
  <c r="BW55" i="8"/>
  <c r="BX55" i="8"/>
  <c r="BY55" i="8"/>
  <c r="BZ55" i="8"/>
  <c r="CA55" i="8"/>
  <c r="CB55" i="8"/>
  <c r="CC55" i="8"/>
  <c r="CD55" i="8"/>
  <c r="CE55" i="8"/>
  <c r="CF55" i="8"/>
  <c r="CG55" i="8"/>
  <c r="CH55" i="8"/>
  <c r="CI55" i="8"/>
  <c r="CJ55" i="8"/>
  <c r="CK55" i="8"/>
  <c r="CL55" i="8"/>
  <c r="CM55" i="8"/>
  <c r="CN55" i="8"/>
  <c r="CO55" i="8"/>
  <c r="CP55" i="8"/>
  <c r="CQ55" i="8"/>
  <c r="CR55" i="8"/>
  <c r="CS55" i="8"/>
  <c r="CT55" i="8"/>
  <c r="CU55" i="8"/>
  <c r="CV55" i="8"/>
  <c r="CW55" i="8"/>
  <c r="CX55" i="8"/>
  <c r="CY55" i="8"/>
  <c r="CZ55" i="8"/>
  <c r="DA55" i="8"/>
  <c r="DB55" i="8"/>
  <c r="DC55" i="8"/>
  <c r="DD55" i="8"/>
  <c r="DE55" i="8"/>
  <c r="DF55" i="8"/>
  <c r="DG55" i="8"/>
  <c r="DH55" i="8"/>
  <c r="DI55" i="8"/>
  <c r="DJ55" i="8"/>
  <c r="DK55" i="8"/>
  <c r="DL55" i="8"/>
  <c r="DM55" i="8"/>
  <c r="DN55" i="8"/>
  <c r="DO55" i="8"/>
  <c r="DP55" i="8"/>
  <c r="DQ55" i="8"/>
  <c r="DR55" i="8"/>
  <c r="DS55" i="8"/>
  <c r="DT55" i="8"/>
  <c r="DU55" i="8"/>
  <c r="DV55" i="8"/>
  <c r="DW55" i="8"/>
  <c r="DX55" i="8"/>
  <c r="DY55" i="8"/>
  <c r="DZ55" i="8"/>
  <c r="EA55" i="8"/>
  <c r="EB55" i="8"/>
  <c r="EC55" i="8"/>
  <c r="ED55" i="8"/>
  <c r="EE55" i="8"/>
  <c r="EF55" i="8"/>
  <c r="EG55" i="8"/>
  <c r="EH55" i="8"/>
  <c r="EI55" i="8"/>
  <c r="EJ55" i="8"/>
  <c r="EK55" i="8"/>
  <c r="EL55" i="8"/>
  <c r="EM55" i="8"/>
  <c r="EN55" i="8"/>
  <c r="EO55" i="8"/>
  <c r="EP55" i="8"/>
  <c r="EQ55" i="8"/>
  <c r="ER55" i="8"/>
  <c r="ES55" i="8"/>
  <c r="ET55" i="8"/>
  <c r="EU55" i="8"/>
  <c r="EV55" i="8"/>
  <c r="EW55" i="8"/>
  <c r="EX55" i="8"/>
  <c r="EY55" i="8"/>
  <c r="EZ55" i="8"/>
  <c r="FA55" i="8"/>
  <c r="FB55" i="8"/>
  <c r="FC55" i="8"/>
  <c r="FD55" i="8"/>
  <c r="FE55" i="8"/>
  <c r="FF55" i="8"/>
  <c r="FG55" i="8"/>
  <c r="FH55" i="8"/>
  <c r="FI55" i="8"/>
  <c r="FJ55" i="8"/>
  <c r="FK55" i="8"/>
  <c r="FL55" i="8"/>
  <c r="FM55" i="8"/>
  <c r="FN55" i="8"/>
  <c r="FO55" i="8"/>
  <c r="FP55" i="8"/>
  <c r="FQ55" i="8"/>
  <c r="FR55" i="8"/>
  <c r="FS55" i="8"/>
  <c r="FT55" i="8"/>
  <c r="FU55" i="8"/>
  <c r="FV55" i="8"/>
  <c r="FW55" i="8"/>
  <c r="FX55" i="8"/>
  <c r="FY55" i="8"/>
  <c r="FZ55" i="8"/>
  <c r="GA55" i="8"/>
  <c r="GB55" i="8"/>
  <c r="GC55" i="8"/>
  <c r="GD55" i="8"/>
  <c r="GE55" i="8"/>
  <c r="GF55" i="8"/>
  <c r="GG55" i="8"/>
  <c r="GH55" i="8"/>
  <c r="GI55" i="8"/>
  <c r="GJ55" i="8"/>
  <c r="GK55" i="8"/>
  <c r="GL55" i="8"/>
  <c r="GM55" i="8"/>
  <c r="GN55" i="8"/>
  <c r="GO55" i="8"/>
  <c r="GP55" i="8"/>
  <c r="GQ55" i="8"/>
  <c r="GR55" i="8"/>
  <c r="GS55" i="8"/>
  <c r="GT55" i="8"/>
  <c r="GU55" i="8"/>
  <c r="GV55" i="8"/>
  <c r="GW55" i="8"/>
  <c r="GX55" i="8"/>
  <c r="GY55" i="8"/>
  <c r="GZ55" i="8"/>
  <c r="HA55" i="8"/>
  <c r="HB55" i="8"/>
  <c r="HC55" i="8"/>
  <c r="HD55" i="8"/>
  <c r="HE55" i="8"/>
  <c r="HF55" i="8"/>
  <c r="HG55" i="8"/>
  <c r="HH55" i="8"/>
  <c r="HI55" i="8"/>
  <c r="HJ55" i="8"/>
  <c r="HK55" i="8"/>
  <c r="HL55" i="8"/>
  <c r="HM55" i="8"/>
  <c r="HN55" i="8"/>
  <c r="HO55" i="8"/>
  <c r="HP55" i="8"/>
  <c r="HQ55" i="8"/>
  <c r="HR55" i="8"/>
  <c r="HS55" i="8"/>
  <c r="HT55" i="8"/>
  <c r="HU55" i="8"/>
  <c r="HV55" i="8"/>
  <c r="HW55" i="8"/>
  <c r="HX55" i="8"/>
  <c r="HY55" i="8"/>
  <c r="HZ55" i="8"/>
  <c r="IA55" i="8"/>
  <c r="IB55" i="8"/>
  <c r="IC55" i="8"/>
  <c r="ID55" i="8"/>
  <c r="IE55" i="8"/>
  <c r="IF55" i="8"/>
  <c r="IG55" i="8"/>
  <c r="IH55" i="8"/>
  <c r="II55" i="8"/>
  <c r="IJ55" i="8"/>
  <c r="IK55" i="8"/>
  <c r="IL55" i="8"/>
  <c r="IM55" i="8"/>
  <c r="IN55" i="8"/>
  <c r="IO55" i="8"/>
  <c r="IP55" i="8"/>
  <c r="IQ55" i="8"/>
  <c r="IR55" i="8"/>
  <c r="IS55" i="8"/>
  <c r="IT55" i="8"/>
  <c r="IU55" i="8"/>
  <c r="IV55" i="8"/>
  <c r="F56" i="8"/>
  <c r="G56" i="8"/>
  <c r="H56" i="8"/>
  <c r="I56" i="8"/>
  <c r="J56" i="8"/>
  <c r="K56" i="8"/>
  <c r="L56" i="8"/>
  <c r="M56" i="8"/>
  <c r="N56" i="8"/>
  <c r="O56" i="8"/>
  <c r="P56" i="8"/>
  <c r="Q56" i="8"/>
  <c r="R56" i="8"/>
  <c r="S56" i="8"/>
  <c r="T56" i="8"/>
  <c r="U56" i="8"/>
  <c r="V56" i="8"/>
  <c r="W56" i="8"/>
  <c r="X56" i="8"/>
  <c r="Y56" i="8"/>
  <c r="Z56" i="8"/>
  <c r="AA56" i="8"/>
  <c r="AB56" i="8"/>
  <c r="AC56" i="8"/>
  <c r="AD56" i="8"/>
  <c r="AE56" i="8"/>
  <c r="AF56" i="8"/>
  <c r="AG56" i="8"/>
  <c r="AH56" i="8"/>
  <c r="AI56" i="8"/>
  <c r="AJ56" i="8"/>
  <c r="AK56" i="8"/>
  <c r="AL56" i="8"/>
  <c r="AM56" i="8"/>
  <c r="AN56" i="8"/>
  <c r="AO56" i="8"/>
  <c r="AP56" i="8"/>
  <c r="AQ56" i="8"/>
  <c r="AR56" i="8"/>
  <c r="AS56" i="8"/>
  <c r="AT56" i="8"/>
  <c r="AU56" i="8"/>
  <c r="AV56" i="8"/>
  <c r="AW56" i="8"/>
  <c r="AX56" i="8"/>
  <c r="AY56" i="8"/>
  <c r="AZ56" i="8"/>
  <c r="BA56" i="8"/>
  <c r="BB56" i="8"/>
  <c r="BC56" i="8"/>
  <c r="BD56" i="8"/>
  <c r="BE56" i="8"/>
  <c r="BF56" i="8"/>
  <c r="BG56" i="8"/>
  <c r="BH56" i="8"/>
  <c r="BI56" i="8"/>
  <c r="BJ56" i="8"/>
  <c r="BK56" i="8"/>
  <c r="BL56" i="8"/>
  <c r="BM56" i="8"/>
  <c r="BN56" i="8"/>
  <c r="BO56" i="8"/>
  <c r="BP56" i="8"/>
  <c r="BQ56" i="8"/>
  <c r="BR56" i="8"/>
  <c r="BS56" i="8"/>
  <c r="BT56" i="8"/>
  <c r="BU56" i="8"/>
  <c r="BV56" i="8"/>
  <c r="BW56" i="8"/>
  <c r="BX56" i="8"/>
  <c r="BY56" i="8"/>
  <c r="BZ56" i="8"/>
  <c r="CA56" i="8"/>
  <c r="CB56" i="8"/>
  <c r="CC56" i="8"/>
  <c r="CD56" i="8"/>
  <c r="CE56" i="8"/>
  <c r="CF56" i="8"/>
  <c r="CG56" i="8"/>
  <c r="CH56" i="8"/>
  <c r="CI56" i="8"/>
  <c r="CJ56" i="8"/>
  <c r="CK56" i="8"/>
  <c r="CL56" i="8"/>
  <c r="CM56" i="8"/>
  <c r="CN56" i="8"/>
  <c r="CO56" i="8"/>
  <c r="CP56" i="8"/>
  <c r="CQ56" i="8"/>
  <c r="CR56" i="8"/>
  <c r="CS56" i="8"/>
  <c r="CT56" i="8"/>
  <c r="CU56" i="8"/>
  <c r="CV56" i="8"/>
  <c r="CW56" i="8"/>
  <c r="CX56" i="8"/>
  <c r="CY56" i="8"/>
  <c r="CZ56" i="8"/>
  <c r="DA56" i="8"/>
  <c r="DB56" i="8"/>
  <c r="DC56" i="8"/>
  <c r="DD56" i="8"/>
  <c r="DE56" i="8"/>
  <c r="DF56" i="8"/>
  <c r="DG56" i="8"/>
  <c r="DH56" i="8"/>
  <c r="DI56" i="8"/>
  <c r="DJ56" i="8"/>
  <c r="DK56" i="8"/>
  <c r="DL56" i="8"/>
  <c r="DM56" i="8"/>
  <c r="DN56" i="8"/>
  <c r="DO56" i="8"/>
  <c r="DP56" i="8"/>
  <c r="DQ56" i="8"/>
  <c r="DR56" i="8"/>
  <c r="DS56" i="8"/>
  <c r="DT56" i="8"/>
  <c r="DU56" i="8"/>
  <c r="DV56" i="8"/>
  <c r="DW56" i="8"/>
  <c r="DX56" i="8"/>
  <c r="DY56" i="8"/>
  <c r="DZ56" i="8"/>
  <c r="EA56" i="8"/>
  <c r="EB56" i="8"/>
  <c r="EC56" i="8"/>
  <c r="ED56" i="8"/>
  <c r="EE56" i="8"/>
  <c r="EF56" i="8"/>
  <c r="EG56" i="8"/>
  <c r="EH56" i="8"/>
  <c r="EI56" i="8"/>
  <c r="EJ56" i="8"/>
  <c r="EK56" i="8"/>
  <c r="EL56" i="8"/>
  <c r="EM56" i="8"/>
  <c r="EN56" i="8"/>
  <c r="EO56" i="8"/>
  <c r="EP56" i="8"/>
  <c r="EQ56" i="8"/>
  <c r="ER56" i="8"/>
  <c r="ES56" i="8"/>
  <c r="ET56" i="8"/>
  <c r="EU56" i="8"/>
  <c r="EV56" i="8"/>
  <c r="EW56" i="8"/>
  <c r="EX56" i="8"/>
  <c r="EY56" i="8"/>
  <c r="EZ56" i="8"/>
  <c r="FA56" i="8"/>
  <c r="FB56" i="8"/>
  <c r="FC56" i="8"/>
  <c r="FD56" i="8"/>
  <c r="FE56" i="8"/>
  <c r="FF56" i="8"/>
  <c r="FG56" i="8"/>
  <c r="FH56" i="8"/>
  <c r="FI56" i="8"/>
  <c r="FJ56" i="8"/>
  <c r="FK56" i="8"/>
  <c r="FL56" i="8"/>
  <c r="FM56" i="8"/>
  <c r="FN56" i="8"/>
  <c r="FO56" i="8"/>
  <c r="FP56" i="8"/>
  <c r="FQ56" i="8"/>
  <c r="FR56" i="8"/>
  <c r="FS56" i="8"/>
  <c r="FT56" i="8"/>
  <c r="FU56" i="8"/>
  <c r="FV56" i="8"/>
  <c r="FW56" i="8"/>
  <c r="FX56" i="8"/>
  <c r="FY56" i="8"/>
  <c r="FZ56" i="8"/>
  <c r="GA56" i="8"/>
  <c r="GB56" i="8"/>
  <c r="GC56" i="8"/>
  <c r="GD56" i="8"/>
  <c r="GE56" i="8"/>
  <c r="GF56" i="8"/>
  <c r="GG56" i="8"/>
  <c r="GH56" i="8"/>
  <c r="GI56" i="8"/>
  <c r="GJ56" i="8"/>
  <c r="GK56" i="8"/>
  <c r="GL56" i="8"/>
  <c r="GM56" i="8"/>
  <c r="GN56" i="8"/>
  <c r="GO56" i="8"/>
  <c r="GP56" i="8"/>
  <c r="GQ56" i="8"/>
  <c r="GR56" i="8"/>
  <c r="GS56" i="8"/>
  <c r="GT56" i="8"/>
  <c r="GU56" i="8"/>
  <c r="GV56" i="8"/>
  <c r="GW56" i="8"/>
  <c r="GX56" i="8"/>
  <c r="GY56" i="8"/>
  <c r="GZ56" i="8"/>
  <c r="HA56" i="8"/>
  <c r="HB56" i="8"/>
  <c r="HC56" i="8"/>
  <c r="HD56" i="8"/>
  <c r="HE56" i="8"/>
  <c r="HF56" i="8"/>
  <c r="HG56" i="8"/>
  <c r="HH56" i="8"/>
  <c r="HI56" i="8"/>
  <c r="HJ56" i="8"/>
  <c r="HK56" i="8"/>
  <c r="HL56" i="8"/>
  <c r="HM56" i="8"/>
  <c r="HN56" i="8"/>
  <c r="HO56" i="8"/>
  <c r="HP56" i="8"/>
  <c r="HQ56" i="8"/>
  <c r="HR56" i="8"/>
  <c r="HS56" i="8"/>
  <c r="HT56" i="8"/>
  <c r="HU56" i="8"/>
  <c r="HV56" i="8"/>
  <c r="HW56" i="8"/>
  <c r="HX56" i="8"/>
  <c r="HY56" i="8"/>
  <c r="HZ56" i="8"/>
  <c r="IA56" i="8"/>
  <c r="IB56" i="8"/>
  <c r="IC56" i="8"/>
  <c r="ID56" i="8"/>
  <c r="IE56" i="8"/>
  <c r="IF56" i="8"/>
  <c r="IG56" i="8"/>
  <c r="IH56" i="8"/>
  <c r="II56" i="8"/>
  <c r="IJ56" i="8"/>
  <c r="IK56" i="8"/>
  <c r="IL56" i="8"/>
  <c r="IM56" i="8"/>
  <c r="IN56" i="8"/>
  <c r="IO56" i="8"/>
  <c r="IP56" i="8"/>
  <c r="IQ56" i="8"/>
  <c r="IR56" i="8"/>
  <c r="IS56" i="8"/>
  <c r="IT56" i="8"/>
  <c r="IU56" i="8"/>
  <c r="IV56" i="8"/>
  <c r="F57" i="8"/>
  <c r="G57" i="8"/>
  <c r="H57" i="8"/>
  <c r="I57" i="8"/>
  <c r="J57" i="8"/>
  <c r="K57" i="8"/>
  <c r="L57" i="8"/>
  <c r="M57" i="8"/>
  <c r="N57" i="8"/>
  <c r="O57" i="8"/>
  <c r="P57" i="8"/>
  <c r="Q57" i="8"/>
  <c r="R57" i="8"/>
  <c r="S57" i="8"/>
  <c r="T57" i="8"/>
  <c r="U57" i="8"/>
  <c r="V57" i="8"/>
  <c r="W57" i="8"/>
  <c r="X57" i="8"/>
  <c r="Y57" i="8"/>
  <c r="Z57" i="8"/>
  <c r="AA57" i="8"/>
  <c r="AB57" i="8"/>
  <c r="AC57" i="8"/>
  <c r="AD57" i="8"/>
  <c r="AE57" i="8"/>
  <c r="AF57" i="8"/>
  <c r="AG57" i="8"/>
  <c r="AH57" i="8"/>
  <c r="AI57" i="8"/>
  <c r="AJ57" i="8"/>
  <c r="AK57" i="8"/>
  <c r="AL57" i="8"/>
  <c r="AM57" i="8"/>
  <c r="AN57" i="8"/>
  <c r="AO57" i="8"/>
  <c r="AP57" i="8"/>
  <c r="AQ57" i="8"/>
  <c r="AR57" i="8"/>
  <c r="AS57" i="8"/>
  <c r="AT57" i="8"/>
  <c r="AU57" i="8"/>
  <c r="AV57" i="8"/>
  <c r="AW57" i="8"/>
  <c r="AX57" i="8"/>
  <c r="AY57" i="8"/>
  <c r="AZ57" i="8"/>
  <c r="BA57" i="8"/>
  <c r="BB57" i="8"/>
  <c r="BC57" i="8"/>
  <c r="BD57" i="8"/>
  <c r="BE57" i="8"/>
  <c r="BF57" i="8"/>
  <c r="BG57" i="8"/>
  <c r="BH57" i="8"/>
  <c r="BI57" i="8"/>
  <c r="BJ57" i="8"/>
  <c r="BK57" i="8"/>
  <c r="BL57" i="8"/>
  <c r="BM57" i="8"/>
  <c r="BN57" i="8"/>
  <c r="BO57" i="8"/>
  <c r="BP57" i="8"/>
  <c r="BQ57" i="8"/>
  <c r="BR57" i="8"/>
  <c r="BS57" i="8"/>
  <c r="BT57" i="8"/>
  <c r="BU57" i="8"/>
  <c r="BV57" i="8"/>
  <c r="BW57" i="8"/>
  <c r="BX57" i="8"/>
  <c r="BY57" i="8"/>
  <c r="BZ57" i="8"/>
  <c r="CA57" i="8"/>
  <c r="CB57" i="8"/>
  <c r="CC57" i="8"/>
  <c r="CD57" i="8"/>
  <c r="CE57" i="8"/>
  <c r="CF57" i="8"/>
  <c r="CG57" i="8"/>
  <c r="CH57" i="8"/>
  <c r="CI57" i="8"/>
  <c r="CJ57" i="8"/>
  <c r="CK57" i="8"/>
  <c r="CL57" i="8"/>
  <c r="CM57" i="8"/>
  <c r="CN57" i="8"/>
  <c r="CO57" i="8"/>
  <c r="CP57" i="8"/>
  <c r="CQ57" i="8"/>
  <c r="CR57" i="8"/>
  <c r="CS57" i="8"/>
  <c r="CT57" i="8"/>
  <c r="CU57" i="8"/>
  <c r="CV57" i="8"/>
  <c r="CW57" i="8"/>
  <c r="CX57" i="8"/>
  <c r="CY57" i="8"/>
  <c r="CZ57" i="8"/>
  <c r="DA57" i="8"/>
  <c r="DB57" i="8"/>
  <c r="DC57" i="8"/>
  <c r="DD57" i="8"/>
  <c r="DE57" i="8"/>
  <c r="DF57" i="8"/>
  <c r="DG57" i="8"/>
  <c r="DH57" i="8"/>
  <c r="DI57" i="8"/>
  <c r="DJ57" i="8"/>
  <c r="DK57" i="8"/>
  <c r="DL57" i="8"/>
  <c r="DM57" i="8"/>
  <c r="DN57" i="8"/>
  <c r="DO57" i="8"/>
  <c r="DP57" i="8"/>
  <c r="DQ57" i="8"/>
  <c r="DR57" i="8"/>
  <c r="DS57" i="8"/>
  <c r="DT57" i="8"/>
  <c r="DU57" i="8"/>
  <c r="DV57" i="8"/>
  <c r="DW57" i="8"/>
  <c r="DX57" i="8"/>
  <c r="DY57" i="8"/>
  <c r="DZ57" i="8"/>
  <c r="EA57" i="8"/>
  <c r="EB57" i="8"/>
  <c r="EC57" i="8"/>
  <c r="ED57" i="8"/>
  <c r="EE57" i="8"/>
  <c r="EF57" i="8"/>
  <c r="EG57" i="8"/>
  <c r="EH57" i="8"/>
  <c r="EI57" i="8"/>
  <c r="EJ57" i="8"/>
  <c r="EK57" i="8"/>
  <c r="EL57" i="8"/>
  <c r="EM57" i="8"/>
  <c r="EN57" i="8"/>
  <c r="EO57" i="8"/>
  <c r="EP57" i="8"/>
  <c r="EQ57" i="8"/>
  <c r="ER57" i="8"/>
  <c r="ES57" i="8"/>
  <c r="ET57" i="8"/>
  <c r="EU57" i="8"/>
  <c r="EV57" i="8"/>
  <c r="EW57" i="8"/>
  <c r="EX57" i="8"/>
  <c r="EY57" i="8"/>
  <c r="EZ57" i="8"/>
  <c r="FA57" i="8"/>
  <c r="FB57" i="8"/>
  <c r="FC57" i="8"/>
  <c r="FD57" i="8"/>
  <c r="FE57" i="8"/>
  <c r="FF57" i="8"/>
  <c r="FG57" i="8"/>
  <c r="FH57" i="8"/>
  <c r="FI57" i="8"/>
  <c r="FJ57" i="8"/>
  <c r="FK57" i="8"/>
  <c r="FL57" i="8"/>
  <c r="FM57" i="8"/>
  <c r="FN57" i="8"/>
  <c r="FO57" i="8"/>
  <c r="FP57" i="8"/>
  <c r="FQ57" i="8"/>
  <c r="FR57" i="8"/>
  <c r="FS57" i="8"/>
  <c r="FT57" i="8"/>
  <c r="FU57" i="8"/>
  <c r="FV57" i="8"/>
  <c r="FW57" i="8"/>
  <c r="FX57" i="8"/>
  <c r="FY57" i="8"/>
  <c r="FZ57" i="8"/>
  <c r="GA57" i="8"/>
  <c r="GB57" i="8"/>
  <c r="GC57" i="8"/>
  <c r="GD57" i="8"/>
  <c r="GE57" i="8"/>
  <c r="GF57" i="8"/>
  <c r="GG57" i="8"/>
  <c r="GH57" i="8"/>
  <c r="GI57" i="8"/>
  <c r="GJ57" i="8"/>
  <c r="GK57" i="8"/>
  <c r="GL57" i="8"/>
  <c r="GM57" i="8"/>
  <c r="GN57" i="8"/>
  <c r="GO57" i="8"/>
  <c r="GP57" i="8"/>
  <c r="GQ57" i="8"/>
  <c r="GR57" i="8"/>
  <c r="GS57" i="8"/>
  <c r="GT57" i="8"/>
  <c r="GU57" i="8"/>
  <c r="GV57" i="8"/>
  <c r="GW57" i="8"/>
  <c r="GX57" i="8"/>
  <c r="GY57" i="8"/>
  <c r="GZ57" i="8"/>
  <c r="HA57" i="8"/>
  <c r="HB57" i="8"/>
  <c r="HC57" i="8"/>
  <c r="HD57" i="8"/>
  <c r="HE57" i="8"/>
  <c r="HF57" i="8"/>
  <c r="HG57" i="8"/>
  <c r="HH57" i="8"/>
  <c r="HI57" i="8"/>
  <c r="HJ57" i="8"/>
  <c r="HK57" i="8"/>
  <c r="HL57" i="8"/>
  <c r="HM57" i="8"/>
  <c r="HN57" i="8"/>
  <c r="HO57" i="8"/>
  <c r="HP57" i="8"/>
  <c r="HQ57" i="8"/>
  <c r="HR57" i="8"/>
  <c r="HS57" i="8"/>
  <c r="HT57" i="8"/>
  <c r="HU57" i="8"/>
  <c r="HV57" i="8"/>
  <c r="HW57" i="8"/>
  <c r="HX57" i="8"/>
  <c r="HY57" i="8"/>
  <c r="HZ57" i="8"/>
  <c r="IA57" i="8"/>
  <c r="IB57" i="8"/>
  <c r="IC57" i="8"/>
  <c r="ID57" i="8"/>
  <c r="IE57" i="8"/>
  <c r="IF57" i="8"/>
  <c r="IG57" i="8"/>
  <c r="IH57" i="8"/>
  <c r="II57" i="8"/>
  <c r="IJ57" i="8"/>
  <c r="IK57" i="8"/>
  <c r="IL57" i="8"/>
  <c r="IM57" i="8"/>
  <c r="IN57" i="8"/>
  <c r="IO57" i="8"/>
  <c r="IP57" i="8"/>
  <c r="IQ57" i="8"/>
  <c r="IR57" i="8"/>
  <c r="IS57" i="8"/>
  <c r="IT57" i="8"/>
  <c r="IU57" i="8"/>
  <c r="IV57" i="8"/>
  <c r="F58" i="8"/>
  <c r="G58" i="8"/>
  <c r="H58" i="8"/>
  <c r="I58" i="8"/>
  <c r="J58" i="8"/>
  <c r="K58" i="8"/>
  <c r="L58" i="8"/>
  <c r="M58" i="8"/>
  <c r="N58" i="8"/>
  <c r="O58" i="8"/>
  <c r="P58" i="8"/>
  <c r="Q58" i="8"/>
  <c r="R58" i="8"/>
  <c r="S58" i="8"/>
  <c r="T58" i="8"/>
  <c r="U58" i="8"/>
  <c r="V58" i="8"/>
  <c r="W58" i="8"/>
  <c r="X58" i="8"/>
  <c r="Y58" i="8"/>
  <c r="Z58" i="8"/>
  <c r="AA58" i="8"/>
  <c r="AB58" i="8"/>
  <c r="AC58" i="8"/>
  <c r="AD58" i="8"/>
  <c r="AE58" i="8"/>
  <c r="AF58" i="8"/>
  <c r="AG58" i="8"/>
  <c r="AH58" i="8"/>
  <c r="AI58" i="8"/>
  <c r="AJ58" i="8"/>
  <c r="AK58" i="8"/>
  <c r="AL58" i="8"/>
  <c r="AM58" i="8"/>
  <c r="AN58" i="8"/>
  <c r="AO58" i="8"/>
  <c r="AP58" i="8"/>
  <c r="AQ58" i="8"/>
  <c r="AR58" i="8"/>
  <c r="AS58" i="8"/>
  <c r="AT58" i="8"/>
  <c r="AU58" i="8"/>
  <c r="AV58" i="8"/>
  <c r="AW58" i="8"/>
  <c r="AX58" i="8"/>
  <c r="AY58" i="8"/>
  <c r="AZ58" i="8"/>
  <c r="BA58" i="8"/>
  <c r="BB58" i="8"/>
  <c r="BC58" i="8"/>
  <c r="BD58" i="8"/>
  <c r="BE58" i="8"/>
  <c r="BF58" i="8"/>
  <c r="BG58" i="8"/>
  <c r="BH58" i="8"/>
  <c r="BI58" i="8"/>
  <c r="BJ58" i="8"/>
  <c r="BK58" i="8"/>
  <c r="BL58" i="8"/>
  <c r="BM58" i="8"/>
  <c r="BN58" i="8"/>
  <c r="BO58" i="8"/>
  <c r="BP58" i="8"/>
  <c r="BQ58" i="8"/>
  <c r="BR58" i="8"/>
  <c r="BS58" i="8"/>
  <c r="BT58" i="8"/>
  <c r="BU58" i="8"/>
  <c r="BV58" i="8"/>
  <c r="BW58" i="8"/>
  <c r="BX58" i="8"/>
  <c r="BY58" i="8"/>
  <c r="BZ58" i="8"/>
  <c r="CA58" i="8"/>
  <c r="CB58" i="8"/>
  <c r="CC58" i="8"/>
  <c r="CD58" i="8"/>
  <c r="CE58" i="8"/>
  <c r="CF58" i="8"/>
  <c r="CG58" i="8"/>
  <c r="CH58" i="8"/>
  <c r="CI58" i="8"/>
  <c r="CJ58" i="8"/>
  <c r="CK58" i="8"/>
  <c r="CL58" i="8"/>
  <c r="CM58" i="8"/>
  <c r="CN58" i="8"/>
  <c r="CO58" i="8"/>
  <c r="CP58" i="8"/>
  <c r="CQ58" i="8"/>
  <c r="CR58" i="8"/>
  <c r="CS58" i="8"/>
  <c r="CT58" i="8"/>
  <c r="CU58" i="8"/>
  <c r="CV58" i="8"/>
  <c r="CW58" i="8"/>
  <c r="CX58" i="8"/>
  <c r="CY58" i="8"/>
  <c r="CZ58" i="8"/>
  <c r="DA58" i="8"/>
  <c r="DB58" i="8"/>
  <c r="DC58" i="8"/>
  <c r="DD58" i="8"/>
  <c r="DE58" i="8"/>
  <c r="DF58" i="8"/>
  <c r="DG58" i="8"/>
  <c r="DH58" i="8"/>
  <c r="DI58" i="8"/>
  <c r="DJ58" i="8"/>
  <c r="DK58" i="8"/>
  <c r="DL58" i="8"/>
  <c r="DM58" i="8"/>
  <c r="DN58" i="8"/>
  <c r="DO58" i="8"/>
  <c r="DP58" i="8"/>
  <c r="DQ58" i="8"/>
  <c r="DR58" i="8"/>
  <c r="DS58" i="8"/>
  <c r="DT58" i="8"/>
  <c r="DU58" i="8"/>
  <c r="DV58" i="8"/>
  <c r="DW58" i="8"/>
  <c r="DX58" i="8"/>
  <c r="DY58" i="8"/>
  <c r="DZ58" i="8"/>
  <c r="EA58" i="8"/>
  <c r="EB58" i="8"/>
  <c r="EC58" i="8"/>
  <c r="ED58" i="8"/>
  <c r="EE58" i="8"/>
  <c r="EF58" i="8"/>
  <c r="EG58" i="8"/>
  <c r="EH58" i="8"/>
  <c r="EI58" i="8"/>
  <c r="EJ58" i="8"/>
  <c r="EK58" i="8"/>
  <c r="EL58" i="8"/>
  <c r="EM58" i="8"/>
  <c r="EN58" i="8"/>
  <c r="EO58" i="8"/>
  <c r="EP58" i="8"/>
  <c r="EQ58" i="8"/>
  <c r="ER58" i="8"/>
  <c r="ES58" i="8"/>
  <c r="ET58" i="8"/>
  <c r="EU58" i="8"/>
  <c r="EV58" i="8"/>
  <c r="EW58" i="8"/>
  <c r="EX58" i="8"/>
  <c r="EY58" i="8"/>
  <c r="EZ58" i="8"/>
  <c r="FA58" i="8"/>
  <c r="FB58" i="8"/>
  <c r="FC58" i="8"/>
  <c r="FD58" i="8"/>
  <c r="FE58" i="8"/>
  <c r="FF58" i="8"/>
  <c r="FG58" i="8"/>
  <c r="FH58" i="8"/>
  <c r="FI58" i="8"/>
  <c r="FJ58" i="8"/>
  <c r="FK58" i="8"/>
  <c r="FL58" i="8"/>
  <c r="FM58" i="8"/>
  <c r="FN58" i="8"/>
  <c r="FO58" i="8"/>
  <c r="FP58" i="8"/>
  <c r="FQ58" i="8"/>
  <c r="FR58" i="8"/>
  <c r="FS58" i="8"/>
  <c r="FT58" i="8"/>
  <c r="FU58" i="8"/>
  <c r="FV58" i="8"/>
  <c r="FW58" i="8"/>
  <c r="FX58" i="8"/>
  <c r="FY58" i="8"/>
  <c r="FZ58" i="8"/>
  <c r="GA58" i="8"/>
  <c r="GB58" i="8"/>
  <c r="GC58" i="8"/>
  <c r="GD58" i="8"/>
  <c r="GE58" i="8"/>
  <c r="GF58" i="8"/>
  <c r="GG58" i="8"/>
  <c r="GH58" i="8"/>
  <c r="GI58" i="8"/>
  <c r="GJ58" i="8"/>
  <c r="GK58" i="8"/>
  <c r="GL58" i="8"/>
  <c r="GM58" i="8"/>
  <c r="GN58" i="8"/>
  <c r="GO58" i="8"/>
  <c r="GP58" i="8"/>
  <c r="GQ58" i="8"/>
  <c r="GR58" i="8"/>
  <c r="GS58" i="8"/>
  <c r="GT58" i="8"/>
  <c r="GU58" i="8"/>
  <c r="GV58" i="8"/>
  <c r="GW58" i="8"/>
  <c r="GX58" i="8"/>
  <c r="GY58" i="8"/>
  <c r="GZ58" i="8"/>
  <c r="HA58" i="8"/>
  <c r="HB58" i="8"/>
  <c r="HC58" i="8"/>
  <c r="HD58" i="8"/>
  <c r="HE58" i="8"/>
  <c r="HF58" i="8"/>
  <c r="HG58" i="8"/>
  <c r="HH58" i="8"/>
  <c r="HI58" i="8"/>
  <c r="HJ58" i="8"/>
  <c r="HK58" i="8"/>
  <c r="HL58" i="8"/>
  <c r="HM58" i="8"/>
  <c r="HN58" i="8"/>
  <c r="HO58" i="8"/>
  <c r="HP58" i="8"/>
  <c r="HQ58" i="8"/>
  <c r="HR58" i="8"/>
  <c r="HS58" i="8"/>
  <c r="HT58" i="8"/>
  <c r="HU58" i="8"/>
  <c r="HV58" i="8"/>
  <c r="HW58" i="8"/>
  <c r="HX58" i="8"/>
  <c r="HY58" i="8"/>
  <c r="HZ58" i="8"/>
  <c r="IA58" i="8"/>
  <c r="IB58" i="8"/>
  <c r="IC58" i="8"/>
  <c r="ID58" i="8"/>
  <c r="IE58" i="8"/>
  <c r="IF58" i="8"/>
  <c r="IG58" i="8"/>
  <c r="IH58" i="8"/>
  <c r="II58" i="8"/>
  <c r="IJ58" i="8"/>
  <c r="IK58" i="8"/>
  <c r="IL58" i="8"/>
  <c r="IM58" i="8"/>
  <c r="IN58" i="8"/>
  <c r="IO58" i="8"/>
  <c r="IP58" i="8"/>
  <c r="IQ58" i="8"/>
  <c r="IR58" i="8"/>
  <c r="IS58" i="8"/>
  <c r="IT58" i="8"/>
  <c r="IU58" i="8"/>
  <c r="IV58" i="8"/>
  <c r="F59" i="8"/>
  <c r="G59" i="8"/>
  <c r="H59" i="8"/>
  <c r="I59" i="8"/>
  <c r="J59" i="8"/>
  <c r="K59" i="8"/>
  <c r="L59" i="8"/>
  <c r="M59" i="8"/>
  <c r="N59" i="8"/>
  <c r="O59" i="8"/>
  <c r="P59" i="8"/>
  <c r="Q59" i="8"/>
  <c r="R59" i="8"/>
  <c r="S59" i="8"/>
  <c r="T59" i="8"/>
  <c r="U59" i="8"/>
  <c r="V59" i="8"/>
  <c r="W59" i="8"/>
  <c r="X59" i="8"/>
  <c r="Y59" i="8"/>
  <c r="Z59" i="8"/>
  <c r="AA59" i="8"/>
  <c r="AB59" i="8"/>
  <c r="AC59" i="8"/>
  <c r="AD59" i="8"/>
  <c r="AE59" i="8"/>
  <c r="AF59" i="8"/>
  <c r="AG59" i="8"/>
  <c r="AH59" i="8"/>
  <c r="AI59" i="8"/>
  <c r="AJ59" i="8"/>
  <c r="AK59" i="8"/>
  <c r="AL59" i="8"/>
  <c r="AM59" i="8"/>
  <c r="AN59" i="8"/>
  <c r="AO59" i="8"/>
  <c r="AP59" i="8"/>
  <c r="AQ59" i="8"/>
  <c r="AR59" i="8"/>
  <c r="AS59" i="8"/>
  <c r="AT59" i="8"/>
  <c r="AU59" i="8"/>
  <c r="AV59" i="8"/>
  <c r="AW59" i="8"/>
  <c r="AX59" i="8"/>
  <c r="AY59" i="8"/>
  <c r="AZ59" i="8"/>
  <c r="BA59" i="8"/>
  <c r="BB59" i="8"/>
  <c r="BC59" i="8"/>
  <c r="BD59" i="8"/>
  <c r="BE59" i="8"/>
  <c r="BF59" i="8"/>
  <c r="BG59" i="8"/>
  <c r="BH59" i="8"/>
  <c r="BI59" i="8"/>
  <c r="BJ59" i="8"/>
  <c r="BK59" i="8"/>
  <c r="BL59" i="8"/>
  <c r="BM59" i="8"/>
  <c r="BN59" i="8"/>
  <c r="BO59" i="8"/>
  <c r="BP59" i="8"/>
  <c r="BQ59" i="8"/>
  <c r="BR59" i="8"/>
  <c r="BS59" i="8"/>
  <c r="BT59" i="8"/>
  <c r="BU59" i="8"/>
  <c r="BV59" i="8"/>
  <c r="BW59" i="8"/>
  <c r="BX59" i="8"/>
  <c r="BY59" i="8"/>
  <c r="BZ59" i="8"/>
  <c r="CA59" i="8"/>
  <c r="CB59" i="8"/>
  <c r="CC59" i="8"/>
  <c r="CD59" i="8"/>
  <c r="CE59" i="8"/>
  <c r="CF59" i="8"/>
  <c r="CG59" i="8"/>
  <c r="CH59" i="8"/>
  <c r="CI59" i="8"/>
  <c r="CJ59" i="8"/>
  <c r="CK59" i="8"/>
  <c r="CL59" i="8"/>
  <c r="CM59" i="8"/>
  <c r="CN59" i="8"/>
  <c r="CO59" i="8"/>
  <c r="CP59" i="8"/>
  <c r="CQ59" i="8"/>
  <c r="CR59" i="8"/>
  <c r="CS59" i="8"/>
  <c r="CT59" i="8"/>
  <c r="CU59" i="8"/>
  <c r="CV59" i="8"/>
  <c r="CW59" i="8"/>
  <c r="CX59" i="8"/>
  <c r="CY59" i="8"/>
  <c r="CZ59" i="8"/>
  <c r="DA59" i="8"/>
  <c r="DB59" i="8"/>
  <c r="DC59" i="8"/>
  <c r="DD59" i="8"/>
  <c r="DE59" i="8"/>
  <c r="DF59" i="8"/>
  <c r="DG59" i="8"/>
  <c r="DH59" i="8"/>
  <c r="DI59" i="8"/>
  <c r="DJ59" i="8"/>
  <c r="DK59" i="8"/>
  <c r="DL59" i="8"/>
  <c r="DM59" i="8"/>
  <c r="DN59" i="8"/>
  <c r="DO59" i="8"/>
  <c r="DP59" i="8"/>
  <c r="DQ59" i="8"/>
  <c r="DR59" i="8"/>
  <c r="DS59" i="8"/>
  <c r="DT59" i="8"/>
  <c r="DU59" i="8"/>
  <c r="DV59" i="8"/>
  <c r="DW59" i="8"/>
  <c r="DX59" i="8"/>
  <c r="DY59" i="8"/>
  <c r="DZ59" i="8"/>
  <c r="EA59" i="8"/>
  <c r="EB59" i="8"/>
  <c r="EC59" i="8"/>
  <c r="ED59" i="8"/>
  <c r="EE59" i="8"/>
  <c r="EF59" i="8"/>
  <c r="EG59" i="8"/>
  <c r="EH59" i="8"/>
  <c r="EI59" i="8"/>
  <c r="EJ59" i="8"/>
  <c r="EK59" i="8"/>
  <c r="EL59" i="8"/>
  <c r="EM59" i="8"/>
  <c r="EN59" i="8"/>
  <c r="EO59" i="8"/>
  <c r="EP59" i="8"/>
  <c r="EQ59" i="8"/>
  <c r="ER59" i="8"/>
  <c r="ES59" i="8"/>
  <c r="ET59" i="8"/>
  <c r="EU59" i="8"/>
  <c r="EV59" i="8"/>
  <c r="EW59" i="8"/>
  <c r="EX59" i="8"/>
  <c r="EY59" i="8"/>
  <c r="EZ59" i="8"/>
  <c r="FA59" i="8"/>
  <c r="FB59" i="8"/>
  <c r="FC59" i="8"/>
  <c r="FD59" i="8"/>
  <c r="FE59" i="8"/>
  <c r="FF59" i="8"/>
  <c r="FG59" i="8"/>
  <c r="FH59" i="8"/>
  <c r="FI59" i="8"/>
  <c r="FJ59" i="8"/>
  <c r="FK59" i="8"/>
  <c r="FL59" i="8"/>
  <c r="FM59" i="8"/>
  <c r="FN59" i="8"/>
  <c r="FO59" i="8"/>
  <c r="FP59" i="8"/>
  <c r="FQ59" i="8"/>
  <c r="FR59" i="8"/>
  <c r="FS59" i="8"/>
  <c r="FT59" i="8"/>
  <c r="FU59" i="8"/>
  <c r="FV59" i="8"/>
  <c r="FW59" i="8"/>
  <c r="FX59" i="8"/>
  <c r="FY59" i="8"/>
  <c r="FZ59" i="8"/>
  <c r="GA59" i="8"/>
  <c r="GB59" i="8"/>
  <c r="GC59" i="8"/>
  <c r="GD59" i="8"/>
  <c r="GE59" i="8"/>
  <c r="GF59" i="8"/>
  <c r="GG59" i="8"/>
  <c r="GH59" i="8"/>
  <c r="GI59" i="8"/>
  <c r="GJ59" i="8"/>
  <c r="GK59" i="8"/>
  <c r="GL59" i="8"/>
  <c r="GM59" i="8"/>
  <c r="GN59" i="8"/>
  <c r="GO59" i="8"/>
  <c r="GP59" i="8"/>
  <c r="GQ59" i="8"/>
  <c r="GR59" i="8"/>
  <c r="GS59" i="8"/>
  <c r="GT59" i="8"/>
  <c r="GU59" i="8"/>
  <c r="GV59" i="8"/>
  <c r="GW59" i="8"/>
  <c r="GX59" i="8"/>
  <c r="GY59" i="8"/>
  <c r="GZ59" i="8"/>
  <c r="HA59" i="8"/>
  <c r="HB59" i="8"/>
  <c r="HC59" i="8"/>
  <c r="HD59" i="8"/>
  <c r="HE59" i="8"/>
  <c r="HF59" i="8"/>
  <c r="HG59" i="8"/>
  <c r="HH59" i="8"/>
  <c r="HI59" i="8"/>
  <c r="HJ59" i="8"/>
  <c r="HK59" i="8"/>
  <c r="HL59" i="8"/>
  <c r="HM59" i="8"/>
  <c r="HN59" i="8"/>
  <c r="HO59" i="8"/>
  <c r="HP59" i="8"/>
  <c r="HQ59" i="8"/>
  <c r="HR59" i="8"/>
  <c r="HS59" i="8"/>
  <c r="HT59" i="8"/>
  <c r="HU59" i="8"/>
  <c r="HV59" i="8"/>
  <c r="HW59" i="8"/>
  <c r="HX59" i="8"/>
  <c r="HY59" i="8"/>
  <c r="HZ59" i="8"/>
  <c r="IA59" i="8"/>
  <c r="IB59" i="8"/>
  <c r="IC59" i="8"/>
  <c r="ID59" i="8"/>
  <c r="IE59" i="8"/>
  <c r="IF59" i="8"/>
  <c r="IG59" i="8"/>
  <c r="IH59" i="8"/>
  <c r="II59" i="8"/>
  <c r="IJ59" i="8"/>
  <c r="IK59" i="8"/>
  <c r="IL59" i="8"/>
  <c r="IM59" i="8"/>
  <c r="IN59" i="8"/>
  <c r="IO59" i="8"/>
  <c r="IP59" i="8"/>
  <c r="IQ59" i="8"/>
  <c r="IR59" i="8"/>
  <c r="IS59" i="8"/>
  <c r="IT59" i="8"/>
  <c r="IU59" i="8"/>
  <c r="IV59" i="8"/>
  <c r="F60" i="8"/>
  <c r="G60" i="8"/>
  <c r="H60" i="8"/>
  <c r="I60" i="8"/>
  <c r="J60" i="8"/>
  <c r="K60" i="8"/>
  <c r="L60" i="8"/>
  <c r="M60" i="8"/>
  <c r="N60" i="8"/>
  <c r="O60" i="8"/>
  <c r="P60" i="8"/>
  <c r="Q60" i="8"/>
  <c r="R60" i="8"/>
  <c r="S60" i="8"/>
  <c r="T60" i="8"/>
  <c r="U60" i="8"/>
  <c r="V60" i="8"/>
  <c r="W60" i="8"/>
  <c r="X60" i="8"/>
  <c r="Y60" i="8"/>
  <c r="Z60" i="8"/>
  <c r="AA60" i="8"/>
  <c r="AB60" i="8"/>
  <c r="AC60" i="8"/>
  <c r="AD60" i="8"/>
  <c r="AE60" i="8"/>
  <c r="AF60" i="8"/>
  <c r="AG60" i="8"/>
  <c r="AH60" i="8"/>
  <c r="AI60" i="8"/>
  <c r="AJ60" i="8"/>
  <c r="AK60" i="8"/>
  <c r="AL60" i="8"/>
  <c r="AM60" i="8"/>
  <c r="AN60" i="8"/>
  <c r="AO60" i="8"/>
  <c r="AP60" i="8"/>
  <c r="AQ60" i="8"/>
  <c r="AR60" i="8"/>
  <c r="AS60" i="8"/>
  <c r="AT60" i="8"/>
  <c r="AU60" i="8"/>
  <c r="AV60" i="8"/>
  <c r="AW60" i="8"/>
  <c r="AX60" i="8"/>
  <c r="AY60" i="8"/>
  <c r="AZ60" i="8"/>
  <c r="BA60" i="8"/>
  <c r="BB60" i="8"/>
  <c r="BC60" i="8"/>
  <c r="BD60" i="8"/>
  <c r="BE60" i="8"/>
  <c r="BF60" i="8"/>
  <c r="BG60" i="8"/>
  <c r="BH60" i="8"/>
  <c r="BI60" i="8"/>
  <c r="BJ60" i="8"/>
  <c r="BK60" i="8"/>
  <c r="BL60" i="8"/>
  <c r="BM60" i="8"/>
  <c r="BN60" i="8"/>
  <c r="BO60" i="8"/>
  <c r="BP60" i="8"/>
  <c r="BQ60" i="8"/>
  <c r="BR60" i="8"/>
  <c r="BS60" i="8"/>
  <c r="BT60" i="8"/>
  <c r="BU60" i="8"/>
  <c r="BV60" i="8"/>
  <c r="BW60" i="8"/>
  <c r="BX60" i="8"/>
  <c r="BY60" i="8"/>
  <c r="BZ60" i="8"/>
  <c r="CA60" i="8"/>
  <c r="CB60" i="8"/>
  <c r="CC60" i="8"/>
  <c r="CD60" i="8"/>
  <c r="CE60" i="8"/>
  <c r="CF60" i="8"/>
  <c r="CG60" i="8"/>
  <c r="CH60" i="8"/>
  <c r="CI60" i="8"/>
  <c r="CJ60" i="8"/>
  <c r="CK60" i="8"/>
  <c r="CL60" i="8"/>
  <c r="CM60" i="8"/>
  <c r="CN60" i="8"/>
  <c r="CO60" i="8"/>
  <c r="CP60" i="8"/>
  <c r="CQ60" i="8"/>
  <c r="CR60" i="8"/>
  <c r="CS60" i="8"/>
  <c r="CT60" i="8"/>
  <c r="CU60" i="8"/>
  <c r="CV60" i="8"/>
  <c r="CW60" i="8"/>
  <c r="CX60" i="8"/>
  <c r="CY60" i="8"/>
  <c r="CZ60" i="8"/>
  <c r="DA60" i="8"/>
  <c r="DB60" i="8"/>
  <c r="DC60" i="8"/>
  <c r="DD60" i="8"/>
  <c r="DE60" i="8"/>
  <c r="DF60" i="8"/>
  <c r="DG60" i="8"/>
  <c r="DH60" i="8"/>
  <c r="DI60" i="8"/>
  <c r="DJ60" i="8"/>
  <c r="DK60" i="8"/>
  <c r="DL60" i="8"/>
  <c r="DM60" i="8"/>
  <c r="DN60" i="8"/>
  <c r="DO60" i="8"/>
  <c r="DP60" i="8"/>
  <c r="DQ60" i="8"/>
  <c r="DR60" i="8"/>
  <c r="DS60" i="8"/>
  <c r="DT60" i="8"/>
  <c r="DU60" i="8"/>
  <c r="DV60" i="8"/>
  <c r="DW60" i="8"/>
  <c r="DX60" i="8"/>
  <c r="DY60" i="8"/>
  <c r="DZ60" i="8"/>
  <c r="EA60" i="8"/>
  <c r="EB60" i="8"/>
  <c r="EC60" i="8"/>
  <c r="ED60" i="8"/>
  <c r="EE60" i="8"/>
  <c r="EF60" i="8"/>
  <c r="EG60" i="8"/>
  <c r="EH60" i="8"/>
  <c r="EI60" i="8"/>
  <c r="EJ60" i="8"/>
  <c r="EK60" i="8"/>
  <c r="EL60" i="8"/>
  <c r="EM60" i="8"/>
  <c r="EN60" i="8"/>
  <c r="EO60" i="8"/>
  <c r="EP60" i="8"/>
  <c r="EQ60" i="8"/>
  <c r="ER60" i="8"/>
  <c r="ES60" i="8"/>
  <c r="ET60" i="8"/>
  <c r="EU60" i="8"/>
  <c r="EV60" i="8"/>
  <c r="EW60" i="8"/>
  <c r="EX60" i="8"/>
  <c r="EY60" i="8"/>
  <c r="EZ60" i="8"/>
  <c r="FA60" i="8"/>
  <c r="FB60" i="8"/>
  <c r="FC60" i="8"/>
  <c r="FD60" i="8"/>
  <c r="FE60" i="8"/>
  <c r="FF60" i="8"/>
  <c r="FG60" i="8"/>
  <c r="FH60" i="8"/>
  <c r="FI60" i="8"/>
  <c r="FJ60" i="8"/>
  <c r="FK60" i="8"/>
  <c r="FL60" i="8"/>
  <c r="FM60" i="8"/>
  <c r="FN60" i="8"/>
  <c r="FO60" i="8"/>
  <c r="FP60" i="8"/>
  <c r="FQ60" i="8"/>
  <c r="FR60" i="8"/>
  <c r="FS60" i="8"/>
  <c r="FT60" i="8"/>
  <c r="FU60" i="8"/>
  <c r="FV60" i="8"/>
  <c r="FW60" i="8"/>
  <c r="FX60" i="8"/>
  <c r="FY60" i="8"/>
  <c r="FZ60" i="8"/>
  <c r="GA60" i="8"/>
  <c r="GB60" i="8"/>
  <c r="GC60" i="8"/>
  <c r="GD60" i="8"/>
  <c r="GE60" i="8"/>
  <c r="GF60" i="8"/>
  <c r="GG60" i="8"/>
  <c r="GH60" i="8"/>
  <c r="GI60" i="8"/>
  <c r="GJ60" i="8"/>
  <c r="GK60" i="8"/>
  <c r="GL60" i="8"/>
  <c r="GM60" i="8"/>
  <c r="GN60" i="8"/>
  <c r="GO60" i="8"/>
  <c r="GP60" i="8"/>
  <c r="GQ60" i="8"/>
  <c r="GR60" i="8"/>
  <c r="GS60" i="8"/>
  <c r="GT60" i="8"/>
  <c r="GU60" i="8"/>
  <c r="GV60" i="8"/>
  <c r="GW60" i="8"/>
  <c r="GX60" i="8"/>
  <c r="GY60" i="8"/>
  <c r="GZ60" i="8"/>
  <c r="HA60" i="8"/>
  <c r="HB60" i="8"/>
  <c r="HC60" i="8"/>
  <c r="HD60" i="8"/>
  <c r="HE60" i="8"/>
  <c r="HF60" i="8"/>
  <c r="HG60" i="8"/>
  <c r="HH60" i="8"/>
  <c r="HI60" i="8"/>
  <c r="HJ60" i="8"/>
  <c r="HK60" i="8"/>
  <c r="HL60" i="8"/>
  <c r="HM60" i="8"/>
  <c r="HN60" i="8"/>
  <c r="HO60" i="8"/>
  <c r="HP60" i="8"/>
  <c r="HQ60" i="8"/>
  <c r="HR60" i="8"/>
  <c r="HS60" i="8"/>
  <c r="HT60" i="8"/>
  <c r="HU60" i="8"/>
  <c r="HV60" i="8"/>
  <c r="HW60" i="8"/>
  <c r="HX60" i="8"/>
  <c r="HY60" i="8"/>
  <c r="HZ60" i="8"/>
  <c r="IA60" i="8"/>
  <c r="IB60" i="8"/>
  <c r="IC60" i="8"/>
  <c r="ID60" i="8"/>
  <c r="IE60" i="8"/>
  <c r="IF60" i="8"/>
  <c r="IG60" i="8"/>
  <c r="IH60" i="8"/>
  <c r="II60" i="8"/>
  <c r="IJ60" i="8"/>
  <c r="IK60" i="8"/>
  <c r="IL60" i="8"/>
  <c r="IM60" i="8"/>
  <c r="IN60" i="8"/>
  <c r="IO60" i="8"/>
  <c r="IP60" i="8"/>
  <c r="IQ60" i="8"/>
  <c r="IR60" i="8"/>
  <c r="IS60" i="8"/>
  <c r="IT60" i="8"/>
  <c r="IU60" i="8"/>
  <c r="IV60" i="8"/>
  <c r="F61" i="8"/>
  <c r="G61" i="8"/>
  <c r="H61" i="8"/>
  <c r="I61" i="8"/>
  <c r="J61" i="8"/>
  <c r="K61" i="8"/>
  <c r="L61" i="8"/>
  <c r="M61" i="8"/>
  <c r="N61" i="8"/>
  <c r="O61" i="8"/>
  <c r="P61" i="8"/>
  <c r="Q61" i="8"/>
  <c r="R61" i="8"/>
  <c r="S61" i="8"/>
  <c r="T61" i="8"/>
  <c r="U61" i="8"/>
  <c r="V61" i="8"/>
  <c r="W61" i="8"/>
  <c r="X61" i="8"/>
  <c r="Y61" i="8"/>
  <c r="Z61" i="8"/>
  <c r="AA61" i="8"/>
  <c r="AB61" i="8"/>
  <c r="AC61" i="8"/>
  <c r="AD61" i="8"/>
  <c r="AE61" i="8"/>
  <c r="AF61" i="8"/>
  <c r="AG61" i="8"/>
  <c r="AH61" i="8"/>
  <c r="AI61" i="8"/>
  <c r="AJ61" i="8"/>
  <c r="AK61" i="8"/>
  <c r="AL61" i="8"/>
  <c r="AM61" i="8"/>
  <c r="AN61" i="8"/>
  <c r="AO61" i="8"/>
  <c r="AP61" i="8"/>
  <c r="AQ61" i="8"/>
  <c r="AR61" i="8"/>
  <c r="AS61" i="8"/>
  <c r="AT61" i="8"/>
  <c r="AU61" i="8"/>
  <c r="AV61" i="8"/>
  <c r="AW61" i="8"/>
  <c r="AX61" i="8"/>
  <c r="AY61" i="8"/>
  <c r="AZ61" i="8"/>
  <c r="BA61" i="8"/>
  <c r="BB61" i="8"/>
  <c r="BC61" i="8"/>
  <c r="BD61" i="8"/>
  <c r="BE61" i="8"/>
  <c r="BF61" i="8"/>
  <c r="BG61" i="8"/>
  <c r="BH61" i="8"/>
  <c r="BI61" i="8"/>
  <c r="BJ61" i="8"/>
  <c r="BK61" i="8"/>
  <c r="BL61" i="8"/>
  <c r="BM61" i="8"/>
  <c r="BN61" i="8"/>
  <c r="BO61" i="8"/>
  <c r="BP61" i="8"/>
  <c r="BQ61" i="8"/>
  <c r="BR61" i="8"/>
  <c r="BS61" i="8"/>
  <c r="BT61" i="8"/>
  <c r="BU61" i="8"/>
  <c r="BV61" i="8"/>
  <c r="BW61" i="8"/>
  <c r="BX61" i="8"/>
  <c r="BY61" i="8"/>
  <c r="BZ61" i="8"/>
  <c r="CA61" i="8"/>
  <c r="CB61" i="8"/>
  <c r="CC61" i="8"/>
  <c r="CD61" i="8"/>
  <c r="CE61" i="8"/>
  <c r="CF61" i="8"/>
  <c r="CG61" i="8"/>
  <c r="CH61" i="8"/>
  <c r="CI61" i="8"/>
  <c r="CJ61" i="8"/>
  <c r="CK61" i="8"/>
  <c r="CL61" i="8"/>
  <c r="CM61" i="8"/>
  <c r="CN61" i="8"/>
  <c r="CO61" i="8"/>
  <c r="CP61" i="8"/>
  <c r="CQ61" i="8"/>
  <c r="CR61" i="8"/>
  <c r="CS61" i="8"/>
  <c r="CT61" i="8"/>
  <c r="CU61" i="8"/>
  <c r="CV61" i="8"/>
  <c r="CW61" i="8"/>
  <c r="CX61" i="8"/>
  <c r="CY61" i="8"/>
  <c r="CZ61" i="8"/>
  <c r="DA61" i="8"/>
  <c r="DB61" i="8"/>
  <c r="DC61" i="8"/>
  <c r="DD61" i="8"/>
  <c r="DE61" i="8"/>
  <c r="DF61" i="8"/>
  <c r="DG61" i="8"/>
  <c r="DH61" i="8"/>
  <c r="DI61" i="8"/>
  <c r="DJ61" i="8"/>
  <c r="DK61" i="8"/>
  <c r="DL61" i="8"/>
  <c r="DM61" i="8"/>
  <c r="DN61" i="8"/>
  <c r="DO61" i="8"/>
  <c r="DP61" i="8"/>
  <c r="DQ61" i="8"/>
  <c r="DR61" i="8"/>
  <c r="DS61" i="8"/>
  <c r="DT61" i="8"/>
  <c r="DU61" i="8"/>
  <c r="DV61" i="8"/>
  <c r="DW61" i="8"/>
  <c r="DX61" i="8"/>
  <c r="DY61" i="8"/>
  <c r="DZ61" i="8"/>
  <c r="EA61" i="8"/>
  <c r="EB61" i="8"/>
  <c r="EC61" i="8"/>
  <c r="ED61" i="8"/>
  <c r="EE61" i="8"/>
  <c r="EF61" i="8"/>
  <c r="EG61" i="8"/>
  <c r="EH61" i="8"/>
  <c r="EI61" i="8"/>
  <c r="EJ61" i="8"/>
  <c r="EK61" i="8"/>
  <c r="EL61" i="8"/>
  <c r="EM61" i="8"/>
  <c r="EN61" i="8"/>
  <c r="EO61" i="8"/>
  <c r="EP61" i="8"/>
  <c r="EQ61" i="8"/>
  <c r="ER61" i="8"/>
  <c r="ES61" i="8"/>
  <c r="ET61" i="8"/>
  <c r="EU61" i="8"/>
  <c r="EV61" i="8"/>
  <c r="EW61" i="8"/>
  <c r="EX61" i="8"/>
  <c r="EY61" i="8"/>
  <c r="EZ61" i="8"/>
  <c r="FA61" i="8"/>
  <c r="FB61" i="8"/>
  <c r="FC61" i="8"/>
  <c r="FD61" i="8"/>
  <c r="FE61" i="8"/>
  <c r="FF61" i="8"/>
  <c r="FG61" i="8"/>
  <c r="FH61" i="8"/>
  <c r="FI61" i="8"/>
  <c r="FJ61" i="8"/>
  <c r="FK61" i="8"/>
  <c r="FL61" i="8"/>
  <c r="FM61" i="8"/>
  <c r="FN61" i="8"/>
  <c r="FO61" i="8"/>
  <c r="FP61" i="8"/>
  <c r="FQ61" i="8"/>
  <c r="FR61" i="8"/>
  <c r="FS61" i="8"/>
  <c r="FT61" i="8"/>
  <c r="FU61" i="8"/>
  <c r="FV61" i="8"/>
  <c r="FW61" i="8"/>
  <c r="FX61" i="8"/>
  <c r="FY61" i="8"/>
  <c r="FZ61" i="8"/>
  <c r="GA61" i="8"/>
  <c r="GB61" i="8"/>
  <c r="GC61" i="8"/>
  <c r="GD61" i="8"/>
  <c r="GE61" i="8"/>
  <c r="GF61" i="8"/>
  <c r="GG61" i="8"/>
  <c r="GH61" i="8"/>
  <c r="GI61" i="8"/>
  <c r="GJ61" i="8"/>
  <c r="GK61" i="8"/>
  <c r="GL61" i="8"/>
  <c r="GM61" i="8"/>
  <c r="GN61" i="8"/>
  <c r="GO61" i="8"/>
  <c r="GP61" i="8"/>
  <c r="GQ61" i="8"/>
  <c r="GR61" i="8"/>
  <c r="GS61" i="8"/>
  <c r="GT61" i="8"/>
  <c r="GU61" i="8"/>
  <c r="GV61" i="8"/>
  <c r="GW61" i="8"/>
  <c r="GX61" i="8"/>
  <c r="GY61" i="8"/>
  <c r="GZ61" i="8"/>
  <c r="HA61" i="8"/>
  <c r="HB61" i="8"/>
  <c r="HC61" i="8"/>
  <c r="HD61" i="8"/>
  <c r="HE61" i="8"/>
  <c r="HF61" i="8"/>
  <c r="HG61" i="8"/>
  <c r="HH61" i="8"/>
  <c r="HI61" i="8"/>
  <c r="HJ61" i="8"/>
  <c r="HK61" i="8"/>
  <c r="HL61" i="8"/>
  <c r="HM61" i="8"/>
  <c r="HN61" i="8"/>
  <c r="HO61" i="8"/>
  <c r="HP61" i="8"/>
  <c r="HQ61" i="8"/>
  <c r="HR61" i="8"/>
  <c r="HS61" i="8"/>
  <c r="HT61" i="8"/>
  <c r="HU61" i="8"/>
  <c r="HV61" i="8"/>
  <c r="HW61" i="8"/>
  <c r="HX61" i="8"/>
  <c r="HY61" i="8"/>
  <c r="HZ61" i="8"/>
  <c r="IA61" i="8"/>
  <c r="IB61" i="8"/>
  <c r="IC61" i="8"/>
  <c r="ID61" i="8"/>
  <c r="IE61" i="8"/>
  <c r="IF61" i="8"/>
  <c r="IG61" i="8"/>
  <c r="IH61" i="8"/>
  <c r="II61" i="8"/>
  <c r="IJ61" i="8"/>
  <c r="IK61" i="8"/>
  <c r="IL61" i="8"/>
  <c r="IM61" i="8"/>
  <c r="IN61" i="8"/>
  <c r="IO61" i="8"/>
  <c r="IP61" i="8"/>
  <c r="IQ61" i="8"/>
  <c r="IR61" i="8"/>
  <c r="IS61" i="8"/>
  <c r="IT61" i="8"/>
  <c r="IU61" i="8"/>
  <c r="IV61" i="8"/>
  <c r="F62" i="8"/>
  <c r="G62" i="8"/>
  <c r="H62" i="8"/>
  <c r="I62" i="8"/>
  <c r="J62" i="8"/>
  <c r="K62" i="8"/>
  <c r="L62" i="8"/>
  <c r="M62" i="8"/>
  <c r="N62" i="8"/>
  <c r="O62" i="8"/>
  <c r="P62" i="8"/>
  <c r="Q62" i="8"/>
  <c r="R62" i="8"/>
  <c r="S62" i="8"/>
  <c r="T62" i="8"/>
  <c r="U62" i="8"/>
  <c r="V62" i="8"/>
  <c r="W62" i="8"/>
  <c r="X62" i="8"/>
  <c r="Y62" i="8"/>
  <c r="Z62" i="8"/>
  <c r="AA62" i="8"/>
  <c r="AB62" i="8"/>
  <c r="AC62" i="8"/>
  <c r="AD62" i="8"/>
  <c r="AE62" i="8"/>
  <c r="AF62" i="8"/>
  <c r="AG62" i="8"/>
  <c r="AH62" i="8"/>
  <c r="AI62" i="8"/>
  <c r="AJ62" i="8"/>
  <c r="AK62" i="8"/>
  <c r="AL62" i="8"/>
  <c r="AM62" i="8"/>
  <c r="AN62" i="8"/>
  <c r="AO62" i="8"/>
  <c r="AP62" i="8"/>
  <c r="AQ62" i="8"/>
  <c r="AR62" i="8"/>
  <c r="AS62" i="8"/>
  <c r="AT62" i="8"/>
  <c r="AU62" i="8"/>
  <c r="AV62" i="8"/>
  <c r="AW62" i="8"/>
  <c r="AX62" i="8"/>
  <c r="AY62" i="8"/>
  <c r="AZ62" i="8"/>
  <c r="BA62" i="8"/>
  <c r="BB62" i="8"/>
  <c r="BC62" i="8"/>
  <c r="BD62" i="8"/>
  <c r="BE62" i="8"/>
  <c r="BF62" i="8"/>
  <c r="BG62" i="8"/>
  <c r="BH62" i="8"/>
  <c r="BI62" i="8"/>
  <c r="BJ62" i="8"/>
  <c r="BK62" i="8"/>
  <c r="BL62" i="8"/>
  <c r="BM62" i="8"/>
  <c r="BN62" i="8"/>
  <c r="BO62" i="8"/>
  <c r="BP62" i="8"/>
  <c r="BQ62" i="8"/>
  <c r="BR62" i="8"/>
  <c r="BS62" i="8"/>
  <c r="BT62" i="8"/>
  <c r="BU62" i="8"/>
  <c r="BV62" i="8"/>
  <c r="BW62" i="8"/>
  <c r="BX62" i="8"/>
  <c r="BY62" i="8"/>
  <c r="BZ62" i="8"/>
  <c r="CA62" i="8"/>
  <c r="CB62" i="8"/>
  <c r="CC62" i="8"/>
  <c r="CD62" i="8"/>
  <c r="CE62" i="8"/>
  <c r="CF62" i="8"/>
  <c r="CG62" i="8"/>
  <c r="CH62" i="8"/>
  <c r="CI62" i="8"/>
  <c r="CJ62" i="8"/>
  <c r="CK62" i="8"/>
  <c r="CL62" i="8"/>
  <c r="CM62" i="8"/>
  <c r="CN62" i="8"/>
  <c r="CO62" i="8"/>
  <c r="CP62" i="8"/>
  <c r="CQ62" i="8"/>
  <c r="CR62" i="8"/>
  <c r="CS62" i="8"/>
  <c r="CT62" i="8"/>
  <c r="CU62" i="8"/>
  <c r="CV62" i="8"/>
  <c r="CW62" i="8"/>
  <c r="CX62" i="8"/>
  <c r="CY62" i="8"/>
  <c r="CZ62" i="8"/>
  <c r="DA62" i="8"/>
  <c r="DB62" i="8"/>
  <c r="DC62" i="8"/>
  <c r="DD62" i="8"/>
  <c r="DE62" i="8"/>
  <c r="DF62" i="8"/>
  <c r="DG62" i="8"/>
  <c r="DH62" i="8"/>
  <c r="DI62" i="8"/>
  <c r="DJ62" i="8"/>
  <c r="DK62" i="8"/>
  <c r="DL62" i="8"/>
  <c r="DM62" i="8"/>
  <c r="DN62" i="8"/>
  <c r="DO62" i="8"/>
  <c r="DP62" i="8"/>
  <c r="DQ62" i="8"/>
  <c r="DR62" i="8"/>
  <c r="DS62" i="8"/>
  <c r="DT62" i="8"/>
  <c r="DU62" i="8"/>
  <c r="DV62" i="8"/>
  <c r="DW62" i="8"/>
  <c r="DX62" i="8"/>
  <c r="DY62" i="8"/>
  <c r="DZ62" i="8"/>
  <c r="EA62" i="8"/>
  <c r="EB62" i="8"/>
  <c r="EC62" i="8"/>
  <c r="ED62" i="8"/>
  <c r="EE62" i="8"/>
  <c r="EF62" i="8"/>
  <c r="EG62" i="8"/>
  <c r="EH62" i="8"/>
  <c r="EI62" i="8"/>
  <c r="EJ62" i="8"/>
  <c r="EK62" i="8"/>
  <c r="EL62" i="8"/>
  <c r="EM62" i="8"/>
  <c r="EN62" i="8"/>
  <c r="EO62" i="8"/>
  <c r="EP62" i="8"/>
  <c r="EQ62" i="8"/>
  <c r="ER62" i="8"/>
  <c r="ES62" i="8"/>
  <c r="ET62" i="8"/>
  <c r="EU62" i="8"/>
  <c r="EV62" i="8"/>
  <c r="EW62" i="8"/>
  <c r="EX62" i="8"/>
  <c r="EY62" i="8"/>
  <c r="EZ62" i="8"/>
  <c r="FA62" i="8"/>
  <c r="FB62" i="8"/>
  <c r="FC62" i="8"/>
  <c r="FD62" i="8"/>
  <c r="FE62" i="8"/>
  <c r="FF62" i="8"/>
  <c r="FG62" i="8"/>
  <c r="FH62" i="8"/>
  <c r="FI62" i="8"/>
  <c r="FJ62" i="8"/>
  <c r="FK62" i="8"/>
  <c r="FL62" i="8"/>
  <c r="FM62" i="8"/>
  <c r="FN62" i="8"/>
  <c r="FO62" i="8"/>
  <c r="FP62" i="8"/>
  <c r="FQ62" i="8"/>
  <c r="FR62" i="8"/>
  <c r="FS62" i="8"/>
  <c r="FT62" i="8"/>
  <c r="FU62" i="8"/>
  <c r="FV62" i="8"/>
  <c r="FW62" i="8"/>
  <c r="FX62" i="8"/>
  <c r="FY62" i="8"/>
  <c r="FZ62" i="8"/>
  <c r="GA62" i="8"/>
  <c r="GB62" i="8"/>
  <c r="GC62" i="8"/>
  <c r="GD62" i="8"/>
  <c r="GE62" i="8"/>
  <c r="GF62" i="8"/>
  <c r="GG62" i="8"/>
  <c r="GH62" i="8"/>
  <c r="GI62" i="8"/>
  <c r="GJ62" i="8"/>
  <c r="GK62" i="8"/>
  <c r="GL62" i="8"/>
  <c r="GM62" i="8"/>
  <c r="GN62" i="8"/>
  <c r="GO62" i="8"/>
  <c r="GP62" i="8"/>
  <c r="GQ62" i="8"/>
  <c r="GR62" i="8"/>
  <c r="GS62" i="8"/>
  <c r="GT62" i="8"/>
  <c r="GU62" i="8"/>
  <c r="GV62" i="8"/>
  <c r="GW62" i="8"/>
  <c r="GX62" i="8"/>
  <c r="GY62" i="8"/>
  <c r="GZ62" i="8"/>
  <c r="HA62" i="8"/>
  <c r="HB62" i="8"/>
  <c r="HC62" i="8"/>
  <c r="HD62" i="8"/>
  <c r="HE62" i="8"/>
  <c r="HF62" i="8"/>
  <c r="HG62" i="8"/>
  <c r="HH62" i="8"/>
  <c r="HI62" i="8"/>
  <c r="HJ62" i="8"/>
  <c r="HK62" i="8"/>
  <c r="HL62" i="8"/>
  <c r="HM62" i="8"/>
  <c r="HN62" i="8"/>
  <c r="HO62" i="8"/>
  <c r="HP62" i="8"/>
  <c r="HQ62" i="8"/>
  <c r="HR62" i="8"/>
  <c r="HS62" i="8"/>
  <c r="HT62" i="8"/>
  <c r="HU62" i="8"/>
  <c r="HV62" i="8"/>
  <c r="HW62" i="8"/>
  <c r="HX62" i="8"/>
  <c r="HY62" i="8"/>
  <c r="HZ62" i="8"/>
  <c r="IA62" i="8"/>
  <c r="IB62" i="8"/>
  <c r="IC62" i="8"/>
  <c r="ID62" i="8"/>
  <c r="IE62" i="8"/>
  <c r="IF62" i="8"/>
  <c r="IG62" i="8"/>
  <c r="IH62" i="8"/>
  <c r="II62" i="8"/>
  <c r="IJ62" i="8"/>
  <c r="IK62" i="8"/>
  <c r="IL62" i="8"/>
  <c r="IM62" i="8"/>
  <c r="IN62" i="8"/>
  <c r="IO62" i="8"/>
  <c r="IP62" i="8"/>
  <c r="IQ62" i="8"/>
  <c r="IR62" i="8"/>
  <c r="IS62" i="8"/>
  <c r="IT62" i="8"/>
  <c r="IU62" i="8"/>
  <c r="IV62" i="8"/>
  <c r="F63" i="8"/>
  <c r="G63" i="8"/>
  <c r="H63" i="8"/>
  <c r="I63" i="8"/>
  <c r="J63" i="8"/>
  <c r="K63" i="8"/>
  <c r="L63" i="8"/>
  <c r="M63" i="8"/>
  <c r="N63" i="8"/>
  <c r="O63" i="8"/>
  <c r="P63" i="8"/>
  <c r="Q63" i="8"/>
  <c r="R63" i="8"/>
  <c r="S63" i="8"/>
  <c r="T63" i="8"/>
  <c r="U63" i="8"/>
  <c r="V63" i="8"/>
  <c r="W63" i="8"/>
  <c r="X63" i="8"/>
  <c r="Y63" i="8"/>
  <c r="Z63" i="8"/>
  <c r="AA63" i="8"/>
  <c r="AB63" i="8"/>
  <c r="AC63" i="8"/>
  <c r="AD63" i="8"/>
  <c r="AE63" i="8"/>
  <c r="AF63" i="8"/>
  <c r="AG63" i="8"/>
  <c r="AH63" i="8"/>
  <c r="AI63" i="8"/>
  <c r="AJ63" i="8"/>
  <c r="AK63" i="8"/>
  <c r="AL63" i="8"/>
  <c r="AM63" i="8"/>
  <c r="AN63" i="8"/>
  <c r="AO63" i="8"/>
  <c r="AP63" i="8"/>
  <c r="AQ63" i="8"/>
  <c r="AR63" i="8"/>
  <c r="AS63" i="8"/>
  <c r="AT63" i="8"/>
  <c r="AU63" i="8"/>
  <c r="AV63" i="8"/>
  <c r="AW63" i="8"/>
  <c r="AX63" i="8"/>
  <c r="AY63" i="8"/>
  <c r="AZ63" i="8"/>
  <c r="BA63" i="8"/>
  <c r="BB63" i="8"/>
  <c r="BC63" i="8"/>
  <c r="BD63" i="8"/>
  <c r="BE63" i="8"/>
  <c r="BF63" i="8"/>
  <c r="BG63" i="8"/>
  <c r="BH63" i="8"/>
  <c r="BI63" i="8"/>
  <c r="BJ63" i="8"/>
  <c r="BK63" i="8"/>
  <c r="BL63" i="8"/>
  <c r="BM63" i="8"/>
  <c r="BN63" i="8"/>
  <c r="BO63" i="8"/>
  <c r="BP63" i="8"/>
  <c r="BQ63" i="8"/>
  <c r="BR63" i="8"/>
  <c r="BS63" i="8"/>
  <c r="BT63" i="8"/>
  <c r="BU63" i="8"/>
  <c r="BV63" i="8"/>
  <c r="BW63" i="8"/>
  <c r="BX63" i="8"/>
  <c r="BY63" i="8"/>
  <c r="BZ63" i="8"/>
  <c r="CA63" i="8"/>
  <c r="CB63" i="8"/>
  <c r="CC63" i="8"/>
  <c r="CD63" i="8"/>
  <c r="CE63" i="8"/>
  <c r="CF63" i="8"/>
  <c r="CG63" i="8"/>
  <c r="CH63" i="8"/>
  <c r="CI63" i="8"/>
  <c r="CJ63" i="8"/>
  <c r="CK63" i="8"/>
  <c r="CL63" i="8"/>
  <c r="CM63" i="8"/>
  <c r="CN63" i="8"/>
  <c r="CO63" i="8"/>
  <c r="CP63" i="8"/>
  <c r="CQ63" i="8"/>
  <c r="CR63" i="8"/>
  <c r="CS63" i="8"/>
  <c r="CT63" i="8"/>
  <c r="CU63" i="8"/>
  <c r="CV63" i="8"/>
  <c r="CW63" i="8"/>
  <c r="CX63" i="8"/>
  <c r="CY63" i="8"/>
  <c r="CZ63" i="8"/>
  <c r="DA63" i="8"/>
  <c r="DB63" i="8"/>
  <c r="DC63" i="8"/>
  <c r="DD63" i="8"/>
  <c r="DE63" i="8"/>
  <c r="DF63" i="8"/>
  <c r="DG63" i="8"/>
  <c r="DH63" i="8"/>
  <c r="DI63" i="8"/>
  <c r="DJ63" i="8"/>
  <c r="DK63" i="8"/>
  <c r="DL63" i="8"/>
  <c r="DM63" i="8"/>
  <c r="DN63" i="8"/>
  <c r="DO63" i="8"/>
  <c r="DP63" i="8"/>
  <c r="DQ63" i="8"/>
  <c r="DR63" i="8"/>
  <c r="DS63" i="8"/>
  <c r="DT63" i="8"/>
  <c r="DU63" i="8"/>
  <c r="DV63" i="8"/>
  <c r="DW63" i="8"/>
  <c r="DX63" i="8"/>
  <c r="DY63" i="8"/>
  <c r="DZ63" i="8"/>
  <c r="EA63" i="8"/>
  <c r="EB63" i="8"/>
  <c r="EC63" i="8"/>
  <c r="ED63" i="8"/>
  <c r="EE63" i="8"/>
  <c r="EF63" i="8"/>
  <c r="EG63" i="8"/>
  <c r="EH63" i="8"/>
  <c r="EI63" i="8"/>
  <c r="EJ63" i="8"/>
  <c r="EK63" i="8"/>
  <c r="EL63" i="8"/>
  <c r="EM63" i="8"/>
  <c r="EN63" i="8"/>
  <c r="EO63" i="8"/>
  <c r="EP63" i="8"/>
  <c r="EQ63" i="8"/>
  <c r="ER63" i="8"/>
  <c r="ES63" i="8"/>
  <c r="ET63" i="8"/>
  <c r="EU63" i="8"/>
  <c r="EV63" i="8"/>
  <c r="EW63" i="8"/>
  <c r="EX63" i="8"/>
  <c r="EY63" i="8"/>
  <c r="EZ63" i="8"/>
  <c r="FA63" i="8"/>
  <c r="FB63" i="8"/>
  <c r="FC63" i="8"/>
  <c r="FD63" i="8"/>
  <c r="FE63" i="8"/>
  <c r="FF63" i="8"/>
  <c r="FG63" i="8"/>
  <c r="FH63" i="8"/>
  <c r="FI63" i="8"/>
  <c r="FJ63" i="8"/>
  <c r="FK63" i="8"/>
  <c r="FL63" i="8"/>
  <c r="FM63" i="8"/>
  <c r="FN63" i="8"/>
  <c r="FO63" i="8"/>
  <c r="FP63" i="8"/>
  <c r="FQ63" i="8"/>
  <c r="FR63" i="8"/>
  <c r="FS63" i="8"/>
  <c r="FT63" i="8"/>
  <c r="FU63" i="8"/>
  <c r="FV63" i="8"/>
  <c r="FW63" i="8"/>
  <c r="FX63" i="8"/>
  <c r="FY63" i="8"/>
  <c r="FZ63" i="8"/>
  <c r="GA63" i="8"/>
  <c r="GB63" i="8"/>
  <c r="GC63" i="8"/>
  <c r="GD63" i="8"/>
  <c r="GE63" i="8"/>
  <c r="GF63" i="8"/>
  <c r="GG63" i="8"/>
  <c r="GH63" i="8"/>
  <c r="GI63" i="8"/>
  <c r="GJ63" i="8"/>
  <c r="GK63" i="8"/>
  <c r="GL63" i="8"/>
  <c r="GM63" i="8"/>
  <c r="GN63" i="8"/>
  <c r="GO63" i="8"/>
  <c r="GP63" i="8"/>
  <c r="GQ63" i="8"/>
  <c r="GR63" i="8"/>
  <c r="GS63" i="8"/>
  <c r="GT63" i="8"/>
  <c r="GU63" i="8"/>
  <c r="GV63" i="8"/>
  <c r="GW63" i="8"/>
  <c r="GX63" i="8"/>
  <c r="GY63" i="8"/>
  <c r="GZ63" i="8"/>
  <c r="HA63" i="8"/>
  <c r="HB63" i="8"/>
  <c r="HC63" i="8"/>
  <c r="HD63" i="8"/>
  <c r="HE63" i="8"/>
  <c r="HF63" i="8"/>
  <c r="HG63" i="8"/>
  <c r="HH63" i="8"/>
  <c r="HI63" i="8"/>
  <c r="HJ63" i="8"/>
  <c r="HK63" i="8"/>
  <c r="HL63" i="8"/>
  <c r="HM63" i="8"/>
  <c r="HN63" i="8"/>
  <c r="HO63" i="8"/>
  <c r="HP63" i="8"/>
  <c r="HQ63" i="8"/>
  <c r="HR63" i="8"/>
  <c r="HS63" i="8"/>
  <c r="HT63" i="8"/>
  <c r="HU63" i="8"/>
  <c r="HV63" i="8"/>
  <c r="HW63" i="8"/>
  <c r="HX63" i="8"/>
  <c r="HY63" i="8"/>
  <c r="HZ63" i="8"/>
  <c r="IA63" i="8"/>
  <c r="IB63" i="8"/>
  <c r="IC63" i="8"/>
  <c r="ID63" i="8"/>
  <c r="IE63" i="8"/>
  <c r="IF63" i="8"/>
  <c r="IG63" i="8"/>
  <c r="IH63" i="8"/>
  <c r="II63" i="8"/>
  <c r="IJ63" i="8"/>
  <c r="IK63" i="8"/>
  <c r="IL63" i="8"/>
  <c r="IM63" i="8"/>
  <c r="IN63" i="8"/>
  <c r="IO63" i="8"/>
  <c r="IP63" i="8"/>
  <c r="IQ63" i="8"/>
  <c r="IR63" i="8"/>
  <c r="IS63" i="8"/>
  <c r="IT63" i="8"/>
  <c r="IU63" i="8"/>
  <c r="IV63" i="8"/>
  <c r="F64" i="8"/>
  <c r="G64" i="8"/>
  <c r="H64" i="8"/>
  <c r="I64" i="8"/>
  <c r="J64" i="8"/>
  <c r="K64" i="8"/>
  <c r="L64" i="8"/>
  <c r="M64" i="8"/>
  <c r="N64" i="8"/>
  <c r="O64" i="8"/>
  <c r="P64" i="8"/>
  <c r="Q64" i="8"/>
  <c r="R64" i="8"/>
  <c r="S64" i="8"/>
  <c r="T64" i="8"/>
  <c r="U64" i="8"/>
  <c r="V64" i="8"/>
  <c r="W64" i="8"/>
  <c r="X64" i="8"/>
  <c r="Y64" i="8"/>
  <c r="Z64" i="8"/>
  <c r="AA64" i="8"/>
  <c r="AB64" i="8"/>
  <c r="AC64" i="8"/>
  <c r="AD64" i="8"/>
  <c r="AE64" i="8"/>
  <c r="AF64" i="8"/>
  <c r="AG64" i="8"/>
  <c r="AH64" i="8"/>
  <c r="AI64" i="8"/>
  <c r="AJ64" i="8"/>
  <c r="AK64" i="8"/>
  <c r="AL64" i="8"/>
  <c r="AM64" i="8"/>
  <c r="AN64" i="8"/>
  <c r="AO64" i="8"/>
  <c r="AP64" i="8"/>
  <c r="AQ64" i="8"/>
  <c r="AR64" i="8"/>
  <c r="AS64" i="8"/>
  <c r="AT64" i="8"/>
  <c r="AU64" i="8"/>
  <c r="AV64" i="8"/>
  <c r="AW64" i="8"/>
  <c r="AX64" i="8"/>
  <c r="AY64" i="8"/>
  <c r="AZ64" i="8"/>
  <c r="BA64" i="8"/>
  <c r="BB64" i="8"/>
  <c r="BC64" i="8"/>
  <c r="BD64" i="8"/>
  <c r="BE64" i="8"/>
  <c r="BF64" i="8"/>
  <c r="BG64" i="8"/>
  <c r="BH64" i="8"/>
  <c r="BI64" i="8"/>
  <c r="BJ64" i="8"/>
  <c r="BK64" i="8"/>
  <c r="BL64" i="8"/>
  <c r="BM64" i="8"/>
  <c r="BN64" i="8"/>
  <c r="BO64" i="8"/>
  <c r="BP64" i="8"/>
  <c r="BQ64" i="8"/>
  <c r="BR64" i="8"/>
  <c r="BS64" i="8"/>
  <c r="BT64" i="8"/>
  <c r="BU64" i="8"/>
  <c r="BV64" i="8"/>
  <c r="BW64" i="8"/>
  <c r="BX64" i="8"/>
  <c r="BY64" i="8"/>
  <c r="BZ64" i="8"/>
  <c r="CA64" i="8"/>
  <c r="CB64" i="8"/>
  <c r="CC64" i="8"/>
  <c r="CD64" i="8"/>
  <c r="CE64" i="8"/>
  <c r="CF64" i="8"/>
  <c r="CG64" i="8"/>
  <c r="CH64" i="8"/>
  <c r="CI64" i="8"/>
  <c r="CJ64" i="8"/>
  <c r="CK64" i="8"/>
  <c r="CL64" i="8"/>
  <c r="CM64" i="8"/>
  <c r="CN64" i="8"/>
  <c r="CO64" i="8"/>
  <c r="CP64" i="8"/>
  <c r="CQ64" i="8"/>
  <c r="CR64" i="8"/>
  <c r="CS64" i="8"/>
  <c r="CT64" i="8"/>
  <c r="CU64" i="8"/>
  <c r="CV64" i="8"/>
  <c r="CW64" i="8"/>
  <c r="CX64" i="8"/>
  <c r="CY64" i="8"/>
  <c r="CZ64" i="8"/>
  <c r="DA64" i="8"/>
  <c r="DB64" i="8"/>
  <c r="DC64" i="8"/>
  <c r="DD64" i="8"/>
  <c r="DE64" i="8"/>
  <c r="DF64" i="8"/>
  <c r="DG64" i="8"/>
  <c r="DH64" i="8"/>
  <c r="DI64" i="8"/>
  <c r="DJ64" i="8"/>
  <c r="DK64" i="8"/>
  <c r="DL64" i="8"/>
  <c r="DM64" i="8"/>
  <c r="DN64" i="8"/>
  <c r="DO64" i="8"/>
  <c r="DP64" i="8"/>
  <c r="DQ64" i="8"/>
  <c r="DR64" i="8"/>
  <c r="DS64" i="8"/>
  <c r="DT64" i="8"/>
  <c r="DU64" i="8"/>
  <c r="DV64" i="8"/>
  <c r="DW64" i="8"/>
  <c r="DX64" i="8"/>
  <c r="DY64" i="8"/>
  <c r="DZ64" i="8"/>
  <c r="EA64" i="8"/>
  <c r="EB64" i="8"/>
  <c r="EC64" i="8"/>
  <c r="ED64" i="8"/>
  <c r="EE64" i="8"/>
  <c r="EF64" i="8"/>
  <c r="EG64" i="8"/>
  <c r="EH64" i="8"/>
  <c r="EI64" i="8"/>
  <c r="EJ64" i="8"/>
  <c r="EK64" i="8"/>
  <c r="EL64" i="8"/>
  <c r="EM64" i="8"/>
  <c r="EN64" i="8"/>
  <c r="EO64" i="8"/>
  <c r="EP64" i="8"/>
  <c r="EQ64" i="8"/>
  <c r="ER64" i="8"/>
  <c r="ES64" i="8"/>
  <c r="ET64" i="8"/>
  <c r="EU64" i="8"/>
  <c r="EV64" i="8"/>
  <c r="EW64" i="8"/>
  <c r="EX64" i="8"/>
  <c r="EY64" i="8"/>
  <c r="EZ64" i="8"/>
  <c r="FA64" i="8"/>
  <c r="FB64" i="8"/>
  <c r="FC64" i="8"/>
  <c r="FD64" i="8"/>
  <c r="FE64" i="8"/>
  <c r="FF64" i="8"/>
  <c r="FG64" i="8"/>
  <c r="FH64" i="8"/>
  <c r="FI64" i="8"/>
  <c r="FJ64" i="8"/>
  <c r="FK64" i="8"/>
  <c r="FL64" i="8"/>
  <c r="FM64" i="8"/>
  <c r="FN64" i="8"/>
  <c r="FO64" i="8"/>
  <c r="FP64" i="8"/>
  <c r="FQ64" i="8"/>
  <c r="FR64" i="8"/>
  <c r="FS64" i="8"/>
  <c r="FT64" i="8"/>
  <c r="FU64" i="8"/>
  <c r="FV64" i="8"/>
  <c r="FW64" i="8"/>
  <c r="FX64" i="8"/>
  <c r="FY64" i="8"/>
  <c r="FZ64" i="8"/>
  <c r="GA64" i="8"/>
  <c r="GB64" i="8"/>
  <c r="GC64" i="8"/>
  <c r="GD64" i="8"/>
  <c r="GE64" i="8"/>
  <c r="GF64" i="8"/>
  <c r="GG64" i="8"/>
  <c r="GH64" i="8"/>
  <c r="GI64" i="8"/>
  <c r="GJ64" i="8"/>
  <c r="GK64" i="8"/>
  <c r="GL64" i="8"/>
  <c r="GM64" i="8"/>
  <c r="GN64" i="8"/>
  <c r="GO64" i="8"/>
  <c r="GP64" i="8"/>
  <c r="GQ64" i="8"/>
  <c r="GR64" i="8"/>
  <c r="GS64" i="8"/>
  <c r="GT64" i="8"/>
  <c r="GU64" i="8"/>
  <c r="GV64" i="8"/>
  <c r="GW64" i="8"/>
  <c r="GX64" i="8"/>
  <c r="GY64" i="8"/>
  <c r="GZ64" i="8"/>
  <c r="HA64" i="8"/>
  <c r="HB64" i="8"/>
  <c r="HC64" i="8"/>
  <c r="HD64" i="8"/>
  <c r="HE64" i="8"/>
  <c r="HF64" i="8"/>
  <c r="HG64" i="8"/>
  <c r="HH64" i="8"/>
  <c r="HI64" i="8"/>
  <c r="HJ64" i="8"/>
  <c r="HK64" i="8"/>
  <c r="HL64" i="8"/>
  <c r="HM64" i="8"/>
  <c r="HN64" i="8"/>
  <c r="HO64" i="8"/>
  <c r="HP64" i="8"/>
  <c r="HQ64" i="8"/>
  <c r="HR64" i="8"/>
  <c r="HS64" i="8"/>
  <c r="HT64" i="8"/>
  <c r="HU64" i="8"/>
  <c r="HV64" i="8"/>
  <c r="HW64" i="8"/>
  <c r="HX64" i="8"/>
  <c r="HY64" i="8"/>
  <c r="HZ64" i="8"/>
  <c r="IA64" i="8"/>
  <c r="IB64" i="8"/>
  <c r="IC64" i="8"/>
  <c r="ID64" i="8"/>
  <c r="IE64" i="8"/>
  <c r="IF64" i="8"/>
  <c r="IG64" i="8"/>
  <c r="IH64" i="8"/>
  <c r="II64" i="8"/>
  <c r="IJ64" i="8"/>
  <c r="IK64" i="8"/>
  <c r="IL64" i="8"/>
  <c r="IM64" i="8"/>
  <c r="IN64" i="8"/>
  <c r="IO64" i="8"/>
  <c r="IP64" i="8"/>
  <c r="IQ64" i="8"/>
  <c r="IR64" i="8"/>
  <c r="IS64" i="8"/>
  <c r="IT64" i="8"/>
  <c r="IU64" i="8"/>
  <c r="IV64" i="8"/>
  <c r="F65" i="8"/>
  <c r="G65" i="8"/>
  <c r="H65" i="8"/>
  <c r="I65" i="8"/>
  <c r="J65" i="8"/>
  <c r="K65" i="8"/>
  <c r="L65" i="8"/>
  <c r="M65" i="8"/>
  <c r="N65" i="8"/>
  <c r="O65" i="8"/>
  <c r="P65" i="8"/>
  <c r="Q65" i="8"/>
  <c r="R65" i="8"/>
  <c r="S65" i="8"/>
  <c r="T65" i="8"/>
  <c r="U65" i="8"/>
  <c r="V65" i="8"/>
  <c r="W65" i="8"/>
  <c r="X65" i="8"/>
  <c r="Y65" i="8"/>
  <c r="Z65" i="8"/>
  <c r="AA65" i="8"/>
  <c r="AB65" i="8"/>
  <c r="AC65" i="8"/>
  <c r="AD65" i="8"/>
  <c r="AE65" i="8"/>
  <c r="AF65" i="8"/>
  <c r="AG65" i="8"/>
  <c r="AH65" i="8"/>
  <c r="AI65" i="8"/>
  <c r="AJ65" i="8"/>
  <c r="AK65" i="8"/>
  <c r="AL65" i="8"/>
  <c r="AM65" i="8"/>
  <c r="AN65" i="8"/>
  <c r="AO65" i="8"/>
  <c r="AP65" i="8"/>
  <c r="AQ65" i="8"/>
  <c r="AR65" i="8"/>
  <c r="AS65" i="8"/>
  <c r="AT65" i="8"/>
  <c r="AU65" i="8"/>
  <c r="AV65" i="8"/>
  <c r="AW65" i="8"/>
  <c r="AX65" i="8"/>
  <c r="AY65" i="8"/>
  <c r="AZ65" i="8"/>
  <c r="BA65" i="8"/>
  <c r="BB65" i="8"/>
  <c r="BC65" i="8"/>
  <c r="BD65" i="8"/>
  <c r="BE65" i="8"/>
  <c r="BF65" i="8"/>
  <c r="BG65" i="8"/>
  <c r="BH65" i="8"/>
  <c r="BI65" i="8"/>
  <c r="BJ65" i="8"/>
  <c r="BK65" i="8"/>
  <c r="BL65" i="8"/>
  <c r="BM65" i="8"/>
  <c r="BN65" i="8"/>
  <c r="BO65" i="8"/>
  <c r="BP65" i="8"/>
  <c r="BQ65" i="8"/>
  <c r="BR65" i="8"/>
  <c r="BS65" i="8"/>
  <c r="BT65" i="8"/>
  <c r="BU65" i="8"/>
  <c r="BV65" i="8"/>
  <c r="BW65" i="8"/>
  <c r="BX65" i="8"/>
  <c r="BY65" i="8"/>
  <c r="BZ65" i="8"/>
  <c r="CA65" i="8"/>
  <c r="CB65" i="8"/>
  <c r="CC65" i="8"/>
  <c r="CD65" i="8"/>
  <c r="CE65" i="8"/>
  <c r="CF65" i="8"/>
  <c r="CG65" i="8"/>
  <c r="CH65" i="8"/>
  <c r="CI65" i="8"/>
  <c r="CJ65" i="8"/>
  <c r="CK65" i="8"/>
  <c r="CL65" i="8"/>
  <c r="CM65" i="8"/>
  <c r="CN65" i="8"/>
  <c r="CO65" i="8"/>
  <c r="CP65" i="8"/>
  <c r="CQ65" i="8"/>
  <c r="CR65" i="8"/>
  <c r="CS65" i="8"/>
  <c r="CT65" i="8"/>
  <c r="CU65" i="8"/>
  <c r="CV65" i="8"/>
  <c r="CW65" i="8"/>
  <c r="CX65" i="8"/>
  <c r="CY65" i="8"/>
  <c r="CZ65" i="8"/>
  <c r="DA65" i="8"/>
  <c r="DB65" i="8"/>
  <c r="DC65" i="8"/>
  <c r="DD65" i="8"/>
  <c r="DE65" i="8"/>
  <c r="DF65" i="8"/>
  <c r="DG65" i="8"/>
  <c r="DH65" i="8"/>
  <c r="DI65" i="8"/>
  <c r="DJ65" i="8"/>
  <c r="DK65" i="8"/>
  <c r="DL65" i="8"/>
  <c r="DM65" i="8"/>
  <c r="DN65" i="8"/>
  <c r="DO65" i="8"/>
  <c r="DP65" i="8"/>
  <c r="DQ65" i="8"/>
  <c r="DR65" i="8"/>
  <c r="DS65" i="8"/>
  <c r="DT65" i="8"/>
  <c r="DU65" i="8"/>
  <c r="DV65" i="8"/>
  <c r="DW65" i="8"/>
  <c r="DX65" i="8"/>
  <c r="DY65" i="8"/>
  <c r="DZ65" i="8"/>
  <c r="EA65" i="8"/>
  <c r="EB65" i="8"/>
  <c r="EC65" i="8"/>
  <c r="ED65" i="8"/>
  <c r="EE65" i="8"/>
  <c r="EF65" i="8"/>
  <c r="EG65" i="8"/>
  <c r="EH65" i="8"/>
  <c r="EI65" i="8"/>
  <c r="EJ65" i="8"/>
  <c r="EK65" i="8"/>
  <c r="EL65" i="8"/>
  <c r="EM65" i="8"/>
  <c r="EN65" i="8"/>
  <c r="EO65" i="8"/>
  <c r="EP65" i="8"/>
  <c r="EQ65" i="8"/>
  <c r="ER65" i="8"/>
  <c r="ES65" i="8"/>
  <c r="ET65" i="8"/>
  <c r="EU65" i="8"/>
  <c r="EV65" i="8"/>
  <c r="EW65" i="8"/>
  <c r="EX65" i="8"/>
  <c r="EY65" i="8"/>
  <c r="EZ65" i="8"/>
  <c r="FA65" i="8"/>
  <c r="FB65" i="8"/>
  <c r="FC65" i="8"/>
  <c r="FD65" i="8"/>
  <c r="FE65" i="8"/>
  <c r="FF65" i="8"/>
  <c r="FG65" i="8"/>
  <c r="FH65" i="8"/>
  <c r="FI65" i="8"/>
  <c r="FJ65" i="8"/>
  <c r="FK65" i="8"/>
  <c r="FL65" i="8"/>
  <c r="FM65" i="8"/>
  <c r="FN65" i="8"/>
  <c r="FO65" i="8"/>
  <c r="FP65" i="8"/>
  <c r="FQ65" i="8"/>
  <c r="FR65" i="8"/>
  <c r="FS65" i="8"/>
  <c r="FT65" i="8"/>
  <c r="FU65" i="8"/>
  <c r="FV65" i="8"/>
  <c r="FW65" i="8"/>
  <c r="FX65" i="8"/>
  <c r="FY65" i="8"/>
  <c r="FZ65" i="8"/>
  <c r="GA65" i="8"/>
  <c r="GB65" i="8"/>
  <c r="GC65" i="8"/>
  <c r="GD65" i="8"/>
  <c r="GE65" i="8"/>
  <c r="GF65" i="8"/>
  <c r="GG65" i="8"/>
  <c r="GH65" i="8"/>
  <c r="GI65" i="8"/>
  <c r="GJ65" i="8"/>
  <c r="GK65" i="8"/>
  <c r="GL65" i="8"/>
  <c r="GM65" i="8"/>
  <c r="GN65" i="8"/>
  <c r="GO65" i="8"/>
  <c r="GP65" i="8"/>
  <c r="GQ65" i="8"/>
  <c r="GR65" i="8"/>
  <c r="GS65" i="8"/>
  <c r="GT65" i="8"/>
  <c r="GU65" i="8"/>
  <c r="GV65" i="8"/>
  <c r="GW65" i="8"/>
  <c r="GX65" i="8"/>
  <c r="GY65" i="8"/>
  <c r="GZ65" i="8"/>
  <c r="HA65" i="8"/>
  <c r="HB65" i="8"/>
  <c r="HC65" i="8"/>
  <c r="HD65" i="8"/>
  <c r="HE65" i="8"/>
  <c r="HF65" i="8"/>
  <c r="HG65" i="8"/>
  <c r="HH65" i="8"/>
  <c r="HI65" i="8"/>
  <c r="HJ65" i="8"/>
  <c r="HK65" i="8"/>
  <c r="HL65" i="8"/>
  <c r="HM65" i="8"/>
  <c r="HN65" i="8"/>
  <c r="HO65" i="8"/>
  <c r="HP65" i="8"/>
  <c r="HQ65" i="8"/>
  <c r="HR65" i="8"/>
  <c r="HS65" i="8"/>
  <c r="HT65" i="8"/>
  <c r="HU65" i="8"/>
  <c r="HV65" i="8"/>
  <c r="HW65" i="8"/>
  <c r="HX65" i="8"/>
  <c r="HY65" i="8"/>
  <c r="HZ65" i="8"/>
  <c r="IA65" i="8"/>
  <c r="IB65" i="8"/>
  <c r="IC65" i="8"/>
  <c r="ID65" i="8"/>
  <c r="IE65" i="8"/>
  <c r="IF65" i="8"/>
  <c r="IG65" i="8"/>
  <c r="IH65" i="8"/>
  <c r="II65" i="8"/>
  <c r="IJ65" i="8"/>
  <c r="IK65" i="8"/>
  <c r="IL65" i="8"/>
  <c r="IM65" i="8"/>
  <c r="IN65" i="8"/>
  <c r="IO65" i="8"/>
  <c r="IP65" i="8"/>
  <c r="IQ65" i="8"/>
  <c r="IR65" i="8"/>
  <c r="IS65" i="8"/>
  <c r="IT65" i="8"/>
  <c r="IU65" i="8"/>
  <c r="IV65" i="8"/>
  <c r="F66" i="8"/>
  <c r="G66" i="8"/>
  <c r="H66" i="8"/>
  <c r="I66" i="8"/>
  <c r="J66" i="8"/>
  <c r="K66" i="8"/>
  <c r="L66" i="8"/>
  <c r="M66" i="8"/>
  <c r="N66" i="8"/>
  <c r="O66" i="8"/>
  <c r="P66" i="8"/>
  <c r="Q66" i="8"/>
  <c r="R66" i="8"/>
  <c r="S66" i="8"/>
  <c r="T66" i="8"/>
  <c r="U66" i="8"/>
  <c r="V66" i="8"/>
  <c r="W66" i="8"/>
  <c r="X66" i="8"/>
  <c r="Y66" i="8"/>
  <c r="Z66" i="8"/>
  <c r="AA66" i="8"/>
  <c r="AB66" i="8"/>
  <c r="AC66" i="8"/>
  <c r="AD66" i="8"/>
  <c r="AE66" i="8"/>
  <c r="AF66" i="8"/>
  <c r="AG66" i="8"/>
  <c r="AH66" i="8"/>
  <c r="AI66" i="8"/>
  <c r="AJ66" i="8"/>
  <c r="AK66" i="8"/>
  <c r="AL66" i="8"/>
  <c r="AM66" i="8"/>
  <c r="AN66" i="8"/>
  <c r="AO66" i="8"/>
  <c r="AP66" i="8"/>
  <c r="AQ66" i="8"/>
  <c r="AR66" i="8"/>
  <c r="AS66" i="8"/>
  <c r="AT66" i="8"/>
  <c r="AU66" i="8"/>
  <c r="AV66" i="8"/>
  <c r="AW66" i="8"/>
  <c r="AX66" i="8"/>
  <c r="AY66" i="8"/>
  <c r="AZ66" i="8"/>
  <c r="BA66" i="8"/>
  <c r="BB66" i="8"/>
  <c r="BC66" i="8"/>
  <c r="BD66" i="8"/>
  <c r="BE66" i="8"/>
  <c r="BF66" i="8"/>
  <c r="BG66" i="8"/>
  <c r="BH66" i="8"/>
  <c r="BI66" i="8"/>
  <c r="BJ66" i="8"/>
  <c r="BK66" i="8"/>
  <c r="BL66" i="8"/>
  <c r="BM66" i="8"/>
  <c r="BN66" i="8"/>
  <c r="BO66" i="8"/>
  <c r="BP66" i="8"/>
  <c r="BQ66" i="8"/>
  <c r="BR66" i="8"/>
  <c r="BS66" i="8"/>
  <c r="BT66" i="8"/>
  <c r="BU66" i="8"/>
  <c r="BV66" i="8"/>
  <c r="BW66" i="8"/>
  <c r="BX66" i="8"/>
  <c r="BY66" i="8"/>
  <c r="BZ66" i="8"/>
  <c r="CA66" i="8"/>
  <c r="CB66" i="8"/>
  <c r="CC66" i="8"/>
  <c r="CD66" i="8"/>
  <c r="CE66" i="8"/>
  <c r="CF66" i="8"/>
  <c r="CG66" i="8"/>
  <c r="CH66" i="8"/>
  <c r="CI66" i="8"/>
  <c r="CJ66" i="8"/>
  <c r="CK66" i="8"/>
  <c r="CL66" i="8"/>
  <c r="CM66" i="8"/>
  <c r="CN66" i="8"/>
  <c r="CO66" i="8"/>
  <c r="CP66" i="8"/>
  <c r="CQ66" i="8"/>
  <c r="CR66" i="8"/>
  <c r="CS66" i="8"/>
  <c r="CT66" i="8"/>
  <c r="CU66" i="8"/>
  <c r="CV66" i="8"/>
  <c r="CW66" i="8"/>
  <c r="CX66" i="8"/>
  <c r="CY66" i="8"/>
  <c r="CZ66" i="8"/>
  <c r="DA66" i="8"/>
  <c r="DB66" i="8"/>
  <c r="DC66" i="8"/>
  <c r="DD66" i="8"/>
  <c r="DE66" i="8"/>
  <c r="DF66" i="8"/>
  <c r="DG66" i="8"/>
  <c r="DH66" i="8"/>
  <c r="DI66" i="8"/>
  <c r="DJ66" i="8"/>
  <c r="DK66" i="8"/>
  <c r="DL66" i="8"/>
  <c r="DM66" i="8"/>
  <c r="DN66" i="8"/>
  <c r="DO66" i="8"/>
  <c r="DP66" i="8"/>
  <c r="DQ66" i="8"/>
  <c r="DR66" i="8"/>
  <c r="DS66" i="8"/>
  <c r="DT66" i="8"/>
  <c r="DU66" i="8"/>
  <c r="DV66" i="8"/>
  <c r="DW66" i="8"/>
  <c r="DX66" i="8"/>
  <c r="DY66" i="8"/>
  <c r="DZ66" i="8"/>
  <c r="EA66" i="8"/>
  <c r="EB66" i="8"/>
  <c r="EC66" i="8"/>
  <c r="ED66" i="8"/>
  <c r="EE66" i="8"/>
  <c r="EF66" i="8"/>
  <c r="EG66" i="8"/>
  <c r="EH66" i="8"/>
  <c r="EI66" i="8"/>
  <c r="EJ66" i="8"/>
  <c r="EK66" i="8"/>
  <c r="EL66" i="8"/>
  <c r="EM66" i="8"/>
  <c r="EN66" i="8"/>
  <c r="EO66" i="8"/>
  <c r="EP66" i="8"/>
  <c r="EQ66" i="8"/>
  <c r="ER66" i="8"/>
  <c r="ES66" i="8"/>
  <c r="ET66" i="8"/>
  <c r="EU66" i="8"/>
  <c r="EV66" i="8"/>
  <c r="EW66" i="8"/>
  <c r="EX66" i="8"/>
  <c r="EY66" i="8"/>
  <c r="EZ66" i="8"/>
  <c r="FA66" i="8"/>
  <c r="FB66" i="8"/>
  <c r="FC66" i="8"/>
  <c r="FD66" i="8"/>
  <c r="FE66" i="8"/>
  <c r="FF66" i="8"/>
  <c r="FG66" i="8"/>
  <c r="FH66" i="8"/>
  <c r="FI66" i="8"/>
  <c r="FJ66" i="8"/>
  <c r="FK66" i="8"/>
  <c r="FL66" i="8"/>
  <c r="FM66" i="8"/>
  <c r="FN66" i="8"/>
  <c r="FO66" i="8"/>
  <c r="FP66" i="8"/>
  <c r="FQ66" i="8"/>
  <c r="FR66" i="8"/>
  <c r="FS66" i="8"/>
  <c r="FT66" i="8"/>
  <c r="FU66" i="8"/>
  <c r="FV66" i="8"/>
  <c r="FW66" i="8"/>
  <c r="FX66" i="8"/>
  <c r="FY66" i="8"/>
  <c r="FZ66" i="8"/>
  <c r="GA66" i="8"/>
  <c r="GB66" i="8"/>
  <c r="GC66" i="8"/>
  <c r="GD66" i="8"/>
  <c r="GE66" i="8"/>
  <c r="GF66" i="8"/>
  <c r="GG66" i="8"/>
  <c r="GH66" i="8"/>
  <c r="GI66" i="8"/>
  <c r="GJ66" i="8"/>
  <c r="GK66" i="8"/>
  <c r="GL66" i="8"/>
  <c r="GM66" i="8"/>
  <c r="GN66" i="8"/>
  <c r="GO66" i="8"/>
  <c r="GP66" i="8"/>
  <c r="GQ66" i="8"/>
  <c r="GR66" i="8"/>
  <c r="GS66" i="8"/>
  <c r="GT66" i="8"/>
  <c r="GU66" i="8"/>
  <c r="GV66" i="8"/>
  <c r="GW66" i="8"/>
  <c r="GX66" i="8"/>
  <c r="GY66" i="8"/>
  <c r="GZ66" i="8"/>
  <c r="HA66" i="8"/>
  <c r="HB66" i="8"/>
  <c r="HC66" i="8"/>
  <c r="HD66" i="8"/>
  <c r="HE66" i="8"/>
  <c r="HF66" i="8"/>
  <c r="HG66" i="8"/>
  <c r="HH66" i="8"/>
  <c r="HI66" i="8"/>
  <c r="HJ66" i="8"/>
  <c r="HK66" i="8"/>
  <c r="HL66" i="8"/>
  <c r="HM66" i="8"/>
  <c r="HN66" i="8"/>
  <c r="HO66" i="8"/>
  <c r="HP66" i="8"/>
  <c r="HQ66" i="8"/>
  <c r="HR66" i="8"/>
  <c r="HS66" i="8"/>
  <c r="HT66" i="8"/>
  <c r="HU66" i="8"/>
  <c r="HV66" i="8"/>
  <c r="HW66" i="8"/>
  <c r="HX66" i="8"/>
  <c r="HY66" i="8"/>
  <c r="HZ66" i="8"/>
  <c r="IA66" i="8"/>
  <c r="IB66" i="8"/>
  <c r="IC66" i="8"/>
  <c r="ID66" i="8"/>
  <c r="IE66" i="8"/>
  <c r="IF66" i="8"/>
  <c r="IG66" i="8"/>
  <c r="IH66" i="8"/>
  <c r="II66" i="8"/>
  <c r="IJ66" i="8"/>
  <c r="IK66" i="8"/>
  <c r="IL66" i="8"/>
  <c r="IM66" i="8"/>
  <c r="IN66" i="8"/>
  <c r="IO66" i="8"/>
  <c r="IP66" i="8"/>
  <c r="IQ66" i="8"/>
  <c r="IR66" i="8"/>
  <c r="IS66" i="8"/>
  <c r="IT66" i="8"/>
  <c r="IU66" i="8"/>
  <c r="IV66" i="8"/>
  <c r="F67" i="8"/>
  <c r="G67" i="8"/>
  <c r="H67" i="8"/>
  <c r="I67" i="8"/>
  <c r="J67" i="8"/>
  <c r="K67" i="8"/>
  <c r="L67" i="8"/>
  <c r="M67" i="8"/>
  <c r="N67" i="8"/>
  <c r="O67" i="8"/>
  <c r="P67" i="8"/>
  <c r="Q67" i="8"/>
  <c r="R67" i="8"/>
  <c r="S67" i="8"/>
  <c r="T67" i="8"/>
  <c r="U67" i="8"/>
  <c r="V67" i="8"/>
  <c r="W67" i="8"/>
  <c r="X67" i="8"/>
  <c r="Y67" i="8"/>
  <c r="Z67" i="8"/>
  <c r="AA67" i="8"/>
  <c r="AB67" i="8"/>
  <c r="AC67" i="8"/>
  <c r="AD67" i="8"/>
  <c r="AE67" i="8"/>
  <c r="AF67" i="8"/>
  <c r="AG67" i="8"/>
  <c r="AH67" i="8"/>
  <c r="AI67" i="8"/>
  <c r="AJ67" i="8"/>
  <c r="AK67" i="8"/>
  <c r="AL67" i="8"/>
  <c r="AM67" i="8"/>
  <c r="AN67" i="8"/>
  <c r="AO67" i="8"/>
  <c r="AP67" i="8"/>
  <c r="AQ67" i="8"/>
  <c r="AR67" i="8"/>
  <c r="AS67" i="8"/>
  <c r="AT67" i="8"/>
  <c r="AU67" i="8"/>
  <c r="AV67" i="8"/>
  <c r="AW67" i="8"/>
  <c r="AX67" i="8"/>
  <c r="AY67" i="8"/>
  <c r="AZ67" i="8"/>
  <c r="BA67" i="8"/>
  <c r="BB67" i="8"/>
  <c r="BC67" i="8"/>
  <c r="BD67" i="8"/>
  <c r="BE67" i="8"/>
  <c r="BF67" i="8"/>
  <c r="BG67" i="8"/>
  <c r="BH67" i="8"/>
  <c r="BI67" i="8"/>
  <c r="BJ67" i="8"/>
  <c r="BK67" i="8"/>
  <c r="BL67" i="8"/>
  <c r="BM67" i="8"/>
  <c r="BN67" i="8"/>
  <c r="BO67" i="8"/>
  <c r="BP67" i="8"/>
  <c r="BQ67" i="8"/>
  <c r="BR67" i="8"/>
  <c r="BS67" i="8"/>
  <c r="BT67" i="8"/>
  <c r="BU67" i="8"/>
  <c r="BV67" i="8"/>
  <c r="BW67" i="8"/>
  <c r="BX67" i="8"/>
  <c r="BY67" i="8"/>
  <c r="BZ67" i="8"/>
  <c r="CA67" i="8"/>
  <c r="CB67" i="8"/>
  <c r="CC67" i="8"/>
  <c r="CD67" i="8"/>
  <c r="CE67" i="8"/>
  <c r="CF67" i="8"/>
  <c r="CG67" i="8"/>
  <c r="CH67" i="8"/>
  <c r="CI67" i="8"/>
  <c r="CJ67" i="8"/>
  <c r="CK67" i="8"/>
  <c r="CL67" i="8"/>
  <c r="CM67" i="8"/>
  <c r="CN67" i="8"/>
  <c r="CO67" i="8"/>
  <c r="CP67" i="8"/>
  <c r="CQ67" i="8"/>
  <c r="CR67" i="8"/>
  <c r="CS67" i="8"/>
  <c r="CT67" i="8"/>
  <c r="CU67" i="8"/>
  <c r="CV67" i="8"/>
  <c r="CW67" i="8"/>
  <c r="CX67" i="8"/>
  <c r="CY67" i="8"/>
  <c r="CZ67" i="8"/>
  <c r="DA67" i="8"/>
  <c r="DB67" i="8"/>
  <c r="DC67" i="8"/>
  <c r="DD67" i="8"/>
  <c r="DE67" i="8"/>
  <c r="DF67" i="8"/>
  <c r="DG67" i="8"/>
  <c r="DH67" i="8"/>
  <c r="DI67" i="8"/>
  <c r="DJ67" i="8"/>
  <c r="DK67" i="8"/>
  <c r="DL67" i="8"/>
  <c r="DM67" i="8"/>
  <c r="DN67" i="8"/>
  <c r="DO67" i="8"/>
  <c r="DP67" i="8"/>
  <c r="DQ67" i="8"/>
  <c r="DR67" i="8"/>
  <c r="DS67" i="8"/>
  <c r="DT67" i="8"/>
  <c r="DU67" i="8"/>
  <c r="DV67" i="8"/>
  <c r="DW67" i="8"/>
  <c r="DX67" i="8"/>
  <c r="DY67" i="8"/>
  <c r="DZ67" i="8"/>
  <c r="EA67" i="8"/>
  <c r="EB67" i="8"/>
  <c r="EC67" i="8"/>
  <c r="ED67" i="8"/>
  <c r="EE67" i="8"/>
  <c r="EF67" i="8"/>
  <c r="EG67" i="8"/>
  <c r="EH67" i="8"/>
  <c r="EI67" i="8"/>
  <c r="EJ67" i="8"/>
  <c r="EK67" i="8"/>
  <c r="EL67" i="8"/>
  <c r="EM67" i="8"/>
  <c r="EN67" i="8"/>
  <c r="EO67" i="8"/>
  <c r="EP67" i="8"/>
  <c r="EQ67" i="8"/>
  <c r="ER67" i="8"/>
  <c r="ES67" i="8"/>
  <c r="ET67" i="8"/>
  <c r="EU67" i="8"/>
  <c r="EV67" i="8"/>
  <c r="EW67" i="8"/>
  <c r="EX67" i="8"/>
  <c r="EY67" i="8"/>
  <c r="EZ67" i="8"/>
  <c r="FA67" i="8"/>
  <c r="FB67" i="8"/>
  <c r="FC67" i="8"/>
  <c r="FD67" i="8"/>
  <c r="FE67" i="8"/>
  <c r="FF67" i="8"/>
  <c r="FG67" i="8"/>
  <c r="FH67" i="8"/>
  <c r="FI67" i="8"/>
  <c r="FJ67" i="8"/>
  <c r="FK67" i="8"/>
  <c r="FL67" i="8"/>
  <c r="FM67" i="8"/>
  <c r="FN67" i="8"/>
  <c r="FO67" i="8"/>
  <c r="FP67" i="8"/>
  <c r="FQ67" i="8"/>
  <c r="FR67" i="8"/>
  <c r="FS67" i="8"/>
  <c r="FT67" i="8"/>
  <c r="FU67" i="8"/>
  <c r="FV67" i="8"/>
  <c r="FW67" i="8"/>
  <c r="FX67" i="8"/>
  <c r="FY67" i="8"/>
  <c r="FZ67" i="8"/>
  <c r="GA67" i="8"/>
  <c r="GB67" i="8"/>
  <c r="GC67" i="8"/>
  <c r="GD67" i="8"/>
  <c r="GE67" i="8"/>
  <c r="GF67" i="8"/>
  <c r="GG67" i="8"/>
  <c r="GH67" i="8"/>
  <c r="GI67" i="8"/>
  <c r="GJ67" i="8"/>
  <c r="GK67" i="8"/>
  <c r="GL67" i="8"/>
  <c r="GM67" i="8"/>
  <c r="GN67" i="8"/>
  <c r="GO67" i="8"/>
  <c r="GP67" i="8"/>
  <c r="GQ67" i="8"/>
  <c r="GR67" i="8"/>
  <c r="GS67" i="8"/>
  <c r="GT67" i="8"/>
  <c r="GU67" i="8"/>
  <c r="GV67" i="8"/>
  <c r="GW67" i="8"/>
  <c r="GX67" i="8"/>
  <c r="GY67" i="8"/>
  <c r="GZ67" i="8"/>
  <c r="HA67" i="8"/>
  <c r="HB67" i="8"/>
  <c r="HC67" i="8"/>
  <c r="HD67" i="8"/>
  <c r="HE67" i="8"/>
  <c r="HF67" i="8"/>
  <c r="HG67" i="8"/>
  <c r="HH67" i="8"/>
  <c r="HI67" i="8"/>
  <c r="HJ67" i="8"/>
  <c r="HK67" i="8"/>
  <c r="HL67" i="8"/>
  <c r="HM67" i="8"/>
  <c r="HN67" i="8"/>
  <c r="HO67" i="8"/>
  <c r="HP67" i="8"/>
  <c r="HQ67" i="8"/>
  <c r="HR67" i="8"/>
  <c r="HS67" i="8"/>
  <c r="HT67" i="8"/>
  <c r="HU67" i="8"/>
  <c r="HV67" i="8"/>
  <c r="HW67" i="8"/>
  <c r="HX67" i="8"/>
  <c r="HY67" i="8"/>
  <c r="HZ67" i="8"/>
  <c r="IA67" i="8"/>
  <c r="IB67" i="8"/>
  <c r="IC67" i="8"/>
  <c r="ID67" i="8"/>
  <c r="IE67" i="8"/>
  <c r="IF67" i="8"/>
  <c r="IG67" i="8"/>
  <c r="IH67" i="8"/>
  <c r="II67" i="8"/>
  <c r="IJ67" i="8"/>
  <c r="IK67" i="8"/>
  <c r="IL67" i="8"/>
  <c r="IM67" i="8"/>
  <c r="IN67" i="8"/>
  <c r="IO67" i="8"/>
  <c r="IP67" i="8"/>
  <c r="IQ67" i="8"/>
  <c r="IR67" i="8"/>
  <c r="IS67" i="8"/>
  <c r="IT67" i="8"/>
  <c r="IU67" i="8"/>
  <c r="IV67" i="8"/>
  <c r="F68" i="8"/>
  <c r="G68" i="8"/>
  <c r="H68" i="8"/>
  <c r="I68" i="8"/>
  <c r="J68" i="8"/>
  <c r="K68" i="8"/>
  <c r="L68" i="8"/>
  <c r="M68" i="8"/>
  <c r="N68" i="8"/>
  <c r="O68" i="8"/>
  <c r="P68" i="8"/>
  <c r="Q68" i="8"/>
  <c r="R68" i="8"/>
  <c r="S68" i="8"/>
  <c r="T68" i="8"/>
  <c r="U68" i="8"/>
  <c r="V68" i="8"/>
  <c r="W68" i="8"/>
  <c r="X68" i="8"/>
  <c r="Y68" i="8"/>
  <c r="Z68" i="8"/>
  <c r="AA68" i="8"/>
  <c r="AB68" i="8"/>
  <c r="AC68" i="8"/>
  <c r="AD68" i="8"/>
  <c r="AE68" i="8"/>
  <c r="AF68" i="8"/>
  <c r="AG68" i="8"/>
  <c r="AH68" i="8"/>
  <c r="AI68" i="8"/>
  <c r="AJ68" i="8"/>
  <c r="AK68" i="8"/>
  <c r="AL68" i="8"/>
  <c r="AM68" i="8"/>
  <c r="AN68" i="8"/>
  <c r="AO68" i="8"/>
  <c r="AP68" i="8"/>
  <c r="AQ68" i="8"/>
  <c r="AR68" i="8"/>
  <c r="AS68" i="8"/>
  <c r="AT68" i="8"/>
  <c r="AU68" i="8"/>
  <c r="AV68" i="8"/>
  <c r="AW68" i="8"/>
  <c r="AX68" i="8"/>
  <c r="AY68" i="8"/>
  <c r="AZ68" i="8"/>
  <c r="BA68" i="8"/>
  <c r="BB68" i="8"/>
  <c r="BC68" i="8"/>
  <c r="BD68" i="8"/>
  <c r="BE68" i="8"/>
  <c r="BF68" i="8"/>
  <c r="BG68" i="8"/>
  <c r="BH68" i="8"/>
  <c r="BI68" i="8"/>
  <c r="BJ68" i="8"/>
  <c r="BK68" i="8"/>
  <c r="BL68" i="8"/>
  <c r="BM68" i="8"/>
  <c r="BN68" i="8"/>
  <c r="BO68" i="8"/>
  <c r="BP68" i="8"/>
  <c r="BQ68" i="8"/>
  <c r="BR68" i="8"/>
  <c r="BS68" i="8"/>
  <c r="BT68" i="8"/>
  <c r="BU68" i="8"/>
  <c r="BV68" i="8"/>
  <c r="BW68" i="8"/>
  <c r="BX68" i="8"/>
  <c r="BY68" i="8"/>
  <c r="BZ68" i="8"/>
  <c r="CA68" i="8"/>
  <c r="CB68" i="8"/>
  <c r="CC68" i="8"/>
  <c r="CD68" i="8"/>
  <c r="CE68" i="8"/>
  <c r="CF68" i="8"/>
  <c r="CG68" i="8"/>
  <c r="CH68" i="8"/>
  <c r="CI68" i="8"/>
  <c r="CJ68" i="8"/>
  <c r="CK68" i="8"/>
  <c r="CL68" i="8"/>
  <c r="CM68" i="8"/>
  <c r="CN68" i="8"/>
  <c r="CO68" i="8"/>
  <c r="CP68" i="8"/>
  <c r="CQ68" i="8"/>
  <c r="CR68" i="8"/>
  <c r="CS68" i="8"/>
  <c r="CT68" i="8"/>
  <c r="CU68" i="8"/>
  <c r="CV68" i="8"/>
  <c r="CW68" i="8"/>
  <c r="CX68" i="8"/>
  <c r="CY68" i="8"/>
  <c r="CZ68" i="8"/>
  <c r="DA68" i="8"/>
  <c r="DB68" i="8"/>
  <c r="DC68" i="8"/>
  <c r="DD68" i="8"/>
  <c r="DE68" i="8"/>
  <c r="DF68" i="8"/>
  <c r="DG68" i="8"/>
  <c r="DH68" i="8"/>
  <c r="DI68" i="8"/>
  <c r="DJ68" i="8"/>
  <c r="DK68" i="8"/>
  <c r="DL68" i="8"/>
  <c r="DM68" i="8"/>
  <c r="DN68" i="8"/>
  <c r="DO68" i="8"/>
  <c r="DP68" i="8"/>
  <c r="DQ68" i="8"/>
  <c r="DR68" i="8"/>
  <c r="DS68" i="8"/>
  <c r="DT68" i="8"/>
  <c r="DU68" i="8"/>
  <c r="DV68" i="8"/>
  <c r="DW68" i="8"/>
  <c r="DX68" i="8"/>
  <c r="DY68" i="8"/>
  <c r="DZ68" i="8"/>
  <c r="EA68" i="8"/>
  <c r="EB68" i="8"/>
  <c r="EC68" i="8"/>
  <c r="ED68" i="8"/>
  <c r="EE68" i="8"/>
  <c r="EF68" i="8"/>
  <c r="EG68" i="8"/>
  <c r="EH68" i="8"/>
  <c r="EI68" i="8"/>
  <c r="EJ68" i="8"/>
  <c r="EK68" i="8"/>
  <c r="EL68" i="8"/>
  <c r="EM68" i="8"/>
  <c r="EN68" i="8"/>
  <c r="EO68" i="8"/>
  <c r="EP68" i="8"/>
  <c r="EQ68" i="8"/>
  <c r="ER68" i="8"/>
  <c r="ES68" i="8"/>
  <c r="ET68" i="8"/>
  <c r="EU68" i="8"/>
  <c r="EV68" i="8"/>
  <c r="EW68" i="8"/>
  <c r="EX68" i="8"/>
  <c r="EY68" i="8"/>
  <c r="EZ68" i="8"/>
  <c r="FA68" i="8"/>
  <c r="FB68" i="8"/>
  <c r="FC68" i="8"/>
  <c r="FD68" i="8"/>
  <c r="FE68" i="8"/>
  <c r="FF68" i="8"/>
  <c r="FG68" i="8"/>
  <c r="FH68" i="8"/>
  <c r="FI68" i="8"/>
  <c r="FJ68" i="8"/>
  <c r="FK68" i="8"/>
  <c r="FL68" i="8"/>
  <c r="FM68" i="8"/>
  <c r="FN68" i="8"/>
  <c r="FO68" i="8"/>
  <c r="FP68" i="8"/>
  <c r="FQ68" i="8"/>
  <c r="FR68" i="8"/>
  <c r="FS68" i="8"/>
  <c r="FT68" i="8"/>
  <c r="FU68" i="8"/>
  <c r="FV68" i="8"/>
  <c r="FW68" i="8"/>
  <c r="FX68" i="8"/>
  <c r="FY68" i="8"/>
  <c r="FZ68" i="8"/>
  <c r="GA68" i="8"/>
  <c r="GB68" i="8"/>
  <c r="GC68" i="8"/>
  <c r="GD68" i="8"/>
  <c r="GE68" i="8"/>
  <c r="GF68" i="8"/>
  <c r="GG68" i="8"/>
  <c r="GH68" i="8"/>
  <c r="GI68" i="8"/>
  <c r="GJ68" i="8"/>
  <c r="GK68" i="8"/>
  <c r="GL68" i="8"/>
  <c r="GM68" i="8"/>
  <c r="GN68" i="8"/>
  <c r="GO68" i="8"/>
  <c r="GP68" i="8"/>
  <c r="GQ68" i="8"/>
  <c r="GR68" i="8"/>
  <c r="GS68" i="8"/>
  <c r="GT68" i="8"/>
  <c r="GU68" i="8"/>
  <c r="GV68" i="8"/>
  <c r="GW68" i="8"/>
  <c r="GX68" i="8"/>
  <c r="GY68" i="8"/>
  <c r="GZ68" i="8"/>
  <c r="HA68" i="8"/>
  <c r="HB68" i="8"/>
  <c r="HC68" i="8"/>
  <c r="HD68" i="8"/>
  <c r="HE68" i="8"/>
  <c r="HF68" i="8"/>
  <c r="HG68" i="8"/>
  <c r="HH68" i="8"/>
  <c r="HI68" i="8"/>
  <c r="HJ68" i="8"/>
  <c r="HK68" i="8"/>
  <c r="HL68" i="8"/>
  <c r="HM68" i="8"/>
  <c r="HN68" i="8"/>
  <c r="HO68" i="8"/>
  <c r="HP68" i="8"/>
  <c r="HQ68" i="8"/>
  <c r="HR68" i="8"/>
  <c r="HS68" i="8"/>
  <c r="HT68" i="8"/>
  <c r="HU68" i="8"/>
  <c r="HV68" i="8"/>
  <c r="HW68" i="8"/>
  <c r="HX68" i="8"/>
  <c r="HY68" i="8"/>
  <c r="HZ68" i="8"/>
  <c r="IA68" i="8"/>
  <c r="IB68" i="8"/>
  <c r="IC68" i="8"/>
  <c r="ID68" i="8"/>
  <c r="IE68" i="8"/>
  <c r="IF68" i="8"/>
  <c r="IG68" i="8"/>
  <c r="IH68" i="8"/>
  <c r="II68" i="8"/>
  <c r="IJ68" i="8"/>
  <c r="IK68" i="8"/>
  <c r="IL68" i="8"/>
  <c r="IM68" i="8"/>
  <c r="IN68" i="8"/>
  <c r="IO68" i="8"/>
  <c r="IP68" i="8"/>
  <c r="IQ68" i="8"/>
  <c r="IR68" i="8"/>
  <c r="IS68" i="8"/>
  <c r="IT68" i="8"/>
  <c r="IU68" i="8"/>
  <c r="IV68" i="8"/>
  <c r="F69" i="8"/>
  <c r="G69" i="8"/>
  <c r="H69" i="8"/>
  <c r="I69" i="8"/>
  <c r="J69" i="8"/>
  <c r="K69" i="8"/>
  <c r="L69" i="8"/>
  <c r="M69" i="8"/>
  <c r="N69" i="8"/>
  <c r="O69" i="8"/>
  <c r="P69" i="8"/>
  <c r="Q69" i="8"/>
  <c r="R69" i="8"/>
  <c r="S69" i="8"/>
  <c r="T69" i="8"/>
  <c r="U69" i="8"/>
  <c r="V69" i="8"/>
  <c r="W69" i="8"/>
  <c r="X69" i="8"/>
  <c r="Y69" i="8"/>
  <c r="Z69" i="8"/>
  <c r="AA69" i="8"/>
  <c r="AB69" i="8"/>
  <c r="AC69" i="8"/>
  <c r="AD69" i="8"/>
  <c r="AE69" i="8"/>
  <c r="AF69" i="8"/>
  <c r="AG69" i="8"/>
  <c r="AH69" i="8"/>
  <c r="AI69" i="8"/>
  <c r="AJ69" i="8"/>
  <c r="AK69" i="8"/>
  <c r="AL69" i="8"/>
  <c r="AM69" i="8"/>
  <c r="AN69" i="8"/>
  <c r="AO69" i="8"/>
  <c r="AP69" i="8"/>
  <c r="AQ69" i="8"/>
  <c r="AR69" i="8"/>
  <c r="AS69" i="8"/>
  <c r="AT69" i="8"/>
  <c r="AU69" i="8"/>
  <c r="AV69" i="8"/>
  <c r="AW69" i="8"/>
  <c r="AX69" i="8"/>
  <c r="AY69" i="8"/>
  <c r="AZ69" i="8"/>
  <c r="BA69" i="8"/>
  <c r="BB69" i="8"/>
  <c r="BC69" i="8"/>
  <c r="BD69" i="8"/>
  <c r="BE69" i="8"/>
  <c r="BF69" i="8"/>
  <c r="BG69" i="8"/>
  <c r="BH69" i="8"/>
  <c r="BI69" i="8"/>
  <c r="BJ69" i="8"/>
  <c r="BK69" i="8"/>
  <c r="BL69" i="8"/>
  <c r="BM69" i="8"/>
  <c r="BN69" i="8"/>
  <c r="BO69" i="8"/>
  <c r="BP69" i="8"/>
  <c r="BQ69" i="8"/>
  <c r="BR69" i="8"/>
  <c r="BS69" i="8"/>
  <c r="BT69" i="8"/>
  <c r="BU69" i="8"/>
  <c r="BV69" i="8"/>
  <c r="BW69" i="8"/>
  <c r="BX69" i="8"/>
  <c r="BY69" i="8"/>
  <c r="BZ69" i="8"/>
  <c r="CA69" i="8"/>
  <c r="CB69" i="8"/>
  <c r="CC69" i="8"/>
  <c r="CD69" i="8"/>
  <c r="CE69" i="8"/>
  <c r="CF69" i="8"/>
  <c r="CG69" i="8"/>
  <c r="CH69" i="8"/>
  <c r="CI69" i="8"/>
  <c r="CJ69" i="8"/>
  <c r="CK69" i="8"/>
  <c r="CL69" i="8"/>
  <c r="CM69" i="8"/>
  <c r="CN69" i="8"/>
  <c r="CO69" i="8"/>
  <c r="CP69" i="8"/>
  <c r="CQ69" i="8"/>
  <c r="CR69" i="8"/>
  <c r="CS69" i="8"/>
  <c r="CT69" i="8"/>
  <c r="CU69" i="8"/>
  <c r="CV69" i="8"/>
  <c r="CW69" i="8"/>
  <c r="CX69" i="8"/>
  <c r="CY69" i="8"/>
  <c r="CZ69" i="8"/>
  <c r="DA69" i="8"/>
  <c r="DB69" i="8"/>
  <c r="DC69" i="8"/>
  <c r="DD69" i="8"/>
  <c r="DE69" i="8"/>
  <c r="DF69" i="8"/>
  <c r="DG69" i="8"/>
  <c r="DH69" i="8"/>
  <c r="DI69" i="8"/>
  <c r="DJ69" i="8"/>
  <c r="DK69" i="8"/>
  <c r="DL69" i="8"/>
  <c r="DM69" i="8"/>
  <c r="DN69" i="8"/>
  <c r="DO69" i="8"/>
  <c r="DP69" i="8"/>
  <c r="DQ69" i="8"/>
  <c r="DR69" i="8"/>
  <c r="DS69" i="8"/>
  <c r="DT69" i="8"/>
  <c r="DU69" i="8"/>
  <c r="DV69" i="8"/>
  <c r="DW69" i="8"/>
  <c r="DX69" i="8"/>
  <c r="DY69" i="8"/>
  <c r="DZ69" i="8"/>
  <c r="EA69" i="8"/>
  <c r="EB69" i="8"/>
  <c r="EC69" i="8"/>
  <c r="ED69" i="8"/>
  <c r="EE69" i="8"/>
  <c r="EF69" i="8"/>
  <c r="EG69" i="8"/>
  <c r="EH69" i="8"/>
  <c r="EI69" i="8"/>
  <c r="EJ69" i="8"/>
  <c r="EK69" i="8"/>
  <c r="EL69" i="8"/>
  <c r="EM69" i="8"/>
  <c r="EN69" i="8"/>
  <c r="EO69" i="8"/>
  <c r="EP69" i="8"/>
  <c r="EQ69" i="8"/>
  <c r="ER69" i="8"/>
  <c r="ES69" i="8"/>
  <c r="ET69" i="8"/>
  <c r="EU69" i="8"/>
  <c r="EV69" i="8"/>
  <c r="EW69" i="8"/>
  <c r="EX69" i="8"/>
  <c r="EY69" i="8"/>
  <c r="EZ69" i="8"/>
  <c r="FA69" i="8"/>
  <c r="FB69" i="8"/>
  <c r="FC69" i="8"/>
  <c r="FD69" i="8"/>
  <c r="FE69" i="8"/>
  <c r="FF69" i="8"/>
  <c r="FG69" i="8"/>
  <c r="FH69" i="8"/>
  <c r="FI69" i="8"/>
  <c r="FJ69" i="8"/>
  <c r="FK69" i="8"/>
  <c r="FL69" i="8"/>
  <c r="FM69" i="8"/>
  <c r="FN69" i="8"/>
  <c r="FO69" i="8"/>
  <c r="FP69" i="8"/>
  <c r="FQ69" i="8"/>
  <c r="FR69" i="8"/>
  <c r="FS69" i="8"/>
  <c r="FT69" i="8"/>
  <c r="FU69" i="8"/>
  <c r="FV69" i="8"/>
  <c r="FW69" i="8"/>
  <c r="FX69" i="8"/>
  <c r="FY69" i="8"/>
  <c r="FZ69" i="8"/>
  <c r="GA69" i="8"/>
  <c r="GB69" i="8"/>
  <c r="GC69" i="8"/>
  <c r="GD69" i="8"/>
  <c r="GE69" i="8"/>
  <c r="GF69" i="8"/>
  <c r="GG69" i="8"/>
  <c r="GH69" i="8"/>
  <c r="GI69" i="8"/>
  <c r="GJ69" i="8"/>
  <c r="GK69" i="8"/>
  <c r="GL69" i="8"/>
  <c r="GM69" i="8"/>
  <c r="GN69" i="8"/>
  <c r="GO69" i="8"/>
  <c r="GP69" i="8"/>
  <c r="GQ69" i="8"/>
  <c r="GR69" i="8"/>
  <c r="GS69" i="8"/>
  <c r="GT69" i="8"/>
  <c r="GU69" i="8"/>
  <c r="GV69" i="8"/>
  <c r="GW69" i="8"/>
  <c r="GX69" i="8"/>
  <c r="GY69" i="8"/>
  <c r="GZ69" i="8"/>
  <c r="HA69" i="8"/>
  <c r="HB69" i="8"/>
  <c r="HC69" i="8"/>
  <c r="HD69" i="8"/>
  <c r="HE69" i="8"/>
  <c r="HF69" i="8"/>
  <c r="HG69" i="8"/>
  <c r="HH69" i="8"/>
  <c r="HI69" i="8"/>
  <c r="HJ69" i="8"/>
  <c r="HK69" i="8"/>
  <c r="HL69" i="8"/>
  <c r="HM69" i="8"/>
  <c r="HN69" i="8"/>
  <c r="HO69" i="8"/>
  <c r="HP69" i="8"/>
  <c r="HQ69" i="8"/>
  <c r="HR69" i="8"/>
  <c r="HS69" i="8"/>
  <c r="HT69" i="8"/>
  <c r="HU69" i="8"/>
  <c r="HV69" i="8"/>
  <c r="HW69" i="8"/>
  <c r="HX69" i="8"/>
  <c r="HY69" i="8"/>
  <c r="HZ69" i="8"/>
  <c r="IA69" i="8"/>
  <c r="IB69" i="8"/>
  <c r="IC69" i="8"/>
  <c r="ID69" i="8"/>
  <c r="IE69" i="8"/>
  <c r="IF69" i="8"/>
  <c r="IG69" i="8"/>
  <c r="IH69" i="8"/>
  <c r="II69" i="8"/>
  <c r="IJ69" i="8"/>
  <c r="IK69" i="8"/>
  <c r="IL69" i="8"/>
  <c r="IM69" i="8"/>
  <c r="IN69" i="8"/>
  <c r="IO69" i="8"/>
  <c r="IP69" i="8"/>
  <c r="IQ69" i="8"/>
  <c r="IR69" i="8"/>
  <c r="IS69" i="8"/>
  <c r="IT69" i="8"/>
  <c r="IU69" i="8"/>
  <c r="IV69" i="8"/>
  <c r="F70" i="8"/>
  <c r="G70" i="8"/>
  <c r="H70" i="8"/>
  <c r="I70" i="8"/>
  <c r="J70" i="8"/>
  <c r="K70" i="8"/>
  <c r="L70" i="8"/>
  <c r="M70" i="8"/>
  <c r="N70" i="8"/>
  <c r="O70" i="8"/>
  <c r="P70" i="8"/>
  <c r="Q70" i="8"/>
  <c r="R70" i="8"/>
  <c r="S70" i="8"/>
  <c r="T70" i="8"/>
  <c r="U70" i="8"/>
  <c r="V70" i="8"/>
  <c r="W70" i="8"/>
  <c r="X70" i="8"/>
  <c r="Y70" i="8"/>
  <c r="Z70" i="8"/>
  <c r="AA70" i="8"/>
  <c r="AB70" i="8"/>
  <c r="AC70" i="8"/>
  <c r="AD70" i="8"/>
  <c r="AE70" i="8"/>
  <c r="AF70" i="8"/>
  <c r="AG70" i="8"/>
  <c r="AH70" i="8"/>
  <c r="AI70" i="8"/>
  <c r="AJ70" i="8"/>
  <c r="AK70" i="8"/>
  <c r="AL70" i="8"/>
  <c r="AM70" i="8"/>
  <c r="AN70" i="8"/>
  <c r="AO70" i="8"/>
  <c r="AP70" i="8"/>
  <c r="AQ70" i="8"/>
  <c r="AR70" i="8"/>
  <c r="AS70" i="8"/>
  <c r="AT70" i="8"/>
  <c r="AU70" i="8"/>
  <c r="AV70" i="8"/>
  <c r="AW70" i="8"/>
  <c r="AX70" i="8"/>
  <c r="AY70" i="8"/>
  <c r="AZ70" i="8"/>
  <c r="BA70" i="8"/>
  <c r="BB70" i="8"/>
  <c r="BC70" i="8"/>
  <c r="BD70" i="8"/>
  <c r="BE70" i="8"/>
  <c r="BF70" i="8"/>
  <c r="BG70" i="8"/>
  <c r="BH70" i="8"/>
  <c r="BI70" i="8"/>
  <c r="BJ70" i="8"/>
  <c r="BK70" i="8"/>
  <c r="BL70" i="8"/>
  <c r="BM70" i="8"/>
  <c r="BN70" i="8"/>
  <c r="BO70" i="8"/>
  <c r="BP70" i="8"/>
  <c r="BQ70" i="8"/>
  <c r="BR70" i="8"/>
  <c r="BS70" i="8"/>
  <c r="BT70" i="8"/>
  <c r="BU70" i="8"/>
  <c r="BV70" i="8"/>
  <c r="BW70" i="8"/>
  <c r="BX70" i="8"/>
  <c r="BY70" i="8"/>
  <c r="BZ70" i="8"/>
  <c r="CA70" i="8"/>
  <c r="CB70" i="8"/>
  <c r="CC70" i="8"/>
  <c r="CD70" i="8"/>
  <c r="CE70" i="8"/>
  <c r="CF70" i="8"/>
  <c r="CG70" i="8"/>
  <c r="CH70" i="8"/>
  <c r="CI70" i="8"/>
  <c r="CJ70" i="8"/>
  <c r="CK70" i="8"/>
  <c r="CL70" i="8"/>
  <c r="CM70" i="8"/>
  <c r="CN70" i="8"/>
  <c r="CO70" i="8"/>
  <c r="CP70" i="8"/>
  <c r="CQ70" i="8"/>
  <c r="CR70" i="8"/>
  <c r="CS70" i="8"/>
  <c r="CT70" i="8"/>
  <c r="CU70" i="8"/>
  <c r="CV70" i="8"/>
  <c r="CW70" i="8"/>
  <c r="CX70" i="8"/>
  <c r="CY70" i="8"/>
  <c r="CZ70" i="8"/>
  <c r="DA70" i="8"/>
  <c r="DB70" i="8"/>
  <c r="DC70" i="8"/>
  <c r="DD70" i="8"/>
  <c r="DE70" i="8"/>
  <c r="DF70" i="8"/>
  <c r="DG70" i="8"/>
  <c r="DH70" i="8"/>
  <c r="DI70" i="8"/>
  <c r="DJ70" i="8"/>
  <c r="DK70" i="8"/>
  <c r="DL70" i="8"/>
  <c r="DM70" i="8"/>
  <c r="DN70" i="8"/>
  <c r="DO70" i="8"/>
  <c r="DP70" i="8"/>
  <c r="DQ70" i="8"/>
  <c r="DR70" i="8"/>
  <c r="DS70" i="8"/>
  <c r="DT70" i="8"/>
  <c r="DU70" i="8"/>
  <c r="DV70" i="8"/>
  <c r="DW70" i="8"/>
  <c r="DX70" i="8"/>
  <c r="DY70" i="8"/>
  <c r="DZ70" i="8"/>
  <c r="EA70" i="8"/>
  <c r="EB70" i="8"/>
  <c r="EC70" i="8"/>
  <c r="ED70" i="8"/>
  <c r="EE70" i="8"/>
  <c r="EF70" i="8"/>
  <c r="EG70" i="8"/>
  <c r="EH70" i="8"/>
  <c r="EI70" i="8"/>
  <c r="EJ70" i="8"/>
  <c r="EK70" i="8"/>
  <c r="EL70" i="8"/>
  <c r="EM70" i="8"/>
  <c r="EN70" i="8"/>
  <c r="EO70" i="8"/>
  <c r="EP70" i="8"/>
  <c r="EQ70" i="8"/>
  <c r="ER70" i="8"/>
  <c r="ES70" i="8"/>
  <c r="ET70" i="8"/>
  <c r="EU70" i="8"/>
  <c r="EV70" i="8"/>
  <c r="EW70" i="8"/>
  <c r="EX70" i="8"/>
  <c r="EY70" i="8"/>
  <c r="EZ70" i="8"/>
  <c r="FA70" i="8"/>
  <c r="FB70" i="8"/>
  <c r="FC70" i="8"/>
  <c r="FD70" i="8"/>
  <c r="FE70" i="8"/>
  <c r="FF70" i="8"/>
  <c r="FG70" i="8"/>
  <c r="FH70" i="8"/>
  <c r="FI70" i="8"/>
  <c r="FJ70" i="8"/>
  <c r="FK70" i="8"/>
  <c r="FL70" i="8"/>
  <c r="FM70" i="8"/>
  <c r="FN70" i="8"/>
  <c r="FO70" i="8"/>
  <c r="FP70" i="8"/>
  <c r="FQ70" i="8"/>
  <c r="FR70" i="8"/>
  <c r="FS70" i="8"/>
  <c r="FT70" i="8"/>
  <c r="FU70" i="8"/>
  <c r="FV70" i="8"/>
  <c r="FW70" i="8"/>
  <c r="FX70" i="8"/>
  <c r="FY70" i="8"/>
  <c r="FZ70" i="8"/>
  <c r="GA70" i="8"/>
  <c r="GB70" i="8"/>
  <c r="GC70" i="8"/>
  <c r="GD70" i="8"/>
  <c r="GE70" i="8"/>
  <c r="GF70" i="8"/>
  <c r="GG70" i="8"/>
  <c r="GH70" i="8"/>
  <c r="GI70" i="8"/>
  <c r="GJ70" i="8"/>
  <c r="GK70" i="8"/>
  <c r="GL70" i="8"/>
  <c r="GM70" i="8"/>
  <c r="GN70" i="8"/>
  <c r="GO70" i="8"/>
  <c r="GP70" i="8"/>
  <c r="GQ70" i="8"/>
  <c r="GR70" i="8"/>
  <c r="GS70" i="8"/>
  <c r="GT70" i="8"/>
  <c r="GU70" i="8"/>
  <c r="GV70" i="8"/>
  <c r="GW70" i="8"/>
  <c r="GX70" i="8"/>
  <c r="GY70" i="8"/>
  <c r="GZ70" i="8"/>
  <c r="HA70" i="8"/>
  <c r="HB70" i="8"/>
  <c r="HC70" i="8"/>
  <c r="HD70" i="8"/>
  <c r="HE70" i="8"/>
  <c r="HF70" i="8"/>
  <c r="HG70" i="8"/>
  <c r="HH70" i="8"/>
  <c r="HI70" i="8"/>
  <c r="HJ70" i="8"/>
  <c r="HK70" i="8"/>
  <c r="HL70" i="8"/>
  <c r="HM70" i="8"/>
  <c r="HN70" i="8"/>
  <c r="HO70" i="8"/>
  <c r="HP70" i="8"/>
  <c r="HQ70" i="8"/>
  <c r="HR70" i="8"/>
  <c r="HS70" i="8"/>
  <c r="HT70" i="8"/>
  <c r="HU70" i="8"/>
  <c r="HV70" i="8"/>
  <c r="HW70" i="8"/>
  <c r="HX70" i="8"/>
  <c r="HY70" i="8"/>
  <c r="HZ70" i="8"/>
  <c r="IA70" i="8"/>
  <c r="IB70" i="8"/>
  <c r="IC70" i="8"/>
  <c r="ID70" i="8"/>
  <c r="IE70" i="8"/>
  <c r="IF70" i="8"/>
  <c r="IG70" i="8"/>
  <c r="IH70" i="8"/>
  <c r="II70" i="8"/>
  <c r="IJ70" i="8"/>
  <c r="IK70" i="8"/>
  <c r="IL70" i="8"/>
  <c r="IM70" i="8"/>
  <c r="IN70" i="8"/>
  <c r="IO70" i="8"/>
  <c r="IP70" i="8"/>
  <c r="IQ70" i="8"/>
  <c r="IR70" i="8"/>
  <c r="IS70" i="8"/>
  <c r="IT70" i="8"/>
  <c r="IU70" i="8"/>
  <c r="IV70" i="8"/>
  <c r="F71" i="8"/>
  <c r="G71" i="8"/>
  <c r="H71" i="8"/>
  <c r="I71" i="8"/>
  <c r="J71" i="8"/>
  <c r="K71" i="8"/>
  <c r="L71" i="8"/>
  <c r="M71" i="8"/>
  <c r="N71" i="8"/>
  <c r="O71" i="8"/>
  <c r="P71" i="8"/>
  <c r="Q71" i="8"/>
  <c r="R71" i="8"/>
  <c r="S71" i="8"/>
  <c r="T71" i="8"/>
  <c r="U71" i="8"/>
  <c r="V71" i="8"/>
  <c r="W71" i="8"/>
  <c r="X71" i="8"/>
  <c r="Y71" i="8"/>
  <c r="Z71" i="8"/>
  <c r="AA71" i="8"/>
  <c r="AB71" i="8"/>
  <c r="AC71" i="8"/>
  <c r="AD71" i="8"/>
  <c r="AE71" i="8"/>
  <c r="AF71" i="8"/>
  <c r="AG71" i="8"/>
  <c r="AH71" i="8"/>
  <c r="AI71" i="8"/>
  <c r="AJ71" i="8"/>
  <c r="AK71" i="8"/>
  <c r="AL71" i="8"/>
  <c r="AM71" i="8"/>
  <c r="AN71" i="8"/>
  <c r="AO71" i="8"/>
  <c r="AP71" i="8"/>
  <c r="AQ71" i="8"/>
  <c r="AR71" i="8"/>
  <c r="AS71" i="8"/>
  <c r="AT71" i="8"/>
  <c r="AU71" i="8"/>
  <c r="AV71" i="8"/>
  <c r="AW71" i="8"/>
  <c r="AX71" i="8"/>
  <c r="AY71" i="8"/>
  <c r="AZ71" i="8"/>
  <c r="BA71" i="8"/>
  <c r="BB71" i="8"/>
  <c r="BC71" i="8"/>
  <c r="BD71" i="8"/>
  <c r="BE71" i="8"/>
  <c r="BF71" i="8"/>
  <c r="BG71" i="8"/>
  <c r="BH71" i="8"/>
  <c r="BI71" i="8"/>
  <c r="BJ71" i="8"/>
  <c r="BK71" i="8"/>
  <c r="BL71" i="8"/>
  <c r="BM71" i="8"/>
  <c r="BN71" i="8"/>
  <c r="BO71" i="8"/>
  <c r="BP71" i="8"/>
  <c r="BQ71" i="8"/>
  <c r="BR71" i="8"/>
  <c r="BS71" i="8"/>
  <c r="BT71" i="8"/>
  <c r="BU71" i="8"/>
  <c r="BV71" i="8"/>
  <c r="BW71" i="8"/>
  <c r="BX71" i="8"/>
  <c r="BY71" i="8"/>
  <c r="BZ71" i="8"/>
  <c r="CA71" i="8"/>
  <c r="CB71" i="8"/>
  <c r="CC71" i="8"/>
  <c r="CD71" i="8"/>
  <c r="CE71" i="8"/>
  <c r="CF71" i="8"/>
  <c r="CG71" i="8"/>
  <c r="CH71" i="8"/>
  <c r="CI71" i="8"/>
  <c r="CJ71" i="8"/>
  <c r="CK71" i="8"/>
  <c r="CL71" i="8"/>
  <c r="CM71" i="8"/>
  <c r="CN71" i="8"/>
  <c r="CO71" i="8"/>
  <c r="CP71" i="8"/>
  <c r="CQ71" i="8"/>
  <c r="CR71" i="8"/>
  <c r="CS71" i="8"/>
  <c r="CT71" i="8"/>
  <c r="CU71" i="8"/>
  <c r="CV71" i="8"/>
  <c r="CW71" i="8"/>
  <c r="CX71" i="8"/>
  <c r="CY71" i="8"/>
  <c r="CZ71" i="8"/>
  <c r="DA71" i="8"/>
  <c r="DB71" i="8"/>
  <c r="DC71" i="8"/>
  <c r="DD71" i="8"/>
  <c r="DE71" i="8"/>
  <c r="DF71" i="8"/>
  <c r="DG71" i="8"/>
  <c r="DH71" i="8"/>
  <c r="DI71" i="8"/>
  <c r="DJ71" i="8"/>
  <c r="DK71" i="8"/>
  <c r="DL71" i="8"/>
  <c r="DM71" i="8"/>
  <c r="DN71" i="8"/>
  <c r="DO71" i="8"/>
  <c r="DP71" i="8"/>
  <c r="DQ71" i="8"/>
  <c r="DR71" i="8"/>
  <c r="DS71" i="8"/>
  <c r="DT71" i="8"/>
  <c r="DU71" i="8"/>
  <c r="DV71" i="8"/>
  <c r="DW71" i="8"/>
  <c r="DX71" i="8"/>
  <c r="DY71" i="8"/>
  <c r="DZ71" i="8"/>
  <c r="EA71" i="8"/>
  <c r="EB71" i="8"/>
  <c r="EC71" i="8"/>
  <c r="ED71" i="8"/>
  <c r="EE71" i="8"/>
  <c r="EF71" i="8"/>
  <c r="EG71" i="8"/>
  <c r="EH71" i="8"/>
  <c r="EI71" i="8"/>
  <c r="EJ71" i="8"/>
  <c r="EK71" i="8"/>
  <c r="EL71" i="8"/>
  <c r="EM71" i="8"/>
  <c r="EN71" i="8"/>
  <c r="EO71" i="8"/>
  <c r="EP71" i="8"/>
  <c r="EQ71" i="8"/>
  <c r="ER71" i="8"/>
  <c r="ES71" i="8"/>
  <c r="ET71" i="8"/>
  <c r="EU71" i="8"/>
  <c r="EV71" i="8"/>
  <c r="EW71" i="8"/>
  <c r="EX71" i="8"/>
  <c r="EY71" i="8"/>
  <c r="EZ71" i="8"/>
  <c r="FA71" i="8"/>
  <c r="FB71" i="8"/>
  <c r="FC71" i="8"/>
  <c r="FD71" i="8"/>
  <c r="FE71" i="8"/>
  <c r="FF71" i="8"/>
  <c r="FG71" i="8"/>
  <c r="FH71" i="8"/>
  <c r="FI71" i="8"/>
  <c r="FJ71" i="8"/>
  <c r="FK71" i="8"/>
  <c r="FL71" i="8"/>
  <c r="FM71" i="8"/>
  <c r="FN71" i="8"/>
  <c r="FO71" i="8"/>
  <c r="FP71" i="8"/>
  <c r="FQ71" i="8"/>
  <c r="FR71" i="8"/>
  <c r="FS71" i="8"/>
  <c r="FT71" i="8"/>
  <c r="FU71" i="8"/>
  <c r="FV71" i="8"/>
  <c r="FW71" i="8"/>
  <c r="FX71" i="8"/>
  <c r="FY71" i="8"/>
  <c r="FZ71" i="8"/>
  <c r="GA71" i="8"/>
  <c r="GB71" i="8"/>
  <c r="GC71" i="8"/>
  <c r="GD71" i="8"/>
  <c r="GE71" i="8"/>
  <c r="GF71" i="8"/>
  <c r="GG71" i="8"/>
  <c r="GH71" i="8"/>
  <c r="GI71" i="8"/>
  <c r="GJ71" i="8"/>
  <c r="GK71" i="8"/>
  <c r="GL71" i="8"/>
  <c r="GM71" i="8"/>
  <c r="GN71" i="8"/>
  <c r="GO71" i="8"/>
  <c r="GP71" i="8"/>
  <c r="GQ71" i="8"/>
  <c r="GR71" i="8"/>
  <c r="GS71" i="8"/>
  <c r="GT71" i="8"/>
  <c r="GU71" i="8"/>
  <c r="GV71" i="8"/>
  <c r="GW71" i="8"/>
  <c r="GX71" i="8"/>
  <c r="GY71" i="8"/>
  <c r="GZ71" i="8"/>
  <c r="HA71" i="8"/>
  <c r="HB71" i="8"/>
  <c r="HC71" i="8"/>
  <c r="HD71" i="8"/>
  <c r="HE71" i="8"/>
  <c r="HF71" i="8"/>
  <c r="HG71" i="8"/>
  <c r="HH71" i="8"/>
  <c r="HI71" i="8"/>
  <c r="HJ71" i="8"/>
  <c r="HK71" i="8"/>
  <c r="HL71" i="8"/>
  <c r="HM71" i="8"/>
  <c r="HN71" i="8"/>
  <c r="HO71" i="8"/>
  <c r="HP71" i="8"/>
  <c r="HQ71" i="8"/>
  <c r="HR71" i="8"/>
  <c r="HS71" i="8"/>
  <c r="HT71" i="8"/>
  <c r="HU71" i="8"/>
  <c r="HV71" i="8"/>
  <c r="HW71" i="8"/>
  <c r="HX71" i="8"/>
  <c r="HY71" i="8"/>
  <c r="HZ71" i="8"/>
  <c r="IA71" i="8"/>
  <c r="IB71" i="8"/>
  <c r="IC71" i="8"/>
  <c r="ID71" i="8"/>
  <c r="IE71" i="8"/>
  <c r="IF71" i="8"/>
  <c r="IG71" i="8"/>
  <c r="IH71" i="8"/>
  <c r="II71" i="8"/>
  <c r="IJ71" i="8"/>
  <c r="IK71" i="8"/>
  <c r="IL71" i="8"/>
  <c r="IM71" i="8"/>
  <c r="IN71" i="8"/>
  <c r="IO71" i="8"/>
  <c r="IP71" i="8"/>
  <c r="IQ71" i="8"/>
  <c r="IR71" i="8"/>
  <c r="IS71" i="8"/>
  <c r="IT71" i="8"/>
  <c r="IU71" i="8"/>
  <c r="IV71" i="8"/>
  <c r="F72" i="8"/>
  <c r="G72" i="8"/>
  <c r="H72" i="8"/>
  <c r="I72" i="8"/>
  <c r="J72" i="8"/>
  <c r="K72" i="8"/>
  <c r="L72" i="8"/>
  <c r="M72" i="8"/>
  <c r="N72" i="8"/>
  <c r="O72" i="8"/>
  <c r="P72" i="8"/>
  <c r="Q72" i="8"/>
  <c r="R72" i="8"/>
  <c r="S72" i="8"/>
  <c r="T72" i="8"/>
  <c r="U72" i="8"/>
  <c r="V72" i="8"/>
  <c r="W72" i="8"/>
  <c r="X72" i="8"/>
  <c r="Y72" i="8"/>
  <c r="Z72" i="8"/>
  <c r="AA72" i="8"/>
  <c r="AB72" i="8"/>
  <c r="AC72" i="8"/>
  <c r="AD72" i="8"/>
  <c r="AE72" i="8"/>
  <c r="AF72" i="8"/>
  <c r="AG72" i="8"/>
  <c r="AH72" i="8"/>
  <c r="AI72" i="8"/>
  <c r="AJ72" i="8"/>
  <c r="AK72" i="8"/>
  <c r="AL72" i="8"/>
  <c r="AM72" i="8"/>
  <c r="AN72" i="8"/>
  <c r="AO72" i="8"/>
  <c r="AP72" i="8"/>
  <c r="AQ72" i="8"/>
  <c r="AR72" i="8"/>
  <c r="AS72" i="8"/>
  <c r="AT72" i="8"/>
  <c r="AU72" i="8"/>
  <c r="AV72" i="8"/>
  <c r="AW72" i="8"/>
  <c r="AX72" i="8"/>
  <c r="AY72" i="8"/>
  <c r="AZ72" i="8"/>
  <c r="BA72" i="8"/>
  <c r="BB72" i="8"/>
  <c r="BC72" i="8"/>
  <c r="BD72" i="8"/>
  <c r="BE72" i="8"/>
  <c r="BF72" i="8"/>
  <c r="BG72" i="8"/>
  <c r="BH72" i="8"/>
  <c r="BI72" i="8"/>
  <c r="BJ72" i="8"/>
  <c r="BK72" i="8"/>
  <c r="BL72" i="8"/>
  <c r="BM72" i="8"/>
  <c r="BN72" i="8"/>
  <c r="BO72" i="8"/>
  <c r="BP72" i="8"/>
  <c r="BQ72" i="8"/>
  <c r="BR72" i="8"/>
  <c r="BS72" i="8"/>
  <c r="BT72" i="8"/>
  <c r="BU72" i="8"/>
  <c r="BV72" i="8"/>
  <c r="BW72" i="8"/>
  <c r="BX72" i="8"/>
  <c r="BY72" i="8"/>
  <c r="BZ72" i="8"/>
  <c r="CA72" i="8"/>
  <c r="CB72" i="8"/>
  <c r="CC72" i="8"/>
  <c r="CD72" i="8"/>
  <c r="CE72" i="8"/>
  <c r="CF72" i="8"/>
  <c r="CG72" i="8"/>
  <c r="CH72" i="8"/>
  <c r="CI72" i="8"/>
  <c r="CJ72" i="8"/>
  <c r="CK72" i="8"/>
  <c r="CL72" i="8"/>
  <c r="CM72" i="8"/>
  <c r="CN72" i="8"/>
  <c r="CO72" i="8"/>
  <c r="CP72" i="8"/>
  <c r="CQ72" i="8"/>
  <c r="CR72" i="8"/>
  <c r="CS72" i="8"/>
  <c r="CT72" i="8"/>
  <c r="CU72" i="8"/>
  <c r="CV72" i="8"/>
  <c r="CW72" i="8"/>
  <c r="CX72" i="8"/>
  <c r="CY72" i="8"/>
  <c r="CZ72" i="8"/>
  <c r="DA72" i="8"/>
  <c r="DB72" i="8"/>
  <c r="DC72" i="8"/>
  <c r="DD72" i="8"/>
  <c r="DE72" i="8"/>
  <c r="DF72" i="8"/>
  <c r="DG72" i="8"/>
  <c r="DH72" i="8"/>
  <c r="DI72" i="8"/>
  <c r="DJ72" i="8"/>
  <c r="DK72" i="8"/>
  <c r="DL72" i="8"/>
  <c r="DM72" i="8"/>
  <c r="DN72" i="8"/>
  <c r="DO72" i="8"/>
  <c r="DP72" i="8"/>
  <c r="DQ72" i="8"/>
  <c r="DR72" i="8"/>
  <c r="DS72" i="8"/>
  <c r="DT72" i="8"/>
  <c r="DU72" i="8"/>
  <c r="DV72" i="8"/>
  <c r="DW72" i="8"/>
  <c r="DX72" i="8"/>
  <c r="DY72" i="8"/>
  <c r="DZ72" i="8"/>
  <c r="EA72" i="8"/>
  <c r="EB72" i="8"/>
  <c r="EC72" i="8"/>
  <c r="ED72" i="8"/>
  <c r="EE72" i="8"/>
  <c r="EF72" i="8"/>
  <c r="EG72" i="8"/>
  <c r="EH72" i="8"/>
  <c r="EI72" i="8"/>
  <c r="EJ72" i="8"/>
  <c r="EK72" i="8"/>
  <c r="EL72" i="8"/>
  <c r="EM72" i="8"/>
  <c r="EN72" i="8"/>
  <c r="EO72" i="8"/>
  <c r="EP72" i="8"/>
  <c r="EQ72" i="8"/>
  <c r="ER72" i="8"/>
  <c r="ES72" i="8"/>
  <c r="ET72" i="8"/>
  <c r="EU72" i="8"/>
  <c r="EV72" i="8"/>
  <c r="EW72" i="8"/>
  <c r="EX72" i="8"/>
  <c r="EY72" i="8"/>
  <c r="EZ72" i="8"/>
  <c r="FA72" i="8"/>
  <c r="FB72" i="8"/>
  <c r="FC72" i="8"/>
  <c r="FD72" i="8"/>
  <c r="FE72" i="8"/>
  <c r="FF72" i="8"/>
  <c r="FG72" i="8"/>
  <c r="FH72" i="8"/>
  <c r="FI72" i="8"/>
  <c r="FJ72" i="8"/>
  <c r="FK72" i="8"/>
  <c r="FL72" i="8"/>
  <c r="FM72" i="8"/>
  <c r="FN72" i="8"/>
  <c r="FO72" i="8"/>
  <c r="FP72" i="8"/>
  <c r="FQ72" i="8"/>
  <c r="FR72" i="8"/>
  <c r="FS72" i="8"/>
  <c r="FT72" i="8"/>
  <c r="FU72" i="8"/>
  <c r="FV72" i="8"/>
  <c r="FW72" i="8"/>
  <c r="FX72" i="8"/>
  <c r="FY72" i="8"/>
  <c r="FZ72" i="8"/>
  <c r="GA72" i="8"/>
  <c r="GB72" i="8"/>
  <c r="GC72" i="8"/>
  <c r="GD72" i="8"/>
  <c r="GE72" i="8"/>
  <c r="GF72" i="8"/>
  <c r="GG72" i="8"/>
  <c r="GH72" i="8"/>
  <c r="GI72" i="8"/>
  <c r="GJ72" i="8"/>
  <c r="GK72" i="8"/>
  <c r="GL72" i="8"/>
  <c r="GM72" i="8"/>
  <c r="GN72" i="8"/>
  <c r="GO72" i="8"/>
  <c r="GP72" i="8"/>
  <c r="GQ72" i="8"/>
  <c r="GR72" i="8"/>
  <c r="GS72" i="8"/>
  <c r="GT72" i="8"/>
  <c r="GU72" i="8"/>
  <c r="GV72" i="8"/>
  <c r="GW72" i="8"/>
  <c r="GX72" i="8"/>
  <c r="GY72" i="8"/>
  <c r="GZ72" i="8"/>
  <c r="HA72" i="8"/>
  <c r="HB72" i="8"/>
  <c r="HC72" i="8"/>
  <c r="HD72" i="8"/>
  <c r="HE72" i="8"/>
  <c r="HF72" i="8"/>
  <c r="HG72" i="8"/>
  <c r="HH72" i="8"/>
  <c r="HI72" i="8"/>
  <c r="HJ72" i="8"/>
  <c r="HK72" i="8"/>
  <c r="HL72" i="8"/>
  <c r="HM72" i="8"/>
  <c r="HN72" i="8"/>
  <c r="HO72" i="8"/>
  <c r="HP72" i="8"/>
  <c r="HQ72" i="8"/>
  <c r="HR72" i="8"/>
  <c r="HS72" i="8"/>
  <c r="HT72" i="8"/>
  <c r="HU72" i="8"/>
  <c r="HV72" i="8"/>
  <c r="HW72" i="8"/>
  <c r="HX72" i="8"/>
  <c r="HY72" i="8"/>
  <c r="HZ72" i="8"/>
  <c r="IA72" i="8"/>
  <c r="IB72" i="8"/>
  <c r="IC72" i="8"/>
  <c r="ID72" i="8"/>
  <c r="IE72" i="8"/>
  <c r="IF72" i="8"/>
  <c r="IG72" i="8"/>
  <c r="IH72" i="8"/>
  <c r="II72" i="8"/>
  <c r="IJ72" i="8"/>
  <c r="IK72" i="8"/>
  <c r="IL72" i="8"/>
  <c r="IM72" i="8"/>
  <c r="IN72" i="8"/>
  <c r="IO72" i="8"/>
  <c r="IP72" i="8"/>
  <c r="IQ72" i="8"/>
  <c r="IR72" i="8"/>
  <c r="IS72" i="8"/>
  <c r="IT72" i="8"/>
  <c r="IU72" i="8"/>
  <c r="IV72" i="8"/>
  <c r="F73" i="8"/>
  <c r="G73" i="8"/>
  <c r="H73" i="8"/>
  <c r="I73" i="8"/>
  <c r="J73" i="8"/>
  <c r="K73" i="8"/>
  <c r="L73" i="8"/>
  <c r="M73" i="8"/>
  <c r="N73" i="8"/>
  <c r="O73" i="8"/>
  <c r="P73" i="8"/>
  <c r="Q73" i="8"/>
  <c r="R73" i="8"/>
  <c r="S73" i="8"/>
  <c r="T73" i="8"/>
  <c r="U73" i="8"/>
  <c r="V73" i="8"/>
  <c r="W73" i="8"/>
  <c r="X73" i="8"/>
  <c r="Y73" i="8"/>
  <c r="Z73" i="8"/>
  <c r="AA73" i="8"/>
  <c r="AB73" i="8"/>
  <c r="AC73" i="8"/>
  <c r="AD73" i="8"/>
  <c r="AE73" i="8"/>
  <c r="AF73" i="8"/>
  <c r="AG73" i="8"/>
  <c r="AH73" i="8"/>
  <c r="AI73" i="8"/>
  <c r="AJ73" i="8"/>
  <c r="AK73" i="8"/>
  <c r="AL73" i="8"/>
  <c r="AM73" i="8"/>
  <c r="AN73" i="8"/>
  <c r="AO73" i="8"/>
  <c r="AP73" i="8"/>
  <c r="AQ73" i="8"/>
  <c r="AR73" i="8"/>
  <c r="AS73" i="8"/>
  <c r="AT73" i="8"/>
  <c r="AU73" i="8"/>
  <c r="AV73" i="8"/>
  <c r="AW73" i="8"/>
  <c r="AX73" i="8"/>
  <c r="AY73" i="8"/>
  <c r="AZ73" i="8"/>
  <c r="BA73" i="8"/>
  <c r="BB73" i="8"/>
  <c r="BC73" i="8"/>
  <c r="BD73" i="8"/>
  <c r="BE73" i="8"/>
  <c r="BF73" i="8"/>
  <c r="BG73" i="8"/>
  <c r="BH73" i="8"/>
  <c r="BI73" i="8"/>
  <c r="BJ73" i="8"/>
  <c r="BK73" i="8"/>
  <c r="BL73" i="8"/>
  <c r="BM73" i="8"/>
  <c r="BN73" i="8"/>
  <c r="BO73" i="8"/>
  <c r="BP73" i="8"/>
  <c r="BQ73" i="8"/>
  <c r="BR73" i="8"/>
  <c r="BS73" i="8"/>
  <c r="BT73" i="8"/>
  <c r="BU73" i="8"/>
  <c r="BV73" i="8"/>
  <c r="BW73" i="8"/>
  <c r="BX73" i="8"/>
  <c r="BY73" i="8"/>
  <c r="BZ73" i="8"/>
  <c r="CA73" i="8"/>
  <c r="CB73" i="8"/>
  <c r="CC73" i="8"/>
  <c r="CD73" i="8"/>
  <c r="CE73" i="8"/>
  <c r="CF73" i="8"/>
  <c r="CG73" i="8"/>
  <c r="CH73" i="8"/>
  <c r="CI73" i="8"/>
  <c r="CJ73" i="8"/>
  <c r="CK73" i="8"/>
  <c r="CL73" i="8"/>
  <c r="CM73" i="8"/>
  <c r="CN73" i="8"/>
  <c r="CO73" i="8"/>
  <c r="CP73" i="8"/>
  <c r="CQ73" i="8"/>
  <c r="CR73" i="8"/>
  <c r="CS73" i="8"/>
  <c r="CT73" i="8"/>
  <c r="CU73" i="8"/>
  <c r="CV73" i="8"/>
  <c r="CW73" i="8"/>
  <c r="CX73" i="8"/>
  <c r="CY73" i="8"/>
  <c r="CZ73" i="8"/>
  <c r="DA73" i="8"/>
  <c r="DB73" i="8"/>
  <c r="DC73" i="8"/>
  <c r="DD73" i="8"/>
  <c r="DE73" i="8"/>
  <c r="DF73" i="8"/>
  <c r="DG73" i="8"/>
  <c r="DH73" i="8"/>
  <c r="DI73" i="8"/>
  <c r="DJ73" i="8"/>
  <c r="DK73" i="8"/>
  <c r="DL73" i="8"/>
  <c r="DM73" i="8"/>
  <c r="DN73" i="8"/>
  <c r="DO73" i="8"/>
  <c r="DP73" i="8"/>
  <c r="DQ73" i="8"/>
  <c r="DR73" i="8"/>
  <c r="DS73" i="8"/>
  <c r="DT73" i="8"/>
  <c r="DU73" i="8"/>
  <c r="DV73" i="8"/>
  <c r="DW73" i="8"/>
  <c r="DX73" i="8"/>
  <c r="DY73" i="8"/>
  <c r="DZ73" i="8"/>
  <c r="EA73" i="8"/>
  <c r="EB73" i="8"/>
  <c r="EC73" i="8"/>
  <c r="ED73" i="8"/>
  <c r="EE73" i="8"/>
  <c r="EF73" i="8"/>
  <c r="EG73" i="8"/>
  <c r="EH73" i="8"/>
  <c r="EI73" i="8"/>
  <c r="EJ73" i="8"/>
  <c r="EK73" i="8"/>
  <c r="EL73" i="8"/>
  <c r="EM73" i="8"/>
  <c r="EN73" i="8"/>
  <c r="EO73" i="8"/>
  <c r="EP73" i="8"/>
  <c r="EQ73" i="8"/>
  <c r="ER73" i="8"/>
  <c r="ES73" i="8"/>
  <c r="ET73" i="8"/>
  <c r="EU73" i="8"/>
  <c r="EV73" i="8"/>
  <c r="EW73" i="8"/>
  <c r="EX73" i="8"/>
  <c r="EY73" i="8"/>
  <c r="EZ73" i="8"/>
  <c r="FA73" i="8"/>
  <c r="FB73" i="8"/>
  <c r="FC73" i="8"/>
  <c r="FD73" i="8"/>
  <c r="FE73" i="8"/>
  <c r="FF73" i="8"/>
  <c r="FG73" i="8"/>
  <c r="FH73" i="8"/>
  <c r="FI73" i="8"/>
  <c r="FJ73" i="8"/>
  <c r="FK73" i="8"/>
  <c r="FL73" i="8"/>
  <c r="FM73" i="8"/>
  <c r="FN73" i="8"/>
  <c r="FO73" i="8"/>
  <c r="FP73" i="8"/>
  <c r="FQ73" i="8"/>
  <c r="FR73" i="8"/>
  <c r="FS73" i="8"/>
  <c r="FT73" i="8"/>
  <c r="FU73" i="8"/>
  <c r="FV73" i="8"/>
  <c r="FW73" i="8"/>
  <c r="FX73" i="8"/>
  <c r="FY73" i="8"/>
  <c r="FZ73" i="8"/>
  <c r="GA73" i="8"/>
  <c r="GB73" i="8"/>
  <c r="GC73" i="8"/>
  <c r="GD73" i="8"/>
  <c r="GE73" i="8"/>
  <c r="GF73" i="8"/>
  <c r="GG73" i="8"/>
  <c r="GH73" i="8"/>
  <c r="GI73" i="8"/>
  <c r="GJ73" i="8"/>
  <c r="GK73" i="8"/>
  <c r="GL73" i="8"/>
  <c r="GM73" i="8"/>
  <c r="GN73" i="8"/>
  <c r="GO73" i="8"/>
  <c r="GP73" i="8"/>
  <c r="GQ73" i="8"/>
  <c r="GR73" i="8"/>
  <c r="GS73" i="8"/>
  <c r="GT73" i="8"/>
  <c r="GU73" i="8"/>
  <c r="GV73" i="8"/>
  <c r="GW73" i="8"/>
  <c r="GX73" i="8"/>
  <c r="GY73" i="8"/>
  <c r="GZ73" i="8"/>
  <c r="HA73" i="8"/>
  <c r="HB73" i="8"/>
  <c r="HC73" i="8"/>
  <c r="HD73" i="8"/>
  <c r="HE73" i="8"/>
  <c r="HF73" i="8"/>
  <c r="HG73" i="8"/>
  <c r="HH73" i="8"/>
  <c r="HI73" i="8"/>
  <c r="HJ73" i="8"/>
  <c r="HK73" i="8"/>
  <c r="HL73" i="8"/>
  <c r="HM73" i="8"/>
  <c r="HN73" i="8"/>
  <c r="HO73" i="8"/>
  <c r="HP73" i="8"/>
  <c r="HQ73" i="8"/>
  <c r="HR73" i="8"/>
  <c r="HS73" i="8"/>
  <c r="HT73" i="8"/>
  <c r="HU73" i="8"/>
  <c r="HV73" i="8"/>
  <c r="HW73" i="8"/>
  <c r="HX73" i="8"/>
  <c r="HY73" i="8"/>
  <c r="HZ73" i="8"/>
  <c r="IA73" i="8"/>
  <c r="IB73" i="8"/>
  <c r="IC73" i="8"/>
  <c r="ID73" i="8"/>
  <c r="IE73" i="8"/>
  <c r="IF73" i="8"/>
  <c r="IG73" i="8"/>
  <c r="IH73" i="8"/>
  <c r="II73" i="8"/>
  <c r="IJ73" i="8"/>
  <c r="IK73" i="8"/>
  <c r="IL73" i="8"/>
  <c r="IM73" i="8"/>
  <c r="IN73" i="8"/>
  <c r="IO73" i="8"/>
  <c r="IP73" i="8"/>
  <c r="IQ73" i="8"/>
  <c r="IR73" i="8"/>
  <c r="IS73" i="8"/>
  <c r="IT73" i="8"/>
  <c r="IU73" i="8"/>
  <c r="IV73" i="8"/>
  <c r="F74" i="8"/>
  <c r="G74" i="8"/>
  <c r="H74" i="8"/>
  <c r="I74" i="8"/>
  <c r="J74" i="8"/>
  <c r="K74" i="8"/>
  <c r="L74" i="8"/>
  <c r="M74" i="8"/>
  <c r="N74" i="8"/>
  <c r="O74" i="8"/>
  <c r="P74" i="8"/>
  <c r="Q74" i="8"/>
  <c r="R74" i="8"/>
  <c r="S74" i="8"/>
  <c r="T74" i="8"/>
  <c r="U74" i="8"/>
  <c r="V74" i="8"/>
  <c r="W74" i="8"/>
  <c r="X74" i="8"/>
  <c r="Y74" i="8"/>
  <c r="Z74" i="8"/>
  <c r="AA74" i="8"/>
  <c r="AB74" i="8"/>
  <c r="AC74" i="8"/>
  <c r="AD74" i="8"/>
  <c r="AE74" i="8"/>
  <c r="AF74" i="8"/>
  <c r="AG74" i="8"/>
  <c r="AH74" i="8"/>
  <c r="AI74" i="8"/>
  <c r="AJ74" i="8"/>
  <c r="AK74" i="8"/>
  <c r="AL74" i="8"/>
  <c r="AM74" i="8"/>
  <c r="AN74" i="8"/>
  <c r="AO74" i="8"/>
  <c r="AP74" i="8"/>
  <c r="AQ74" i="8"/>
  <c r="AR74" i="8"/>
  <c r="AS74" i="8"/>
  <c r="AT74" i="8"/>
  <c r="AU74" i="8"/>
  <c r="AV74" i="8"/>
  <c r="AW74" i="8"/>
  <c r="AX74" i="8"/>
  <c r="AY74" i="8"/>
  <c r="AZ74" i="8"/>
  <c r="BA74" i="8"/>
  <c r="BB74" i="8"/>
  <c r="BC74" i="8"/>
  <c r="BD74" i="8"/>
  <c r="BE74" i="8"/>
  <c r="BF74" i="8"/>
  <c r="BG74" i="8"/>
  <c r="BH74" i="8"/>
  <c r="BI74" i="8"/>
  <c r="BJ74" i="8"/>
  <c r="BK74" i="8"/>
  <c r="BL74" i="8"/>
  <c r="BM74" i="8"/>
  <c r="BN74" i="8"/>
  <c r="BO74" i="8"/>
  <c r="BP74" i="8"/>
  <c r="BQ74" i="8"/>
  <c r="BR74" i="8"/>
  <c r="BS74" i="8"/>
  <c r="BT74" i="8"/>
  <c r="BU74" i="8"/>
  <c r="BV74" i="8"/>
  <c r="BW74" i="8"/>
  <c r="BX74" i="8"/>
  <c r="BY74" i="8"/>
  <c r="BZ74" i="8"/>
  <c r="CA74" i="8"/>
  <c r="CB74" i="8"/>
  <c r="CC74" i="8"/>
  <c r="CD74" i="8"/>
  <c r="CE74" i="8"/>
  <c r="CF74" i="8"/>
  <c r="CG74" i="8"/>
  <c r="CH74" i="8"/>
  <c r="CI74" i="8"/>
  <c r="CJ74" i="8"/>
  <c r="CK74" i="8"/>
  <c r="CL74" i="8"/>
  <c r="CM74" i="8"/>
  <c r="CN74" i="8"/>
  <c r="CO74" i="8"/>
  <c r="CP74" i="8"/>
  <c r="CQ74" i="8"/>
  <c r="CR74" i="8"/>
  <c r="CS74" i="8"/>
  <c r="CT74" i="8"/>
  <c r="CU74" i="8"/>
  <c r="CV74" i="8"/>
  <c r="CW74" i="8"/>
  <c r="CX74" i="8"/>
  <c r="CY74" i="8"/>
  <c r="CZ74" i="8"/>
  <c r="DA74" i="8"/>
  <c r="DB74" i="8"/>
  <c r="DC74" i="8"/>
  <c r="DD74" i="8"/>
  <c r="DE74" i="8"/>
  <c r="DF74" i="8"/>
  <c r="DG74" i="8"/>
  <c r="DH74" i="8"/>
  <c r="DI74" i="8"/>
  <c r="DJ74" i="8"/>
  <c r="DK74" i="8"/>
  <c r="DL74" i="8"/>
  <c r="DM74" i="8"/>
  <c r="DN74" i="8"/>
  <c r="DO74" i="8"/>
  <c r="DP74" i="8"/>
  <c r="DQ74" i="8"/>
  <c r="DR74" i="8"/>
  <c r="DS74" i="8"/>
  <c r="DT74" i="8"/>
  <c r="DU74" i="8"/>
  <c r="DV74" i="8"/>
  <c r="DW74" i="8"/>
  <c r="DX74" i="8"/>
  <c r="DY74" i="8"/>
  <c r="DZ74" i="8"/>
  <c r="EA74" i="8"/>
  <c r="EB74" i="8"/>
  <c r="EC74" i="8"/>
  <c r="ED74" i="8"/>
  <c r="EE74" i="8"/>
  <c r="EF74" i="8"/>
  <c r="EG74" i="8"/>
  <c r="EH74" i="8"/>
  <c r="EI74" i="8"/>
  <c r="EJ74" i="8"/>
  <c r="EK74" i="8"/>
  <c r="EL74" i="8"/>
  <c r="EM74" i="8"/>
  <c r="EN74" i="8"/>
  <c r="EO74" i="8"/>
  <c r="EP74" i="8"/>
  <c r="EQ74" i="8"/>
  <c r="ER74" i="8"/>
  <c r="ES74" i="8"/>
  <c r="ET74" i="8"/>
  <c r="EU74" i="8"/>
  <c r="EV74" i="8"/>
  <c r="EW74" i="8"/>
  <c r="EX74" i="8"/>
  <c r="EY74" i="8"/>
  <c r="EZ74" i="8"/>
  <c r="FA74" i="8"/>
  <c r="FB74" i="8"/>
  <c r="FC74" i="8"/>
  <c r="FD74" i="8"/>
  <c r="FE74" i="8"/>
  <c r="FF74" i="8"/>
  <c r="FG74" i="8"/>
  <c r="FH74" i="8"/>
  <c r="FI74" i="8"/>
  <c r="FJ74" i="8"/>
  <c r="FK74" i="8"/>
  <c r="FL74" i="8"/>
  <c r="FM74" i="8"/>
  <c r="FN74" i="8"/>
  <c r="FO74" i="8"/>
  <c r="FP74" i="8"/>
  <c r="FQ74" i="8"/>
  <c r="FR74" i="8"/>
  <c r="FS74" i="8"/>
  <c r="FT74" i="8"/>
  <c r="FU74" i="8"/>
  <c r="FV74" i="8"/>
  <c r="FW74" i="8"/>
  <c r="FX74" i="8"/>
  <c r="FY74" i="8"/>
  <c r="FZ74" i="8"/>
  <c r="GA74" i="8"/>
  <c r="GB74" i="8"/>
  <c r="GC74" i="8"/>
  <c r="GD74" i="8"/>
  <c r="GE74" i="8"/>
  <c r="GF74" i="8"/>
  <c r="GG74" i="8"/>
  <c r="GH74" i="8"/>
  <c r="GI74" i="8"/>
  <c r="GJ74" i="8"/>
  <c r="GK74" i="8"/>
  <c r="GL74" i="8"/>
  <c r="GM74" i="8"/>
  <c r="GN74" i="8"/>
  <c r="GO74" i="8"/>
  <c r="GP74" i="8"/>
  <c r="GQ74" i="8"/>
  <c r="GR74" i="8"/>
  <c r="GS74" i="8"/>
  <c r="GT74" i="8"/>
  <c r="GU74" i="8"/>
  <c r="GV74" i="8"/>
  <c r="GW74" i="8"/>
  <c r="GX74" i="8"/>
  <c r="GY74" i="8"/>
  <c r="GZ74" i="8"/>
  <c r="HA74" i="8"/>
  <c r="HB74" i="8"/>
  <c r="HC74" i="8"/>
  <c r="HD74" i="8"/>
  <c r="HE74" i="8"/>
  <c r="HF74" i="8"/>
  <c r="HG74" i="8"/>
  <c r="HH74" i="8"/>
  <c r="HI74" i="8"/>
  <c r="HJ74" i="8"/>
  <c r="HK74" i="8"/>
  <c r="HL74" i="8"/>
  <c r="HM74" i="8"/>
  <c r="HN74" i="8"/>
  <c r="HO74" i="8"/>
  <c r="HP74" i="8"/>
  <c r="HQ74" i="8"/>
  <c r="HR74" i="8"/>
  <c r="HS74" i="8"/>
  <c r="HT74" i="8"/>
  <c r="HU74" i="8"/>
  <c r="HV74" i="8"/>
  <c r="HW74" i="8"/>
  <c r="HX74" i="8"/>
  <c r="HY74" i="8"/>
  <c r="HZ74" i="8"/>
  <c r="IA74" i="8"/>
  <c r="IB74" i="8"/>
  <c r="IC74" i="8"/>
  <c r="ID74" i="8"/>
  <c r="IE74" i="8"/>
  <c r="IF74" i="8"/>
  <c r="IG74" i="8"/>
  <c r="IH74" i="8"/>
  <c r="II74" i="8"/>
  <c r="IJ74" i="8"/>
  <c r="IK74" i="8"/>
  <c r="IL74" i="8"/>
  <c r="IM74" i="8"/>
  <c r="IN74" i="8"/>
  <c r="IO74" i="8"/>
  <c r="IP74" i="8"/>
  <c r="IQ74" i="8"/>
  <c r="IR74" i="8"/>
  <c r="IS74" i="8"/>
  <c r="IT74" i="8"/>
  <c r="IU74" i="8"/>
  <c r="IV74" i="8"/>
  <c r="F75" i="8"/>
  <c r="G75" i="8"/>
  <c r="H75" i="8"/>
  <c r="I75" i="8"/>
  <c r="J75" i="8"/>
  <c r="K75" i="8"/>
  <c r="L75" i="8"/>
  <c r="M75" i="8"/>
  <c r="N75" i="8"/>
  <c r="O75" i="8"/>
  <c r="P75" i="8"/>
  <c r="Q75" i="8"/>
  <c r="R75" i="8"/>
  <c r="S75" i="8"/>
  <c r="T75" i="8"/>
  <c r="U75" i="8"/>
  <c r="V75" i="8"/>
  <c r="W75" i="8"/>
  <c r="X75" i="8"/>
  <c r="Y75" i="8"/>
  <c r="Z75" i="8"/>
  <c r="AA75" i="8"/>
  <c r="AB75" i="8"/>
  <c r="AC75" i="8"/>
  <c r="AD75" i="8"/>
  <c r="AE75" i="8"/>
  <c r="AF75" i="8"/>
  <c r="AG75" i="8"/>
  <c r="AH75" i="8"/>
  <c r="AI75" i="8"/>
  <c r="AJ75" i="8"/>
  <c r="AK75" i="8"/>
  <c r="AL75" i="8"/>
  <c r="AM75" i="8"/>
  <c r="AN75" i="8"/>
  <c r="AO75" i="8"/>
  <c r="AP75" i="8"/>
  <c r="AQ75" i="8"/>
  <c r="AR75" i="8"/>
  <c r="AS75" i="8"/>
  <c r="AT75" i="8"/>
  <c r="AU75" i="8"/>
  <c r="AV75" i="8"/>
  <c r="AW75" i="8"/>
  <c r="AX75" i="8"/>
  <c r="AY75" i="8"/>
  <c r="AZ75" i="8"/>
  <c r="BA75" i="8"/>
  <c r="BB75" i="8"/>
  <c r="BC75" i="8"/>
  <c r="BD75" i="8"/>
  <c r="BE75" i="8"/>
  <c r="BF75" i="8"/>
  <c r="BG75" i="8"/>
  <c r="BH75" i="8"/>
  <c r="BI75" i="8"/>
  <c r="BJ75" i="8"/>
  <c r="BK75" i="8"/>
  <c r="BL75" i="8"/>
  <c r="BM75" i="8"/>
  <c r="BN75" i="8"/>
  <c r="BO75" i="8"/>
  <c r="BP75" i="8"/>
  <c r="BQ75" i="8"/>
  <c r="BR75" i="8"/>
  <c r="BS75" i="8"/>
  <c r="BT75" i="8"/>
  <c r="BU75" i="8"/>
  <c r="BV75" i="8"/>
  <c r="BW75" i="8"/>
  <c r="BX75" i="8"/>
  <c r="BY75" i="8"/>
  <c r="BZ75" i="8"/>
  <c r="CA75" i="8"/>
  <c r="CB75" i="8"/>
  <c r="CC75" i="8"/>
  <c r="CD75" i="8"/>
  <c r="CE75" i="8"/>
  <c r="CF75" i="8"/>
  <c r="CG75" i="8"/>
  <c r="CH75" i="8"/>
  <c r="CI75" i="8"/>
  <c r="CJ75" i="8"/>
  <c r="CK75" i="8"/>
  <c r="CL75" i="8"/>
  <c r="CM75" i="8"/>
  <c r="CN75" i="8"/>
  <c r="CO75" i="8"/>
  <c r="CP75" i="8"/>
  <c r="CQ75" i="8"/>
  <c r="CR75" i="8"/>
  <c r="CS75" i="8"/>
  <c r="CT75" i="8"/>
  <c r="CU75" i="8"/>
  <c r="CV75" i="8"/>
  <c r="CW75" i="8"/>
  <c r="CX75" i="8"/>
  <c r="CY75" i="8"/>
  <c r="CZ75" i="8"/>
  <c r="DA75" i="8"/>
  <c r="DB75" i="8"/>
  <c r="DC75" i="8"/>
  <c r="DD75" i="8"/>
  <c r="DE75" i="8"/>
  <c r="DF75" i="8"/>
  <c r="DG75" i="8"/>
  <c r="DH75" i="8"/>
  <c r="DI75" i="8"/>
  <c r="DJ75" i="8"/>
  <c r="DK75" i="8"/>
  <c r="DL75" i="8"/>
  <c r="DM75" i="8"/>
  <c r="DN75" i="8"/>
  <c r="DO75" i="8"/>
  <c r="DP75" i="8"/>
  <c r="DQ75" i="8"/>
  <c r="DR75" i="8"/>
  <c r="DS75" i="8"/>
  <c r="DT75" i="8"/>
  <c r="DU75" i="8"/>
  <c r="DV75" i="8"/>
  <c r="DW75" i="8"/>
  <c r="DX75" i="8"/>
  <c r="DY75" i="8"/>
  <c r="DZ75" i="8"/>
  <c r="EA75" i="8"/>
  <c r="EB75" i="8"/>
  <c r="EC75" i="8"/>
  <c r="ED75" i="8"/>
  <c r="EE75" i="8"/>
  <c r="EF75" i="8"/>
  <c r="EG75" i="8"/>
  <c r="EH75" i="8"/>
  <c r="EI75" i="8"/>
  <c r="EJ75" i="8"/>
  <c r="EK75" i="8"/>
  <c r="EL75" i="8"/>
  <c r="EM75" i="8"/>
  <c r="EN75" i="8"/>
  <c r="EO75" i="8"/>
  <c r="EP75" i="8"/>
  <c r="EQ75" i="8"/>
  <c r="ER75" i="8"/>
  <c r="ES75" i="8"/>
  <c r="ET75" i="8"/>
  <c r="EU75" i="8"/>
  <c r="EV75" i="8"/>
  <c r="EW75" i="8"/>
  <c r="EX75" i="8"/>
  <c r="EY75" i="8"/>
  <c r="EZ75" i="8"/>
  <c r="FA75" i="8"/>
  <c r="FB75" i="8"/>
  <c r="FC75" i="8"/>
  <c r="FD75" i="8"/>
  <c r="FE75" i="8"/>
  <c r="FF75" i="8"/>
  <c r="FG75" i="8"/>
  <c r="FH75" i="8"/>
  <c r="FI75" i="8"/>
  <c r="FJ75" i="8"/>
  <c r="FK75" i="8"/>
  <c r="FL75" i="8"/>
  <c r="FM75" i="8"/>
  <c r="FN75" i="8"/>
  <c r="FO75" i="8"/>
  <c r="FP75" i="8"/>
  <c r="FQ75" i="8"/>
  <c r="FR75" i="8"/>
  <c r="FS75" i="8"/>
  <c r="FT75" i="8"/>
  <c r="FU75" i="8"/>
  <c r="FV75" i="8"/>
  <c r="FW75" i="8"/>
  <c r="FX75" i="8"/>
  <c r="FY75" i="8"/>
  <c r="FZ75" i="8"/>
  <c r="GA75" i="8"/>
  <c r="GB75" i="8"/>
  <c r="GC75" i="8"/>
  <c r="GD75" i="8"/>
  <c r="GE75" i="8"/>
  <c r="GF75" i="8"/>
  <c r="GG75" i="8"/>
  <c r="GH75" i="8"/>
  <c r="GI75" i="8"/>
  <c r="GJ75" i="8"/>
  <c r="GK75" i="8"/>
  <c r="GL75" i="8"/>
  <c r="GM75" i="8"/>
  <c r="GN75" i="8"/>
  <c r="GO75" i="8"/>
  <c r="GP75" i="8"/>
  <c r="GQ75" i="8"/>
  <c r="GR75" i="8"/>
  <c r="GS75" i="8"/>
  <c r="GT75" i="8"/>
  <c r="GU75" i="8"/>
  <c r="GV75" i="8"/>
  <c r="GW75" i="8"/>
  <c r="GX75" i="8"/>
  <c r="GY75" i="8"/>
  <c r="GZ75" i="8"/>
  <c r="HA75" i="8"/>
  <c r="HB75" i="8"/>
  <c r="HC75" i="8"/>
  <c r="HD75" i="8"/>
  <c r="HE75" i="8"/>
  <c r="HF75" i="8"/>
  <c r="HG75" i="8"/>
  <c r="HH75" i="8"/>
  <c r="HI75" i="8"/>
  <c r="HJ75" i="8"/>
  <c r="HK75" i="8"/>
  <c r="HL75" i="8"/>
  <c r="HM75" i="8"/>
  <c r="HN75" i="8"/>
  <c r="HO75" i="8"/>
  <c r="HP75" i="8"/>
  <c r="HQ75" i="8"/>
  <c r="HR75" i="8"/>
  <c r="HS75" i="8"/>
  <c r="HT75" i="8"/>
  <c r="HU75" i="8"/>
  <c r="HV75" i="8"/>
  <c r="HW75" i="8"/>
  <c r="HX75" i="8"/>
  <c r="HY75" i="8"/>
  <c r="HZ75" i="8"/>
  <c r="IA75" i="8"/>
  <c r="IB75" i="8"/>
  <c r="IC75" i="8"/>
  <c r="ID75" i="8"/>
  <c r="IE75" i="8"/>
  <c r="IF75" i="8"/>
  <c r="IG75" i="8"/>
  <c r="IH75" i="8"/>
  <c r="II75" i="8"/>
  <c r="IJ75" i="8"/>
  <c r="IK75" i="8"/>
  <c r="IL75" i="8"/>
  <c r="IM75" i="8"/>
  <c r="IN75" i="8"/>
  <c r="IO75" i="8"/>
  <c r="IP75" i="8"/>
  <c r="IQ75" i="8"/>
  <c r="IR75" i="8"/>
  <c r="IS75" i="8"/>
  <c r="IT75" i="8"/>
  <c r="IU75" i="8"/>
  <c r="IV75" i="8"/>
  <c r="F76" i="8"/>
  <c r="G76" i="8"/>
  <c r="H76" i="8"/>
  <c r="I76" i="8"/>
  <c r="J76" i="8"/>
  <c r="K76" i="8"/>
  <c r="L76" i="8"/>
  <c r="M76" i="8"/>
  <c r="N76" i="8"/>
  <c r="O76" i="8"/>
  <c r="P76" i="8"/>
  <c r="Q76" i="8"/>
  <c r="R76" i="8"/>
  <c r="S76" i="8"/>
  <c r="T76" i="8"/>
  <c r="U76" i="8"/>
  <c r="V76" i="8"/>
  <c r="W76" i="8"/>
  <c r="X76" i="8"/>
  <c r="Y76" i="8"/>
  <c r="Z76" i="8"/>
  <c r="AA76" i="8"/>
  <c r="AB76" i="8"/>
  <c r="AC76" i="8"/>
  <c r="AD76" i="8"/>
  <c r="AE76" i="8"/>
  <c r="AF76" i="8"/>
  <c r="AG76" i="8"/>
  <c r="AH76" i="8"/>
  <c r="AI76" i="8"/>
  <c r="AJ76" i="8"/>
  <c r="AK76" i="8"/>
  <c r="AL76" i="8"/>
  <c r="AM76" i="8"/>
  <c r="AN76" i="8"/>
  <c r="AO76" i="8"/>
  <c r="AP76" i="8"/>
  <c r="AQ76" i="8"/>
  <c r="AR76" i="8"/>
  <c r="AS76" i="8"/>
  <c r="AT76" i="8"/>
  <c r="AU76" i="8"/>
  <c r="AV76" i="8"/>
  <c r="AW76" i="8"/>
  <c r="AX76" i="8"/>
  <c r="AY76" i="8"/>
  <c r="AZ76" i="8"/>
  <c r="BA76" i="8"/>
  <c r="BB76" i="8"/>
  <c r="BC76" i="8"/>
  <c r="BD76" i="8"/>
  <c r="BE76" i="8"/>
  <c r="BF76" i="8"/>
  <c r="BG76" i="8"/>
  <c r="BH76" i="8"/>
  <c r="BI76" i="8"/>
  <c r="BJ76" i="8"/>
  <c r="BK76" i="8"/>
  <c r="BL76" i="8"/>
  <c r="BM76" i="8"/>
  <c r="BN76" i="8"/>
  <c r="BO76" i="8"/>
  <c r="BP76" i="8"/>
  <c r="BQ76" i="8"/>
  <c r="BR76" i="8"/>
  <c r="BS76" i="8"/>
  <c r="BT76" i="8"/>
  <c r="BU76" i="8"/>
  <c r="BV76" i="8"/>
  <c r="BW76" i="8"/>
  <c r="BX76" i="8"/>
  <c r="BY76" i="8"/>
  <c r="BZ76" i="8"/>
  <c r="CI76" i="8"/>
  <c r="CJ76" i="8"/>
  <c r="CK76" i="8"/>
  <c r="CL76" i="8"/>
  <c r="CM76" i="8"/>
  <c r="CN76" i="8"/>
  <c r="CO76" i="8"/>
  <c r="CP76" i="8"/>
  <c r="CQ76" i="8"/>
  <c r="CR76" i="8"/>
  <c r="CS76" i="8"/>
  <c r="CT76" i="8"/>
  <c r="CU76" i="8"/>
  <c r="CV76" i="8"/>
  <c r="CW76" i="8"/>
  <c r="CX76" i="8"/>
  <c r="CY76" i="8"/>
  <c r="CZ76" i="8"/>
  <c r="DA76" i="8"/>
  <c r="DB76" i="8"/>
  <c r="DK76" i="8"/>
  <c r="DL76" i="8"/>
  <c r="DM76" i="8"/>
  <c r="DN76" i="8"/>
  <c r="DO76" i="8"/>
  <c r="DP76" i="8"/>
  <c r="DQ76" i="8"/>
  <c r="DR76" i="8"/>
  <c r="DS76" i="8"/>
  <c r="DT76" i="8"/>
  <c r="DU76" i="8"/>
  <c r="DV76" i="8"/>
  <c r="DW76" i="8"/>
  <c r="DX76" i="8"/>
  <c r="DY76" i="8"/>
  <c r="DZ76" i="8"/>
  <c r="EA76" i="8"/>
  <c r="EB76" i="8"/>
  <c r="EC76" i="8"/>
  <c r="ED76" i="8"/>
  <c r="EE76" i="8"/>
  <c r="EF76" i="8"/>
  <c r="EG76" i="8"/>
  <c r="EH76" i="8"/>
  <c r="EI76" i="8"/>
  <c r="EJ76" i="8"/>
  <c r="EK76" i="8"/>
  <c r="EL76" i="8"/>
  <c r="EM76" i="8"/>
  <c r="EN76" i="8"/>
  <c r="EO76" i="8"/>
  <c r="EP76" i="8"/>
  <c r="EQ76" i="8"/>
  <c r="ER76" i="8"/>
  <c r="ES76" i="8"/>
  <c r="ET76" i="8"/>
  <c r="EU76" i="8"/>
  <c r="EV76" i="8"/>
  <c r="EW76" i="8"/>
  <c r="EX76" i="8"/>
  <c r="EY76" i="8"/>
  <c r="EZ76" i="8"/>
  <c r="FA76" i="8"/>
  <c r="FB76" i="8"/>
  <c r="FC76" i="8"/>
  <c r="FD76" i="8"/>
  <c r="FE76" i="8"/>
  <c r="FF76" i="8"/>
  <c r="FG76" i="8"/>
  <c r="FH76" i="8"/>
  <c r="FI76" i="8"/>
  <c r="FJ76" i="8"/>
  <c r="FK76" i="8"/>
  <c r="FL76" i="8"/>
  <c r="FM76" i="8"/>
  <c r="FN76" i="8"/>
  <c r="FO76" i="8"/>
  <c r="FP76" i="8"/>
  <c r="FQ76" i="8"/>
  <c r="FR76" i="8"/>
  <c r="FS76" i="8"/>
  <c r="FT76" i="8"/>
  <c r="FU76" i="8"/>
  <c r="FV76" i="8"/>
  <c r="FW76" i="8"/>
  <c r="FX76" i="8"/>
  <c r="FY76" i="8"/>
  <c r="FZ76" i="8"/>
  <c r="GA76" i="8"/>
  <c r="GB76" i="8"/>
  <c r="GC76" i="8"/>
  <c r="GD76" i="8"/>
  <c r="GE76" i="8"/>
  <c r="GF76" i="8"/>
  <c r="GG76" i="8"/>
  <c r="GH76" i="8"/>
  <c r="GI76" i="8"/>
  <c r="GJ76" i="8"/>
  <c r="GK76" i="8"/>
  <c r="GL76" i="8"/>
  <c r="GM76" i="8"/>
  <c r="GN76" i="8"/>
  <c r="GO76" i="8"/>
  <c r="GP76" i="8"/>
  <c r="GQ76" i="8"/>
  <c r="GR76" i="8"/>
  <c r="GS76" i="8"/>
  <c r="GT76" i="8"/>
  <c r="GU76" i="8"/>
  <c r="GV76" i="8"/>
  <c r="GW76" i="8"/>
  <c r="GX76" i="8"/>
  <c r="GY76" i="8"/>
  <c r="GZ76" i="8"/>
  <c r="HA76" i="8"/>
  <c r="HB76" i="8"/>
  <c r="HC76" i="8"/>
  <c r="HD76" i="8"/>
  <c r="HE76" i="8"/>
  <c r="HF76" i="8"/>
  <c r="HG76" i="8"/>
  <c r="HH76" i="8"/>
  <c r="HI76" i="8"/>
  <c r="HJ76" i="8"/>
  <c r="HK76" i="8"/>
  <c r="HL76" i="8"/>
  <c r="HM76" i="8"/>
  <c r="HN76" i="8"/>
  <c r="HO76" i="8"/>
  <c r="HP76" i="8"/>
  <c r="HQ76" i="8"/>
  <c r="HR76" i="8"/>
  <c r="HS76" i="8"/>
  <c r="HT76" i="8"/>
  <c r="HU76" i="8"/>
  <c r="HV76" i="8"/>
  <c r="HW76" i="8"/>
  <c r="HX76" i="8"/>
  <c r="HY76" i="8"/>
  <c r="HZ76" i="8"/>
  <c r="IA76" i="8"/>
  <c r="IB76" i="8"/>
  <c r="IC76" i="8"/>
  <c r="ID76" i="8"/>
  <c r="IE76" i="8"/>
  <c r="IF76" i="8"/>
  <c r="IG76" i="8"/>
  <c r="IH76" i="8"/>
  <c r="II76" i="8"/>
  <c r="IJ76" i="8"/>
  <c r="IK76" i="8"/>
  <c r="IL76" i="8"/>
  <c r="IM76" i="8"/>
  <c r="IN76" i="8"/>
  <c r="IO76" i="8"/>
  <c r="IP76" i="8"/>
  <c r="IQ76" i="8"/>
  <c r="IR76" i="8"/>
  <c r="IS76" i="8"/>
  <c r="IT76" i="8"/>
  <c r="IU76" i="8"/>
  <c r="IV76" i="8"/>
  <c r="F77" i="8"/>
  <c r="G77" i="8"/>
  <c r="H77" i="8"/>
  <c r="I77" i="8"/>
  <c r="J77" i="8"/>
  <c r="K77" i="8"/>
  <c r="L77" i="8"/>
  <c r="M77" i="8"/>
  <c r="N77" i="8"/>
  <c r="O77" i="8"/>
  <c r="P77" i="8"/>
  <c r="Q77" i="8"/>
  <c r="R77" i="8"/>
  <c r="S77" i="8"/>
  <c r="T77" i="8"/>
  <c r="U77" i="8"/>
  <c r="V77" i="8"/>
  <c r="W77" i="8"/>
  <c r="X77" i="8"/>
  <c r="Y77" i="8"/>
  <c r="Z77" i="8"/>
  <c r="AA77" i="8"/>
  <c r="AB77" i="8"/>
  <c r="AC77" i="8"/>
  <c r="AD77" i="8"/>
  <c r="AE77" i="8"/>
  <c r="AF77" i="8"/>
  <c r="AG77" i="8"/>
  <c r="AH77" i="8"/>
  <c r="AI77" i="8"/>
  <c r="AJ77" i="8"/>
  <c r="AK77" i="8"/>
  <c r="AL77" i="8"/>
  <c r="AM77" i="8"/>
  <c r="AN77" i="8"/>
  <c r="AO77" i="8"/>
  <c r="AP77" i="8"/>
  <c r="AQ77" i="8"/>
  <c r="AR77" i="8"/>
  <c r="AS77" i="8"/>
  <c r="AT77" i="8"/>
  <c r="AU77" i="8"/>
  <c r="AV77" i="8"/>
  <c r="AW77" i="8"/>
  <c r="AX77" i="8"/>
  <c r="AY77" i="8"/>
  <c r="AZ77" i="8"/>
  <c r="BA77" i="8"/>
  <c r="BB77" i="8"/>
  <c r="BC77" i="8"/>
  <c r="BD77" i="8"/>
  <c r="BE77" i="8"/>
  <c r="BF77" i="8"/>
  <c r="BG77" i="8"/>
  <c r="BH77" i="8"/>
  <c r="BI77" i="8"/>
  <c r="BJ77" i="8"/>
  <c r="BK77" i="8"/>
  <c r="BL77" i="8"/>
  <c r="BM77" i="8"/>
  <c r="BN77" i="8"/>
  <c r="BO77" i="8"/>
  <c r="BP77" i="8"/>
  <c r="BQ77" i="8"/>
  <c r="BR77" i="8"/>
  <c r="BS77" i="8"/>
  <c r="BT77" i="8"/>
  <c r="BU77" i="8"/>
  <c r="BV77" i="8"/>
  <c r="BW77" i="8"/>
  <c r="BX77" i="8"/>
  <c r="BY77" i="8"/>
  <c r="BZ77" i="8"/>
  <c r="CA77" i="8"/>
  <c r="CB77" i="8"/>
  <c r="CC77" i="8"/>
  <c r="CD77" i="8"/>
  <c r="CE77" i="8"/>
  <c r="CF77" i="8"/>
  <c r="CG77" i="8"/>
  <c r="CH77" i="8"/>
  <c r="CI77" i="8"/>
  <c r="CJ77" i="8"/>
  <c r="CK77" i="8"/>
  <c r="CL77" i="8"/>
  <c r="CM77" i="8"/>
  <c r="CN77" i="8"/>
  <c r="CO77" i="8"/>
  <c r="CP77" i="8"/>
  <c r="CQ77" i="8"/>
  <c r="CR77" i="8"/>
  <c r="CS77" i="8"/>
  <c r="CT77" i="8"/>
  <c r="CU77" i="8"/>
  <c r="CV77" i="8"/>
  <c r="CW77" i="8"/>
  <c r="CX77" i="8"/>
  <c r="CY77" i="8"/>
  <c r="CZ77" i="8"/>
  <c r="DA77" i="8"/>
  <c r="DB77" i="8"/>
  <c r="DC77" i="8"/>
  <c r="DD77" i="8"/>
  <c r="DE77" i="8"/>
  <c r="DF77" i="8"/>
  <c r="DG77" i="8"/>
  <c r="DH77" i="8"/>
  <c r="DI77" i="8"/>
  <c r="DJ77" i="8"/>
  <c r="DK77" i="8"/>
  <c r="DL77" i="8"/>
  <c r="DM77" i="8"/>
  <c r="DN77" i="8"/>
  <c r="DO77" i="8"/>
  <c r="DP77" i="8"/>
  <c r="DQ77" i="8"/>
  <c r="DR77" i="8"/>
  <c r="DS77" i="8"/>
  <c r="DT77" i="8"/>
  <c r="DU77" i="8"/>
  <c r="DV77" i="8"/>
  <c r="DW77" i="8"/>
  <c r="DX77" i="8"/>
  <c r="DY77" i="8"/>
  <c r="DZ77" i="8"/>
  <c r="EA77" i="8"/>
  <c r="EB77" i="8"/>
  <c r="EC77" i="8"/>
  <c r="ED77" i="8"/>
  <c r="EE77" i="8"/>
  <c r="EF77" i="8"/>
  <c r="EG77" i="8"/>
  <c r="EH77" i="8"/>
  <c r="EI77" i="8"/>
  <c r="EJ77" i="8"/>
  <c r="EK77" i="8"/>
  <c r="EL77" i="8"/>
  <c r="EM77" i="8"/>
  <c r="EN77" i="8"/>
  <c r="EO77" i="8"/>
  <c r="EP77" i="8"/>
  <c r="EQ77" i="8"/>
  <c r="ER77" i="8"/>
  <c r="ES77" i="8"/>
  <c r="ET77" i="8"/>
  <c r="EU77" i="8"/>
  <c r="EV77" i="8"/>
  <c r="EW77" i="8"/>
  <c r="EX77" i="8"/>
  <c r="EY77" i="8"/>
  <c r="EZ77" i="8"/>
  <c r="FA77" i="8"/>
  <c r="FB77" i="8"/>
  <c r="FC77" i="8"/>
  <c r="FD77" i="8"/>
  <c r="FE77" i="8"/>
  <c r="FF77" i="8"/>
  <c r="FG77" i="8"/>
  <c r="FH77" i="8"/>
  <c r="FI77" i="8"/>
  <c r="FJ77" i="8"/>
  <c r="FK77" i="8"/>
  <c r="FL77" i="8"/>
  <c r="FM77" i="8"/>
  <c r="FN77" i="8"/>
  <c r="FO77" i="8"/>
  <c r="FP77" i="8"/>
  <c r="FQ77" i="8"/>
  <c r="FR77" i="8"/>
  <c r="FS77" i="8"/>
  <c r="FT77" i="8"/>
  <c r="FU77" i="8"/>
  <c r="FV77" i="8"/>
  <c r="FW77" i="8"/>
  <c r="FX77" i="8"/>
  <c r="FY77" i="8"/>
  <c r="FZ77" i="8"/>
  <c r="GA77" i="8"/>
  <c r="GB77" i="8"/>
  <c r="GC77" i="8"/>
  <c r="GD77" i="8"/>
  <c r="GE77" i="8"/>
  <c r="GF77" i="8"/>
  <c r="GG77" i="8"/>
  <c r="GH77" i="8"/>
  <c r="GI77" i="8"/>
  <c r="GJ77" i="8"/>
  <c r="GK77" i="8"/>
  <c r="GL77" i="8"/>
  <c r="GM77" i="8"/>
  <c r="GN77" i="8"/>
  <c r="GO77" i="8"/>
  <c r="GP77" i="8"/>
  <c r="GQ77" i="8"/>
  <c r="GR77" i="8"/>
  <c r="GS77" i="8"/>
  <c r="GT77" i="8"/>
  <c r="GU77" i="8"/>
  <c r="GV77" i="8"/>
  <c r="GW77" i="8"/>
  <c r="GX77" i="8"/>
  <c r="GY77" i="8"/>
  <c r="GZ77" i="8"/>
  <c r="HA77" i="8"/>
  <c r="HB77" i="8"/>
  <c r="HC77" i="8"/>
  <c r="HD77" i="8"/>
  <c r="HE77" i="8"/>
  <c r="HF77" i="8"/>
  <c r="HG77" i="8"/>
  <c r="HH77" i="8"/>
  <c r="HI77" i="8"/>
  <c r="HJ77" i="8"/>
  <c r="HK77" i="8"/>
  <c r="HL77" i="8"/>
  <c r="HM77" i="8"/>
  <c r="HN77" i="8"/>
  <c r="HO77" i="8"/>
  <c r="HP77" i="8"/>
  <c r="HQ77" i="8"/>
  <c r="HR77" i="8"/>
  <c r="HS77" i="8"/>
  <c r="HT77" i="8"/>
  <c r="HU77" i="8"/>
  <c r="HV77" i="8"/>
  <c r="HW77" i="8"/>
  <c r="HX77" i="8"/>
  <c r="HY77" i="8"/>
  <c r="HZ77" i="8"/>
  <c r="IA77" i="8"/>
  <c r="IB77" i="8"/>
  <c r="IC77" i="8"/>
  <c r="ID77" i="8"/>
  <c r="IE77" i="8"/>
  <c r="IF77" i="8"/>
  <c r="IG77" i="8"/>
  <c r="IH77" i="8"/>
  <c r="II77" i="8"/>
  <c r="IJ77" i="8"/>
  <c r="IK77" i="8"/>
  <c r="IL77" i="8"/>
  <c r="IM77" i="8"/>
  <c r="IN77" i="8"/>
  <c r="IO77" i="8"/>
  <c r="IP77" i="8"/>
  <c r="IQ77" i="8"/>
  <c r="IR77" i="8"/>
  <c r="IS77" i="8"/>
  <c r="IT77" i="8"/>
  <c r="IU77" i="8"/>
  <c r="IV77" i="8"/>
  <c r="F78" i="8"/>
  <c r="G78" i="8"/>
  <c r="H78" i="8"/>
  <c r="I78" i="8"/>
  <c r="J78" i="8"/>
  <c r="K78" i="8"/>
  <c r="L78" i="8"/>
  <c r="M78" i="8"/>
  <c r="N78" i="8"/>
  <c r="O78" i="8"/>
  <c r="P78" i="8"/>
  <c r="Q78" i="8"/>
  <c r="R78" i="8"/>
  <c r="S78" i="8"/>
  <c r="T78" i="8"/>
  <c r="U78" i="8"/>
  <c r="V78" i="8"/>
  <c r="W78" i="8"/>
  <c r="X78" i="8"/>
  <c r="Y78" i="8"/>
  <c r="Z78" i="8"/>
  <c r="AA78" i="8"/>
  <c r="AB78" i="8"/>
  <c r="AC78" i="8"/>
  <c r="AD78" i="8"/>
  <c r="AE78" i="8"/>
  <c r="AF78" i="8"/>
  <c r="AG78" i="8"/>
  <c r="AH78" i="8"/>
  <c r="AI78" i="8"/>
  <c r="AJ78" i="8"/>
  <c r="AK78" i="8"/>
  <c r="AL78" i="8"/>
  <c r="AM78" i="8"/>
  <c r="AN78" i="8"/>
  <c r="AO78" i="8"/>
  <c r="AP78" i="8"/>
  <c r="AQ78" i="8"/>
  <c r="AR78" i="8"/>
  <c r="AS78" i="8"/>
  <c r="AT78" i="8"/>
  <c r="AU78" i="8"/>
  <c r="AV78" i="8"/>
  <c r="AW78" i="8"/>
  <c r="AX78" i="8"/>
  <c r="AY78" i="8"/>
  <c r="AZ78" i="8"/>
  <c r="BA78" i="8"/>
  <c r="BB78" i="8"/>
  <c r="BC78" i="8"/>
  <c r="BD78" i="8"/>
  <c r="BE78" i="8"/>
  <c r="BF78" i="8"/>
  <c r="BG78" i="8"/>
  <c r="BH78" i="8"/>
  <c r="BI78" i="8"/>
  <c r="BJ78" i="8"/>
  <c r="BK78" i="8"/>
  <c r="BL78" i="8"/>
  <c r="BM78" i="8"/>
  <c r="BN78" i="8"/>
  <c r="BO78" i="8"/>
  <c r="BP78" i="8"/>
  <c r="BQ78" i="8"/>
  <c r="BR78" i="8"/>
  <c r="BS78" i="8"/>
  <c r="BT78" i="8"/>
  <c r="BU78" i="8"/>
  <c r="BV78" i="8"/>
  <c r="BW78" i="8"/>
  <c r="BX78" i="8"/>
  <c r="BY78" i="8"/>
  <c r="BZ78" i="8"/>
  <c r="CA78" i="8"/>
  <c r="CB78" i="8"/>
  <c r="CC78" i="8"/>
  <c r="CD78" i="8"/>
  <c r="CE78" i="8"/>
  <c r="CF78" i="8"/>
  <c r="CG78" i="8"/>
  <c r="CH78" i="8"/>
  <c r="CI78" i="8"/>
  <c r="CJ78" i="8"/>
  <c r="CK78" i="8"/>
  <c r="CL78" i="8"/>
  <c r="CM78" i="8"/>
  <c r="CN78" i="8"/>
  <c r="CO78" i="8"/>
  <c r="CP78" i="8"/>
  <c r="CQ78" i="8"/>
  <c r="CR78" i="8"/>
  <c r="CS78" i="8"/>
  <c r="CT78" i="8"/>
  <c r="CU78" i="8"/>
  <c r="CV78" i="8"/>
  <c r="CW78" i="8"/>
  <c r="CX78" i="8"/>
  <c r="CY78" i="8"/>
  <c r="CZ78" i="8"/>
  <c r="DA78" i="8"/>
  <c r="DB78" i="8"/>
  <c r="DC78" i="8"/>
  <c r="DD78" i="8"/>
  <c r="DE78" i="8"/>
  <c r="DF78" i="8"/>
  <c r="DG78" i="8"/>
  <c r="DH78" i="8"/>
  <c r="DI78" i="8"/>
  <c r="DJ78" i="8"/>
  <c r="DK78" i="8"/>
  <c r="DL78" i="8"/>
  <c r="DM78" i="8"/>
  <c r="DN78" i="8"/>
  <c r="DO78" i="8"/>
  <c r="DP78" i="8"/>
  <c r="DQ78" i="8"/>
  <c r="DR78" i="8"/>
  <c r="DS78" i="8"/>
  <c r="DT78" i="8"/>
  <c r="DU78" i="8"/>
  <c r="DV78" i="8"/>
  <c r="DW78" i="8"/>
  <c r="DX78" i="8"/>
  <c r="DY78" i="8"/>
  <c r="DZ78" i="8"/>
  <c r="EA78" i="8"/>
  <c r="EB78" i="8"/>
  <c r="EC78" i="8"/>
  <c r="ED78" i="8"/>
  <c r="EE78" i="8"/>
  <c r="EF78" i="8"/>
  <c r="EG78" i="8"/>
  <c r="EH78" i="8"/>
  <c r="EI78" i="8"/>
  <c r="EJ78" i="8"/>
  <c r="EK78" i="8"/>
  <c r="EL78" i="8"/>
  <c r="EM78" i="8"/>
  <c r="EN78" i="8"/>
  <c r="EO78" i="8"/>
  <c r="EP78" i="8"/>
  <c r="EQ78" i="8"/>
  <c r="ER78" i="8"/>
  <c r="ES78" i="8"/>
  <c r="ET78" i="8"/>
  <c r="EU78" i="8"/>
  <c r="EV78" i="8"/>
  <c r="EW78" i="8"/>
  <c r="EX78" i="8"/>
  <c r="EY78" i="8"/>
  <c r="EZ78" i="8"/>
  <c r="FA78" i="8"/>
  <c r="FB78" i="8"/>
  <c r="FC78" i="8"/>
  <c r="FD78" i="8"/>
  <c r="FE78" i="8"/>
  <c r="FF78" i="8"/>
  <c r="FG78" i="8"/>
  <c r="FH78" i="8"/>
  <c r="FI78" i="8"/>
  <c r="FJ78" i="8"/>
  <c r="FK78" i="8"/>
  <c r="FL78" i="8"/>
  <c r="FM78" i="8"/>
  <c r="FN78" i="8"/>
  <c r="FO78" i="8"/>
  <c r="FP78" i="8"/>
  <c r="FQ78" i="8"/>
  <c r="FR78" i="8"/>
  <c r="FS78" i="8"/>
  <c r="FT78" i="8"/>
  <c r="FU78" i="8"/>
  <c r="FV78" i="8"/>
  <c r="FW78" i="8"/>
  <c r="FX78" i="8"/>
  <c r="FY78" i="8"/>
  <c r="FZ78" i="8"/>
  <c r="GA78" i="8"/>
  <c r="GB78" i="8"/>
  <c r="GC78" i="8"/>
  <c r="GD78" i="8"/>
  <c r="GE78" i="8"/>
  <c r="GF78" i="8"/>
  <c r="GG78" i="8"/>
  <c r="GH78" i="8"/>
  <c r="GI78" i="8"/>
  <c r="GJ78" i="8"/>
  <c r="GK78" i="8"/>
  <c r="GL78" i="8"/>
  <c r="GM78" i="8"/>
  <c r="GN78" i="8"/>
  <c r="GO78" i="8"/>
  <c r="GP78" i="8"/>
  <c r="GQ78" i="8"/>
  <c r="GR78" i="8"/>
  <c r="GS78" i="8"/>
  <c r="GT78" i="8"/>
  <c r="GU78" i="8"/>
  <c r="GV78" i="8"/>
  <c r="GW78" i="8"/>
  <c r="GX78" i="8"/>
  <c r="GY78" i="8"/>
  <c r="GZ78" i="8"/>
  <c r="HA78" i="8"/>
  <c r="HB78" i="8"/>
  <c r="HC78" i="8"/>
  <c r="HD78" i="8"/>
  <c r="HE78" i="8"/>
  <c r="HF78" i="8"/>
  <c r="HG78" i="8"/>
  <c r="HH78" i="8"/>
  <c r="HI78" i="8"/>
  <c r="HJ78" i="8"/>
  <c r="HK78" i="8"/>
  <c r="HL78" i="8"/>
  <c r="HM78" i="8"/>
  <c r="HN78" i="8"/>
  <c r="HO78" i="8"/>
  <c r="HP78" i="8"/>
  <c r="HQ78" i="8"/>
  <c r="HR78" i="8"/>
  <c r="HS78" i="8"/>
  <c r="HT78" i="8"/>
  <c r="HU78" i="8"/>
  <c r="HV78" i="8"/>
  <c r="HW78" i="8"/>
  <c r="HX78" i="8"/>
  <c r="HY78" i="8"/>
  <c r="HZ78" i="8"/>
  <c r="IA78" i="8"/>
  <c r="IB78" i="8"/>
  <c r="IC78" i="8"/>
  <c r="ID78" i="8"/>
  <c r="IE78" i="8"/>
  <c r="IF78" i="8"/>
  <c r="IG78" i="8"/>
  <c r="IH78" i="8"/>
  <c r="II78" i="8"/>
  <c r="IJ78" i="8"/>
  <c r="IK78" i="8"/>
  <c r="IL78" i="8"/>
  <c r="IM78" i="8"/>
  <c r="IN78" i="8"/>
  <c r="IO78" i="8"/>
  <c r="IP78" i="8"/>
  <c r="IQ78" i="8"/>
  <c r="IR78" i="8"/>
  <c r="IS78" i="8"/>
  <c r="IT78" i="8"/>
  <c r="IU78" i="8"/>
  <c r="IV78" i="8"/>
  <c r="F79" i="8"/>
  <c r="G79" i="8"/>
  <c r="H79" i="8"/>
  <c r="I79" i="8"/>
  <c r="J79" i="8"/>
  <c r="K79" i="8"/>
  <c r="L79" i="8"/>
  <c r="M79" i="8"/>
  <c r="N79" i="8"/>
  <c r="O79" i="8"/>
  <c r="P79" i="8"/>
  <c r="Q79" i="8"/>
  <c r="R79" i="8"/>
  <c r="S79" i="8"/>
  <c r="T79" i="8"/>
  <c r="U79" i="8"/>
  <c r="V79" i="8"/>
  <c r="W79" i="8"/>
  <c r="X79" i="8"/>
  <c r="Y79" i="8"/>
  <c r="Z79" i="8"/>
  <c r="AA79" i="8"/>
  <c r="AB79" i="8"/>
  <c r="AC79" i="8"/>
  <c r="AD79" i="8"/>
  <c r="AE79" i="8"/>
  <c r="AF79" i="8"/>
  <c r="AG79" i="8"/>
  <c r="AH79" i="8"/>
  <c r="AI79" i="8"/>
  <c r="AJ79" i="8"/>
  <c r="AK79" i="8"/>
  <c r="AL79" i="8"/>
  <c r="AM79" i="8"/>
  <c r="AN79" i="8"/>
  <c r="AO79" i="8"/>
  <c r="AP79" i="8"/>
  <c r="AQ79" i="8"/>
  <c r="AR79" i="8"/>
  <c r="AS79" i="8"/>
  <c r="AT79" i="8"/>
  <c r="AU79" i="8"/>
  <c r="AV79" i="8"/>
  <c r="AW79" i="8"/>
  <c r="AX79" i="8"/>
  <c r="AY79" i="8"/>
  <c r="AZ79" i="8"/>
  <c r="BA79" i="8"/>
  <c r="BB79" i="8"/>
  <c r="BC79" i="8"/>
  <c r="BD79" i="8"/>
  <c r="BE79" i="8"/>
  <c r="BF79" i="8"/>
  <c r="BG79" i="8"/>
  <c r="BH79" i="8"/>
  <c r="BI79" i="8"/>
  <c r="BJ79" i="8"/>
  <c r="BK79" i="8"/>
  <c r="BL79" i="8"/>
  <c r="BM79" i="8"/>
  <c r="BN79" i="8"/>
  <c r="BO79" i="8"/>
  <c r="BP79" i="8"/>
  <c r="BQ79" i="8"/>
  <c r="BR79" i="8"/>
  <c r="BS79" i="8"/>
  <c r="BT79" i="8"/>
  <c r="BU79" i="8"/>
  <c r="BV79" i="8"/>
  <c r="BW79" i="8"/>
  <c r="BX79" i="8"/>
  <c r="BY79" i="8"/>
  <c r="BZ79" i="8"/>
  <c r="CA79" i="8"/>
  <c r="CB79" i="8"/>
  <c r="CC79" i="8"/>
  <c r="CD79" i="8"/>
  <c r="CE79" i="8"/>
  <c r="CF79" i="8"/>
  <c r="CG79" i="8"/>
  <c r="CH79" i="8"/>
  <c r="CI79" i="8"/>
  <c r="CJ79" i="8"/>
  <c r="CK79" i="8"/>
  <c r="CL79" i="8"/>
  <c r="CM79" i="8"/>
  <c r="CN79" i="8"/>
  <c r="CO79" i="8"/>
  <c r="CP79" i="8"/>
  <c r="CQ79" i="8"/>
  <c r="CR79" i="8"/>
  <c r="CS79" i="8"/>
  <c r="CT79" i="8"/>
  <c r="CU79" i="8"/>
  <c r="CV79" i="8"/>
  <c r="CW79" i="8"/>
  <c r="CX79" i="8"/>
  <c r="CY79" i="8"/>
  <c r="CZ79" i="8"/>
  <c r="DA79" i="8"/>
  <c r="DB79" i="8"/>
  <c r="DC79" i="8"/>
  <c r="DD79" i="8"/>
  <c r="DE79" i="8"/>
  <c r="DF79" i="8"/>
  <c r="DG79" i="8"/>
  <c r="DH79" i="8"/>
  <c r="DI79" i="8"/>
  <c r="DJ79" i="8"/>
  <c r="DK79" i="8"/>
  <c r="DL79" i="8"/>
  <c r="DM79" i="8"/>
  <c r="DN79" i="8"/>
  <c r="DO79" i="8"/>
  <c r="DP79" i="8"/>
  <c r="DQ79" i="8"/>
  <c r="DR79" i="8"/>
  <c r="DS79" i="8"/>
  <c r="DT79" i="8"/>
  <c r="DU79" i="8"/>
  <c r="DV79" i="8"/>
  <c r="DW79" i="8"/>
  <c r="DX79" i="8"/>
  <c r="DY79" i="8"/>
  <c r="DZ79" i="8"/>
  <c r="EA79" i="8"/>
  <c r="EB79" i="8"/>
  <c r="EC79" i="8"/>
  <c r="ED79" i="8"/>
  <c r="EE79" i="8"/>
  <c r="EF79" i="8"/>
  <c r="EG79" i="8"/>
  <c r="EH79" i="8"/>
  <c r="EI79" i="8"/>
  <c r="EJ79" i="8"/>
  <c r="EK79" i="8"/>
  <c r="EL79" i="8"/>
  <c r="EM79" i="8"/>
  <c r="EN79" i="8"/>
  <c r="EO79" i="8"/>
  <c r="EP79" i="8"/>
  <c r="EQ79" i="8"/>
  <c r="ER79" i="8"/>
  <c r="ES79" i="8"/>
  <c r="ET79" i="8"/>
  <c r="EU79" i="8"/>
  <c r="EV79" i="8"/>
  <c r="EW79" i="8"/>
  <c r="EX79" i="8"/>
  <c r="EY79" i="8"/>
  <c r="EZ79" i="8"/>
  <c r="FA79" i="8"/>
  <c r="FB79" i="8"/>
  <c r="FC79" i="8"/>
  <c r="FD79" i="8"/>
  <c r="FE79" i="8"/>
  <c r="FF79" i="8"/>
  <c r="FG79" i="8"/>
  <c r="FH79" i="8"/>
  <c r="FI79" i="8"/>
  <c r="FJ79" i="8"/>
  <c r="FK79" i="8"/>
  <c r="FL79" i="8"/>
  <c r="FM79" i="8"/>
  <c r="FN79" i="8"/>
  <c r="FO79" i="8"/>
  <c r="FP79" i="8"/>
  <c r="FQ79" i="8"/>
  <c r="FR79" i="8"/>
  <c r="FS79" i="8"/>
  <c r="FT79" i="8"/>
  <c r="FU79" i="8"/>
  <c r="FV79" i="8"/>
  <c r="FW79" i="8"/>
  <c r="FX79" i="8"/>
  <c r="FY79" i="8"/>
  <c r="FZ79" i="8"/>
  <c r="GA79" i="8"/>
  <c r="GB79" i="8"/>
  <c r="GC79" i="8"/>
  <c r="GD79" i="8"/>
  <c r="GE79" i="8"/>
  <c r="GF79" i="8"/>
  <c r="GG79" i="8"/>
  <c r="GH79" i="8"/>
  <c r="GI79" i="8"/>
  <c r="GJ79" i="8"/>
  <c r="GK79" i="8"/>
  <c r="GL79" i="8"/>
  <c r="GM79" i="8"/>
  <c r="GN79" i="8"/>
  <c r="GO79" i="8"/>
  <c r="GP79" i="8"/>
  <c r="GQ79" i="8"/>
  <c r="GR79" i="8"/>
  <c r="GS79" i="8"/>
  <c r="GT79" i="8"/>
  <c r="GU79" i="8"/>
  <c r="GV79" i="8"/>
  <c r="GW79" i="8"/>
  <c r="GX79" i="8"/>
  <c r="GY79" i="8"/>
  <c r="GZ79" i="8"/>
  <c r="HA79" i="8"/>
  <c r="HB79" i="8"/>
  <c r="HC79" i="8"/>
  <c r="HD79" i="8"/>
  <c r="HE79" i="8"/>
  <c r="HF79" i="8"/>
  <c r="HG79" i="8"/>
  <c r="HH79" i="8"/>
  <c r="HI79" i="8"/>
  <c r="HJ79" i="8"/>
  <c r="HK79" i="8"/>
  <c r="HL79" i="8"/>
  <c r="HM79" i="8"/>
  <c r="HN79" i="8"/>
  <c r="HO79" i="8"/>
  <c r="HP79" i="8"/>
  <c r="HQ79" i="8"/>
  <c r="HR79" i="8"/>
  <c r="HS79" i="8"/>
  <c r="HT79" i="8"/>
  <c r="HU79" i="8"/>
  <c r="HV79" i="8"/>
  <c r="HW79" i="8"/>
  <c r="HX79" i="8"/>
  <c r="HY79" i="8"/>
  <c r="HZ79" i="8"/>
  <c r="IA79" i="8"/>
  <c r="IB79" i="8"/>
  <c r="IC79" i="8"/>
  <c r="ID79" i="8"/>
  <c r="IE79" i="8"/>
  <c r="IF79" i="8"/>
  <c r="IG79" i="8"/>
  <c r="IH79" i="8"/>
  <c r="II79" i="8"/>
  <c r="IJ79" i="8"/>
  <c r="IK79" i="8"/>
  <c r="IL79" i="8"/>
  <c r="IM79" i="8"/>
  <c r="IN79" i="8"/>
  <c r="IO79" i="8"/>
  <c r="IP79" i="8"/>
  <c r="IQ79" i="8"/>
  <c r="IR79" i="8"/>
  <c r="IS79" i="8"/>
  <c r="IT79" i="8"/>
  <c r="IU79" i="8"/>
  <c r="IV79" i="8"/>
  <c r="F80" i="8"/>
  <c r="G80" i="8"/>
  <c r="H80" i="8"/>
  <c r="I80" i="8"/>
  <c r="J80" i="8"/>
  <c r="K80" i="8"/>
  <c r="L80" i="8"/>
  <c r="M80" i="8"/>
  <c r="N80" i="8"/>
  <c r="O80" i="8"/>
  <c r="P80" i="8"/>
  <c r="Q80" i="8"/>
  <c r="R80" i="8"/>
  <c r="S80" i="8"/>
  <c r="T80" i="8"/>
  <c r="U80" i="8"/>
  <c r="V80" i="8"/>
  <c r="W80" i="8"/>
  <c r="X80" i="8"/>
  <c r="Y80" i="8"/>
  <c r="Z80" i="8"/>
  <c r="AA80" i="8"/>
  <c r="AB80" i="8"/>
  <c r="AC80" i="8"/>
  <c r="AD80" i="8"/>
  <c r="AE80" i="8"/>
  <c r="AF80" i="8"/>
  <c r="AG80" i="8"/>
  <c r="AH80" i="8"/>
  <c r="AI80" i="8"/>
  <c r="AJ80" i="8"/>
  <c r="AK80" i="8"/>
  <c r="AL80" i="8"/>
  <c r="AM80" i="8"/>
  <c r="AN80" i="8"/>
  <c r="AO80" i="8"/>
  <c r="AP80" i="8"/>
  <c r="AQ80" i="8"/>
  <c r="AR80" i="8"/>
  <c r="AS80" i="8"/>
  <c r="AT80" i="8"/>
  <c r="AU80" i="8"/>
  <c r="AV80" i="8"/>
  <c r="AW80" i="8"/>
  <c r="AX80" i="8"/>
  <c r="AY80" i="8"/>
  <c r="AZ80" i="8"/>
  <c r="BA80" i="8"/>
  <c r="BB80" i="8"/>
  <c r="BC80" i="8"/>
  <c r="BD80" i="8"/>
  <c r="BE80" i="8"/>
  <c r="BF80" i="8"/>
  <c r="BG80" i="8"/>
  <c r="BH80" i="8"/>
  <c r="BI80" i="8"/>
  <c r="BJ80" i="8"/>
  <c r="BK80" i="8"/>
  <c r="BL80" i="8"/>
  <c r="BM80" i="8"/>
  <c r="BN80" i="8"/>
  <c r="BO80" i="8"/>
  <c r="BP80" i="8"/>
  <c r="BQ80" i="8"/>
  <c r="BR80" i="8"/>
  <c r="BS80" i="8"/>
  <c r="BT80" i="8"/>
  <c r="BU80" i="8"/>
  <c r="BV80" i="8"/>
  <c r="BW80" i="8"/>
  <c r="BX80" i="8"/>
  <c r="BY80" i="8"/>
  <c r="BZ80" i="8"/>
  <c r="CA80" i="8"/>
  <c r="CB80" i="8"/>
  <c r="CC80" i="8"/>
  <c r="CD80" i="8"/>
  <c r="CE80" i="8"/>
  <c r="CF80" i="8"/>
  <c r="CG80" i="8"/>
  <c r="CH80" i="8"/>
  <c r="CI80" i="8"/>
  <c r="CJ80" i="8"/>
  <c r="CK80" i="8"/>
  <c r="CL80" i="8"/>
  <c r="CM80" i="8"/>
  <c r="CN80" i="8"/>
  <c r="CO80" i="8"/>
  <c r="CP80" i="8"/>
  <c r="CQ80" i="8"/>
  <c r="CR80" i="8"/>
  <c r="CS80" i="8"/>
  <c r="CT80" i="8"/>
  <c r="CU80" i="8"/>
  <c r="CV80" i="8"/>
  <c r="CW80" i="8"/>
  <c r="CX80" i="8"/>
  <c r="CY80" i="8"/>
  <c r="CZ80" i="8"/>
  <c r="DA80" i="8"/>
  <c r="DB80" i="8"/>
  <c r="DC80" i="8"/>
  <c r="DD80" i="8"/>
  <c r="DE80" i="8"/>
  <c r="DF80" i="8"/>
  <c r="DG80" i="8"/>
  <c r="DH80" i="8"/>
  <c r="DI80" i="8"/>
  <c r="DJ80" i="8"/>
  <c r="DK80" i="8"/>
  <c r="DL80" i="8"/>
  <c r="DM80" i="8"/>
  <c r="DN80" i="8"/>
  <c r="DO80" i="8"/>
  <c r="DP80" i="8"/>
  <c r="DQ80" i="8"/>
  <c r="DR80" i="8"/>
  <c r="DS80" i="8"/>
  <c r="DT80" i="8"/>
  <c r="DU80" i="8"/>
  <c r="DV80" i="8"/>
  <c r="DW80" i="8"/>
  <c r="DX80" i="8"/>
  <c r="DY80" i="8"/>
  <c r="DZ80" i="8"/>
  <c r="EA80" i="8"/>
  <c r="EB80" i="8"/>
  <c r="EC80" i="8"/>
  <c r="ED80" i="8"/>
  <c r="EE80" i="8"/>
  <c r="EF80" i="8"/>
  <c r="EG80" i="8"/>
  <c r="EH80" i="8"/>
  <c r="EI80" i="8"/>
  <c r="EJ80" i="8"/>
  <c r="EK80" i="8"/>
  <c r="EL80" i="8"/>
  <c r="EM80" i="8"/>
  <c r="EN80" i="8"/>
  <c r="EO80" i="8"/>
  <c r="EP80" i="8"/>
  <c r="EQ80" i="8"/>
  <c r="ER80" i="8"/>
  <c r="ES80" i="8"/>
  <c r="ET80" i="8"/>
  <c r="EU80" i="8"/>
  <c r="EV80" i="8"/>
  <c r="EW80" i="8"/>
  <c r="EX80" i="8"/>
  <c r="EY80" i="8"/>
  <c r="EZ80" i="8"/>
  <c r="FA80" i="8"/>
  <c r="FB80" i="8"/>
  <c r="FC80" i="8"/>
  <c r="FD80" i="8"/>
  <c r="FE80" i="8"/>
  <c r="FF80" i="8"/>
  <c r="FG80" i="8"/>
  <c r="FH80" i="8"/>
  <c r="FI80" i="8"/>
  <c r="FJ80" i="8"/>
  <c r="FK80" i="8"/>
  <c r="FL80" i="8"/>
  <c r="FM80" i="8"/>
  <c r="FN80" i="8"/>
  <c r="FO80" i="8"/>
  <c r="FP80" i="8"/>
  <c r="FQ80" i="8"/>
  <c r="FR80" i="8"/>
  <c r="FS80" i="8"/>
  <c r="FT80" i="8"/>
  <c r="FU80" i="8"/>
  <c r="FV80" i="8"/>
  <c r="FW80" i="8"/>
  <c r="FX80" i="8"/>
  <c r="FY80" i="8"/>
  <c r="FZ80" i="8"/>
  <c r="GA80" i="8"/>
  <c r="GB80" i="8"/>
  <c r="GC80" i="8"/>
  <c r="GD80" i="8"/>
  <c r="GE80" i="8"/>
  <c r="GF80" i="8"/>
  <c r="GG80" i="8"/>
  <c r="GH80" i="8"/>
  <c r="GI80" i="8"/>
  <c r="GJ80" i="8"/>
  <c r="GK80" i="8"/>
  <c r="GL80" i="8"/>
  <c r="GM80" i="8"/>
  <c r="GN80" i="8"/>
  <c r="GO80" i="8"/>
  <c r="GP80" i="8"/>
  <c r="GQ80" i="8"/>
  <c r="GR80" i="8"/>
  <c r="GS80" i="8"/>
  <c r="GT80" i="8"/>
  <c r="GU80" i="8"/>
  <c r="GV80" i="8"/>
  <c r="GW80" i="8"/>
  <c r="GX80" i="8"/>
  <c r="GY80" i="8"/>
  <c r="GZ80" i="8"/>
  <c r="HA80" i="8"/>
  <c r="HB80" i="8"/>
  <c r="HC80" i="8"/>
  <c r="HD80" i="8"/>
  <c r="HE80" i="8"/>
  <c r="HF80" i="8"/>
  <c r="HG80" i="8"/>
  <c r="HH80" i="8"/>
  <c r="HI80" i="8"/>
  <c r="HJ80" i="8"/>
  <c r="HK80" i="8"/>
  <c r="HL80" i="8"/>
  <c r="HM80" i="8"/>
  <c r="HN80" i="8"/>
  <c r="HO80" i="8"/>
  <c r="HP80" i="8"/>
  <c r="HQ80" i="8"/>
  <c r="HR80" i="8"/>
  <c r="HS80" i="8"/>
  <c r="HT80" i="8"/>
  <c r="HU80" i="8"/>
  <c r="HV80" i="8"/>
  <c r="HW80" i="8"/>
  <c r="HX80" i="8"/>
  <c r="HY80" i="8"/>
  <c r="HZ80" i="8"/>
  <c r="IA80" i="8"/>
  <c r="IB80" i="8"/>
  <c r="IC80" i="8"/>
  <c r="ID80" i="8"/>
  <c r="IE80" i="8"/>
  <c r="IF80" i="8"/>
  <c r="IG80" i="8"/>
  <c r="IH80" i="8"/>
  <c r="II80" i="8"/>
  <c r="IJ80" i="8"/>
  <c r="IK80" i="8"/>
  <c r="IL80" i="8"/>
  <c r="IM80" i="8"/>
  <c r="IN80" i="8"/>
  <c r="IO80" i="8"/>
  <c r="IP80" i="8"/>
  <c r="IQ80" i="8"/>
  <c r="IR80" i="8"/>
  <c r="IS80" i="8"/>
  <c r="IT80" i="8"/>
  <c r="IU80" i="8"/>
  <c r="IV80" i="8"/>
  <c r="F81" i="8"/>
  <c r="G81" i="8"/>
  <c r="H81" i="8"/>
  <c r="I81" i="8"/>
  <c r="J81" i="8"/>
  <c r="K81" i="8"/>
  <c r="L81" i="8"/>
  <c r="M81" i="8"/>
  <c r="N81" i="8"/>
  <c r="O81" i="8"/>
  <c r="P81" i="8"/>
  <c r="Q81" i="8"/>
  <c r="R81" i="8"/>
  <c r="S81" i="8"/>
  <c r="T81" i="8"/>
  <c r="U81" i="8"/>
  <c r="V81" i="8"/>
  <c r="W81" i="8"/>
  <c r="X81" i="8"/>
  <c r="Y81" i="8"/>
  <c r="Z81" i="8"/>
  <c r="AA81" i="8"/>
  <c r="AB81" i="8"/>
  <c r="AC81" i="8"/>
  <c r="AD81" i="8"/>
  <c r="AE81" i="8"/>
  <c r="AF81" i="8"/>
  <c r="AG81" i="8"/>
  <c r="AH81" i="8"/>
  <c r="AI81" i="8"/>
  <c r="AJ81" i="8"/>
  <c r="AK81" i="8"/>
  <c r="AL81" i="8"/>
  <c r="AM81" i="8"/>
  <c r="AN81" i="8"/>
  <c r="AO81" i="8"/>
  <c r="AP81" i="8"/>
  <c r="AQ81" i="8"/>
  <c r="AR81" i="8"/>
  <c r="AS81" i="8"/>
  <c r="AT81" i="8"/>
  <c r="AU81" i="8"/>
  <c r="AV81" i="8"/>
  <c r="AW81" i="8"/>
  <c r="AX81" i="8"/>
  <c r="AY81" i="8"/>
  <c r="AZ81" i="8"/>
  <c r="BA81" i="8"/>
  <c r="BB81" i="8"/>
  <c r="BC81" i="8"/>
  <c r="BD81" i="8"/>
  <c r="BE81" i="8"/>
  <c r="BF81" i="8"/>
  <c r="BG81" i="8"/>
  <c r="BH81" i="8"/>
  <c r="BI81" i="8"/>
  <c r="BJ81" i="8"/>
  <c r="BK81" i="8"/>
  <c r="BL81" i="8"/>
  <c r="BM81" i="8"/>
  <c r="BN81" i="8"/>
  <c r="BO81" i="8"/>
  <c r="BP81" i="8"/>
  <c r="BQ81" i="8"/>
  <c r="BR81" i="8"/>
  <c r="BS81" i="8"/>
  <c r="BT81" i="8"/>
  <c r="BU81" i="8"/>
  <c r="BV81" i="8"/>
  <c r="BW81" i="8"/>
  <c r="BX81" i="8"/>
  <c r="BY81" i="8"/>
  <c r="BZ81" i="8"/>
  <c r="CA81" i="8"/>
  <c r="CB81" i="8"/>
  <c r="CC81" i="8"/>
  <c r="CD81" i="8"/>
  <c r="CE81" i="8"/>
  <c r="CF81" i="8"/>
  <c r="CG81" i="8"/>
  <c r="CH81" i="8"/>
  <c r="CI81" i="8"/>
  <c r="CJ81" i="8"/>
  <c r="CK81" i="8"/>
  <c r="CL81" i="8"/>
  <c r="CM81" i="8"/>
  <c r="CN81" i="8"/>
  <c r="CO81" i="8"/>
  <c r="CP81" i="8"/>
  <c r="CQ81" i="8"/>
  <c r="CR81" i="8"/>
  <c r="CS81" i="8"/>
  <c r="CT81" i="8"/>
  <c r="CU81" i="8"/>
  <c r="CV81" i="8"/>
  <c r="CW81" i="8"/>
  <c r="CX81" i="8"/>
  <c r="CY81" i="8"/>
  <c r="CZ81" i="8"/>
  <c r="DA81" i="8"/>
  <c r="DB81" i="8"/>
  <c r="DC81" i="8"/>
  <c r="DD81" i="8"/>
  <c r="DE81" i="8"/>
  <c r="DF81" i="8"/>
  <c r="DG81" i="8"/>
  <c r="DH81" i="8"/>
  <c r="DI81" i="8"/>
  <c r="DJ81" i="8"/>
  <c r="DK81" i="8"/>
  <c r="DL81" i="8"/>
  <c r="DM81" i="8"/>
  <c r="DN81" i="8"/>
  <c r="DO81" i="8"/>
  <c r="DP81" i="8"/>
  <c r="DQ81" i="8"/>
  <c r="DR81" i="8"/>
  <c r="DS81" i="8"/>
  <c r="DT81" i="8"/>
  <c r="DU81" i="8"/>
  <c r="DV81" i="8"/>
  <c r="DW81" i="8"/>
  <c r="DX81" i="8"/>
  <c r="DY81" i="8"/>
  <c r="DZ81" i="8"/>
  <c r="EA81" i="8"/>
  <c r="EB81" i="8"/>
  <c r="EC81" i="8"/>
  <c r="ED81" i="8"/>
  <c r="EE81" i="8"/>
  <c r="EF81" i="8"/>
  <c r="EG81" i="8"/>
  <c r="EH81" i="8"/>
  <c r="EI81" i="8"/>
  <c r="EJ81" i="8"/>
  <c r="EK81" i="8"/>
  <c r="EL81" i="8"/>
  <c r="EM81" i="8"/>
  <c r="EN81" i="8"/>
  <c r="EO81" i="8"/>
  <c r="EP81" i="8"/>
  <c r="EQ81" i="8"/>
  <c r="ER81" i="8"/>
  <c r="ES81" i="8"/>
  <c r="ET81" i="8"/>
  <c r="EU81" i="8"/>
  <c r="EV81" i="8"/>
  <c r="EW81" i="8"/>
  <c r="EX81" i="8"/>
  <c r="EY81" i="8"/>
  <c r="EZ81" i="8"/>
  <c r="FA81" i="8"/>
  <c r="FB81" i="8"/>
  <c r="FC81" i="8"/>
  <c r="FD81" i="8"/>
  <c r="FE81" i="8"/>
  <c r="FF81" i="8"/>
  <c r="FG81" i="8"/>
  <c r="FH81" i="8"/>
  <c r="FI81" i="8"/>
  <c r="FJ81" i="8"/>
  <c r="FK81" i="8"/>
  <c r="FL81" i="8"/>
  <c r="FM81" i="8"/>
  <c r="FN81" i="8"/>
  <c r="FO81" i="8"/>
  <c r="FP81" i="8"/>
  <c r="FQ81" i="8"/>
  <c r="FR81" i="8"/>
  <c r="FS81" i="8"/>
  <c r="FT81" i="8"/>
  <c r="FU81" i="8"/>
  <c r="FV81" i="8"/>
  <c r="FW81" i="8"/>
  <c r="FX81" i="8"/>
  <c r="FY81" i="8"/>
  <c r="FZ81" i="8"/>
  <c r="GA81" i="8"/>
  <c r="GB81" i="8"/>
  <c r="GC81" i="8"/>
  <c r="GD81" i="8"/>
  <c r="GE81" i="8"/>
  <c r="GF81" i="8"/>
  <c r="GG81" i="8"/>
  <c r="GH81" i="8"/>
  <c r="GI81" i="8"/>
  <c r="GJ81" i="8"/>
  <c r="GK81" i="8"/>
  <c r="GL81" i="8"/>
  <c r="GM81" i="8"/>
  <c r="GN81" i="8"/>
  <c r="GO81" i="8"/>
  <c r="GP81" i="8"/>
  <c r="GQ81" i="8"/>
  <c r="GR81" i="8"/>
  <c r="GS81" i="8"/>
  <c r="GT81" i="8"/>
  <c r="GU81" i="8"/>
  <c r="GV81" i="8"/>
  <c r="GW81" i="8"/>
  <c r="GX81" i="8"/>
  <c r="GY81" i="8"/>
  <c r="GZ81" i="8"/>
  <c r="HA81" i="8"/>
  <c r="HB81" i="8"/>
  <c r="HC81" i="8"/>
  <c r="HD81" i="8"/>
  <c r="HE81" i="8"/>
  <c r="HF81" i="8"/>
  <c r="HG81" i="8"/>
  <c r="HH81" i="8"/>
  <c r="HI81" i="8"/>
  <c r="HJ81" i="8"/>
  <c r="HK81" i="8"/>
  <c r="HL81" i="8"/>
  <c r="HM81" i="8"/>
  <c r="HN81" i="8"/>
  <c r="HO81" i="8"/>
  <c r="HP81" i="8"/>
  <c r="HQ81" i="8"/>
  <c r="HR81" i="8"/>
  <c r="HS81" i="8"/>
  <c r="HT81" i="8"/>
  <c r="HU81" i="8"/>
  <c r="HV81" i="8"/>
  <c r="HW81" i="8"/>
  <c r="HX81" i="8"/>
  <c r="HY81" i="8"/>
  <c r="HZ81" i="8"/>
  <c r="IA81" i="8"/>
  <c r="IB81" i="8"/>
  <c r="IC81" i="8"/>
  <c r="ID81" i="8"/>
  <c r="IE81" i="8"/>
  <c r="IF81" i="8"/>
  <c r="IG81" i="8"/>
  <c r="IH81" i="8"/>
  <c r="II81" i="8"/>
  <c r="IJ81" i="8"/>
  <c r="IK81" i="8"/>
  <c r="IL81" i="8"/>
  <c r="IM81" i="8"/>
  <c r="IN81" i="8"/>
  <c r="IO81" i="8"/>
  <c r="IP81" i="8"/>
  <c r="IQ81" i="8"/>
  <c r="IR81" i="8"/>
  <c r="IS81" i="8"/>
  <c r="IT81" i="8"/>
  <c r="IU81" i="8"/>
  <c r="IV81" i="8"/>
  <c r="F82" i="8"/>
  <c r="G82" i="8"/>
  <c r="H82" i="8"/>
  <c r="I82" i="8"/>
  <c r="J82" i="8"/>
  <c r="K82" i="8"/>
  <c r="L82" i="8"/>
  <c r="M82" i="8"/>
  <c r="N82" i="8"/>
  <c r="O82" i="8"/>
  <c r="P82" i="8"/>
  <c r="Q82" i="8"/>
  <c r="R82" i="8"/>
  <c r="S82" i="8"/>
  <c r="T82" i="8"/>
  <c r="U82" i="8"/>
  <c r="V82" i="8"/>
  <c r="W82" i="8"/>
  <c r="X82" i="8"/>
  <c r="Y82" i="8"/>
  <c r="Z82" i="8"/>
  <c r="AA82" i="8"/>
  <c r="AJ82" i="8"/>
  <c r="AK82" i="8"/>
  <c r="AL82" i="8"/>
  <c r="AM82" i="8"/>
  <c r="AN82" i="8"/>
  <c r="AO82" i="8"/>
  <c r="AP82" i="8"/>
  <c r="AQ82" i="8"/>
  <c r="AR82" i="8"/>
  <c r="AS82" i="8"/>
  <c r="AT82" i="8"/>
  <c r="AU82" i="8"/>
  <c r="AV82" i="8"/>
  <c r="AW82" i="8"/>
  <c r="AX82" i="8"/>
  <c r="AY82" i="8"/>
  <c r="AZ82" i="8"/>
  <c r="BA82" i="8"/>
  <c r="BB82" i="8"/>
  <c r="BC82" i="8"/>
  <c r="BL82" i="8"/>
  <c r="BM82" i="8"/>
  <c r="BN82" i="8"/>
  <c r="BO82" i="8"/>
  <c r="BP82" i="8"/>
  <c r="BQ82" i="8"/>
  <c r="BR82" i="8"/>
  <c r="BS82" i="8"/>
  <c r="BT82" i="8"/>
  <c r="BU82" i="8"/>
  <c r="BV82" i="8"/>
  <c r="BW82" i="8"/>
  <c r="BX82" i="8"/>
  <c r="BY82" i="8"/>
  <c r="BZ82" i="8"/>
  <c r="CA82" i="8"/>
  <c r="CB82" i="8"/>
  <c r="CC82" i="8"/>
  <c r="CD82" i="8"/>
  <c r="CE82" i="8"/>
  <c r="CF82" i="8"/>
  <c r="CG82" i="8"/>
  <c r="CH82" i="8"/>
  <c r="CI82" i="8"/>
  <c r="CJ82" i="8"/>
  <c r="CK82" i="8"/>
  <c r="CL82" i="8"/>
  <c r="CM82" i="8"/>
  <c r="CN82" i="8"/>
  <c r="CO82" i="8"/>
  <c r="CP82" i="8"/>
  <c r="CQ82" i="8"/>
  <c r="CR82" i="8"/>
  <c r="CS82" i="8"/>
  <c r="CT82" i="8"/>
  <c r="CU82" i="8"/>
  <c r="CV82" i="8"/>
  <c r="CW82" i="8"/>
  <c r="CX82" i="8"/>
  <c r="CY82" i="8"/>
  <c r="CZ82" i="8"/>
  <c r="DA82" i="8"/>
  <c r="DB82" i="8"/>
  <c r="DC82" i="8"/>
  <c r="DD82" i="8"/>
  <c r="DE82" i="8"/>
  <c r="DF82" i="8"/>
  <c r="DG82" i="8"/>
  <c r="DH82" i="8"/>
  <c r="DI82" i="8"/>
  <c r="DJ82" i="8"/>
  <c r="DK82" i="8"/>
  <c r="DL82" i="8"/>
  <c r="DM82" i="8"/>
  <c r="DN82" i="8"/>
  <c r="DO82" i="8"/>
  <c r="DP82" i="8"/>
  <c r="DQ82" i="8"/>
  <c r="DR82" i="8"/>
  <c r="DS82" i="8"/>
  <c r="DT82" i="8"/>
  <c r="DU82" i="8"/>
  <c r="DV82" i="8"/>
  <c r="DW82" i="8"/>
  <c r="DX82" i="8"/>
  <c r="DY82" i="8"/>
  <c r="DZ82" i="8"/>
  <c r="EA82" i="8"/>
  <c r="EB82" i="8"/>
  <c r="EC82" i="8"/>
  <c r="ED82" i="8"/>
  <c r="EE82" i="8"/>
  <c r="EF82" i="8"/>
  <c r="EG82" i="8"/>
  <c r="EH82" i="8"/>
  <c r="EI82" i="8"/>
  <c r="EJ82" i="8"/>
  <c r="EK82" i="8"/>
  <c r="EL82" i="8"/>
  <c r="EM82" i="8"/>
  <c r="EN82" i="8"/>
  <c r="EO82" i="8"/>
  <c r="EP82" i="8"/>
  <c r="EQ82" i="8"/>
  <c r="ER82" i="8"/>
  <c r="ES82" i="8"/>
  <c r="ET82" i="8"/>
  <c r="EU82" i="8"/>
  <c r="EV82" i="8"/>
  <c r="EW82" i="8"/>
  <c r="EX82" i="8"/>
  <c r="EY82" i="8"/>
  <c r="EZ82" i="8"/>
  <c r="FA82" i="8"/>
  <c r="FB82" i="8"/>
  <c r="FC82" i="8"/>
  <c r="FD82" i="8"/>
  <c r="FE82" i="8"/>
  <c r="FF82" i="8"/>
  <c r="FG82" i="8"/>
  <c r="FH82" i="8"/>
  <c r="FI82" i="8"/>
  <c r="FJ82" i="8"/>
  <c r="FK82" i="8"/>
  <c r="FL82" i="8"/>
  <c r="FM82" i="8"/>
  <c r="FN82" i="8"/>
  <c r="FO82" i="8"/>
  <c r="FP82" i="8"/>
  <c r="FQ82" i="8"/>
  <c r="FR82" i="8"/>
  <c r="FS82" i="8"/>
  <c r="FT82" i="8"/>
  <c r="FU82" i="8"/>
  <c r="FV82" i="8"/>
  <c r="FW82" i="8"/>
  <c r="FX82" i="8"/>
  <c r="FY82" i="8"/>
  <c r="FZ82" i="8"/>
  <c r="GA82" i="8"/>
  <c r="GB82" i="8"/>
  <c r="GC82" i="8"/>
  <c r="GD82" i="8"/>
  <c r="GE82" i="8"/>
  <c r="GF82" i="8"/>
  <c r="GG82" i="8"/>
  <c r="GH82" i="8"/>
  <c r="GI82" i="8"/>
  <c r="GJ82" i="8"/>
  <c r="GK82" i="8"/>
  <c r="GL82" i="8"/>
  <c r="GM82" i="8"/>
  <c r="GN82" i="8"/>
  <c r="GO82" i="8"/>
  <c r="GP82" i="8"/>
  <c r="GQ82" i="8"/>
  <c r="GR82" i="8"/>
  <c r="GS82" i="8"/>
  <c r="GT82" i="8"/>
  <c r="GU82" i="8"/>
  <c r="GV82" i="8"/>
  <c r="GW82" i="8"/>
  <c r="GX82" i="8"/>
  <c r="GY82" i="8"/>
  <c r="GZ82" i="8"/>
  <c r="HA82" i="8"/>
  <c r="HB82" i="8"/>
  <c r="HC82" i="8"/>
  <c r="HD82" i="8"/>
  <c r="HE82" i="8"/>
  <c r="HF82" i="8"/>
  <c r="HG82" i="8"/>
  <c r="HH82" i="8"/>
  <c r="HI82" i="8"/>
  <c r="HJ82" i="8"/>
  <c r="HK82" i="8"/>
  <c r="HL82" i="8"/>
  <c r="HM82" i="8"/>
  <c r="HN82" i="8"/>
  <c r="HO82" i="8"/>
  <c r="HP82" i="8"/>
  <c r="HQ82" i="8"/>
  <c r="HR82" i="8"/>
  <c r="HS82" i="8"/>
  <c r="HT82" i="8"/>
  <c r="HU82" i="8"/>
  <c r="HV82" i="8"/>
  <c r="HW82" i="8"/>
  <c r="HX82" i="8"/>
  <c r="HY82" i="8"/>
  <c r="HZ82" i="8"/>
  <c r="IA82" i="8"/>
  <c r="IB82" i="8"/>
  <c r="IC82" i="8"/>
  <c r="ID82" i="8"/>
  <c r="IE82" i="8"/>
  <c r="IF82" i="8"/>
  <c r="IG82" i="8"/>
  <c r="IH82" i="8"/>
  <c r="II82" i="8"/>
  <c r="IJ82" i="8"/>
  <c r="IK82" i="8"/>
  <c r="IL82" i="8"/>
  <c r="IM82" i="8"/>
  <c r="IN82" i="8"/>
  <c r="IO82" i="8"/>
  <c r="IP82" i="8"/>
  <c r="IQ82" i="8"/>
  <c r="IR82" i="8"/>
  <c r="IS82" i="8"/>
  <c r="IT82" i="8"/>
  <c r="IU82" i="8"/>
  <c r="IV82" i="8"/>
  <c r="F83" i="8"/>
  <c r="G83" i="8"/>
  <c r="H83" i="8"/>
  <c r="I83" i="8"/>
  <c r="J83" i="8"/>
  <c r="K83" i="8"/>
  <c r="L83" i="8"/>
  <c r="M83" i="8"/>
  <c r="N83" i="8"/>
  <c r="O83" i="8"/>
  <c r="P83" i="8"/>
  <c r="Q83" i="8"/>
  <c r="R83" i="8"/>
  <c r="S83" i="8"/>
  <c r="T83" i="8"/>
  <c r="U83" i="8"/>
  <c r="V83" i="8"/>
  <c r="W83" i="8"/>
  <c r="X83" i="8"/>
  <c r="Y83" i="8"/>
  <c r="Z83" i="8"/>
  <c r="AA83" i="8"/>
  <c r="AB83" i="8"/>
  <c r="AC83" i="8"/>
  <c r="AD83" i="8"/>
  <c r="AE83" i="8"/>
  <c r="AF83" i="8"/>
  <c r="AG83" i="8"/>
  <c r="AH83" i="8"/>
  <c r="AI83" i="8"/>
  <c r="AJ83" i="8"/>
  <c r="AK83" i="8"/>
  <c r="AL83" i="8"/>
  <c r="AM83" i="8"/>
  <c r="AN83" i="8"/>
  <c r="AO83" i="8"/>
  <c r="AP83" i="8"/>
  <c r="AQ83" i="8"/>
  <c r="AR83" i="8"/>
  <c r="AS83" i="8"/>
  <c r="AT83" i="8"/>
  <c r="AU83" i="8"/>
  <c r="AV83" i="8"/>
  <c r="AW83" i="8"/>
  <c r="AX83" i="8"/>
  <c r="AY83" i="8"/>
  <c r="AZ83" i="8"/>
  <c r="BA83" i="8"/>
  <c r="BB83" i="8"/>
  <c r="BC83" i="8"/>
  <c r="BD83" i="8"/>
  <c r="BE83" i="8"/>
  <c r="BF83" i="8"/>
  <c r="BG83" i="8"/>
  <c r="BH83" i="8"/>
  <c r="BI83" i="8"/>
  <c r="BJ83" i="8"/>
  <c r="BK83" i="8"/>
  <c r="BL83" i="8"/>
  <c r="BM83" i="8"/>
  <c r="BN83" i="8"/>
  <c r="BO83" i="8"/>
  <c r="BP83" i="8"/>
  <c r="BQ83" i="8"/>
  <c r="BR83" i="8"/>
  <c r="BS83" i="8"/>
  <c r="BT83" i="8"/>
  <c r="BU83" i="8"/>
  <c r="BV83" i="8"/>
  <c r="BW83" i="8"/>
  <c r="BX83" i="8"/>
  <c r="BY83" i="8"/>
  <c r="BZ83" i="8"/>
  <c r="CA83" i="8"/>
  <c r="CB83" i="8"/>
  <c r="CC83" i="8"/>
  <c r="CD83" i="8"/>
  <c r="CE83" i="8"/>
  <c r="CF83" i="8"/>
  <c r="CG83" i="8"/>
  <c r="CH83" i="8"/>
  <c r="CI83" i="8"/>
  <c r="CJ83" i="8"/>
  <c r="CK83" i="8"/>
  <c r="CL83" i="8"/>
  <c r="CM83" i="8"/>
  <c r="CN83" i="8"/>
  <c r="CO83" i="8"/>
  <c r="CP83" i="8"/>
  <c r="CQ83" i="8"/>
  <c r="CR83" i="8"/>
  <c r="CS83" i="8"/>
  <c r="CT83" i="8"/>
  <c r="CU83" i="8"/>
  <c r="CV83" i="8"/>
  <c r="CW83" i="8"/>
  <c r="CX83" i="8"/>
  <c r="CY83" i="8"/>
  <c r="CZ83" i="8"/>
  <c r="DA83" i="8"/>
  <c r="DB83" i="8"/>
  <c r="DC83" i="8"/>
  <c r="DD83" i="8"/>
  <c r="DE83" i="8"/>
  <c r="DF83" i="8"/>
  <c r="DG83" i="8"/>
  <c r="DH83" i="8"/>
  <c r="DI83" i="8"/>
  <c r="DJ83" i="8"/>
  <c r="DK83" i="8"/>
  <c r="DL83" i="8"/>
  <c r="DM83" i="8"/>
  <c r="DN83" i="8"/>
  <c r="DO83" i="8"/>
  <c r="DP83" i="8"/>
  <c r="DQ83" i="8"/>
  <c r="DR83" i="8"/>
  <c r="DS83" i="8"/>
  <c r="DT83" i="8"/>
  <c r="DU83" i="8"/>
  <c r="DV83" i="8"/>
  <c r="DW83" i="8"/>
  <c r="DX83" i="8"/>
  <c r="DY83" i="8"/>
  <c r="DZ83" i="8"/>
  <c r="EA83" i="8"/>
  <c r="EB83" i="8"/>
  <c r="EC83" i="8"/>
  <c r="ED83" i="8"/>
  <c r="EE83" i="8"/>
  <c r="EF83" i="8"/>
  <c r="EG83" i="8"/>
  <c r="EH83" i="8"/>
  <c r="EI83" i="8"/>
  <c r="EJ83" i="8"/>
  <c r="EK83" i="8"/>
  <c r="EL83" i="8"/>
  <c r="EM83" i="8"/>
  <c r="EN83" i="8"/>
  <c r="EO83" i="8"/>
  <c r="EP83" i="8"/>
  <c r="EQ83" i="8"/>
  <c r="ER83" i="8"/>
  <c r="ES83" i="8"/>
  <c r="ET83" i="8"/>
  <c r="EU83" i="8"/>
  <c r="EV83" i="8"/>
  <c r="EW83" i="8"/>
  <c r="EX83" i="8"/>
  <c r="EY83" i="8"/>
  <c r="EZ83" i="8"/>
  <c r="FA83" i="8"/>
  <c r="FB83" i="8"/>
  <c r="FC83" i="8"/>
  <c r="FD83" i="8"/>
  <c r="FE83" i="8"/>
  <c r="FF83" i="8"/>
  <c r="FG83" i="8"/>
  <c r="FH83" i="8"/>
  <c r="FI83" i="8"/>
  <c r="FJ83" i="8"/>
  <c r="FK83" i="8"/>
  <c r="FL83" i="8"/>
  <c r="FM83" i="8"/>
  <c r="FN83" i="8"/>
  <c r="FO83" i="8"/>
  <c r="FP83" i="8"/>
  <c r="FQ83" i="8"/>
  <c r="FR83" i="8"/>
  <c r="FS83" i="8"/>
  <c r="FT83" i="8"/>
  <c r="FU83" i="8"/>
  <c r="FV83" i="8"/>
  <c r="FW83" i="8"/>
  <c r="FX83" i="8"/>
  <c r="FY83" i="8"/>
  <c r="FZ83" i="8"/>
  <c r="GA83" i="8"/>
  <c r="GB83" i="8"/>
  <c r="GC83" i="8"/>
  <c r="GD83" i="8"/>
  <c r="GE83" i="8"/>
  <c r="GF83" i="8"/>
  <c r="GG83" i="8"/>
  <c r="GH83" i="8"/>
  <c r="GI83" i="8"/>
  <c r="GJ83" i="8"/>
  <c r="GK83" i="8"/>
  <c r="GL83" i="8"/>
  <c r="GM83" i="8"/>
  <c r="GN83" i="8"/>
  <c r="GO83" i="8"/>
  <c r="GP83" i="8"/>
  <c r="GQ83" i="8"/>
  <c r="GR83" i="8"/>
  <c r="GS83" i="8"/>
  <c r="GT83" i="8"/>
  <c r="GU83" i="8"/>
  <c r="GV83" i="8"/>
  <c r="GW83" i="8"/>
  <c r="GX83" i="8"/>
  <c r="GY83" i="8"/>
  <c r="GZ83" i="8"/>
  <c r="HA83" i="8"/>
  <c r="HB83" i="8"/>
  <c r="HC83" i="8"/>
  <c r="HD83" i="8"/>
  <c r="HE83" i="8"/>
  <c r="HF83" i="8"/>
  <c r="HG83" i="8"/>
  <c r="HH83" i="8"/>
  <c r="HI83" i="8"/>
  <c r="HJ83" i="8"/>
  <c r="HK83" i="8"/>
  <c r="HL83" i="8"/>
  <c r="HM83" i="8"/>
  <c r="HN83" i="8"/>
  <c r="HO83" i="8"/>
  <c r="HP83" i="8"/>
  <c r="HQ83" i="8"/>
  <c r="HR83" i="8"/>
  <c r="HS83" i="8"/>
  <c r="HT83" i="8"/>
  <c r="HU83" i="8"/>
  <c r="HV83" i="8"/>
  <c r="HW83" i="8"/>
  <c r="HX83" i="8"/>
  <c r="HY83" i="8"/>
  <c r="HZ83" i="8"/>
  <c r="IA83" i="8"/>
  <c r="IB83" i="8"/>
  <c r="IC83" i="8"/>
  <c r="ID83" i="8"/>
  <c r="IE83" i="8"/>
  <c r="IF83" i="8"/>
  <c r="IG83" i="8"/>
  <c r="IH83" i="8"/>
  <c r="II83" i="8"/>
  <c r="IJ83" i="8"/>
  <c r="IK83" i="8"/>
  <c r="IL83" i="8"/>
  <c r="IM83" i="8"/>
  <c r="IN83" i="8"/>
  <c r="IO83" i="8"/>
  <c r="IP83" i="8"/>
  <c r="IQ83" i="8"/>
  <c r="IR83" i="8"/>
  <c r="IS83" i="8"/>
  <c r="IT83" i="8"/>
  <c r="IU83" i="8"/>
  <c r="IV83" i="8"/>
  <c r="F84" i="8"/>
  <c r="G84" i="8"/>
  <c r="H84" i="8"/>
  <c r="I84" i="8"/>
  <c r="J84" i="8"/>
  <c r="K84" i="8"/>
  <c r="L84" i="8"/>
  <c r="M84" i="8"/>
  <c r="N84" i="8"/>
  <c r="O84" i="8"/>
  <c r="P84" i="8"/>
  <c r="Q84" i="8"/>
  <c r="R84" i="8"/>
  <c r="S84" i="8"/>
  <c r="T84" i="8"/>
  <c r="U84" i="8"/>
  <c r="V84" i="8"/>
  <c r="W84" i="8"/>
  <c r="X84" i="8"/>
  <c r="Y84" i="8"/>
  <c r="Z84" i="8"/>
  <c r="AA84" i="8"/>
  <c r="AB84" i="8"/>
  <c r="AC84" i="8"/>
  <c r="AD84" i="8"/>
  <c r="AE84" i="8"/>
  <c r="AF84" i="8"/>
  <c r="AG84" i="8"/>
  <c r="AH84" i="8"/>
  <c r="AI84" i="8"/>
  <c r="AJ84" i="8"/>
  <c r="AK84" i="8"/>
  <c r="AL84" i="8"/>
  <c r="AM84" i="8"/>
  <c r="AN84" i="8"/>
  <c r="AO84" i="8"/>
  <c r="AP84" i="8"/>
  <c r="AQ84" i="8"/>
  <c r="AR84" i="8"/>
  <c r="AS84" i="8"/>
  <c r="AT84" i="8"/>
  <c r="AU84" i="8"/>
  <c r="AV84" i="8"/>
  <c r="AW84" i="8"/>
  <c r="AX84" i="8"/>
  <c r="AY84" i="8"/>
  <c r="AZ84" i="8"/>
  <c r="BA84" i="8"/>
  <c r="BB84" i="8"/>
  <c r="BC84" i="8"/>
  <c r="BD84" i="8"/>
  <c r="BE84" i="8"/>
  <c r="BF84" i="8"/>
  <c r="BG84" i="8"/>
  <c r="BH84" i="8"/>
  <c r="BI84" i="8"/>
  <c r="BJ84" i="8"/>
  <c r="BK84" i="8"/>
  <c r="BL84" i="8"/>
  <c r="BM84" i="8"/>
  <c r="BN84" i="8"/>
  <c r="BO84" i="8"/>
  <c r="BP84" i="8"/>
  <c r="BQ84" i="8"/>
  <c r="BR84" i="8"/>
  <c r="BS84" i="8"/>
  <c r="BT84" i="8"/>
  <c r="BU84" i="8"/>
  <c r="BV84" i="8"/>
  <c r="BW84" i="8"/>
  <c r="BX84" i="8"/>
  <c r="BY84" i="8"/>
  <c r="BZ84" i="8"/>
  <c r="CA84" i="8"/>
  <c r="CB84" i="8"/>
  <c r="CC84" i="8"/>
  <c r="CD84" i="8"/>
  <c r="CE84" i="8"/>
  <c r="CF84" i="8"/>
  <c r="CG84" i="8"/>
  <c r="CH84" i="8"/>
  <c r="CI84" i="8"/>
  <c r="CJ84" i="8"/>
  <c r="CK84" i="8"/>
  <c r="CL84" i="8"/>
  <c r="CM84" i="8"/>
  <c r="CN84" i="8"/>
  <c r="CO84" i="8"/>
  <c r="CP84" i="8"/>
  <c r="CQ84" i="8"/>
  <c r="CR84" i="8"/>
  <c r="CS84" i="8"/>
  <c r="CT84" i="8"/>
  <c r="CU84" i="8"/>
  <c r="CV84" i="8"/>
  <c r="CW84" i="8"/>
  <c r="CX84" i="8"/>
  <c r="CY84" i="8"/>
  <c r="CZ84" i="8"/>
  <c r="DA84" i="8"/>
  <c r="DB84" i="8"/>
  <c r="DC84" i="8"/>
  <c r="DD84" i="8"/>
  <c r="DE84" i="8"/>
  <c r="DF84" i="8"/>
  <c r="DG84" i="8"/>
  <c r="DH84" i="8"/>
  <c r="DI84" i="8"/>
  <c r="DJ84" i="8"/>
  <c r="DK84" i="8"/>
  <c r="DL84" i="8"/>
  <c r="DM84" i="8"/>
  <c r="DN84" i="8"/>
  <c r="DO84" i="8"/>
  <c r="DP84" i="8"/>
  <c r="DQ84" i="8"/>
  <c r="DR84" i="8"/>
  <c r="DS84" i="8"/>
  <c r="DT84" i="8"/>
  <c r="DU84" i="8"/>
  <c r="DV84" i="8"/>
  <c r="DW84" i="8"/>
  <c r="DX84" i="8"/>
  <c r="DY84" i="8"/>
  <c r="DZ84" i="8"/>
  <c r="EA84" i="8"/>
  <c r="EB84" i="8"/>
  <c r="EC84" i="8"/>
  <c r="ED84" i="8"/>
  <c r="EE84" i="8"/>
  <c r="EF84" i="8"/>
  <c r="EG84" i="8"/>
  <c r="EH84" i="8"/>
  <c r="EI84" i="8"/>
  <c r="EJ84" i="8"/>
  <c r="EK84" i="8"/>
  <c r="EL84" i="8"/>
  <c r="EM84" i="8"/>
  <c r="EN84" i="8"/>
  <c r="EO84" i="8"/>
  <c r="EP84" i="8"/>
  <c r="EQ84" i="8"/>
  <c r="ER84" i="8"/>
  <c r="ES84" i="8"/>
  <c r="ET84" i="8"/>
  <c r="EU84" i="8"/>
  <c r="EV84" i="8"/>
  <c r="EW84" i="8"/>
  <c r="EX84" i="8"/>
  <c r="EY84" i="8"/>
  <c r="EZ84" i="8"/>
  <c r="FA84" i="8"/>
  <c r="FB84" i="8"/>
  <c r="FC84" i="8"/>
  <c r="FD84" i="8"/>
  <c r="FE84" i="8"/>
  <c r="FF84" i="8"/>
  <c r="FG84" i="8"/>
  <c r="FH84" i="8"/>
  <c r="FI84" i="8"/>
  <c r="FJ84" i="8"/>
  <c r="FK84" i="8"/>
  <c r="FL84" i="8"/>
  <c r="FM84" i="8"/>
  <c r="FN84" i="8"/>
  <c r="FO84" i="8"/>
  <c r="FP84" i="8"/>
  <c r="FQ84" i="8"/>
  <c r="FR84" i="8"/>
  <c r="FS84" i="8"/>
  <c r="FT84" i="8"/>
  <c r="FU84" i="8"/>
  <c r="FV84" i="8"/>
  <c r="FW84" i="8"/>
  <c r="FX84" i="8"/>
  <c r="FY84" i="8"/>
  <c r="FZ84" i="8"/>
  <c r="GA84" i="8"/>
  <c r="GB84" i="8"/>
  <c r="GC84" i="8"/>
  <c r="GD84" i="8"/>
  <c r="GE84" i="8"/>
  <c r="GF84" i="8"/>
  <c r="GG84" i="8"/>
  <c r="GH84" i="8"/>
  <c r="GI84" i="8"/>
  <c r="GJ84" i="8"/>
  <c r="GK84" i="8"/>
  <c r="GL84" i="8"/>
  <c r="GM84" i="8"/>
  <c r="GN84" i="8"/>
  <c r="GO84" i="8"/>
  <c r="GP84" i="8"/>
  <c r="GQ84" i="8"/>
  <c r="GR84" i="8"/>
  <c r="GS84" i="8"/>
  <c r="GT84" i="8"/>
  <c r="GU84" i="8"/>
  <c r="GV84" i="8"/>
  <c r="GW84" i="8"/>
  <c r="GX84" i="8"/>
  <c r="GY84" i="8"/>
  <c r="GZ84" i="8"/>
  <c r="HA84" i="8"/>
  <c r="HB84" i="8"/>
  <c r="HC84" i="8"/>
  <c r="HD84" i="8"/>
  <c r="HE84" i="8"/>
  <c r="HF84" i="8"/>
  <c r="HG84" i="8"/>
  <c r="HH84" i="8"/>
  <c r="HI84" i="8"/>
  <c r="HJ84" i="8"/>
  <c r="HK84" i="8"/>
  <c r="HL84" i="8"/>
  <c r="HM84" i="8"/>
  <c r="HN84" i="8"/>
  <c r="HO84" i="8"/>
  <c r="HP84" i="8"/>
  <c r="HQ84" i="8"/>
  <c r="HR84" i="8"/>
  <c r="HS84" i="8"/>
  <c r="HT84" i="8"/>
  <c r="HU84" i="8"/>
  <c r="HV84" i="8"/>
  <c r="HW84" i="8"/>
  <c r="HX84" i="8"/>
  <c r="HY84" i="8"/>
  <c r="HZ84" i="8"/>
  <c r="IA84" i="8"/>
  <c r="IB84" i="8"/>
  <c r="IC84" i="8"/>
  <c r="ID84" i="8"/>
  <c r="IE84" i="8"/>
  <c r="IF84" i="8"/>
  <c r="IG84" i="8"/>
  <c r="IH84" i="8"/>
  <c r="II84" i="8"/>
  <c r="IJ84" i="8"/>
  <c r="IK84" i="8"/>
  <c r="IL84" i="8"/>
  <c r="IM84" i="8"/>
  <c r="IN84" i="8"/>
  <c r="IO84" i="8"/>
  <c r="IP84" i="8"/>
  <c r="IQ84" i="8"/>
  <c r="IR84" i="8"/>
  <c r="IS84" i="8"/>
  <c r="IT84" i="8"/>
  <c r="IU84" i="8"/>
  <c r="IV84" i="8"/>
  <c r="F85" i="8"/>
  <c r="G85" i="8"/>
  <c r="H85" i="8"/>
  <c r="I85" i="8"/>
  <c r="J85" i="8"/>
  <c r="K85" i="8"/>
  <c r="L85" i="8"/>
  <c r="M85" i="8"/>
  <c r="N85" i="8"/>
  <c r="O85" i="8"/>
  <c r="P85" i="8"/>
  <c r="Q85" i="8"/>
  <c r="R85" i="8"/>
  <c r="S85" i="8"/>
  <c r="T85" i="8"/>
  <c r="U85" i="8"/>
  <c r="V85" i="8"/>
  <c r="W85" i="8"/>
  <c r="X85" i="8"/>
  <c r="Y85" i="8"/>
  <c r="Z85" i="8"/>
  <c r="AA85" i="8"/>
  <c r="AB85" i="8"/>
  <c r="AC85" i="8"/>
  <c r="AD85" i="8"/>
  <c r="AE85" i="8"/>
  <c r="AF85" i="8"/>
  <c r="AG85" i="8"/>
  <c r="AH85" i="8"/>
  <c r="AI85" i="8"/>
  <c r="AJ85" i="8"/>
  <c r="AK85" i="8"/>
  <c r="AL85" i="8"/>
  <c r="AM85" i="8"/>
  <c r="AN85" i="8"/>
  <c r="AO85" i="8"/>
  <c r="AP85" i="8"/>
  <c r="AQ85" i="8"/>
  <c r="AR85" i="8"/>
  <c r="AS85" i="8"/>
  <c r="AT85" i="8"/>
  <c r="AU85" i="8"/>
  <c r="AV85" i="8"/>
  <c r="AW85" i="8"/>
  <c r="AX85" i="8"/>
  <c r="AY85" i="8"/>
  <c r="AZ85" i="8"/>
  <c r="BA85" i="8"/>
  <c r="BB85" i="8"/>
  <c r="BC85" i="8"/>
  <c r="BD85" i="8"/>
  <c r="BE85" i="8"/>
  <c r="BF85" i="8"/>
  <c r="BG85" i="8"/>
  <c r="BH85" i="8"/>
  <c r="BI85" i="8"/>
  <c r="BJ85" i="8"/>
  <c r="BK85" i="8"/>
  <c r="BL85" i="8"/>
  <c r="BM85" i="8"/>
  <c r="BN85" i="8"/>
  <c r="BO85" i="8"/>
  <c r="BP85" i="8"/>
  <c r="BQ85" i="8"/>
  <c r="BR85" i="8"/>
  <c r="BS85" i="8"/>
  <c r="BT85" i="8"/>
  <c r="BU85" i="8"/>
  <c r="BV85" i="8"/>
  <c r="BW85" i="8"/>
  <c r="BX85" i="8"/>
  <c r="BY85" i="8"/>
  <c r="BZ85" i="8"/>
  <c r="CA85" i="8"/>
  <c r="CB85" i="8"/>
  <c r="CC85" i="8"/>
  <c r="CD85" i="8"/>
  <c r="CE85" i="8"/>
  <c r="CF85" i="8"/>
  <c r="CG85" i="8"/>
  <c r="CH85" i="8"/>
  <c r="CI85" i="8"/>
  <c r="CJ85" i="8"/>
  <c r="CK85" i="8"/>
  <c r="CL85" i="8"/>
  <c r="CM85" i="8"/>
  <c r="CN85" i="8"/>
  <c r="CO85" i="8"/>
  <c r="CP85" i="8"/>
  <c r="CQ85" i="8"/>
  <c r="CR85" i="8"/>
  <c r="CS85" i="8"/>
  <c r="CT85" i="8"/>
  <c r="CU85" i="8"/>
  <c r="CV85" i="8"/>
  <c r="CW85" i="8"/>
  <c r="CX85" i="8"/>
  <c r="CY85" i="8"/>
  <c r="CZ85" i="8"/>
  <c r="DA85" i="8"/>
  <c r="DB85" i="8"/>
  <c r="DC85" i="8"/>
  <c r="DD85" i="8"/>
  <c r="DE85" i="8"/>
  <c r="DF85" i="8"/>
  <c r="DG85" i="8"/>
  <c r="DH85" i="8"/>
  <c r="DI85" i="8"/>
  <c r="DJ85" i="8"/>
  <c r="DK85" i="8"/>
  <c r="DL85" i="8"/>
  <c r="DM85" i="8"/>
  <c r="DN85" i="8"/>
  <c r="DO85" i="8"/>
  <c r="DP85" i="8"/>
  <c r="DQ85" i="8"/>
  <c r="DR85" i="8"/>
  <c r="DS85" i="8"/>
  <c r="DT85" i="8"/>
  <c r="DU85" i="8"/>
  <c r="DV85" i="8"/>
  <c r="DW85" i="8"/>
  <c r="DX85" i="8"/>
  <c r="DY85" i="8"/>
  <c r="DZ85" i="8"/>
  <c r="EA85" i="8"/>
  <c r="EB85" i="8"/>
  <c r="EC85" i="8"/>
  <c r="ED85" i="8"/>
  <c r="EE85" i="8"/>
  <c r="EF85" i="8"/>
  <c r="EG85" i="8"/>
  <c r="EH85" i="8"/>
  <c r="EI85" i="8"/>
  <c r="EJ85" i="8"/>
  <c r="EK85" i="8"/>
  <c r="EL85" i="8"/>
  <c r="EM85" i="8"/>
  <c r="EN85" i="8"/>
  <c r="EO85" i="8"/>
  <c r="EP85" i="8"/>
  <c r="EQ85" i="8"/>
  <c r="ER85" i="8"/>
  <c r="ES85" i="8"/>
  <c r="ET85" i="8"/>
  <c r="EU85" i="8"/>
  <c r="EV85" i="8"/>
  <c r="EW85" i="8"/>
  <c r="EX85" i="8"/>
  <c r="EY85" i="8"/>
  <c r="EZ85" i="8"/>
  <c r="FA85" i="8"/>
  <c r="FB85" i="8"/>
  <c r="FC85" i="8"/>
  <c r="FD85" i="8"/>
  <c r="FE85" i="8"/>
  <c r="FF85" i="8"/>
  <c r="FG85" i="8"/>
  <c r="FH85" i="8"/>
  <c r="FI85" i="8"/>
  <c r="FJ85" i="8"/>
  <c r="FK85" i="8"/>
  <c r="FL85" i="8"/>
  <c r="FM85" i="8"/>
  <c r="FN85" i="8"/>
  <c r="FO85" i="8"/>
  <c r="FP85" i="8"/>
  <c r="FQ85" i="8"/>
  <c r="FR85" i="8"/>
  <c r="FS85" i="8"/>
  <c r="FT85" i="8"/>
  <c r="FU85" i="8"/>
  <c r="FV85" i="8"/>
  <c r="FW85" i="8"/>
  <c r="FX85" i="8"/>
  <c r="FY85" i="8"/>
  <c r="FZ85" i="8"/>
  <c r="GA85" i="8"/>
  <c r="GB85" i="8"/>
  <c r="GC85" i="8"/>
  <c r="GD85" i="8"/>
  <c r="GE85" i="8"/>
  <c r="GF85" i="8"/>
  <c r="GG85" i="8"/>
  <c r="GH85" i="8"/>
  <c r="GI85" i="8"/>
  <c r="GJ85" i="8"/>
  <c r="GK85" i="8"/>
  <c r="GL85" i="8"/>
  <c r="GM85" i="8"/>
  <c r="GN85" i="8"/>
  <c r="GO85" i="8"/>
  <c r="GP85" i="8"/>
  <c r="GQ85" i="8"/>
  <c r="GR85" i="8"/>
  <c r="GS85" i="8"/>
  <c r="GT85" i="8"/>
  <c r="GU85" i="8"/>
  <c r="GV85" i="8"/>
  <c r="GW85" i="8"/>
  <c r="GX85" i="8"/>
  <c r="GY85" i="8"/>
  <c r="GZ85" i="8"/>
  <c r="HA85" i="8"/>
  <c r="HB85" i="8"/>
  <c r="HC85" i="8"/>
  <c r="HD85" i="8"/>
  <c r="HE85" i="8"/>
  <c r="HF85" i="8"/>
  <c r="HG85" i="8"/>
  <c r="HH85" i="8"/>
  <c r="HI85" i="8"/>
  <c r="HJ85" i="8"/>
  <c r="HK85" i="8"/>
  <c r="HL85" i="8"/>
  <c r="HM85" i="8"/>
  <c r="HN85" i="8"/>
  <c r="HO85" i="8"/>
  <c r="HP85" i="8"/>
  <c r="HQ85" i="8"/>
  <c r="HR85" i="8"/>
  <c r="HS85" i="8"/>
  <c r="HT85" i="8"/>
  <c r="HU85" i="8"/>
  <c r="HV85" i="8"/>
  <c r="HW85" i="8"/>
  <c r="HX85" i="8"/>
  <c r="HY85" i="8"/>
  <c r="HZ85" i="8"/>
  <c r="IA85" i="8"/>
  <c r="IB85" i="8"/>
  <c r="IC85" i="8"/>
  <c r="ID85" i="8"/>
  <c r="IE85" i="8"/>
  <c r="IF85" i="8"/>
  <c r="IG85" i="8"/>
  <c r="IH85" i="8"/>
  <c r="II85" i="8"/>
  <c r="IJ85" i="8"/>
  <c r="IK85" i="8"/>
  <c r="IL85" i="8"/>
  <c r="IM85" i="8"/>
  <c r="IN85" i="8"/>
  <c r="IO85" i="8"/>
  <c r="IP85" i="8"/>
  <c r="IQ85" i="8"/>
  <c r="IR85" i="8"/>
  <c r="IS85" i="8"/>
  <c r="IT85" i="8"/>
  <c r="IU85" i="8"/>
  <c r="IV85" i="8"/>
  <c r="F86" i="8"/>
  <c r="G86" i="8"/>
  <c r="H86" i="8"/>
  <c r="I86" i="8"/>
  <c r="J86" i="8"/>
  <c r="K86" i="8"/>
  <c r="L86" i="8"/>
  <c r="M86" i="8"/>
  <c r="N86" i="8"/>
  <c r="O86" i="8"/>
  <c r="P86" i="8"/>
  <c r="Q86" i="8"/>
  <c r="R86" i="8"/>
  <c r="S86" i="8"/>
  <c r="T86" i="8"/>
  <c r="U86" i="8"/>
  <c r="V86" i="8"/>
  <c r="W86" i="8"/>
  <c r="X86" i="8"/>
  <c r="Y86" i="8"/>
  <c r="Z86" i="8"/>
  <c r="AA86" i="8"/>
  <c r="AB86" i="8"/>
  <c r="AC86" i="8"/>
  <c r="AD86" i="8"/>
  <c r="AE86" i="8"/>
  <c r="AF86" i="8"/>
  <c r="AG86" i="8"/>
  <c r="AH86" i="8"/>
  <c r="AI86" i="8"/>
  <c r="AJ86" i="8"/>
  <c r="AK86" i="8"/>
  <c r="AL86" i="8"/>
  <c r="AM86" i="8"/>
  <c r="AN86" i="8"/>
  <c r="AO86" i="8"/>
  <c r="AP86" i="8"/>
  <c r="AQ86" i="8"/>
  <c r="AR86" i="8"/>
  <c r="AS86" i="8"/>
  <c r="AT86" i="8"/>
  <c r="AU86" i="8"/>
  <c r="AV86" i="8"/>
  <c r="AW86" i="8"/>
  <c r="AX86" i="8"/>
  <c r="AY86" i="8"/>
  <c r="AZ86" i="8"/>
  <c r="BA86" i="8"/>
  <c r="BB86" i="8"/>
  <c r="BC86" i="8"/>
  <c r="BD86" i="8"/>
  <c r="BE86" i="8"/>
  <c r="BF86" i="8"/>
  <c r="BG86" i="8"/>
  <c r="BH86" i="8"/>
  <c r="BI86" i="8"/>
  <c r="BJ86" i="8"/>
  <c r="BK86" i="8"/>
  <c r="BL86" i="8"/>
  <c r="BM86" i="8"/>
  <c r="BN86" i="8"/>
  <c r="BO86" i="8"/>
  <c r="BP86" i="8"/>
  <c r="BQ86" i="8"/>
  <c r="BR86" i="8"/>
  <c r="BS86" i="8"/>
  <c r="BT86" i="8"/>
  <c r="BU86" i="8"/>
  <c r="BV86" i="8"/>
  <c r="BW86" i="8"/>
  <c r="BX86" i="8"/>
  <c r="BY86" i="8"/>
  <c r="BZ86" i="8"/>
  <c r="CA86" i="8"/>
  <c r="CB86" i="8"/>
  <c r="CC86" i="8"/>
  <c r="CD86" i="8"/>
  <c r="CE86" i="8"/>
  <c r="CF86" i="8"/>
  <c r="CG86" i="8"/>
  <c r="CH86" i="8"/>
  <c r="CI86" i="8"/>
  <c r="CJ86" i="8"/>
  <c r="CK86" i="8"/>
  <c r="CL86" i="8"/>
  <c r="CM86" i="8"/>
  <c r="CN86" i="8"/>
  <c r="CO86" i="8"/>
  <c r="CP86" i="8"/>
  <c r="CQ86" i="8"/>
  <c r="CR86" i="8"/>
  <c r="CS86" i="8"/>
  <c r="CT86" i="8"/>
  <c r="CU86" i="8"/>
  <c r="CV86" i="8"/>
  <c r="CW86" i="8"/>
  <c r="CX86" i="8"/>
  <c r="CY86" i="8"/>
  <c r="CZ86" i="8"/>
  <c r="DA86" i="8"/>
  <c r="DB86" i="8"/>
  <c r="DC86" i="8"/>
  <c r="DD86" i="8"/>
  <c r="DE86" i="8"/>
  <c r="DF86" i="8"/>
  <c r="DG86" i="8"/>
  <c r="DH86" i="8"/>
  <c r="DI86" i="8"/>
  <c r="DJ86" i="8"/>
  <c r="DK86" i="8"/>
  <c r="DL86" i="8"/>
  <c r="DM86" i="8"/>
  <c r="DN86" i="8"/>
  <c r="DO86" i="8"/>
  <c r="DP86" i="8"/>
  <c r="DQ86" i="8"/>
  <c r="DR86" i="8"/>
  <c r="DS86" i="8"/>
  <c r="DT86" i="8"/>
  <c r="DU86" i="8"/>
  <c r="DV86" i="8"/>
  <c r="DW86" i="8"/>
  <c r="DX86" i="8"/>
  <c r="DY86" i="8"/>
  <c r="DZ86" i="8"/>
  <c r="EA86" i="8"/>
  <c r="EB86" i="8"/>
  <c r="EC86" i="8"/>
  <c r="ED86" i="8"/>
  <c r="EE86" i="8"/>
  <c r="EF86" i="8"/>
  <c r="EG86" i="8"/>
  <c r="EH86" i="8"/>
  <c r="EI86" i="8"/>
  <c r="EJ86" i="8"/>
  <c r="EK86" i="8"/>
  <c r="EL86" i="8"/>
  <c r="EM86" i="8"/>
  <c r="EN86" i="8"/>
  <c r="EO86" i="8"/>
  <c r="EP86" i="8"/>
  <c r="EQ86" i="8"/>
  <c r="ER86" i="8"/>
  <c r="ES86" i="8"/>
  <c r="ET86" i="8"/>
  <c r="EU86" i="8"/>
  <c r="EV86" i="8"/>
  <c r="EW86" i="8"/>
  <c r="EX86" i="8"/>
  <c r="EY86" i="8"/>
  <c r="EZ86" i="8"/>
  <c r="FA86" i="8"/>
  <c r="FB86" i="8"/>
  <c r="FC86" i="8"/>
  <c r="FD86" i="8"/>
  <c r="FE86" i="8"/>
  <c r="FF86" i="8"/>
  <c r="FG86" i="8"/>
  <c r="FH86" i="8"/>
  <c r="FI86" i="8"/>
  <c r="FJ86" i="8"/>
  <c r="FK86" i="8"/>
  <c r="FL86" i="8"/>
  <c r="FM86" i="8"/>
  <c r="FN86" i="8"/>
  <c r="FO86" i="8"/>
  <c r="FP86" i="8"/>
  <c r="FQ86" i="8"/>
  <c r="FR86" i="8"/>
  <c r="FS86" i="8"/>
  <c r="FT86" i="8"/>
  <c r="FU86" i="8"/>
  <c r="FV86" i="8"/>
  <c r="FW86" i="8"/>
  <c r="FX86" i="8"/>
  <c r="FY86" i="8"/>
  <c r="FZ86" i="8"/>
  <c r="GA86" i="8"/>
  <c r="GB86" i="8"/>
  <c r="GC86" i="8"/>
  <c r="GD86" i="8"/>
  <c r="GE86" i="8"/>
  <c r="GF86" i="8"/>
  <c r="GG86" i="8"/>
  <c r="GH86" i="8"/>
  <c r="GI86" i="8"/>
  <c r="GJ86" i="8"/>
  <c r="GK86" i="8"/>
  <c r="GL86" i="8"/>
  <c r="GM86" i="8"/>
  <c r="GN86" i="8"/>
  <c r="GO86" i="8"/>
  <c r="GP86" i="8"/>
  <c r="GQ86" i="8"/>
  <c r="GR86" i="8"/>
  <c r="GS86" i="8"/>
  <c r="GT86" i="8"/>
  <c r="GU86" i="8"/>
  <c r="GV86" i="8"/>
  <c r="GW86" i="8"/>
  <c r="GX86" i="8"/>
  <c r="GY86" i="8"/>
  <c r="GZ86" i="8"/>
  <c r="HA86" i="8"/>
  <c r="HB86" i="8"/>
  <c r="HC86" i="8"/>
  <c r="HD86" i="8"/>
  <c r="HE86" i="8"/>
  <c r="HF86" i="8"/>
  <c r="HG86" i="8"/>
  <c r="HH86" i="8"/>
  <c r="HI86" i="8"/>
  <c r="HJ86" i="8"/>
  <c r="HK86" i="8"/>
  <c r="HL86" i="8"/>
  <c r="HM86" i="8"/>
  <c r="HN86" i="8"/>
  <c r="HO86" i="8"/>
  <c r="HP86" i="8"/>
  <c r="HQ86" i="8"/>
  <c r="HR86" i="8"/>
  <c r="HS86" i="8"/>
  <c r="HT86" i="8"/>
  <c r="HU86" i="8"/>
  <c r="HV86" i="8"/>
  <c r="HW86" i="8"/>
  <c r="HX86" i="8"/>
  <c r="HY86" i="8"/>
  <c r="HZ86" i="8"/>
  <c r="IA86" i="8"/>
  <c r="IB86" i="8"/>
  <c r="IC86" i="8"/>
  <c r="ID86" i="8"/>
  <c r="IE86" i="8"/>
  <c r="IF86" i="8"/>
  <c r="IG86" i="8"/>
  <c r="IH86" i="8"/>
  <c r="II86" i="8"/>
  <c r="IJ86" i="8"/>
  <c r="IK86" i="8"/>
  <c r="IL86" i="8"/>
  <c r="IM86" i="8"/>
  <c r="IN86" i="8"/>
  <c r="IO86" i="8"/>
  <c r="IP86" i="8"/>
  <c r="IQ86" i="8"/>
  <c r="IR86" i="8"/>
  <c r="IS86" i="8"/>
  <c r="IT86" i="8"/>
  <c r="IU86" i="8"/>
  <c r="IV86" i="8"/>
  <c r="F87" i="8"/>
  <c r="G87" i="8"/>
  <c r="H87" i="8"/>
  <c r="I87" i="8"/>
  <c r="J87" i="8"/>
  <c r="K87" i="8"/>
  <c r="L87" i="8"/>
  <c r="M87" i="8"/>
  <c r="N87" i="8"/>
  <c r="O87" i="8"/>
  <c r="P87" i="8"/>
  <c r="Q87" i="8"/>
  <c r="R87" i="8"/>
  <c r="S87" i="8"/>
  <c r="T87" i="8"/>
  <c r="U87" i="8"/>
  <c r="V87" i="8"/>
  <c r="W87" i="8"/>
  <c r="X87" i="8"/>
  <c r="Y87" i="8"/>
  <c r="Z87" i="8"/>
  <c r="AA87" i="8"/>
  <c r="AB87" i="8"/>
  <c r="AC87" i="8"/>
  <c r="AD87" i="8"/>
  <c r="AE87" i="8"/>
  <c r="AF87" i="8"/>
  <c r="AG87" i="8"/>
  <c r="AH87" i="8"/>
  <c r="AI87" i="8"/>
  <c r="AJ87" i="8"/>
  <c r="AK87" i="8"/>
  <c r="AL87" i="8"/>
  <c r="AM87" i="8"/>
  <c r="AN87" i="8"/>
  <c r="AO87" i="8"/>
  <c r="AP87" i="8"/>
  <c r="AQ87" i="8"/>
  <c r="AR87" i="8"/>
  <c r="AS87" i="8"/>
  <c r="AT87" i="8"/>
  <c r="AU87" i="8"/>
  <c r="AV87" i="8"/>
  <c r="AW87" i="8"/>
  <c r="AX87" i="8"/>
  <c r="AY87" i="8"/>
  <c r="AZ87" i="8"/>
  <c r="BA87" i="8"/>
  <c r="BB87" i="8"/>
  <c r="BC87" i="8"/>
  <c r="BD87" i="8"/>
  <c r="BE87" i="8"/>
  <c r="BF87" i="8"/>
  <c r="BG87" i="8"/>
  <c r="BH87" i="8"/>
  <c r="BI87" i="8"/>
  <c r="BJ87" i="8"/>
  <c r="BK87" i="8"/>
  <c r="BL87" i="8"/>
  <c r="BM87" i="8"/>
  <c r="BN87" i="8"/>
  <c r="BO87" i="8"/>
  <c r="BP87" i="8"/>
  <c r="BQ87" i="8"/>
  <c r="BR87" i="8"/>
  <c r="BS87" i="8"/>
  <c r="BT87" i="8"/>
  <c r="BU87" i="8"/>
  <c r="BV87" i="8"/>
  <c r="BW87" i="8"/>
  <c r="BX87" i="8"/>
  <c r="BY87" i="8"/>
  <c r="BZ87" i="8"/>
  <c r="CA87" i="8"/>
  <c r="CB87" i="8"/>
  <c r="CC87" i="8"/>
  <c r="CD87" i="8"/>
  <c r="CE87" i="8"/>
  <c r="CF87" i="8"/>
  <c r="CG87" i="8"/>
  <c r="CH87" i="8"/>
  <c r="CI87" i="8"/>
  <c r="CJ87" i="8"/>
  <c r="CK87" i="8"/>
  <c r="CL87" i="8"/>
  <c r="CM87" i="8"/>
  <c r="CN87" i="8"/>
  <c r="CO87" i="8"/>
  <c r="CP87" i="8"/>
  <c r="CQ87" i="8"/>
  <c r="CR87" i="8"/>
  <c r="CS87" i="8"/>
  <c r="CT87" i="8"/>
  <c r="CU87" i="8"/>
  <c r="CV87" i="8"/>
  <c r="CW87" i="8"/>
  <c r="CX87" i="8"/>
  <c r="CY87" i="8"/>
  <c r="CZ87" i="8"/>
  <c r="DA87" i="8"/>
  <c r="DB87" i="8"/>
  <c r="DC87" i="8"/>
  <c r="DD87" i="8"/>
  <c r="DE87" i="8"/>
  <c r="DF87" i="8"/>
  <c r="DG87" i="8"/>
  <c r="DH87" i="8"/>
  <c r="DI87" i="8"/>
  <c r="DJ87" i="8"/>
  <c r="DK87" i="8"/>
  <c r="DL87" i="8"/>
  <c r="DM87" i="8"/>
  <c r="DN87" i="8"/>
  <c r="DO87" i="8"/>
  <c r="DP87" i="8"/>
  <c r="DQ87" i="8"/>
  <c r="DR87" i="8"/>
  <c r="DS87" i="8"/>
  <c r="DT87" i="8"/>
  <c r="DU87" i="8"/>
  <c r="DV87" i="8"/>
  <c r="DW87" i="8"/>
  <c r="DX87" i="8"/>
  <c r="DY87" i="8"/>
  <c r="DZ87" i="8"/>
  <c r="EA87" i="8"/>
  <c r="EB87" i="8"/>
  <c r="EC87" i="8"/>
  <c r="ED87" i="8"/>
  <c r="EE87" i="8"/>
  <c r="EF87" i="8"/>
  <c r="EG87" i="8"/>
  <c r="EH87" i="8"/>
  <c r="EI87" i="8"/>
  <c r="EJ87" i="8"/>
  <c r="EK87" i="8"/>
  <c r="EL87" i="8"/>
  <c r="EM87" i="8"/>
  <c r="EN87" i="8"/>
  <c r="EO87" i="8"/>
  <c r="EP87" i="8"/>
  <c r="EQ87" i="8"/>
  <c r="ER87" i="8"/>
  <c r="ES87" i="8"/>
  <c r="ET87" i="8"/>
  <c r="EU87" i="8"/>
  <c r="EV87" i="8"/>
  <c r="EW87" i="8"/>
  <c r="EX87" i="8"/>
  <c r="EY87" i="8"/>
  <c r="EZ87" i="8"/>
  <c r="FA87" i="8"/>
  <c r="FB87" i="8"/>
  <c r="FC87" i="8"/>
  <c r="FD87" i="8"/>
  <c r="FE87" i="8"/>
  <c r="FF87" i="8"/>
  <c r="FG87" i="8"/>
  <c r="FH87" i="8"/>
  <c r="FI87" i="8"/>
  <c r="FJ87" i="8"/>
  <c r="FK87" i="8"/>
  <c r="FL87" i="8"/>
  <c r="FM87" i="8"/>
  <c r="FN87" i="8"/>
  <c r="FO87" i="8"/>
  <c r="FP87" i="8"/>
  <c r="FQ87" i="8"/>
  <c r="FR87" i="8"/>
  <c r="FS87" i="8"/>
  <c r="FT87" i="8"/>
  <c r="FU87" i="8"/>
  <c r="FV87" i="8"/>
  <c r="FW87" i="8"/>
  <c r="FX87" i="8"/>
  <c r="FY87" i="8"/>
  <c r="FZ87" i="8"/>
  <c r="GA87" i="8"/>
  <c r="GB87" i="8"/>
  <c r="GC87" i="8"/>
  <c r="GD87" i="8"/>
  <c r="GE87" i="8"/>
  <c r="GF87" i="8"/>
  <c r="GG87" i="8"/>
  <c r="GH87" i="8"/>
  <c r="GI87" i="8"/>
  <c r="GJ87" i="8"/>
  <c r="GK87" i="8"/>
  <c r="GL87" i="8"/>
  <c r="GM87" i="8"/>
  <c r="GN87" i="8"/>
  <c r="GO87" i="8"/>
  <c r="GP87" i="8"/>
  <c r="GQ87" i="8"/>
  <c r="GR87" i="8"/>
  <c r="GS87" i="8"/>
  <c r="GT87" i="8"/>
  <c r="GU87" i="8"/>
  <c r="GV87" i="8"/>
  <c r="GW87" i="8"/>
  <c r="GX87" i="8"/>
  <c r="GY87" i="8"/>
  <c r="GZ87" i="8"/>
  <c r="HA87" i="8"/>
  <c r="HB87" i="8"/>
  <c r="HC87" i="8"/>
  <c r="HD87" i="8"/>
  <c r="HE87" i="8"/>
  <c r="HF87" i="8"/>
  <c r="HG87" i="8"/>
  <c r="HH87" i="8"/>
  <c r="HI87" i="8"/>
  <c r="HJ87" i="8"/>
  <c r="HK87" i="8"/>
  <c r="HL87" i="8"/>
  <c r="HM87" i="8"/>
  <c r="HN87" i="8"/>
  <c r="HO87" i="8"/>
  <c r="HP87" i="8"/>
  <c r="HQ87" i="8"/>
  <c r="HR87" i="8"/>
  <c r="HS87" i="8"/>
  <c r="HT87" i="8"/>
  <c r="HU87" i="8"/>
  <c r="HV87" i="8"/>
  <c r="HW87" i="8"/>
  <c r="HX87" i="8"/>
  <c r="HY87" i="8"/>
  <c r="HZ87" i="8"/>
  <c r="IA87" i="8"/>
  <c r="IB87" i="8"/>
  <c r="IC87" i="8"/>
  <c r="ID87" i="8"/>
  <c r="IE87" i="8"/>
  <c r="IF87" i="8"/>
  <c r="IG87" i="8"/>
  <c r="IH87" i="8"/>
  <c r="II87" i="8"/>
  <c r="IJ87" i="8"/>
  <c r="IK87" i="8"/>
  <c r="IL87" i="8"/>
  <c r="IM87" i="8"/>
  <c r="IN87" i="8"/>
  <c r="IO87" i="8"/>
  <c r="IP87" i="8"/>
  <c r="IQ87" i="8"/>
  <c r="IR87" i="8"/>
  <c r="IS87" i="8"/>
  <c r="IT87" i="8"/>
  <c r="IU87" i="8"/>
  <c r="IV87" i="8"/>
  <c r="F88" i="8"/>
  <c r="G88" i="8"/>
  <c r="H88" i="8"/>
  <c r="I88" i="8"/>
  <c r="J88" i="8"/>
  <c r="K88" i="8"/>
  <c r="L88" i="8"/>
  <c r="M88" i="8"/>
  <c r="N88" i="8"/>
  <c r="O88" i="8"/>
  <c r="P88" i="8"/>
  <c r="Q88" i="8"/>
  <c r="R88" i="8"/>
  <c r="S88" i="8"/>
  <c r="T88" i="8"/>
  <c r="U88" i="8"/>
  <c r="V88" i="8"/>
  <c r="W88" i="8"/>
  <c r="X88" i="8"/>
  <c r="Y88" i="8"/>
  <c r="Z88" i="8"/>
  <c r="AA88" i="8"/>
  <c r="AB88" i="8"/>
  <c r="AC88" i="8"/>
  <c r="AD88" i="8"/>
  <c r="AE88" i="8"/>
  <c r="AF88" i="8"/>
  <c r="AG88" i="8"/>
  <c r="AH88" i="8"/>
  <c r="AI88" i="8"/>
  <c r="AJ88" i="8"/>
  <c r="AK88" i="8"/>
  <c r="AL88" i="8"/>
  <c r="AM88" i="8"/>
  <c r="AN88" i="8"/>
  <c r="AO88" i="8"/>
  <c r="AP88" i="8"/>
  <c r="AQ88" i="8"/>
  <c r="AR88" i="8"/>
  <c r="AS88" i="8"/>
  <c r="AT88" i="8"/>
  <c r="AU88" i="8"/>
  <c r="AV88" i="8"/>
  <c r="AW88" i="8"/>
  <c r="AX88" i="8"/>
  <c r="AY88" i="8"/>
  <c r="AZ88" i="8"/>
  <c r="BA88" i="8"/>
  <c r="BB88" i="8"/>
  <c r="BC88" i="8"/>
  <c r="BD88" i="8"/>
  <c r="BE88" i="8"/>
  <c r="BF88" i="8"/>
  <c r="BG88" i="8"/>
  <c r="BH88" i="8"/>
  <c r="BI88" i="8"/>
  <c r="BJ88" i="8"/>
  <c r="BK88" i="8"/>
  <c r="BL88" i="8"/>
  <c r="BM88" i="8"/>
  <c r="BN88" i="8"/>
  <c r="BO88" i="8"/>
  <c r="BP88" i="8"/>
  <c r="BQ88" i="8"/>
  <c r="BR88" i="8"/>
  <c r="BS88" i="8"/>
  <c r="BT88" i="8"/>
  <c r="BU88" i="8"/>
  <c r="BV88" i="8"/>
  <c r="BW88" i="8"/>
  <c r="BX88" i="8"/>
  <c r="BY88" i="8"/>
  <c r="BZ88" i="8"/>
  <c r="CA88" i="8"/>
  <c r="CB88" i="8"/>
  <c r="CC88" i="8"/>
  <c r="CD88" i="8"/>
  <c r="CE88" i="8"/>
  <c r="CF88" i="8"/>
  <c r="CG88" i="8"/>
  <c r="CH88" i="8"/>
  <c r="CI88" i="8"/>
  <c r="CJ88" i="8"/>
  <c r="CK88" i="8"/>
  <c r="CL88" i="8"/>
  <c r="CM88" i="8"/>
  <c r="CN88" i="8"/>
  <c r="CO88" i="8"/>
  <c r="CP88" i="8"/>
  <c r="CQ88" i="8"/>
  <c r="CR88" i="8"/>
  <c r="CS88" i="8"/>
  <c r="CT88" i="8"/>
  <c r="CU88" i="8"/>
  <c r="CV88" i="8"/>
  <c r="CW88" i="8"/>
  <c r="CX88" i="8"/>
  <c r="CY88" i="8"/>
  <c r="CZ88" i="8"/>
  <c r="DA88" i="8"/>
  <c r="DB88" i="8"/>
  <c r="DC88" i="8"/>
  <c r="DD88" i="8"/>
  <c r="DE88" i="8"/>
  <c r="DF88" i="8"/>
  <c r="DG88" i="8"/>
  <c r="DH88" i="8"/>
  <c r="DI88" i="8"/>
  <c r="DJ88" i="8"/>
  <c r="DK88" i="8"/>
  <c r="DL88" i="8"/>
  <c r="DM88" i="8"/>
  <c r="DN88" i="8"/>
  <c r="DO88" i="8"/>
  <c r="DP88" i="8"/>
  <c r="DQ88" i="8"/>
  <c r="DR88" i="8"/>
  <c r="DS88" i="8"/>
  <c r="DT88" i="8"/>
  <c r="DU88" i="8"/>
  <c r="DV88" i="8"/>
  <c r="DW88" i="8"/>
  <c r="DX88" i="8"/>
  <c r="DY88" i="8"/>
  <c r="DZ88" i="8"/>
  <c r="EA88" i="8"/>
  <c r="EB88" i="8"/>
  <c r="EC88" i="8"/>
  <c r="ED88" i="8"/>
  <c r="EE88" i="8"/>
  <c r="EF88" i="8"/>
  <c r="EG88" i="8"/>
  <c r="EH88" i="8"/>
  <c r="EI88" i="8"/>
  <c r="EJ88" i="8"/>
  <c r="EK88" i="8"/>
  <c r="EL88" i="8"/>
  <c r="EM88" i="8"/>
  <c r="EN88" i="8"/>
  <c r="EO88" i="8"/>
  <c r="EP88" i="8"/>
  <c r="EQ88" i="8"/>
  <c r="ER88" i="8"/>
  <c r="ES88" i="8"/>
  <c r="ET88" i="8"/>
  <c r="EU88" i="8"/>
  <c r="EV88" i="8"/>
  <c r="EW88" i="8"/>
  <c r="EX88" i="8"/>
  <c r="EY88" i="8"/>
  <c r="EZ88" i="8"/>
  <c r="FA88" i="8"/>
  <c r="FB88" i="8"/>
  <c r="FC88" i="8"/>
  <c r="FD88" i="8"/>
  <c r="FE88" i="8"/>
  <c r="FF88" i="8"/>
  <c r="FG88" i="8"/>
  <c r="FH88" i="8"/>
  <c r="FI88" i="8"/>
  <c r="FJ88" i="8"/>
  <c r="FK88" i="8"/>
  <c r="FL88" i="8"/>
  <c r="FM88" i="8"/>
  <c r="FN88" i="8"/>
  <c r="FO88" i="8"/>
  <c r="FP88" i="8"/>
  <c r="FQ88" i="8"/>
  <c r="FR88" i="8"/>
  <c r="FS88" i="8"/>
  <c r="FT88" i="8"/>
  <c r="FU88" i="8"/>
  <c r="FV88" i="8"/>
  <c r="FW88" i="8"/>
  <c r="FX88" i="8"/>
  <c r="FY88" i="8"/>
  <c r="FZ88" i="8"/>
  <c r="GA88" i="8"/>
  <c r="GB88" i="8"/>
  <c r="GC88" i="8"/>
  <c r="GD88" i="8"/>
  <c r="GE88" i="8"/>
  <c r="GF88" i="8"/>
  <c r="GG88" i="8"/>
  <c r="GH88" i="8"/>
  <c r="GI88" i="8"/>
  <c r="GJ88" i="8"/>
  <c r="GK88" i="8"/>
  <c r="GL88" i="8"/>
  <c r="GM88" i="8"/>
  <c r="GN88" i="8"/>
  <c r="GO88" i="8"/>
  <c r="GP88" i="8"/>
  <c r="GQ88" i="8"/>
  <c r="GR88" i="8"/>
  <c r="GS88" i="8"/>
  <c r="GT88" i="8"/>
  <c r="GU88" i="8"/>
  <c r="GV88" i="8"/>
  <c r="GW88" i="8"/>
  <c r="GX88" i="8"/>
  <c r="GY88" i="8"/>
  <c r="GZ88" i="8"/>
  <c r="HA88" i="8"/>
  <c r="HB88" i="8"/>
  <c r="HC88" i="8"/>
  <c r="HD88" i="8"/>
  <c r="HE88" i="8"/>
  <c r="HF88" i="8"/>
  <c r="HG88" i="8"/>
  <c r="HH88" i="8"/>
  <c r="HI88" i="8"/>
  <c r="HJ88" i="8"/>
  <c r="HK88" i="8"/>
  <c r="HL88" i="8"/>
  <c r="HM88" i="8"/>
  <c r="HN88" i="8"/>
  <c r="HO88" i="8"/>
  <c r="HP88" i="8"/>
  <c r="HQ88" i="8"/>
  <c r="HR88" i="8"/>
  <c r="HS88" i="8"/>
  <c r="HT88" i="8"/>
  <c r="HU88" i="8"/>
  <c r="HV88" i="8"/>
  <c r="HW88" i="8"/>
  <c r="HX88" i="8"/>
  <c r="HY88" i="8"/>
  <c r="HZ88" i="8"/>
  <c r="IA88" i="8"/>
  <c r="IB88" i="8"/>
  <c r="IC88" i="8"/>
  <c r="ID88" i="8"/>
  <c r="IE88" i="8"/>
  <c r="IF88" i="8"/>
  <c r="IG88" i="8"/>
  <c r="IH88" i="8"/>
  <c r="II88" i="8"/>
  <c r="IJ88" i="8"/>
  <c r="IK88" i="8"/>
  <c r="IL88" i="8"/>
  <c r="IM88" i="8"/>
  <c r="IN88" i="8"/>
  <c r="IO88" i="8"/>
  <c r="IP88" i="8"/>
  <c r="IQ88" i="8"/>
  <c r="IR88" i="8"/>
  <c r="IS88" i="8"/>
  <c r="IT88" i="8"/>
  <c r="IU88" i="8"/>
  <c r="IV88" i="8"/>
  <c r="F89" i="8"/>
  <c r="G89" i="8"/>
  <c r="H89" i="8"/>
  <c r="I89" i="8"/>
  <c r="J89" i="8"/>
  <c r="K89" i="8"/>
  <c r="L89" i="8"/>
  <c r="M89" i="8"/>
  <c r="N89" i="8"/>
  <c r="O89" i="8"/>
  <c r="P89" i="8"/>
  <c r="Q89" i="8"/>
  <c r="R89" i="8"/>
  <c r="S89" i="8"/>
  <c r="T89" i="8"/>
  <c r="U89" i="8"/>
  <c r="V89" i="8"/>
  <c r="W89" i="8"/>
  <c r="X89" i="8"/>
  <c r="Y89" i="8"/>
  <c r="Z89" i="8"/>
  <c r="AA89" i="8"/>
  <c r="AB89" i="8"/>
  <c r="AC89" i="8"/>
  <c r="AD89" i="8"/>
  <c r="AE89" i="8"/>
  <c r="AF89" i="8"/>
  <c r="AG89" i="8"/>
  <c r="AH89" i="8"/>
  <c r="AI89" i="8"/>
  <c r="AJ89" i="8"/>
  <c r="AK89" i="8"/>
  <c r="AL89" i="8"/>
  <c r="AM89" i="8"/>
  <c r="AN89" i="8"/>
  <c r="AO89" i="8"/>
  <c r="AP89" i="8"/>
  <c r="AQ89" i="8"/>
  <c r="AR89" i="8"/>
  <c r="AS89" i="8"/>
  <c r="AT89" i="8"/>
  <c r="AU89" i="8"/>
  <c r="AV89" i="8"/>
  <c r="AW89" i="8"/>
  <c r="AX89" i="8"/>
  <c r="AY89" i="8"/>
  <c r="AZ89" i="8"/>
  <c r="BA89" i="8"/>
  <c r="BB89" i="8"/>
  <c r="BC89" i="8"/>
  <c r="BD89" i="8"/>
  <c r="BE89" i="8"/>
  <c r="BF89" i="8"/>
  <c r="BG89" i="8"/>
  <c r="BH89" i="8"/>
  <c r="BI89" i="8"/>
  <c r="BJ89" i="8"/>
  <c r="BK89" i="8"/>
  <c r="BL89" i="8"/>
  <c r="BM89" i="8"/>
  <c r="BN89" i="8"/>
  <c r="BO89" i="8"/>
  <c r="BP89" i="8"/>
  <c r="BQ89" i="8"/>
  <c r="BR89" i="8"/>
  <c r="BS89" i="8"/>
  <c r="BT89" i="8"/>
  <c r="BU89" i="8"/>
  <c r="BV89" i="8"/>
  <c r="BW89" i="8"/>
  <c r="BX89" i="8"/>
  <c r="BY89" i="8"/>
  <c r="BZ89" i="8"/>
  <c r="CA89" i="8"/>
  <c r="CB89" i="8"/>
  <c r="CC89" i="8"/>
  <c r="CD89" i="8"/>
  <c r="CE89" i="8"/>
  <c r="CF89" i="8"/>
  <c r="CG89" i="8"/>
  <c r="CH89" i="8"/>
  <c r="CI89" i="8"/>
  <c r="CJ89" i="8"/>
  <c r="CK89" i="8"/>
  <c r="CL89" i="8"/>
  <c r="CM89" i="8"/>
  <c r="CN89" i="8"/>
  <c r="CO89" i="8"/>
  <c r="CP89" i="8"/>
  <c r="CQ89" i="8"/>
  <c r="CR89" i="8"/>
  <c r="CS89" i="8"/>
  <c r="CT89" i="8"/>
  <c r="CU89" i="8"/>
  <c r="CV89" i="8"/>
  <c r="CW89" i="8"/>
  <c r="CX89" i="8"/>
  <c r="CY89" i="8"/>
  <c r="CZ89" i="8"/>
  <c r="DA89" i="8"/>
  <c r="DB89" i="8"/>
  <c r="DC89" i="8"/>
  <c r="DD89" i="8"/>
  <c r="DE89" i="8"/>
  <c r="DF89" i="8"/>
  <c r="DG89" i="8"/>
  <c r="DH89" i="8"/>
  <c r="DI89" i="8"/>
  <c r="DJ89" i="8"/>
  <c r="DK89" i="8"/>
  <c r="DL89" i="8"/>
  <c r="DM89" i="8"/>
  <c r="DN89" i="8"/>
  <c r="DO89" i="8"/>
  <c r="DP89" i="8"/>
  <c r="DQ89" i="8"/>
  <c r="DR89" i="8"/>
  <c r="DS89" i="8"/>
  <c r="DT89" i="8"/>
  <c r="DU89" i="8"/>
  <c r="DV89" i="8"/>
  <c r="DW89" i="8"/>
  <c r="DX89" i="8"/>
  <c r="DY89" i="8"/>
  <c r="DZ89" i="8"/>
  <c r="EA89" i="8"/>
  <c r="EB89" i="8"/>
  <c r="EC89" i="8"/>
  <c r="ED89" i="8"/>
  <c r="EE89" i="8"/>
  <c r="EF89" i="8"/>
  <c r="EG89" i="8"/>
  <c r="EH89" i="8"/>
  <c r="EI89" i="8"/>
  <c r="EJ89" i="8"/>
  <c r="EK89" i="8"/>
  <c r="EL89" i="8"/>
  <c r="EM89" i="8"/>
  <c r="EN89" i="8"/>
  <c r="EO89" i="8"/>
  <c r="EP89" i="8"/>
  <c r="EQ89" i="8"/>
  <c r="ER89" i="8"/>
  <c r="ES89" i="8"/>
  <c r="ET89" i="8"/>
  <c r="EU89" i="8"/>
  <c r="EV89" i="8"/>
  <c r="EW89" i="8"/>
  <c r="EX89" i="8"/>
  <c r="EY89" i="8"/>
  <c r="EZ89" i="8"/>
  <c r="FA89" i="8"/>
  <c r="FB89" i="8"/>
  <c r="FC89" i="8"/>
  <c r="FD89" i="8"/>
  <c r="FE89" i="8"/>
  <c r="FF89" i="8"/>
  <c r="FG89" i="8"/>
  <c r="FH89" i="8"/>
  <c r="FI89" i="8"/>
  <c r="FJ89" i="8"/>
  <c r="FK89" i="8"/>
  <c r="FL89" i="8"/>
  <c r="FM89" i="8"/>
  <c r="FN89" i="8"/>
  <c r="FO89" i="8"/>
  <c r="FP89" i="8"/>
  <c r="FQ89" i="8"/>
  <c r="FR89" i="8"/>
  <c r="FS89" i="8"/>
  <c r="FT89" i="8"/>
  <c r="FU89" i="8"/>
  <c r="FV89" i="8"/>
  <c r="FW89" i="8"/>
  <c r="FX89" i="8"/>
  <c r="FY89" i="8"/>
  <c r="FZ89" i="8"/>
  <c r="GA89" i="8"/>
  <c r="GB89" i="8"/>
  <c r="GC89" i="8"/>
  <c r="GD89" i="8"/>
  <c r="GE89" i="8"/>
  <c r="GF89" i="8"/>
  <c r="GG89" i="8"/>
  <c r="GH89" i="8"/>
  <c r="GI89" i="8"/>
  <c r="GJ89" i="8"/>
  <c r="GK89" i="8"/>
  <c r="GL89" i="8"/>
  <c r="GM89" i="8"/>
  <c r="GN89" i="8"/>
  <c r="GO89" i="8"/>
  <c r="GP89" i="8"/>
  <c r="GQ89" i="8"/>
  <c r="GR89" i="8"/>
  <c r="GS89" i="8"/>
  <c r="GT89" i="8"/>
  <c r="GU89" i="8"/>
  <c r="GV89" i="8"/>
  <c r="GW89" i="8"/>
  <c r="GX89" i="8"/>
  <c r="GY89" i="8"/>
  <c r="GZ89" i="8"/>
  <c r="HA89" i="8"/>
  <c r="HB89" i="8"/>
  <c r="HC89" i="8"/>
  <c r="HD89" i="8"/>
  <c r="HE89" i="8"/>
  <c r="HF89" i="8"/>
  <c r="HG89" i="8"/>
  <c r="HH89" i="8"/>
  <c r="HI89" i="8"/>
  <c r="HJ89" i="8"/>
  <c r="HK89" i="8"/>
  <c r="HL89" i="8"/>
  <c r="HM89" i="8"/>
  <c r="HN89" i="8"/>
  <c r="HO89" i="8"/>
  <c r="HP89" i="8"/>
  <c r="HQ89" i="8"/>
  <c r="HR89" i="8"/>
  <c r="HS89" i="8"/>
  <c r="HT89" i="8"/>
  <c r="HU89" i="8"/>
  <c r="HV89" i="8"/>
  <c r="HW89" i="8"/>
  <c r="HX89" i="8"/>
  <c r="HY89" i="8"/>
  <c r="HZ89" i="8"/>
  <c r="IA89" i="8"/>
  <c r="IB89" i="8"/>
  <c r="IC89" i="8"/>
  <c r="ID89" i="8"/>
  <c r="IE89" i="8"/>
  <c r="IF89" i="8"/>
  <c r="IG89" i="8"/>
  <c r="IH89" i="8"/>
  <c r="II89" i="8"/>
  <c r="IJ89" i="8"/>
  <c r="IK89" i="8"/>
  <c r="IL89" i="8"/>
  <c r="IM89" i="8"/>
  <c r="IN89" i="8"/>
  <c r="IO89" i="8"/>
  <c r="IP89" i="8"/>
  <c r="IQ89" i="8"/>
  <c r="IR89" i="8"/>
  <c r="IS89" i="8"/>
  <c r="IT89" i="8"/>
  <c r="IU89" i="8"/>
  <c r="IV89" i="8"/>
  <c r="F90" i="8"/>
  <c r="G90" i="8"/>
  <c r="H90" i="8"/>
  <c r="I90" i="8"/>
  <c r="J90" i="8"/>
  <c r="K90" i="8"/>
  <c r="L90" i="8"/>
  <c r="M90" i="8"/>
  <c r="N90" i="8"/>
  <c r="O90" i="8"/>
  <c r="P90" i="8"/>
  <c r="Q90" i="8"/>
  <c r="R90" i="8"/>
  <c r="S90" i="8"/>
  <c r="T90" i="8"/>
  <c r="U90" i="8"/>
  <c r="V90" i="8"/>
  <c r="W90" i="8"/>
  <c r="X90" i="8"/>
  <c r="Y90" i="8"/>
  <c r="Z90" i="8"/>
  <c r="AA90" i="8"/>
  <c r="AB90" i="8"/>
  <c r="AC90" i="8"/>
  <c r="AD90" i="8"/>
  <c r="AE90" i="8"/>
  <c r="AF90" i="8"/>
  <c r="AG90" i="8"/>
  <c r="AH90" i="8"/>
  <c r="AI90" i="8"/>
  <c r="AJ90" i="8"/>
  <c r="AK90" i="8"/>
  <c r="AL90" i="8"/>
  <c r="AM90" i="8"/>
  <c r="AN90" i="8"/>
  <c r="AO90" i="8"/>
  <c r="AP90" i="8"/>
  <c r="AQ90" i="8"/>
  <c r="AR90" i="8"/>
  <c r="AS90" i="8"/>
  <c r="AT90" i="8"/>
  <c r="AU90" i="8"/>
  <c r="AV90" i="8"/>
  <c r="AW90" i="8"/>
  <c r="AX90" i="8"/>
  <c r="AY90" i="8"/>
  <c r="AZ90" i="8"/>
  <c r="BA90" i="8"/>
  <c r="BB90" i="8"/>
  <c r="BC90" i="8"/>
  <c r="BD90" i="8"/>
  <c r="BE90" i="8"/>
  <c r="BF90" i="8"/>
  <c r="BG90" i="8"/>
  <c r="BH90" i="8"/>
  <c r="BI90" i="8"/>
  <c r="BJ90" i="8"/>
  <c r="BK90" i="8"/>
  <c r="BL90" i="8"/>
  <c r="BM90" i="8"/>
  <c r="BN90" i="8"/>
  <c r="BO90" i="8"/>
  <c r="BP90" i="8"/>
  <c r="BQ90" i="8"/>
  <c r="BR90" i="8"/>
  <c r="BS90" i="8"/>
  <c r="BT90" i="8"/>
  <c r="BU90" i="8"/>
  <c r="BV90" i="8"/>
  <c r="BW90" i="8"/>
  <c r="BX90" i="8"/>
  <c r="BY90" i="8"/>
  <c r="BZ90" i="8"/>
  <c r="CA90" i="8"/>
  <c r="CB90" i="8"/>
  <c r="CC90" i="8"/>
  <c r="CD90" i="8"/>
  <c r="CE90" i="8"/>
  <c r="CF90" i="8"/>
  <c r="CG90" i="8"/>
  <c r="CH90" i="8"/>
  <c r="CI90" i="8"/>
  <c r="CJ90" i="8"/>
  <c r="CK90" i="8"/>
  <c r="CL90" i="8"/>
  <c r="CM90" i="8"/>
  <c r="CN90" i="8"/>
  <c r="CO90" i="8"/>
  <c r="CP90" i="8"/>
  <c r="CQ90" i="8"/>
  <c r="CR90" i="8"/>
  <c r="CS90" i="8"/>
  <c r="CT90" i="8"/>
  <c r="CU90" i="8"/>
  <c r="CV90" i="8"/>
  <c r="CW90" i="8"/>
  <c r="CX90" i="8"/>
  <c r="CY90" i="8"/>
  <c r="CZ90" i="8"/>
  <c r="DA90" i="8"/>
  <c r="DB90" i="8"/>
  <c r="DC90" i="8"/>
  <c r="DD90" i="8"/>
  <c r="DE90" i="8"/>
  <c r="DF90" i="8"/>
  <c r="DG90" i="8"/>
  <c r="DH90" i="8"/>
  <c r="DI90" i="8"/>
  <c r="DJ90" i="8"/>
  <c r="DK90" i="8"/>
  <c r="DL90" i="8"/>
  <c r="DM90" i="8"/>
  <c r="DN90" i="8"/>
  <c r="DO90" i="8"/>
  <c r="DP90" i="8"/>
  <c r="DQ90" i="8"/>
  <c r="DR90" i="8"/>
  <c r="DS90" i="8"/>
  <c r="DT90" i="8"/>
  <c r="DU90" i="8"/>
  <c r="DV90" i="8"/>
  <c r="DW90" i="8"/>
  <c r="DX90" i="8"/>
  <c r="DY90" i="8"/>
  <c r="DZ90" i="8"/>
  <c r="EA90" i="8"/>
  <c r="EB90" i="8"/>
  <c r="EC90" i="8"/>
  <c r="ED90" i="8"/>
  <c r="EE90" i="8"/>
  <c r="EF90" i="8"/>
  <c r="EG90" i="8"/>
  <c r="EH90" i="8"/>
  <c r="EI90" i="8"/>
  <c r="EJ90" i="8"/>
  <c r="EK90" i="8"/>
  <c r="EL90" i="8"/>
  <c r="EM90" i="8"/>
  <c r="EN90" i="8"/>
  <c r="EO90" i="8"/>
  <c r="EP90" i="8"/>
  <c r="EQ90" i="8"/>
  <c r="ER90" i="8"/>
  <c r="ES90" i="8"/>
  <c r="ET90" i="8"/>
  <c r="EU90" i="8"/>
  <c r="EV90" i="8"/>
  <c r="EW90" i="8"/>
  <c r="EX90" i="8"/>
  <c r="EY90" i="8"/>
  <c r="EZ90" i="8"/>
  <c r="FA90" i="8"/>
  <c r="FB90" i="8"/>
  <c r="FC90" i="8"/>
  <c r="FD90" i="8"/>
  <c r="FE90" i="8"/>
  <c r="FF90" i="8"/>
  <c r="FG90" i="8"/>
  <c r="FH90" i="8"/>
  <c r="FI90" i="8"/>
  <c r="FJ90" i="8"/>
  <c r="FK90" i="8"/>
  <c r="FL90" i="8"/>
  <c r="FM90" i="8"/>
  <c r="FN90" i="8"/>
  <c r="FO90" i="8"/>
  <c r="FP90" i="8"/>
  <c r="FQ90" i="8"/>
  <c r="FR90" i="8"/>
  <c r="FS90" i="8"/>
  <c r="FT90" i="8"/>
  <c r="FU90" i="8"/>
  <c r="FV90" i="8"/>
  <c r="FW90" i="8"/>
  <c r="FX90" i="8"/>
  <c r="FY90" i="8"/>
  <c r="FZ90" i="8"/>
  <c r="GA90" i="8"/>
  <c r="GB90" i="8"/>
  <c r="GC90" i="8"/>
  <c r="GD90" i="8"/>
  <c r="GE90" i="8"/>
  <c r="GF90" i="8"/>
  <c r="GG90" i="8"/>
  <c r="GH90" i="8"/>
  <c r="GI90" i="8"/>
  <c r="GJ90" i="8"/>
  <c r="GK90" i="8"/>
  <c r="GL90" i="8"/>
  <c r="GM90" i="8"/>
  <c r="GN90" i="8"/>
  <c r="GO90" i="8"/>
  <c r="GP90" i="8"/>
  <c r="GQ90" i="8"/>
  <c r="GR90" i="8"/>
  <c r="GS90" i="8"/>
  <c r="GT90" i="8"/>
  <c r="GU90" i="8"/>
  <c r="GV90" i="8"/>
  <c r="GW90" i="8"/>
  <c r="GX90" i="8"/>
  <c r="GY90" i="8"/>
  <c r="GZ90" i="8"/>
  <c r="HA90" i="8"/>
  <c r="HB90" i="8"/>
  <c r="HC90" i="8"/>
  <c r="HD90" i="8"/>
  <c r="HE90" i="8"/>
  <c r="HF90" i="8"/>
  <c r="HG90" i="8"/>
  <c r="HH90" i="8"/>
  <c r="HI90" i="8"/>
  <c r="HJ90" i="8"/>
  <c r="HK90" i="8"/>
  <c r="HL90" i="8"/>
  <c r="HM90" i="8"/>
  <c r="HN90" i="8"/>
  <c r="HO90" i="8"/>
  <c r="HP90" i="8"/>
  <c r="HQ90" i="8"/>
  <c r="HR90" i="8"/>
  <c r="HS90" i="8"/>
  <c r="HT90" i="8"/>
  <c r="HU90" i="8"/>
  <c r="HV90" i="8"/>
  <c r="HW90" i="8"/>
  <c r="HX90" i="8"/>
  <c r="HY90" i="8"/>
  <c r="HZ90" i="8"/>
  <c r="IA90" i="8"/>
  <c r="IB90" i="8"/>
  <c r="IC90" i="8"/>
  <c r="ID90" i="8"/>
  <c r="IE90" i="8"/>
  <c r="IF90" i="8"/>
  <c r="IG90" i="8"/>
  <c r="IH90" i="8"/>
  <c r="II90" i="8"/>
  <c r="IJ90" i="8"/>
  <c r="IK90" i="8"/>
  <c r="IL90" i="8"/>
  <c r="IM90" i="8"/>
  <c r="IN90" i="8"/>
  <c r="IO90" i="8"/>
  <c r="IP90" i="8"/>
  <c r="IQ90" i="8"/>
  <c r="IR90" i="8"/>
  <c r="IS90" i="8"/>
  <c r="IT90" i="8"/>
  <c r="IU90" i="8"/>
  <c r="IV90" i="8"/>
  <c r="F91" i="8"/>
  <c r="G91" i="8"/>
  <c r="H91" i="8"/>
  <c r="I91" i="8"/>
  <c r="J91" i="8"/>
  <c r="K91" i="8"/>
  <c r="L91" i="8"/>
  <c r="M91" i="8"/>
  <c r="N91" i="8"/>
  <c r="O91" i="8"/>
  <c r="P91" i="8"/>
  <c r="Q91" i="8"/>
  <c r="R91" i="8"/>
  <c r="S91" i="8"/>
  <c r="T91" i="8"/>
  <c r="U91" i="8"/>
  <c r="V91" i="8"/>
  <c r="W91" i="8"/>
  <c r="X91" i="8"/>
  <c r="Y91" i="8"/>
  <c r="Z91" i="8"/>
  <c r="AA91" i="8"/>
  <c r="AB91" i="8"/>
  <c r="AC91" i="8"/>
  <c r="AD91" i="8"/>
  <c r="AE91" i="8"/>
  <c r="AF91" i="8"/>
  <c r="AG91" i="8"/>
  <c r="AH91" i="8"/>
  <c r="AI91" i="8"/>
  <c r="AJ91" i="8"/>
  <c r="AK91" i="8"/>
  <c r="AL91" i="8"/>
  <c r="AM91" i="8"/>
  <c r="AN91" i="8"/>
  <c r="AO91" i="8"/>
  <c r="AP91" i="8"/>
  <c r="AQ91" i="8"/>
  <c r="AR91" i="8"/>
  <c r="AS91" i="8"/>
  <c r="AT91" i="8"/>
  <c r="AU91" i="8"/>
  <c r="AV91" i="8"/>
  <c r="AW91" i="8"/>
  <c r="AX91" i="8"/>
  <c r="AY91" i="8"/>
  <c r="AZ91" i="8"/>
  <c r="BA91" i="8"/>
  <c r="BB91" i="8"/>
  <c r="BC91" i="8"/>
  <c r="BD91" i="8"/>
  <c r="BE91" i="8"/>
  <c r="BF91" i="8"/>
  <c r="BG91" i="8"/>
  <c r="BH91" i="8"/>
  <c r="BI91" i="8"/>
  <c r="BJ91" i="8"/>
  <c r="BK91" i="8"/>
  <c r="BL91" i="8"/>
  <c r="BM91" i="8"/>
  <c r="BN91" i="8"/>
  <c r="BO91" i="8"/>
  <c r="BP91" i="8"/>
  <c r="BQ91" i="8"/>
  <c r="BR91" i="8"/>
  <c r="BS91" i="8"/>
  <c r="BT91" i="8"/>
  <c r="BU91" i="8"/>
  <c r="BV91" i="8"/>
  <c r="BW91" i="8"/>
  <c r="BX91" i="8"/>
  <c r="BY91" i="8"/>
  <c r="BZ91" i="8"/>
  <c r="CA91" i="8"/>
  <c r="CB91" i="8"/>
  <c r="CC91" i="8"/>
  <c r="CD91" i="8"/>
  <c r="CE91" i="8"/>
  <c r="CF91" i="8"/>
  <c r="CG91" i="8"/>
  <c r="CH91" i="8"/>
  <c r="CI91" i="8"/>
  <c r="CJ91" i="8"/>
  <c r="CK91" i="8"/>
  <c r="CL91" i="8"/>
  <c r="CM91" i="8"/>
  <c r="CN91" i="8"/>
  <c r="CO91" i="8"/>
  <c r="CP91" i="8"/>
  <c r="CQ91" i="8"/>
  <c r="CR91" i="8"/>
  <c r="CS91" i="8"/>
  <c r="CT91" i="8"/>
  <c r="CU91" i="8"/>
  <c r="CV91" i="8"/>
  <c r="CW91" i="8"/>
  <c r="CX91" i="8"/>
  <c r="CY91" i="8"/>
  <c r="CZ91" i="8"/>
  <c r="DA91" i="8"/>
  <c r="DB91" i="8"/>
  <c r="DC91" i="8"/>
  <c r="DD91" i="8"/>
  <c r="DE91" i="8"/>
  <c r="DF91" i="8"/>
  <c r="DG91" i="8"/>
  <c r="DH91" i="8"/>
  <c r="DI91" i="8"/>
  <c r="DJ91" i="8"/>
  <c r="DK91" i="8"/>
  <c r="DL91" i="8"/>
  <c r="DM91" i="8"/>
  <c r="DN91" i="8"/>
  <c r="DO91" i="8"/>
  <c r="DP91" i="8"/>
  <c r="DQ91" i="8"/>
  <c r="DR91" i="8"/>
  <c r="DS91" i="8"/>
  <c r="DT91" i="8"/>
  <c r="DU91" i="8"/>
  <c r="DV91" i="8"/>
  <c r="DW91" i="8"/>
  <c r="DX91" i="8"/>
  <c r="DY91" i="8"/>
  <c r="DZ91" i="8"/>
  <c r="EA91" i="8"/>
  <c r="EB91" i="8"/>
  <c r="EC91" i="8"/>
  <c r="ED91" i="8"/>
  <c r="EE91" i="8"/>
  <c r="EF91" i="8"/>
  <c r="EG91" i="8"/>
  <c r="EH91" i="8"/>
  <c r="EI91" i="8"/>
  <c r="EJ91" i="8"/>
  <c r="EK91" i="8"/>
  <c r="EL91" i="8"/>
  <c r="EM91" i="8"/>
  <c r="EN91" i="8"/>
  <c r="EO91" i="8"/>
  <c r="EP91" i="8"/>
  <c r="EQ91" i="8"/>
  <c r="ER91" i="8"/>
  <c r="ES91" i="8"/>
  <c r="ET91" i="8"/>
  <c r="EU91" i="8"/>
  <c r="EV91" i="8"/>
  <c r="EW91" i="8"/>
  <c r="EX91" i="8"/>
  <c r="EY91" i="8"/>
  <c r="EZ91" i="8"/>
  <c r="FA91" i="8"/>
  <c r="FB91" i="8"/>
  <c r="FC91" i="8"/>
  <c r="FD91" i="8"/>
  <c r="FE91" i="8"/>
  <c r="FF91" i="8"/>
  <c r="FG91" i="8"/>
  <c r="FH91" i="8"/>
  <c r="FI91" i="8"/>
  <c r="FJ91" i="8"/>
  <c r="FK91" i="8"/>
  <c r="FL91" i="8"/>
  <c r="FM91" i="8"/>
  <c r="FN91" i="8"/>
  <c r="FO91" i="8"/>
  <c r="FP91" i="8"/>
  <c r="FQ91" i="8"/>
  <c r="FR91" i="8"/>
  <c r="FS91" i="8"/>
  <c r="FT91" i="8"/>
  <c r="FU91" i="8"/>
  <c r="FV91" i="8"/>
  <c r="FW91" i="8"/>
  <c r="FX91" i="8"/>
  <c r="FY91" i="8"/>
  <c r="FZ91" i="8"/>
  <c r="GA91" i="8"/>
  <c r="GB91" i="8"/>
  <c r="GC91" i="8"/>
  <c r="GD91" i="8"/>
  <c r="GE91" i="8"/>
  <c r="GF91" i="8"/>
  <c r="GG91" i="8"/>
  <c r="GH91" i="8"/>
  <c r="GI91" i="8"/>
  <c r="GJ91" i="8"/>
  <c r="GK91" i="8"/>
  <c r="GL91" i="8"/>
  <c r="GM91" i="8"/>
  <c r="GN91" i="8"/>
  <c r="GO91" i="8"/>
  <c r="GP91" i="8"/>
  <c r="GQ91" i="8"/>
  <c r="GR91" i="8"/>
  <c r="GS91" i="8"/>
  <c r="GT91" i="8"/>
  <c r="GU91" i="8"/>
  <c r="GV91" i="8"/>
  <c r="GW91" i="8"/>
  <c r="GX91" i="8"/>
  <c r="GY91" i="8"/>
  <c r="GZ91" i="8"/>
  <c r="HA91" i="8"/>
  <c r="HB91" i="8"/>
  <c r="HC91" i="8"/>
  <c r="HD91" i="8"/>
  <c r="HE91" i="8"/>
  <c r="HF91" i="8"/>
  <c r="HG91" i="8"/>
  <c r="HH91" i="8"/>
  <c r="HI91" i="8"/>
  <c r="HJ91" i="8"/>
  <c r="HK91" i="8"/>
  <c r="HL91" i="8"/>
  <c r="HM91" i="8"/>
  <c r="HN91" i="8"/>
  <c r="HO91" i="8"/>
  <c r="HP91" i="8"/>
  <c r="HQ91" i="8"/>
  <c r="HR91" i="8"/>
  <c r="HS91" i="8"/>
  <c r="HT91" i="8"/>
  <c r="HU91" i="8"/>
  <c r="HV91" i="8"/>
  <c r="HW91" i="8"/>
  <c r="HX91" i="8"/>
  <c r="HY91" i="8"/>
  <c r="HZ91" i="8"/>
  <c r="IA91" i="8"/>
  <c r="IB91" i="8"/>
  <c r="IC91" i="8"/>
  <c r="ID91" i="8"/>
  <c r="IE91" i="8"/>
  <c r="IF91" i="8"/>
  <c r="IG91" i="8"/>
  <c r="IH91" i="8"/>
  <c r="II91" i="8"/>
  <c r="IJ91" i="8"/>
  <c r="IK91" i="8"/>
  <c r="IL91" i="8"/>
  <c r="IM91" i="8"/>
  <c r="IN91" i="8"/>
  <c r="IO91" i="8"/>
  <c r="IP91" i="8"/>
  <c r="IQ91" i="8"/>
  <c r="IR91" i="8"/>
  <c r="IS91" i="8"/>
  <c r="IT91" i="8"/>
  <c r="IU91" i="8"/>
  <c r="IV91" i="8"/>
  <c r="F92" i="8"/>
  <c r="G92" i="8"/>
  <c r="H92" i="8"/>
  <c r="I92" i="8"/>
  <c r="J92" i="8"/>
  <c r="K92" i="8"/>
  <c r="L92" i="8"/>
  <c r="M92" i="8"/>
  <c r="N92" i="8"/>
  <c r="O92" i="8"/>
  <c r="P92" i="8"/>
  <c r="Q92" i="8"/>
  <c r="R92" i="8"/>
  <c r="S92" i="8"/>
  <c r="T92" i="8"/>
  <c r="U92" i="8"/>
  <c r="V92" i="8"/>
  <c r="W92" i="8"/>
  <c r="X92" i="8"/>
  <c r="Y92" i="8"/>
  <c r="Z92" i="8"/>
  <c r="AA92" i="8"/>
  <c r="AB92" i="8"/>
  <c r="AC92" i="8"/>
  <c r="AD92" i="8"/>
  <c r="AE92" i="8"/>
  <c r="AF92" i="8"/>
  <c r="AG92" i="8"/>
  <c r="AH92" i="8"/>
  <c r="AI92" i="8"/>
  <c r="AJ92" i="8"/>
  <c r="AK92" i="8"/>
  <c r="AL92" i="8"/>
  <c r="AM92" i="8"/>
  <c r="AN92" i="8"/>
  <c r="AO92" i="8"/>
  <c r="AP92" i="8"/>
  <c r="AQ92" i="8"/>
  <c r="AR92" i="8"/>
  <c r="AS92" i="8"/>
  <c r="AT92" i="8"/>
  <c r="AU92" i="8"/>
  <c r="AV92" i="8"/>
  <c r="AW92" i="8"/>
  <c r="AX92" i="8"/>
  <c r="AY92" i="8"/>
  <c r="AZ92" i="8"/>
  <c r="BA92" i="8"/>
  <c r="BB92" i="8"/>
  <c r="BC92" i="8"/>
  <c r="BD92" i="8"/>
  <c r="BE92" i="8"/>
  <c r="BF92" i="8"/>
  <c r="BG92" i="8"/>
  <c r="BH92" i="8"/>
  <c r="BI92" i="8"/>
  <c r="BJ92" i="8"/>
  <c r="BK92" i="8"/>
  <c r="BL92" i="8"/>
  <c r="BM92" i="8"/>
  <c r="BN92" i="8"/>
  <c r="BO92" i="8"/>
  <c r="BP92" i="8"/>
  <c r="BQ92" i="8"/>
  <c r="BR92" i="8"/>
  <c r="BS92" i="8"/>
  <c r="BT92" i="8"/>
  <c r="BU92" i="8"/>
  <c r="BV92" i="8"/>
  <c r="BW92" i="8"/>
  <c r="BX92" i="8"/>
  <c r="BY92" i="8"/>
  <c r="BZ92" i="8"/>
  <c r="CA92" i="8"/>
  <c r="CB92" i="8"/>
  <c r="CC92" i="8"/>
  <c r="CD92" i="8"/>
  <c r="CE92" i="8"/>
  <c r="CF92" i="8"/>
  <c r="CG92" i="8"/>
  <c r="CH92" i="8"/>
  <c r="CI92" i="8"/>
  <c r="CJ92" i="8"/>
  <c r="CK92" i="8"/>
  <c r="CL92" i="8"/>
  <c r="CM92" i="8"/>
  <c r="CN92" i="8"/>
  <c r="CO92" i="8"/>
  <c r="CP92" i="8"/>
  <c r="CQ92" i="8"/>
  <c r="CR92" i="8"/>
  <c r="CS92" i="8"/>
  <c r="CT92" i="8"/>
  <c r="CU92" i="8"/>
  <c r="CV92" i="8"/>
  <c r="CW92" i="8"/>
  <c r="CX92" i="8"/>
  <c r="CY92" i="8"/>
  <c r="CZ92" i="8"/>
  <c r="DA92" i="8"/>
  <c r="DB92" i="8"/>
  <c r="DC92" i="8"/>
  <c r="DD92" i="8"/>
  <c r="DE92" i="8"/>
  <c r="DF92" i="8"/>
  <c r="DG92" i="8"/>
  <c r="DH92" i="8"/>
  <c r="DI92" i="8"/>
  <c r="DJ92" i="8"/>
  <c r="DK92" i="8"/>
  <c r="DL92" i="8"/>
  <c r="DM92" i="8"/>
  <c r="DN92" i="8"/>
  <c r="DO92" i="8"/>
  <c r="DP92" i="8"/>
  <c r="DQ92" i="8"/>
  <c r="DR92" i="8"/>
  <c r="DS92" i="8"/>
  <c r="DT92" i="8"/>
  <c r="DU92" i="8"/>
  <c r="DV92" i="8"/>
  <c r="DW92" i="8"/>
  <c r="DX92" i="8"/>
  <c r="DY92" i="8"/>
  <c r="DZ92" i="8"/>
  <c r="EA92" i="8"/>
  <c r="EB92" i="8"/>
  <c r="EC92" i="8"/>
  <c r="ED92" i="8"/>
  <c r="EE92" i="8"/>
  <c r="EF92" i="8"/>
  <c r="EG92" i="8"/>
  <c r="EH92" i="8"/>
  <c r="EI92" i="8"/>
  <c r="EJ92" i="8"/>
  <c r="EK92" i="8"/>
  <c r="EL92" i="8"/>
  <c r="EM92" i="8"/>
  <c r="EN92" i="8"/>
  <c r="EO92" i="8"/>
  <c r="EP92" i="8"/>
  <c r="EQ92" i="8"/>
  <c r="ER92" i="8"/>
  <c r="ES92" i="8"/>
  <c r="ET92" i="8"/>
  <c r="EU92" i="8"/>
  <c r="EV92" i="8"/>
  <c r="EW92" i="8"/>
  <c r="EX92" i="8"/>
  <c r="EY92" i="8"/>
  <c r="EZ92" i="8"/>
  <c r="FA92" i="8"/>
  <c r="FB92" i="8"/>
  <c r="FC92" i="8"/>
  <c r="FD92" i="8"/>
  <c r="FE92" i="8"/>
  <c r="FF92" i="8"/>
  <c r="FG92" i="8"/>
  <c r="FH92" i="8"/>
  <c r="FI92" i="8"/>
  <c r="FJ92" i="8"/>
  <c r="FK92" i="8"/>
  <c r="FL92" i="8"/>
  <c r="FM92" i="8"/>
  <c r="FN92" i="8"/>
  <c r="FO92" i="8"/>
  <c r="FP92" i="8"/>
  <c r="FQ92" i="8"/>
  <c r="FR92" i="8"/>
  <c r="FS92" i="8"/>
  <c r="FT92" i="8"/>
  <c r="FU92" i="8"/>
  <c r="FV92" i="8"/>
  <c r="FW92" i="8"/>
  <c r="FX92" i="8"/>
  <c r="FY92" i="8"/>
  <c r="FZ92" i="8"/>
  <c r="GA92" i="8"/>
  <c r="GB92" i="8"/>
  <c r="GC92" i="8"/>
  <c r="GD92" i="8"/>
  <c r="GE92" i="8"/>
  <c r="GF92" i="8"/>
  <c r="GG92" i="8"/>
  <c r="GH92" i="8"/>
  <c r="GI92" i="8"/>
  <c r="GJ92" i="8"/>
  <c r="GK92" i="8"/>
  <c r="GL92" i="8"/>
  <c r="GM92" i="8"/>
  <c r="GN92" i="8"/>
  <c r="GO92" i="8"/>
  <c r="GP92" i="8"/>
  <c r="GQ92" i="8"/>
  <c r="GR92" i="8"/>
  <c r="GS92" i="8"/>
  <c r="GT92" i="8"/>
  <c r="GU92" i="8"/>
  <c r="GV92" i="8"/>
  <c r="GW92" i="8"/>
  <c r="GX92" i="8"/>
  <c r="GY92" i="8"/>
  <c r="GZ92" i="8"/>
  <c r="HA92" i="8"/>
  <c r="HB92" i="8"/>
  <c r="HC92" i="8"/>
  <c r="HD92" i="8"/>
  <c r="HE92" i="8"/>
  <c r="HF92" i="8"/>
  <c r="HG92" i="8"/>
  <c r="HH92" i="8"/>
  <c r="HI92" i="8"/>
  <c r="HJ92" i="8"/>
  <c r="HK92" i="8"/>
  <c r="HL92" i="8"/>
  <c r="HM92" i="8"/>
  <c r="HN92" i="8"/>
  <c r="HO92" i="8"/>
  <c r="HP92" i="8"/>
  <c r="HQ92" i="8"/>
  <c r="HR92" i="8"/>
  <c r="HS92" i="8"/>
  <c r="HT92" i="8"/>
  <c r="HU92" i="8"/>
  <c r="HV92" i="8"/>
  <c r="HW92" i="8"/>
  <c r="HX92" i="8"/>
  <c r="HY92" i="8"/>
  <c r="HZ92" i="8"/>
  <c r="IA92" i="8"/>
  <c r="IB92" i="8"/>
  <c r="IC92" i="8"/>
  <c r="ID92" i="8"/>
  <c r="IE92" i="8"/>
  <c r="IF92" i="8"/>
  <c r="IG92" i="8"/>
  <c r="IH92" i="8"/>
  <c r="II92" i="8"/>
  <c r="IJ92" i="8"/>
  <c r="IK92" i="8"/>
  <c r="IL92" i="8"/>
  <c r="IM92" i="8"/>
  <c r="IN92" i="8"/>
  <c r="IO92" i="8"/>
  <c r="IP92" i="8"/>
  <c r="IQ92" i="8"/>
  <c r="IR92" i="8"/>
  <c r="IS92" i="8"/>
  <c r="IT92" i="8"/>
  <c r="IU92" i="8"/>
  <c r="IV92" i="8"/>
  <c r="F93" i="8"/>
  <c r="G93" i="8"/>
  <c r="H93" i="8"/>
  <c r="I93" i="8"/>
  <c r="J93" i="8"/>
  <c r="K93" i="8"/>
  <c r="L93" i="8"/>
  <c r="M93" i="8"/>
  <c r="N93" i="8"/>
  <c r="O93" i="8"/>
  <c r="P93" i="8"/>
  <c r="Q93" i="8"/>
  <c r="R93" i="8"/>
  <c r="S93" i="8"/>
  <c r="T93" i="8"/>
  <c r="U93" i="8"/>
  <c r="V93" i="8"/>
  <c r="W93" i="8"/>
  <c r="X93" i="8"/>
  <c r="Y93" i="8"/>
  <c r="Z93" i="8"/>
  <c r="AA93" i="8"/>
  <c r="AB93" i="8"/>
  <c r="AC93" i="8"/>
  <c r="AD93" i="8"/>
  <c r="AE93" i="8"/>
  <c r="AF93" i="8"/>
  <c r="AG93" i="8"/>
  <c r="AH93" i="8"/>
  <c r="AI93" i="8"/>
  <c r="AJ93" i="8"/>
  <c r="AK93" i="8"/>
  <c r="AL93" i="8"/>
  <c r="AM93" i="8"/>
  <c r="AN93" i="8"/>
  <c r="AO93" i="8"/>
  <c r="AP93" i="8"/>
  <c r="AQ93" i="8"/>
  <c r="AR93" i="8"/>
  <c r="AS93" i="8"/>
  <c r="AT93" i="8"/>
  <c r="AU93" i="8"/>
  <c r="AV93" i="8"/>
  <c r="AW93" i="8"/>
  <c r="AX93" i="8"/>
  <c r="AY93" i="8"/>
  <c r="AZ93" i="8"/>
  <c r="BA93" i="8"/>
  <c r="BB93" i="8"/>
  <c r="BC93" i="8"/>
  <c r="BD93" i="8"/>
  <c r="BE93" i="8"/>
  <c r="BF93" i="8"/>
  <c r="BG93" i="8"/>
  <c r="BH93" i="8"/>
  <c r="BI93" i="8"/>
  <c r="BJ93" i="8"/>
  <c r="BK93" i="8"/>
  <c r="BL93" i="8"/>
  <c r="BM93" i="8"/>
  <c r="BN93" i="8"/>
  <c r="BO93" i="8"/>
  <c r="BP93" i="8"/>
  <c r="BQ93" i="8"/>
  <c r="BR93" i="8"/>
  <c r="BS93" i="8"/>
  <c r="BT93" i="8"/>
  <c r="BU93" i="8"/>
  <c r="BV93" i="8"/>
  <c r="BW93" i="8"/>
  <c r="BX93" i="8"/>
  <c r="BY93" i="8"/>
  <c r="BZ93" i="8"/>
  <c r="CA93" i="8"/>
  <c r="CB93" i="8"/>
  <c r="CC93" i="8"/>
  <c r="CD93" i="8"/>
  <c r="CE93" i="8"/>
  <c r="CF93" i="8"/>
  <c r="CG93" i="8"/>
  <c r="CH93" i="8"/>
  <c r="CI93" i="8"/>
  <c r="CJ93" i="8"/>
  <c r="CK93" i="8"/>
  <c r="CL93" i="8"/>
  <c r="CM93" i="8"/>
  <c r="CN93" i="8"/>
  <c r="CO93" i="8"/>
  <c r="CP93" i="8"/>
  <c r="CQ93" i="8"/>
  <c r="CR93" i="8"/>
  <c r="CS93" i="8"/>
  <c r="CT93" i="8"/>
  <c r="CU93" i="8"/>
  <c r="CV93" i="8"/>
  <c r="CW93" i="8"/>
  <c r="CX93" i="8"/>
  <c r="CY93" i="8"/>
  <c r="CZ93" i="8"/>
  <c r="DA93" i="8"/>
  <c r="DB93" i="8"/>
  <c r="DC93" i="8"/>
  <c r="DD93" i="8"/>
  <c r="DE93" i="8"/>
  <c r="DF93" i="8"/>
  <c r="DG93" i="8"/>
  <c r="DH93" i="8"/>
  <c r="DI93" i="8"/>
  <c r="DJ93" i="8"/>
  <c r="DK93" i="8"/>
  <c r="DL93" i="8"/>
  <c r="DM93" i="8"/>
  <c r="DN93" i="8"/>
  <c r="DO93" i="8"/>
  <c r="DP93" i="8"/>
  <c r="DQ93" i="8"/>
  <c r="DR93" i="8"/>
  <c r="DS93" i="8"/>
  <c r="DT93" i="8"/>
  <c r="DU93" i="8"/>
  <c r="DV93" i="8"/>
  <c r="DW93" i="8"/>
  <c r="DX93" i="8"/>
  <c r="DY93" i="8"/>
  <c r="DZ93" i="8"/>
  <c r="EA93" i="8"/>
  <c r="EB93" i="8"/>
  <c r="EC93" i="8"/>
  <c r="ED93" i="8"/>
  <c r="EE93" i="8"/>
  <c r="EF93" i="8"/>
  <c r="EG93" i="8"/>
  <c r="EH93" i="8"/>
  <c r="EI93" i="8"/>
  <c r="EJ93" i="8"/>
  <c r="EK93" i="8"/>
  <c r="EL93" i="8"/>
  <c r="EM93" i="8"/>
  <c r="EN93" i="8"/>
  <c r="EO93" i="8"/>
  <c r="EP93" i="8"/>
  <c r="EQ93" i="8"/>
  <c r="ER93" i="8"/>
  <c r="ES93" i="8"/>
  <c r="ET93" i="8"/>
  <c r="EU93" i="8"/>
  <c r="EV93" i="8"/>
  <c r="EW93" i="8"/>
  <c r="EX93" i="8"/>
  <c r="EY93" i="8"/>
  <c r="EZ93" i="8"/>
  <c r="FA93" i="8"/>
  <c r="FB93" i="8"/>
  <c r="FC93" i="8"/>
  <c r="FD93" i="8"/>
  <c r="FE93" i="8"/>
  <c r="FF93" i="8"/>
  <c r="FG93" i="8"/>
  <c r="FH93" i="8"/>
  <c r="FI93" i="8"/>
  <c r="FJ93" i="8"/>
  <c r="FK93" i="8"/>
  <c r="FL93" i="8"/>
  <c r="FM93" i="8"/>
  <c r="FN93" i="8"/>
  <c r="FO93" i="8"/>
  <c r="FP93" i="8"/>
  <c r="FQ93" i="8"/>
  <c r="FR93" i="8"/>
  <c r="FS93" i="8"/>
  <c r="FT93" i="8"/>
  <c r="FU93" i="8"/>
  <c r="FV93" i="8"/>
  <c r="FW93" i="8"/>
  <c r="FX93" i="8"/>
  <c r="FY93" i="8"/>
  <c r="FZ93" i="8"/>
  <c r="GA93" i="8"/>
  <c r="GB93" i="8"/>
  <c r="GC93" i="8"/>
  <c r="GD93" i="8"/>
  <c r="GE93" i="8"/>
  <c r="GF93" i="8"/>
  <c r="GG93" i="8"/>
  <c r="GH93" i="8"/>
  <c r="GI93" i="8"/>
  <c r="GJ93" i="8"/>
  <c r="GK93" i="8"/>
  <c r="GL93" i="8"/>
  <c r="GM93" i="8"/>
  <c r="GN93" i="8"/>
  <c r="GO93" i="8"/>
  <c r="GP93" i="8"/>
  <c r="GQ93" i="8"/>
  <c r="GR93" i="8"/>
  <c r="GS93" i="8"/>
  <c r="GT93" i="8"/>
  <c r="GU93" i="8"/>
  <c r="GV93" i="8"/>
  <c r="GW93" i="8"/>
  <c r="GX93" i="8"/>
  <c r="GY93" i="8"/>
  <c r="GZ93" i="8"/>
  <c r="HA93" i="8"/>
  <c r="HB93" i="8"/>
  <c r="HC93" i="8"/>
  <c r="HD93" i="8"/>
  <c r="HE93" i="8"/>
  <c r="HF93" i="8"/>
  <c r="HG93" i="8"/>
  <c r="HH93" i="8"/>
  <c r="HI93" i="8"/>
  <c r="HJ93" i="8"/>
  <c r="HK93" i="8"/>
  <c r="HL93" i="8"/>
  <c r="HM93" i="8"/>
  <c r="HN93" i="8"/>
  <c r="HO93" i="8"/>
  <c r="HP93" i="8"/>
  <c r="HQ93" i="8"/>
  <c r="HR93" i="8"/>
  <c r="HS93" i="8"/>
  <c r="HT93" i="8"/>
  <c r="HU93" i="8"/>
  <c r="HV93" i="8"/>
  <c r="HW93" i="8"/>
  <c r="HX93" i="8"/>
  <c r="HY93" i="8"/>
  <c r="HZ93" i="8"/>
  <c r="IA93" i="8"/>
  <c r="IB93" i="8"/>
  <c r="IC93" i="8"/>
  <c r="ID93" i="8"/>
  <c r="IE93" i="8"/>
  <c r="IF93" i="8"/>
  <c r="IG93" i="8"/>
  <c r="IH93" i="8"/>
  <c r="II93" i="8"/>
  <c r="IJ93" i="8"/>
  <c r="IK93" i="8"/>
  <c r="IL93" i="8"/>
  <c r="IM93" i="8"/>
  <c r="IN93" i="8"/>
  <c r="IO93" i="8"/>
  <c r="IP93" i="8"/>
  <c r="IQ93" i="8"/>
  <c r="IR93" i="8"/>
  <c r="IS93" i="8"/>
  <c r="IT93" i="8"/>
  <c r="IU93" i="8"/>
  <c r="IV93" i="8"/>
  <c r="F94" i="8"/>
  <c r="G94" i="8"/>
  <c r="H94" i="8"/>
  <c r="I94" i="8"/>
  <c r="J94" i="8"/>
  <c r="K94" i="8"/>
  <c r="L94" i="8"/>
  <c r="M94" i="8"/>
  <c r="N94" i="8"/>
  <c r="O94" i="8"/>
  <c r="P94" i="8"/>
  <c r="Q94" i="8"/>
  <c r="R94" i="8"/>
  <c r="S94" i="8"/>
  <c r="T94" i="8"/>
  <c r="U94" i="8"/>
  <c r="V94" i="8"/>
  <c r="W94" i="8"/>
  <c r="X94" i="8"/>
  <c r="Y94" i="8"/>
  <c r="Z94" i="8"/>
  <c r="AA94" i="8"/>
  <c r="AB94" i="8"/>
  <c r="AC94" i="8"/>
  <c r="AD94" i="8"/>
  <c r="AE94" i="8"/>
  <c r="AF94" i="8"/>
  <c r="AG94" i="8"/>
  <c r="AH94" i="8"/>
  <c r="AI94" i="8"/>
  <c r="AJ94" i="8"/>
  <c r="AK94" i="8"/>
  <c r="AL94" i="8"/>
  <c r="AM94" i="8"/>
  <c r="AN94" i="8"/>
  <c r="AO94" i="8"/>
  <c r="AP94" i="8"/>
  <c r="AQ94" i="8"/>
  <c r="AR94" i="8"/>
  <c r="AS94" i="8"/>
  <c r="AT94" i="8"/>
  <c r="AU94" i="8"/>
  <c r="AV94" i="8"/>
  <c r="AW94" i="8"/>
  <c r="AX94" i="8"/>
  <c r="AY94" i="8"/>
  <c r="AZ94" i="8"/>
  <c r="BA94" i="8"/>
  <c r="BB94" i="8"/>
  <c r="BC94" i="8"/>
  <c r="BD94" i="8"/>
  <c r="BE94" i="8"/>
  <c r="BF94" i="8"/>
  <c r="BG94" i="8"/>
  <c r="BH94" i="8"/>
  <c r="BI94" i="8"/>
  <c r="BJ94" i="8"/>
  <c r="BK94" i="8"/>
  <c r="BL94" i="8"/>
  <c r="BM94" i="8"/>
  <c r="BN94" i="8"/>
  <c r="BO94" i="8"/>
  <c r="BP94" i="8"/>
  <c r="BQ94" i="8"/>
  <c r="BR94" i="8"/>
  <c r="BS94" i="8"/>
  <c r="BT94" i="8"/>
  <c r="BU94" i="8"/>
  <c r="BV94" i="8"/>
  <c r="BW94" i="8"/>
  <c r="BX94" i="8"/>
  <c r="BY94" i="8"/>
  <c r="BZ94" i="8"/>
  <c r="CA94" i="8"/>
  <c r="CB94" i="8"/>
  <c r="CC94" i="8"/>
  <c r="CD94" i="8"/>
  <c r="CE94" i="8"/>
  <c r="CF94" i="8"/>
  <c r="CG94" i="8"/>
  <c r="CH94" i="8"/>
  <c r="CI94" i="8"/>
  <c r="CJ94" i="8"/>
  <c r="CK94" i="8"/>
  <c r="CL94" i="8"/>
  <c r="CM94" i="8"/>
  <c r="CN94" i="8"/>
  <c r="CO94" i="8"/>
  <c r="CP94" i="8"/>
  <c r="CQ94" i="8"/>
  <c r="CR94" i="8"/>
  <c r="CS94" i="8"/>
  <c r="CT94" i="8"/>
  <c r="CU94" i="8"/>
  <c r="CV94" i="8"/>
  <c r="CW94" i="8"/>
  <c r="CX94" i="8"/>
  <c r="CY94" i="8"/>
  <c r="CZ94" i="8"/>
  <c r="DA94" i="8"/>
  <c r="DB94" i="8"/>
  <c r="DC94" i="8"/>
  <c r="DD94" i="8"/>
  <c r="DE94" i="8"/>
  <c r="DF94" i="8"/>
  <c r="DG94" i="8"/>
  <c r="DH94" i="8"/>
  <c r="DI94" i="8"/>
  <c r="DJ94" i="8"/>
  <c r="DK94" i="8"/>
  <c r="DL94" i="8"/>
  <c r="DM94" i="8"/>
  <c r="DN94" i="8"/>
  <c r="DO94" i="8"/>
  <c r="DP94" i="8"/>
  <c r="DQ94" i="8"/>
  <c r="DR94" i="8"/>
  <c r="DS94" i="8"/>
  <c r="DT94" i="8"/>
  <c r="DU94" i="8"/>
  <c r="DV94" i="8"/>
  <c r="DW94" i="8"/>
  <c r="DX94" i="8"/>
  <c r="DY94" i="8"/>
  <c r="DZ94" i="8"/>
  <c r="EA94" i="8"/>
  <c r="EB94" i="8"/>
  <c r="EC94" i="8"/>
  <c r="ED94" i="8"/>
  <c r="EE94" i="8"/>
  <c r="EF94" i="8"/>
  <c r="EG94" i="8"/>
  <c r="EH94" i="8"/>
  <c r="EI94" i="8"/>
  <c r="EJ94" i="8"/>
  <c r="EK94" i="8"/>
  <c r="EL94" i="8"/>
  <c r="EM94" i="8"/>
  <c r="EN94" i="8"/>
  <c r="EO94" i="8"/>
  <c r="EP94" i="8"/>
  <c r="EQ94" i="8"/>
  <c r="ER94" i="8"/>
  <c r="ES94" i="8"/>
  <c r="ET94" i="8"/>
  <c r="EU94" i="8"/>
  <c r="EV94" i="8"/>
  <c r="EW94" i="8"/>
  <c r="EX94" i="8"/>
  <c r="EY94" i="8"/>
  <c r="EZ94" i="8"/>
  <c r="FA94" i="8"/>
  <c r="FB94" i="8"/>
  <c r="FC94" i="8"/>
  <c r="FD94" i="8"/>
  <c r="FE94" i="8"/>
  <c r="FF94" i="8"/>
  <c r="FG94" i="8"/>
  <c r="FH94" i="8"/>
  <c r="FI94" i="8"/>
  <c r="FJ94" i="8"/>
  <c r="FK94" i="8"/>
  <c r="FL94" i="8"/>
  <c r="FM94" i="8"/>
  <c r="FN94" i="8"/>
  <c r="FO94" i="8"/>
  <c r="FP94" i="8"/>
  <c r="FQ94" i="8"/>
  <c r="FR94" i="8"/>
  <c r="FS94" i="8"/>
  <c r="FT94" i="8"/>
  <c r="FU94" i="8"/>
  <c r="FV94" i="8"/>
  <c r="FW94" i="8"/>
  <c r="FX94" i="8"/>
  <c r="FY94" i="8"/>
  <c r="FZ94" i="8"/>
  <c r="GA94" i="8"/>
  <c r="GB94" i="8"/>
  <c r="GC94" i="8"/>
  <c r="GD94" i="8"/>
  <c r="GE94" i="8"/>
  <c r="GF94" i="8"/>
  <c r="GG94" i="8"/>
  <c r="GH94" i="8"/>
  <c r="GI94" i="8"/>
  <c r="GJ94" i="8"/>
  <c r="GK94" i="8"/>
  <c r="GL94" i="8"/>
  <c r="GM94" i="8"/>
  <c r="GN94" i="8"/>
  <c r="GO94" i="8"/>
  <c r="GP94" i="8"/>
  <c r="GQ94" i="8"/>
  <c r="GR94" i="8"/>
  <c r="GS94" i="8"/>
  <c r="GT94" i="8"/>
  <c r="GU94" i="8"/>
  <c r="GV94" i="8"/>
  <c r="GW94" i="8"/>
  <c r="GX94" i="8"/>
  <c r="GY94" i="8"/>
  <c r="GZ94" i="8"/>
  <c r="HA94" i="8"/>
  <c r="HB94" i="8"/>
  <c r="HC94" i="8"/>
  <c r="HD94" i="8"/>
  <c r="HE94" i="8"/>
  <c r="HF94" i="8"/>
  <c r="HG94" i="8"/>
  <c r="HH94" i="8"/>
  <c r="HI94" i="8"/>
  <c r="HJ94" i="8"/>
  <c r="HK94" i="8"/>
  <c r="HL94" i="8"/>
  <c r="HM94" i="8"/>
  <c r="HN94" i="8"/>
  <c r="HO94" i="8"/>
  <c r="HP94" i="8"/>
  <c r="HQ94" i="8"/>
  <c r="HR94" i="8"/>
  <c r="HS94" i="8"/>
  <c r="HT94" i="8"/>
  <c r="HU94" i="8"/>
  <c r="HV94" i="8"/>
  <c r="HW94" i="8"/>
  <c r="HX94" i="8"/>
  <c r="HY94" i="8"/>
  <c r="HZ94" i="8"/>
  <c r="IA94" i="8"/>
  <c r="IB94" i="8"/>
  <c r="IC94" i="8"/>
  <c r="ID94" i="8"/>
  <c r="IE94" i="8"/>
  <c r="IF94" i="8"/>
  <c r="IG94" i="8"/>
  <c r="IH94" i="8"/>
  <c r="II94" i="8"/>
  <c r="IJ94" i="8"/>
  <c r="IK94" i="8"/>
  <c r="IL94" i="8"/>
  <c r="IM94" i="8"/>
  <c r="IN94" i="8"/>
  <c r="IO94" i="8"/>
  <c r="IP94" i="8"/>
  <c r="IQ94" i="8"/>
  <c r="IR94" i="8"/>
  <c r="IS94" i="8"/>
  <c r="IT94" i="8"/>
  <c r="IU94" i="8"/>
  <c r="IV94" i="8"/>
  <c r="F95" i="8"/>
  <c r="G95" i="8"/>
  <c r="H95" i="8"/>
  <c r="I95" i="8"/>
  <c r="J95" i="8"/>
  <c r="K95" i="8"/>
  <c r="L95" i="8"/>
  <c r="M95" i="8"/>
  <c r="N95" i="8"/>
  <c r="O95" i="8"/>
  <c r="P95" i="8"/>
  <c r="Q95" i="8"/>
  <c r="R95" i="8"/>
  <c r="S95" i="8"/>
  <c r="T95" i="8"/>
  <c r="U95" i="8"/>
  <c r="V95" i="8"/>
  <c r="W95" i="8"/>
  <c r="X95" i="8"/>
  <c r="Y95" i="8"/>
  <c r="Z95" i="8"/>
  <c r="AA95" i="8"/>
  <c r="AB95" i="8"/>
  <c r="AC95" i="8"/>
  <c r="AD95" i="8"/>
  <c r="AE95" i="8"/>
  <c r="AF95" i="8"/>
  <c r="AG95" i="8"/>
  <c r="AH95" i="8"/>
  <c r="AI95" i="8"/>
  <c r="AJ95" i="8"/>
  <c r="AK95" i="8"/>
  <c r="AL95" i="8"/>
  <c r="AM95" i="8"/>
  <c r="AN95" i="8"/>
  <c r="AO95" i="8"/>
  <c r="AP95" i="8"/>
  <c r="AQ95" i="8"/>
  <c r="AR95" i="8"/>
  <c r="AS95" i="8"/>
  <c r="AT95" i="8"/>
  <c r="AU95" i="8"/>
  <c r="AV95" i="8"/>
  <c r="AW95" i="8"/>
  <c r="AX95" i="8"/>
  <c r="AY95" i="8"/>
  <c r="AZ95" i="8"/>
  <c r="BA95" i="8"/>
  <c r="BB95" i="8"/>
  <c r="BC95" i="8"/>
  <c r="BD95" i="8"/>
  <c r="BE95" i="8"/>
  <c r="BF95" i="8"/>
  <c r="BG95" i="8"/>
  <c r="BH95" i="8"/>
  <c r="BI95" i="8"/>
  <c r="BJ95" i="8"/>
  <c r="BK95" i="8"/>
  <c r="BL95" i="8"/>
  <c r="BM95" i="8"/>
  <c r="BN95" i="8"/>
  <c r="BO95" i="8"/>
  <c r="BP95" i="8"/>
  <c r="BQ95" i="8"/>
  <c r="BR95" i="8"/>
  <c r="BS95" i="8"/>
  <c r="BT95" i="8"/>
  <c r="BU95" i="8"/>
  <c r="BV95" i="8"/>
  <c r="BW95" i="8"/>
  <c r="BX95" i="8"/>
  <c r="BY95" i="8"/>
  <c r="BZ95" i="8"/>
  <c r="CA95" i="8"/>
  <c r="CB95" i="8"/>
  <c r="CC95" i="8"/>
  <c r="CD95" i="8"/>
  <c r="CE95" i="8"/>
  <c r="CF95" i="8"/>
  <c r="CG95" i="8"/>
  <c r="CH95" i="8"/>
  <c r="CI95" i="8"/>
  <c r="CJ95" i="8"/>
  <c r="CK95" i="8"/>
  <c r="CL95" i="8"/>
  <c r="CM95" i="8"/>
  <c r="CN95" i="8"/>
  <c r="CO95" i="8"/>
  <c r="CP95" i="8"/>
  <c r="CQ95" i="8"/>
  <c r="CR95" i="8"/>
  <c r="CS95" i="8"/>
  <c r="CT95" i="8"/>
  <c r="CU95" i="8"/>
  <c r="CV95" i="8"/>
  <c r="CW95" i="8"/>
  <c r="CX95" i="8"/>
  <c r="CY95" i="8"/>
  <c r="CZ95" i="8"/>
  <c r="DA95" i="8"/>
  <c r="DB95" i="8"/>
  <c r="DC95" i="8"/>
  <c r="DD95" i="8"/>
  <c r="DE95" i="8"/>
  <c r="DF95" i="8"/>
  <c r="DG95" i="8"/>
  <c r="DH95" i="8"/>
  <c r="DI95" i="8"/>
  <c r="DJ95" i="8"/>
  <c r="DK95" i="8"/>
  <c r="DL95" i="8"/>
  <c r="DM95" i="8"/>
  <c r="DN95" i="8"/>
  <c r="DO95" i="8"/>
  <c r="DP95" i="8"/>
  <c r="DQ95" i="8"/>
  <c r="DR95" i="8"/>
  <c r="DS95" i="8"/>
  <c r="DT95" i="8"/>
  <c r="DU95" i="8"/>
  <c r="DV95" i="8"/>
  <c r="DW95" i="8"/>
  <c r="DX95" i="8"/>
  <c r="DY95" i="8"/>
  <c r="DZ95" i="8"/>
  <c r="EA95" i="8"/>
  <c r="EB95" i="8"/>
  <c r="EC95" i="8"/>
  <c r="ED95" i="8"/>
  <c r="EE95" i="8"/>
  <c r="EF95" i="8"/>
  <c r="EG95" i="8"/>
  <c r="EH95" i="8"/>
  <c r="EI95" i="8"/>
  <c r="EJ95" i="8"/>
  <c r="EK95" i="8"/>
  <c r="EL95" i="8"/>
  <c r="EM95" i="8"/>
  <c r="EN95" i="8"/>
  <c r="EO95" i="8"/>
  <c r="EP95" i="8"/>
  <c r="EQ95" i="8"/>
  <c r="ER95" i="8"/>
  <c r="ES95" i="8"/>
  <c r="ET95" i="8"/>
  <c r="EU95" i="8"/>
  <c r="EV95" i="8"/>
  <c r="EW95" i="8"/>
  <c r="EX95" i="8"/>
  <c r="EY95" i="8"/>
  <c r="EZ95" i="8"/>
  <c r="FA95" i="8"/>
  <c r="FB95" i="8"/>
  <c r="FC95" i="8"/>
  <c r="FD95" i="8"/>
  <c r="FE95" i="8"/>
  <c r="FF95" i="8"/>
  <c r="FG95" i="8"/>
  <c r="FH95" i="8"/>
  <c r="FI95" i="8"/>
  <c r="FJ95" i="8"/>
  <c r="FK95" i="8"/>
  <c r="FL95" i="8"/>
  <c r="FM95" i="8"/>
  <c r="FN95" i="8"/>
  <c r="FO95" i="8"/>
  <c r="FP95" i="8"/>
  <c r="FQ95" i="8"/>
  <c r="FR95" i="8"/>
  <c r="FS95" i="8"/>
  <c r="FT95" i="8"/>
  <c r="FU95" i="8"/>
  <c r="FV95" i="8"/>
  <c r="FW95" i="8"/>
  <c r="FX95" i="8"/>
  <c r="FY95" i="8"/>
  <c r="FZ95" i="8"/>
  <c r="GA95" i="8"/>
  <c r="GB95" i="8"/>
  <c r="GC95" i="8"/>
  <c r="GD95" i="8"/>
  <c r="GE95" i="8"/>
  <c r="GF95" i="8"/>
  <c r="GG95" i="8"/>
  <c r="GH95" i="8"/>
  <c r="GI95" i="8"/>
  <c r="GJ95" i="8"/>
  <c r="GK95" i="8"/>
  <c r="GL95" i="8"/>
  <c r="GM95" i="8"/>
  <c r="GN95" i="8"/>
  <c r="GO95" i="8"/>
  <c r="GP95" i="8"/>
  <c r="GQ95" i="8"/>
  <c r="GR95" i="8"/>
  <c r="GS95" i="8"/>
  <c r="GT95" i="8"/>
  <c r="GU95" i="8"/>
  <c r="GV95" i="8"/>
  <c r="GW95" i="8"/>
  <c r="GX95" i="8"/>
  <c r="GY95" i="8"/>
  <c r="GZ95" i="8"/>
  <c r="HA95" i="8"/>
  <c r="HB95" i="8"/>
  <c r="HC95" i="8"/>
  <c r="HD95" i="8"/>
  <c r="HE95" i="8"/>
  <c r="HF95" i="8"/>
  <c r="HG95" i="8"/>
  <c r="HH95" i="8"/>
  <c r="HI95" i="8"/>
  <c r="HJ95" i="8"/>
  <c r="HK95" i="8"/>
  <c r="HL95" i="8"/>
  <c r="HM95" i="8"/>
  <c r="HN95" i="8"/>
  <c r="HO95" i="8"/>
  <c r="HP95" i="8"/>
  <c r="HQ95" i="8"/>
  <c r="HR95" i="8"/>
  <c r="HS95" i="8"/>
  <c r="HT95" i="8"/>
  <c r="HU95" i="8"/>
  <c r="HV95" i="8"/>
  <c r="HW95" i="8"/>
  <c r="HX95" i="8"/>
  <c r="HY95" i="8"/>
  <c r="HZ95" i="8"/>
  <c r="IA95" i="8"/>
  <c r="IB95" i="8"/>
  <c r="IC95" i="8"/>
  <c r="ID95" i="8"/>
  <c r="IE95" i="8"/>
  <c r="IF95" i="8"/>
  <c r="IG95" i="8"/>
  <c r="IH95" i="8"/>
  <c r="II95" i="8"/>
  <c r="IJ95" i="8"/>
  <c r="IK95" i="8"/>
  <c r="IL95" i="8"/>
  <c r="IM95" i="8"/>
  <c r="IN95" i="8"/>
  <c r="IO95" i="8"/>
  <c r="IP95" i="8"/>
  <c r="IQ95" i="8"/>
  <c r="IR95" i="8"/>
  <c r="IS95" i="8"/>
  <c r="IT95" i="8"/>
  <c r="IU95" i="8"/>
  <c r="IV95" i="8"/>
  <c r="F96" i="8"/>
  <c r="G96" i="8"/>
  <c r="H96" i="8"/>
  <c r="I96" i="8"/>
  <c r="J96" i="8"/>
  <c r="K96" i="8"/>
  <c r="L96" i="8"/>
  <c r="M96" i="8"/>
  <c r="N96" i="8"/>
  <c r="O96" i="8"/>
  <c r="P96" i="8"/>
  <c r="Q96" i="8"/>
  <c r="R96" i="8"/>
  <c r="S96" i="8"/>
  <c r="T96" i="8"/>
  <c r="U96" i="8"/>
  <c r="V96" i="8"/>
  <c r="W96" i="8"/>
  <c r="X96" i="8"/>
  <c r="Y96" i="8"/>
  <c r="Z96" i="8"/>
  <c r="AA96" i="8"/>
  <c r="AB96" i="8"/>
  <c r="AC96" i="8"/>
  <c r="AD96" i="8"/>
  <c r="AE96" i="8"/>
  <c r="AF96" i="8"/>
  <c r="AG96" i="8"/>
  <c r="AH96" i="8"/>
  <c r="AI96" i="8"/>
  <c r="AJ96" i="8"/>
  <c r="AK96" i="8"/>
  <c r="AL96" i="8"/>
  <c r="AM96" i="8"/>
  <c r="AN96" i="8"/>
  <c r="AO96" i="8"/>
  <c r="AP96" i="8"/>
  <c r="AQ96" i="8"/>
  <c r="AR96" i="8"/>
  <c r="AS96" i="8"/>
  <c r="AT96" i="8"/>
  <c r="AU96" i="8"/>
  <c r="AV96" i="8"/>
  <c r="AW96" i="8"/>
  <c r="AX96" i="8"/>
  <c r="AY96" i="8"/>
  <c r="AZ96" i="8"/>
  <c r="BA96" i="8"/>
  <c r="BB96" i="8"/>
  <c r="BC96" i="8"/>
  <c r="BD96" i="8"/>
  <c r="BE96" i="8"/>
  <c r="BF96" i="8"/>
  <c r="BG96" i="8"/>
  <c r="BH96" i="8"/>
  <c r="BI96" i="8"/>
  <c r="BJ96" i="8"/>
  <c r="BK96" i="8"/>
  <c r="BL96" i="8"/>
  <c r="BM96" i="8"/>
  <c r="BN96" i="8"/>
  <c r="BO96" i="8"/>
  <c r="BP96" i="8"/>
  <c r="BQ96" i="8"/>
  <c r="BR96" i="8"/>
  <c r="BS96" i="8"/>
  <c r="BT96" i="8"/>
  <c r="BU96" i="8"/>
  <c r="BV96" i="8"/>
  <c r="BW96" i="8"/>
  <c r="BX96" i="8"/>
  <c r="BY96" i="8"/>
  <c r="BZ96" i="8"/>
  <c r="CA96" i="8"/>
  <c r="CB96" i="8"/>
  <c r="CC96" i="8"/>
  <c r="CD96" i="8"/>
  <c r="CE96" i="8"/>
  <c r="CF96" i="8"/>
  <c r="CG96" i="8"/>
  <c r="CH96" i="8"/>
  <c r="CI96" i="8"/>
  <c r="CJ96" i="8"/>
  <c r="CK96" i="8"/>
  <c r="CL96" i="8"/>
  <c r="CM96" i="8"/>
  <c r="CN96" i="8"/>
  <c r="CO96" i="8"/>
  <c r="CP96" i="8"/>
  <c r="CQ96" i="8"/>
  <c r="CR96" i="8"/>
  <c r="CS96" i="8"/>
  <c r="CT96" i="8"/>
  <c r="CU96" i="8"/>
  <c r="CV96" i="8"/>
  <c r="CW96" i="8"/>
  <c r="CX96" i="8"/>
  <c r="CY96" i="8"/>
  <c r="CZ96" i="8"/>
  <c r="DA96" i="8"/>
  <c r="DB96" i="8"/>
  <c r="DC96" i="8"/>
  <c r="DD96" i="8"/>
  <c r="DE96" i="8"/>
  <c r="DF96" i="8"/>
  <c r="DG96" i="8"/>
  <c r="DH96" i="8"/>
  <c r="DI96" i="8"/>
  <c r="DJ96" i="8"/>
  <c r="DK96" i="8"/>
  <c r="DL96" i="8"/>
  <c r="DM96" i="8"/>
  <c r="DN96" i="8"/>
  <c r="DO96" i="8"/>
  <c r="DP96" i="8"/>
  <c r="DQ96" i="8"/>
  <c r="DR96" i="8"/>
  <c r="DS96" i="8"/>
  <c r="DT96" i="8"/>
  <c r="DU96" i="8"/>
  <c r="DV96" i="8"/>
  <c r="DW96" i="8"/>
  <c r="DX96" i="8"/>
  <c r="DY96" i="8"/>
  <c r="DZ96" i="8"/>
  <c r="EA96" i="8"/>
  <c r="EB96" i="8"/>
  <c r="EC96" i="8"/>
  <c r="ED96" i="8"/>
  <c r="EE96" i="8"/>
  <c r="EF96" i="8"/>
  <c r="EG96" i="8"/>
  <c r="EH96" i="8"/>
  <c r="EI96" i="8"/>
  <c r="EJ96" i="8"/>
  <c r="EK96" i="8"/>
  <c r="EL96" i="8"/>
  <c r="EM96" i="8"/>
  <c r="EN96" i="8"/>
  <c r="EO96" i="8"/>
  <c r="EP96" i="8"/>
  <c r="EQ96" i="8"/>
  <c r="ER96" i="8"/>
  <c r="ES96" i="8"/>
  <c r="ET96" i="8"/>
  <c r="EU96" i="8"/>
  <c r="EV96" i="8"/>
  <c r="EW96" i="8"/>
  <c r="EX96" i="8"/>
  <c r="EY96" i="8"/>
  <c r="EZ96" i="8"/>
  <c r="FA96" i="8"/>
  <c r="FB96" i="8"/>
  <c r="FC96" i="8"/>
  <c r="FD96" i="8"/>
  <c r="FE96" i="8"/>
  <c r="FF96" i="8"/>
  <c r="FG96" i="8"/>
  <c r="FH96" i="8"/>
  <c r="FI96" i="8"/>
  <c r="FJ96" i="8"/>
  <c r="FK96" i="8"/>
  <c r="FL96" i="8"/>
  <c r="FM96" i="8"/>
  <c r="FN96" i="8"/>
  <c r="FO96" i="8"/>
  <c r="FP96" i="8"/>
  <c r="FQ96" i="8"/>
  <c r="FR96" i="8"/>
  <c r="FS96" i="8"/>
  <c r="FT96" i="8"/>
  <c r="FU96" i="8"/>
  <c r="FV96" i="8"/>
  <c r="FW96" i="8"/>
  <c r="FX96" i="8"/>
  <c r="FY96" i="8"/>
  <c r="FZ96" i="8"/>
  <c r="GA96" i="8"/>
  <c r="GB96" i="8"/>
  <c r="GC96" i="8"/>
  <c r="GD96" i="8"/>
  <c r="GE96" i="8"/>
  <c r="GF96" i="8"/>
  <c r="GG96" i="8"/>
  <c r="GH96" i="8"/>
  <c r="GI96" i="8"/>
  <c r="GJ96" i="8"/>
  <c r="GK96" i="8"/>
  <c r="GL96" i="8"/>
  <c r="GM96" i="8"/>
  <c r="GN96" i="8"/>
  <c r="GO96" i="8"/>
  <c r="GP96" i="8"/>
  <c r="GQ96" i="8"/>
  <c r="GR96" i="8"/>
  <c r="GS96" i="8"/>
  <c r="GT96" i="8"/>
  <c r="GU96" i="8"/>
  <c r="GV96" i="8"/>
  <c r="GW96" i="8"/>
  <c r="GX96" i="8"/>
  <c r="GY96" i="8"/>
  <c r="GZ96" i="8"/>
  <c r="HA96" i="8"/>
  <c r="HB96" i="8"/>
  <c r="HC96" i="8"/>
  <c r="HD96" i="8"/>
  <c r="HE96" i="8"/>
  <c r="HF96" i="8"/>
  <c r="HG96" i="8"/>
  <c r="HH96" i="8"/>
  <c r="HI96" i="8"/>
  <c r="HJ96" i="8"/>
  <c r="HK96" i="8"/>
  <c r="HL96" i="8"/>
  <c r="HM96" i="8"/>
  <c r="HN96" i="8"/>
  <c r="HO96" i="8"/>
  <c r="HP96" i="8"/>
  <c r="HQ96" i="8"/>
  <c r="HR96" i="8"/>
  <c r="HS96" i="8"/>
  <c r="HT96" i="8"/>
  <c r="HU96" i="8"/>
  <c r="HV96" i="8"/>
  <c r="HW96" i="8"/>
  <c r="HX96" i="8"/>
  <c r="HY96" i="8"/>
  <c r="HZ96" i="8"/>
  <c r="IA96" i="8"/>
  <c r="IB96" i="8"/>
  <c r="IC96" i="8"/>
  <c r="ID96" i="8"/>
  <c r="IE96" i="8"/>
  <c r="IF96" i="8"/>
  <c r="IG96" i="8"/>
  <c r="IH96" i="8"/>
  <c r="II96" i="8"/>
  <c r="IJ96" i="8"/>
  <c r="IK96" i="8"/>
  <c r="IL96" i="8"/>
  <c r="IM96" i="8"/>
  <c r="IN96" i="8"/>
  <c r="IO96" i="8"/>
  <c r="IP96" i="8"/>
  <c r="IQ96" i="8"/>
  <c r="IR96" i="8"/>
  <c r="IS96" i="8"/>
  <c r="IT96" i="8"/>
  <c r="IU96" i="8"/>
  <c r="IV96" i="8"/>
  <c r="F97" i="8"/>
  <c r="G97" i="8"/>
  <c r="H97" i="8"/>
  <c r="I97" i="8"/>
  <c r="J97" i="8"/>
  <c r="K97" i="8"/>
  <c r="L97" i="8"/>
  <c r="M97" i="8"/>
  <c r="N97" i="8"/>
  <c r="O97" i="8"/>
  <c r="P97" i="8"/>
  <c r="Q97" i="8"/>
  <c r="R97" i="8"/>
  <c r="S97" i="8"/>
  <c r="T97" i="8"/>
  <c r="U97" i="8"/>
  <c r="V97" i="8"/>
  <c r="W97" i="8"/>
  <c r="X97" i="8"/>
  <c r="Y97" i="8"/>
  <c r="Z97" i="8"/>
  <c r="AA97" i="8"/>
  <c r="AB97" i="8"/>
  <c r="AC97" i="8"/>
  <c r="AD97" i="8"/>
  <c r="AE97" i="8"/>
  <c r="AF97" i="8"/>
  <c r="AG97" i="8"/>
  <c r="AH97" i="8"/>
  <c r="AI97" i="8"/>
  <c r="AJ97" i="8"/>
  <c r="AK97" i="8"/>
  <c r="AL97" i="8"/>
  <c r="AM97" i="8"/>
  <c r="AN97" i="8"/>
  <c r="AO97" i="8"/>
  <c r="AP97" i="8"/>
  <c r="AQ97" i="8"/>
  <c r="AR97" i="8"/>
  <c r="AS97" i="8"/>
  <c r="AT97" i="8"/>
  <c r="AU97" i="8"/>
  <c r="AV97" i="8"/>
  <c r="AW97" i="8"/>
  <c r="AX97" i="8"/>
  <c r="AY97" i="8"/>
  <c r="AZ97" i="8"/>
  <c r="BA97" i="8"/>
  <c r="BB97" i="8"/>
  <c r="BC97" i="8"/>
  <c r="BD97" i="8"/>
  <c r="BE97" i="8"/>
  <c r="BF97" i="8"/>
  <c r="BG97" i="8"/>
  <c r="BH97" i="8"/>
  <c r="BI97" i="8"/>
  <c r="BJ97" i="8"/>
  <c r="BK97" i="8"/>
  <c r="BL97" i="8"/>
  <c r="BM97" i="8"/>
  <c r="BN97" i="8"/>
  <c r="BO97" i="8"/>
  <c r="BP97" i="8"/>
  <c r="BQ97" i="8"/>
  <c r="BR97" i="8"/>
  <c r="BS97" i="8"/>
  <c r="BT97" i="8"/>
  <c r="BU97" i="8"/>
  <c r="BV97" i="8"/>
  <c r="BW97" i="8"/>
  <c r="BX97" i="8"/>
  <c r="BY97" i="8"/>
  <c r="BZ97" i="8"/>
  <c r="CA97" i="8"/>
  <c r="CB97" i="8"/>
  <c r="CC97" i="8"/>
  <c r="CD97" i="8"/>
  <c r="CE97" i="8"/>
  <c r="CF97" i="8"/>
  <c r="CG97" i="8"/>
  <c r="CH97" i="8"/>
  <c r="CI97" i="8"/>
  <c r="CJ97" i="8"/>
  <c r="CK97" i="8"/>
  <c r="CL97" i="8"/>
  <c r="CM97" i="8"/>
  <c r="CN97" i="8"/>
  <c r="CO97" i="8"/>
  <c r="CP97" i="8"/>
  <c r="CQ97" i="8"/>
  <c r="CR97" i="8"/>
  <c r="CS97" i="8"/>
  <c r="CT97" i="8"/>
  <c r="CU97" i="8"/>
  <c r="CV97" i="8"/>
  <c r="CW97" i="8"/>
  <c r="CX97" i="8"/>
  <c r="CY97" i="8"/>
  <c r="CZ97" i="8"/>
  <c r="DA97" i="8"/>
  <c r="DB97" i="8"/>
  <c r="DC97" i="8"/>
  <c r="DD97" i="8"/>
  <c r="DE97" i="8"/>
  <c r="DF97" i="8"/>
  <c r="DG97" i="8"/>
  <c r="DH97" i="8"/>
  <c r="DI97" i="8"/>
  <c r="DJ97" i="8"/>
  <c r="DK97" i="8"/>
  <c r="DL97" i="8"/>
  <c r="DM97" i="8"/>
  <c r="DN97" i="8"/>
  <c r="DO97" i="8"/>
  <c r="DP97" i="8"/>
  <c r="DQ97" i="8"/>
  <c r="DR97" i="8"/>
  <c r="DS97" i="8"/>
  <c r="DT97" i="8"/>
  <c r="DU97" i="8"/>
  <c r="DV97" i="8"/>
  <c r="DW97" i="8"/>
  <c r="DX97" i="8"/>
  <c r="DY97" i="8"/>
  <c r="DZ97" i="8"/>
  <c r="EA97" i="8"/>
  <c r="EB97" i="8"/>
  <c r="EC97" i="8"/>
  <c r="ED97" i="8"/>
  <c r="EE97" i="8"/>
  <c r="EF97" i="8"/>
  <c r="EG97" i="8"/>
  <c r="EH97" i="8"/>
  <c r="EI97" i="8"/>
  <c r="EJ97" i="8"/>
  <c r="EK97" i="8"/>
  <c r="EL97" i="8"/>
  <c r="EM97" i="8"/>
  <c r="EN97" i="8"/>
  <c r="EO97" i="8"/>
  <c r="EP97" i="8"/>
  <c r="EQ97" i="8"/>
  <c r="ER97" i="8"/>
  <c r="ES97" i="8"/>
  <c r="ET97" i="8"/>
  <c r="EU97" i="8"/>
  <c r="EV97" i="8"/>
  <c r="EW97" i="8"/>
  <c r="EX97" i="8"/>
  <c r="EY97" i="8"/>
  <c r="EZ97" i="8"/>
  <c r="FA97" i="8"/>
  <c r="FB97" i="8"/>
  <c r="FC97" i="8"/>
  <c r="FD97" i="8"/>
  <c r="FE97" i="8"/>
  <c r="FF97" i="8"/>
  <c r="FG97" i="8"/>
  <c r="FH97" i="8"/>
  <c r="FI97" i="8"/>
  <c r="FJ97" i="8"/>
  <c r="FK97" i="8"/>
  <c r="FL97" i="8"/>
  <c r="FM97" i="8"/>
  <c r="FN97" i="8"/>
  <c r="FO97" i="8"/>
  <c r="FP97" i="8"/>
  <c r="FQ97" i="8"/>
  <c r="FR97" i="8"/>
  <c r="FS97" i="8"/>
  <c r="FT97" i="8"/>
  <c r="FU97" i="8"/>
  <c r="FV97" i="8"/>
  <c r="FW97" i="8"/>
  <c r="FX97" i="8"/>
  <c r="FY97" i="8"/>
  <c r="FZ97" i="8"/>
  <c r="GA97" i="8"/>
  <c r="GB97" i="8"/>
  <c r="GC97" i="8"/>
  <c r="GD97" i="8"/>
  <c r="GE97" i="8"/>
  <c r="GF97" i="8"/>
  <c r="GG97" i="8"/>
  <c r="GH97" i="8"/>
  <c r="GI97" i="8"/>
  <c r="GJ97" i="8"/>
  <c r="GK97" i="8"/>
  <c r="GL97" i="8"/>
  <c r="GM97" i="8"/>
  <c r="GN97" i="8"/>
  <c r="GO97" i="8"/>
  <c r="GP97" i="8"/>
  <c r="GQ97" i="8"/>
  <c r="GR97" i="8"/>
  <c r="GS97" i="8"/>
  <c r="GT97" i="8"/>
  <c r="GU97" i="8"/>
  <c r="GV97" i="8"/>
  <c r="GW97" i="8"/>
  <c r="GX97" i="8"/>
  <c r="GY97" i="8"/>
  <c r="GZ97" i="8"/>
  <c r="HA97" i="8"/>
  <c r="HB97" i="8"/>
  <c r="HC97" i="8"/>
  <c r="HD97" i="8"/>
  <c r="HE97" i="8"/>
  <c r="HF97" i="8"/>
  <c r="HG97" i="8"/>
  <c r="HH97" i="8"/>
  <c r="HI97" i="8"/>
  <c r="HJ97" i="8"/>
  <c r="HK97" i="8"/>
  <c r="HL97" i="8"/>
  <c r="HM97" i="8"/>
  <c r="HN97" i="8"/>
  <c r="HO97" i="8"/>
  <c r="HP97" i="8"/>
  <c r="HQ97" i="8"/>
  <c r="HR97" i="8"/>
  <c r="HS97" i="8"/>
  <c r="HT97" i="8"/>
  <c r="HU97" i="8"/>
  <c r="HV97" i="8"/>
  <c r="HW97" i="8"/>
  <c r="HX97" i="8"/>
  <c r="HY97" i="8"/>
  <c r="HZ97" i="8"/>
  <c r="IA97" i="8"/>
  <c r="IB97" i="8"/>
  <c r="IC97" i="8"/>
  <c r="ID97" i="8"/>
  <c r="IE97" i="8"/>
  <c r="IF97" i="8"/>
  <c r="IG97" i="8"/>
  <c r="IH97" i="8"/>
  <c r="II97" i="8"/>
  <c r="IJ97" i="8"/>
  <c r="IK97" i="8"/>
  <c r="IL97" i="8"/>
  <c r="IM97" i="8"/>
  <c r="IN97" i="8"/>
  <c r="IO97" i="8"/>
  <c r="IP97" i="8"/>
  <c r="IQ97" i="8"/>
  <c r="IR97" i="8"/>
  <c r="IS97" i="8"/>
  <c r="IT97" i="8"/>
  <c r="IU97" i="8"/>
  <c r="IV97" i="8"/>
  <c r="F98" i="8"/>
  <c r="G98" i="8"/>
  <c r="H98" i="8"/>
  <c r="I98" i="8"/>
  <c r="J98" i="8"/>
  <c r="K98" i="8"/>
  <c r="L98" i="8"/>
  <c r="M98" i="8"/>
  <c r="N98" i="8"/>
  <c r="O98" i="8"/>
  <c r="P98" i="8"/>
  <c r="Q98" i="8"/>
  <c r="R98" i="8"/>
  <c r="S98" i="8"/>
  <c r="T98" i="8"/>
  <c r="U98" i="8"/>
  <c r="V98" i="8"/>
  <c r="W98" i="8"/>
  <c r="X98" i="8"/>
  <c r="Y98" i="8"/>
  <c r="Z98" i="8"/>
  <c r="AA98" i="8"/>
  <c r="AB98" i="8"/>
  <c r="AC98" i="8"/>
  <c r="AD98" i="8"/>
  <c r="AE98" i="8"/>
  <c r="AF98" i="8"/>
  <c r="AG98" i="8"/>
  <c r="AH98" i="8"/>
  <c r="AI98" i="8"/>
  <c r="AJ98" i="8"/>
  <c r="AK98" i="8"/>
  <c r="AL98" i="8"/>
  <c r="AM98" i="8"/>
  <c r="AN98" i="8"/>
  <c r="AO98" i="8"/>
  <c r="AP98" i="8"/>
  <c r="AQ98" i="8"/>
  <c r="AR98" i="8"/>
  <c r="AS98" i="8"/>
  <c r="AT98" i="8"/>
  <c r="AU98" i="8"/>
  <c r="AV98" i="8"/>
  <c r="AW98" i="8"/>
  <c r="AX98" i="8"/>
  <c r="AY98" i="8"/>
  <c r="AZ98" i="8"/>
  <c r="BA98" i="8"/>
  <c r="BB98" i="8"/>
  <c r="BC98" i="8"/>
  <c r="BD98" i="8"/>
  <c r="BE98" i="8"/>
  <c r="BF98" i="8"/>
  <c r="BG98" i="8"/>
  <c r="BH98" i="8"/>
  <c r="BI98" i="8"/>
  <c r="BJ98" i="8"/>
  <c r="BK98" i="8"/>
  <c r="BL98" i="8"/>
  <c r="BM98" i="8"/>
  <c r="BN98" i="8"/>
  <c r="BO98" i="8"/>
  <c r="BP98" i="8"/>
  <c r="BQ98" i="8"/>
  <c r="BR98" i="8"/>
  <c r="BS98" i="8"/>
  <c r="BT98" i="8"/>
  <c r="BU98" i="8"/>
  <c r="BV98" i="8"/>
  <c r="BW98" i="8"/>
  <c r="BX98" i="8"/>
  <c r="BY98" i="8"/>
  <c r="BZ98" i="8"/>
  <c r="CA98" i="8"/>
  <c r="CB98" i="8"/>
  <c r="CC98" i="8"/>
  <c r="CD98" i="8"/>
  <c r="CE98" i="8"/>
  <c r="CF98" i="8"/>
  <c r="CG98" i="8"/>
  <c r="CH98" i="8"/>
  <c r="CI98" i="8"/>
  <c r="CJ98" i="8"/>
  <c r="CK98" i="8"/>
  <c r="CL98" i="8"/>
  <c r="CM98" i="8"/>
  <c r="CN98" i="8"/>
  <c r="CO98" i="8"/>
  <c r="CP98" i="8"/>
  <c r="CQ98" i="8"/>
  <c r="CR98" i="8"/>
  <c r="CS98" i="8"/>
  <c r="CT98" i="8"/>
  <c r="CU98" i="8"/>
  <c r="CV98" i="8"/>
  <c r="CW98" i="8"/>
  <c r="CX98" i="8"/>
  <c r="CY98" i="8"/>
  <c r="CZ98" i="8"/>
  <c r="DA98" i="8"/>
  <c r="DB98" i="8"/>
  <c r="DC98" i="8"/>
  <c r="DD98" i="8"/>
  <c r="DE98" i="8"/>
  <c r="DF98" i="8"/>
  <c r="DG98" i="8"/>
  <c r="DH98" i="8"/>
  <c r="DI98" i="8"/>
  <c r="DJ98" i="8"/>
  <c r="DK98" i="8"/>
  <c r="DL98" i="8"/>
  <c r="DM98" i="8"/>
  <c r="DN98" i="8"/>
  <c r="DO98" i="8"/>
  <c r="DP98" i="8"/>
  <c r="DQ98" i="8"/>
  <c r="DR98" i="8"/>
  <c r="DS98" i="8"/>
  <c r="DT98" i="8"/>
  <c r="DU98" i="8"/>
  <c r="DV98" i="8"/>
  <c r="DW98" i="8"/>
  <c r="DX98" i="8"/>
  <c r="DY98" i="8"/>
  <c r="DZ98" i="8"/>
  <c r="EA98" i="8"/>
  <c r="EB98" i="8"/>
  <c r="EC98" i="8"/>
  <c r="ED98" i="8"/>
  <c r="EE98" i="8"/>
  <c r="EF98" i="8"/>
  <c r="EG98" i="8"/>
  <c r="EH98" i="8"/>
  <c r="EI98" i="8"/>
  <c r="EJ98" i="8"/>
  <c r="EK98" i="8"/>
  <c r="EL98" i="8"/>
  <c r="EM98" i="8"/>
  <c r="EN98" i="8"/>
  <c r="EO98" i="8"/>
  <c r="EP98" i="8"/>
  <c r="EQ98" i="8"/>
  <c r="ER98" i="8"/>
  <c r="ES98" i="8"/>
  <c r="ET98" i="8"/>
  <c r="EU98" i="8"/>
  <c r="EV98" i="8"/>
  <c r="EW98" i="8"/>
  <c r="EX98" i="8"/>
  <c r="EY98" i="8"/>
  <c r="EZ98" i="8"/>
  <c r="FA98" i="8"/>
  <c r="FB98" i="8"/>
  <c r="FC98" i="8"/>
  <c r="FD98" i="8"/>
  <c r="FE98" i="8"/>
  <c r="FF98" i="8"/>
  <c r="FG98" i="8"/>
  <c r="FH98" i="8"/>
  <c r="FI98" i="8"/>
  <c r="FJ98" i="8"/>
  <c r="FK98" i="8"/>
  <c r="FL98" i="8"/>
  <c r="FM98" i="8"/>
  <c r="FN98" i="8"/>
  <c r="FO98" i="8"/>
  <c r="FP98" i="8"/>
  <c r="FQ98" i="8"/>
  <c r="FR98" i="8"/>
  <c r="FS98" i="8"/>
  <c r="FT98" i="8"/>
  <c r="FU98" i="8"/>
  <c r="FV98" i="8"/>
  <c r="FW98" i="8"/>
  <c r="FX98" i="8"/>
  <c r="FY98" i="8"/>
  <c r="FZ98" i="8"/>
  <c r="GA98" i="8"/>
  <c r="GB98" i="8"/>
  <c r="GC98" i="8"/>
  <c r="GD98" i="8"/>
  <c r="GE98" i="8"/>
  <c r="GF98" i="8"/>
  <c r="GG98" i="8"/>
  <c r="GH98" i="8"/>
  <c r="GI98" i="8"/>
  <c r="GJ98" i="8"/>
  <c r="GK98" i="8"/>
  <c r="GL98" i="8"/>
  <c r="GM98" i="8"/>
  <c r="GN98" i="8"/>
  <c r="GO98" i="8"/>
  <c r="GP98" i="8"/>
  <c r="GQ98" i="8"/>
  <c r="GR98" i="8"/>
  <c r="GS98" i="8"/>
  <c r="GT98" i="8"/>
  <c r="GU98" i="8"/>
  <c r="GV98" i="8"/>
  <c r="GW98" i="8"/>
  <c r="GX98" i="8"/>
  <c r="GY98" i="8"/>
  <c r="GZ98" i="8"/>
  <c r="HA98" i="8"/>
  <c r="HB98" i="8"/>
  <c r="HC98" i="8"/>
  <c r="HD98" i="8"/>
  <c r="HE98" i="8"/>
  <c r="HF98" i="8"/>
  <c r="HG98" i="8"/>
  <c r="HH98" i="8"/>
  <c r="HI98" i="8"/>
  <c r="HJ98" i="8"/>
  <c r="HK98" i="8"/>
  <c r="HL98" i="8"/>
  <c r="HM98" i="8"/>
  <c r="HN98" i="8"/>
  <c r="HO98" i="8"/>
  <c r="HP98" i="8"/>
  <c r="HQ98" i="8"/>
  <c r="HR98" i="8"/>
  <c r="HS98" i="8"/>
  <c r="HT98" i="8"/>
  <c r="HU98" i="8"/>
  <c r="HV98" i="8"/>
  <c r="HW98" i="8"/>
  <c r="HX98" i="8"/>
  <c r="HY98" i="8"/>
  <c r="HZ98" i="8"/>
  <c r="IA98" i="8"/>
  <c r="IB98" i="8"/>
  <c r="IC98" i="8"/>
  <c r="ID98" i="8"/>
  <c r="IE98" i="8"/>
  <c r="IF98" i="8"/>
  <c r="IG98" i="8"/>
  <c r="IH98" i="8"/>
  <c r="II98" i="8"/>
  <c r="IJ98" i="8"/>
  <c r="IK98" i="8"/>
  <c r="IL98" i="8"/>
  <c r="IM98" i="8"/>
  <c r="IN98" i="8"/>
  <c r="IO98" i="8"/>
  <c r="IP98" i="8"/>
  <c r="IQ98" i="8"/>
  <c r="IR98" i="8"/>
  <c r="IS98" i="8"/>
  <c r="IT98" i="8"/>
  <c r="IU98" i="8"/>
  <c r="IV98" i="8"/>
  <c r="F99" i="8"/>
  <c r="G99" i="8"/>
  <c r="H99" i="8"/>
  <c r="I99" i="8"/>
  <c r="J99" i="8"/>
  <c r="K99" i="8"/>
  <c r="L99" i="8"/>
  <c r="M99" i="8"/>
  <c r="N99" i="8"/>
  <c r="O99" i="8"/>
  <c r="P99" i="8"/>
  <c r="Q99" i="8"/>
  <c r="R99" i="8"/>
  <c r="S99" i="8"/>
  <c r="T99" i="8"/>
  <c r="U99" i="8"/>
  <c r="V99" i="8"/>
  <c r="W99" i="8"/>
  <c r="X99" i="8"/>
  <c r="Y99" i="8"/>
  <c r="Z99" i="8"/>
  <c r="AA99" i="8"/>
  <c r="AB99" i="8"/>
  <c r="AC99" i="8"/>
  <c r="AD99" i="8"/>
  <c r="AE99" i="8"/>
  <c r="AF99" i="8"/>
  <c r="AG99" i="8"/>
  <c r="AH99" i="8"/>
  <c r="AI99" i="8"/>
  <c r="AJ99" i="8"/>
  <c r="AK99" i="8"/>
  <c r="AL99" i="8"/>
  <c r="AM99" i="8"/>
  <c r="AN99" i="8"/>
  <c r="AO99" i="8"/>
  <c r="AP99" i="8"/>
  <c r="AQ99" i="8"/>
  <c r="AR99" i="8"/>
  <c r="AS99" i="8"/>
  <c r="AT99" i="8"/>
  <c r="AU99" i="8"/>
  <c r="AV99" i="8"/>
  <c r="AW99" i="8"/>
  <c r="AX99" i="8"/>
  <c r="AY99" i="8"/>
  <c r="AZ99" i="8"/>
  <c r="BA99" i="8"/>
  <c r="BB99" i="8"/>
  <c r="BC99" i="8"/>
  <c r="BD99" i="8"/>
  <c r="BE99" i="8"/>
  <c r="BF99" i="8"/>
  <c r="BG99" i="8"/>
  <c r="BH99" i="8"/>
  <c r="BI99" i="8"/>
  <c r="BJ99" i="8"/>
  <c r="BK99" i="8"/>
  <c r="BL99" i="8"/>
  <c r="BM99" i="8"/>
  <c r="BN99" i="8"/>
  <c r="BO99" i="8"/>
  <c r="BP99" i="8"/>
  <c r="BQ99" i="8"/>
  <c r="BR99" i="8"/>
  <c r="BS99" i="8"/>
  <c r="BT99" i="8"/>
  <c r="BU99" i="8"/>
  <c r="BV99" i="8"/>
  <c r="BW99" i="8"/>
  <c r="BX99" i="8"/>
  <c r="BY99" i="8"/>
  <c r="BZ99" i="8"/>
  <c r="CA99" i="8"/>
  <c r="CB99" i="8"/>
  <c r="CC99" i="8"/>
  <c r="CD99" i="8"/>
  <c r="CE99" i="8"/>
  <c r="CF99" i="8"/>
  <c r="CG99" i="8"/>
  <c r="CH99" i="8"/>
  <c r="CI99" i="8"/>
  <c r="CJ99" i="8"/>
  <c r="CK99" i="8"/>
  <c r="CL99" i="8"/>
  <c r="CM99" i="8"/>
  <c r="CN99" i="8"/>
  <c r="CO99" i="8"/>
  <c r="CP99" i="8"/>
  <c r="CQ99" i="8"/>
  <c r="CR99" i="8"/>
  <c r="CS99" i="8"/>
  <c r="CT99" i="8"/>
  <c r="CU99" i="8"/>
  <c r="CV99" i="8"/>
  <c r="CW99" i="8"/>
  <c r="CX99" i="8"/>
  <c r="CY99" i="8"/>
  <c r="CZ99" i="8"/>
  <c r="DA99" i="8"/>
  <c r="DB99" i="8"/>
  <c r="DC99" i="8"/>
  <c r="DD99" i="8"/>
  <c r="DE99" i="8"/>
  <c r="DF99" i="8"/>
  <c r="DG99" i="8"/>
  <c r="DH99" i="8"/>
  <c r="DI99" i="8"/>
  <c r="DJ99" i="8"/>
  <c r="DK99" i="8"/>
  <c r="DL99" i="8"/>
  <c r="DM99" i="8"/>
  <c r="DN99" i="8"/>
  <c r="DO99" i="8"/>
  <c r="DP99" i="8"/>
  <c r="DQ99" i="8"/>
  <c r="DR99" i="8"/>
  <c r="DS99" i="8"/>
  <c r="DT99" i="8"/>
  <c r="DU99" i="8"/>
  <c r="DV99" i="8"/>
  <c r="DW99" i="8"/>
  <c r="DX99" i="8"/>
  <c r="DY99" i="8"/>
  <c r="DZ99" i="8"/>
  <c r="EA99" i="8"/>
  <c r="EB99" i="8"/>
  <c r="EC99" i="8"/>
  <c r="ED99" i="8"/>
  <c r="EE99" i="8"/>
  <c r="EF99" i="8"/>
  <c r="EG99" i="8"/>
  <c r="EH99" i="8"/>
  <c r="EI99" i="8"/>
  <c r="EJ99" i="8"/>
  <c r="EK99" i="8"/>
  <c r="EL99" i="8"/>
  <c r="EM99" i="8"/>
  <c r="EN99" i="8"/>
  <c r="EO99" i="8"/>
  <c r="EP99" i="8"/>
  <c r="EQ99" i="8"/>
  <c r="ER99" i="8"/>
  <c r="ES99" i="8"/>
  <c r="ET99" i="8"/>
  <c r="EU99" i="8"/>
  <c r="EV99" i="8"/>
  <c r="EW99" i="8"/>
  <c r="EX99" i="8"/>
  <c r="EY99" i="8"/>
  <c r="EZ99" i="8"/>
  <c r="FA99" i="8"/>
  <c r="FB99" i="8"/>
  <c r="FC99" i="8"/>
  <c r="FD99" i="8"/>
  <c r="FE99" i="8"/>
  <c r="FF99" i="8"/>
  <c r="FG99" i="8"/>
  <c r="FH99" i="8"/>
  <c r="FI99" i="8"/>
  <c r="FJ99" i="8"/>
  <c r="FK99" i="8"/>
  <c r="FL99" i="8"/>
  <c r="FM99" i="8"/>
  <c r="FN99" i="8"/>
  <c r="FO99" i="8"/>
  <c r="FP99" i="8"/>
  <c r="FQ99" i="8"/>
  <c r="FR99" i="8"/>
  <c r="FS99" i="8"/>
  <c r="FT99" i="8"/>
  <c r="FU99" i="8"/>
  <c r="FV99" i="8"/>
  <c r="FW99" i="8"/>
  <c r="FX99" i="8"/>
  <c r="FY99" i="8"/>
  <c r="FZ99" i="8"/>
  <c r="GA99" i="8"/>
  <c r="GB99" i="8"/>
  <c r="GC99" i="8"/>
  <c r="GD99" i="8"/>
  <c r="GE99" i="8"/>
  <c r="GF99" i="8"/>
  <c r="GG99" i="8"/>
  <c r="GH99" i="8"/>
  <c r="GI99" i="8"/>
  <c r="GJ99" i="8"/>
  <c r="GK99" i="8"/>
  <c r="GL99" i="8"/>
  <c r="GM99" i="8"/>
  <c r="GN99" i="8"/>
  <c r="GO99" i="8"/>
  <c r="GP99" i="8"/>
  <c r="GQ99" i="8"/>
  <c r="GR99" i="8"/>
  <c r="GS99" i="8"/>
  <c r="GT99" i="8"/>
  <c r="GU99" i="8"/>
  <c r="GV99" i="8"/>
  <c r="GW99" i="8"/>
  <c r="GX99" i="8"/>
  <c r="GY99" i="8"/>
  <c r="GZ99" i="8"/>
  <c r="HA99" i="8"/>
  <c r="HB99" i="8"/>
  <c r="HC99" i="8"/>
  <c r="HD99" i="8"/>
  <c r="HE99" i="8"/>
  <c r="HF99" i="8"/>
  <c r="HG99" i="8"/>
  <c r="HH99" i="8"/>
  <c r="HI99" i="8"/>
  <c r="HJ99" i="8"/>
  <c r="HK99" i="8"/>
  <c r="HL99" i="8"/>
  <c r="HM99" i="8"/>
  <c r="HN99" i="8"/>
  <c r="HO99" i="8"/>
  <c r="HP99" i="8"/>
  <c r="HQ99" i="8"/>
  <c r="HR99" i="8"/>
  <c r="HS99" i="8"/>
  <c r="HT99" i="8"/>
  <c r="HU99" i="8"/>
  <c r="HV99" i="8"/>
  <c r="HW99" i="8"/>
  <c r="HX99" i="8"/>
  <c r="HY99" i="8"/>
  <c r="HZ99" i="8"/>
  <c r="IA99" i="8"/>
  <c r="IB99" i="8"/>
  <c r="IC99" i="8"/>
  <c r="ID99" i="8"/>
  <c r="IE99" i="8"/>
  <c r="IF99" i="8"/>
  <c r="IG99" i="8"/>
  <c r="IH99" i="8"/>
  <c r="II99" i="8"/>
  <c r="IJ99" i="8"/>
  <c r="IK99" i="8"/>
  <c r="IL99" i="8"/>
  <c r="IM99" i="8"/>
  <c r="IN99" i="8"/>
  <c r="IO99" i="8"/>
  <c r="IP99" i="8"/>
  <c r="IQ99" i="8"/>
  <c r="IR99" i="8"/>
  <c r="IS99" i="8"/>
  <c r="IT99" i="8"/>
  <c r="IU99" i="8"/>
  <c r="IV99" i="8"/>
  <c r="F100" i="8"/>
  <c r="G100" i="8"/>
  <c r="H100" i="8"/>
  <c r="I100" i="8"/>
  <c r="J100" i="8"/>
  <c r="K100" i="8"/>
  <c r="L100" i="8"/>
  <c r="M100" i="8"/>
  <c r="N100" i="8"/>
  <c r="O100" i="8"/>
  <c r="P100" i="8"/>
  <c r="Q100" i="8"/>
  <c r="R100" i="8"/>
  <c r="S100" i="8"/>
  <c r="T100" i="8"/>
  <c r="U100" i="8"/>
  <c r="V100" i="8"/>
  <c r="W100" i="8"/>
  <c r="X100" i="8"/>
  <c r="Y100" i="8"/>
  <c r="Z100" i="8"/>
  <c r="AA100" i="8"/>
  <c r="AB100" i="8"/>
  <c r="AC100" i="8"/>
  <c r="AD100" i="8"/>
  <c r="AE100" i="8"/>
  <c r="AF100" i="8"/>
  <c r="AG100" i="8"/>
  <c r="AH100" i="8"/>
  <c r="AI100" i="8"/>
  <c r="AJ100" i="8"/>
  <c r="AK100" i="8"/>
  <c r="AL100" i="8"/>
  <c r="AM100" i="8"/>
  <c r="AN100" i="8"/>
  <c r="AO100" i="8"/>
  <c r="AP100" i="8"/>
  <c r="AQ100" i="8"/>
  <c r="AR100" i="8"/>
  <c r="AS100" i="8"/>
  <c r="AT100" i="8"/>
  <c r="AU100" i="8"/>
  <c r="AV100" i="8"/>
  <c r="AW100" i="8"/>
  <c r="AX100" i="8"/>
  <c r="AY100" i="8"/>
  <c r="AZ100" i="8"/>
  <c r="BA100" i="8"/>
  <c r="BB100" i="8"/>
  <c r="BC100" i="8"/>
  <c r="BD100" i="8"/>
  <c r="BE100" i="8"/>
  <c r="BF100" i="8"/>
  <c r="BG100" i="8"/>
  <c r="BH100" i="8"/>
  <c r="BI100" i="8"/>
  <c r="BJ100" i="8"/>
  <c r="BK100" i="8"/>
  <c r="BL100" i="8"/>
  <c r="BM100" i="8"/>
  <c r="BN100" i="8"/>
  <c r="BO100" i="8"/>
  <c r="BP100" i="8"/>
  <c r="BQ100" i="8"/>
  <c r="BR100" i="8"/>
  <c r="BS100" i="8"/>
  <c r="BT100" i="8"/>
  <c r="BU100" i="8"/>
  <c r="BV100" i="8"/>
  <c r="BW100" i="8"/>
  <c r="BX100" i="8"/>
  <c r="BY100" i="8"/>
  <c r="BZ100" i="8"/>
  <c r="CA100" i="8"/>
  <c r="CB100" i="8"/>
  <c r="CC100" i="8"/>
  <c r="CD100" i="8"/>
  <c r="CE100" i="8"/>
  <c r="CF100" i="8"/>
  <c r="CG100" i="8"/>
  <c r="CH100" i="8"/>
  <c r="CI100" i="8"/>
  <c r="CJ100" i="8"/>
  <c r="CK100" i="8"/>
  <c r="CL100" i="8"/>
  <c r="CM100" i="8"/>
  <c r="CN100" i="8"/>
  <c r="CO100" i="8"/>
  <c r="CP100" i="8"/>
  <c r="CQ100" i="8"/>
  <c r="CR100" i="8"/>
  <c r="CS100" i="8"/>
  <c r="CT100" i="8"/>
  <c r="CU100" i="8"/>
  <c r="CV100" i="8"/>
  <c r="CW100" i="8"/>
  <c r="CX100" i="8"/>
  <c r="CY100" i="8"/>
  <c r="CZ100" i="8"/>
  <c r="DA100" i="8"/>
  <c r="DB100" i="8"/>
  <c r="DC100" i="8"/>
  <c r="DD100" i="8"/>
  <c r="DE100" i="8"/>
  <c r="DF100" i="8"/>
  <c r="DG100" i="8"/>
  <c r="DH100" i="8"/>
  <c r="DI100" i="8"/>
  <c r="DJ100" i="8"/>
  <c r="DK100" i="8"/>
  <c r="DL100" i="8"/>
  <c r="DM100" i="8"/>
  <c r="DN100" i="8"/>
  <c r="DO100" i="8"/>
  <c r="DP100" i="8"/>
  <c r="DQ100" i="8"/>
  <c r="DR100" i="8"/>
  <c r="DS100" i="8"/>
  <c r="DT100" i="8"/>
  <c r="DU100" i="8"/>
  <c r="DV100" i="8"/>
  <c r="DW100" i="8"/>
  <c r="DX100" i="8"/>
  <c r="DY100" i="8"/>
  <c r="DZ100" i="8"/>
  <c r="EA100" i="8"/>
  <c r="EB100" i="8"/>
  <c r="EC100" i="8"/>
  <c r="ED100" i="8"/>
  <c r="EE100" i="8"/>
  <c r="EF100" i="8"/>
  <c r="EG100" i="8"/>
  <c r="EH100" i="8"/>
  <c r="EI100" i="8"/>
  <c r="EJ100" i="8"/>
  <c r="EK100" i="8"/>
  <c r="EL100" i="8"/>
  <c r="EM100" i="8"/>
  <c r="EN100" i="8"/>
  <c r="EO100" i="8"/>
  <c r="EP100" i="8"/>
  <c r="EQ100" i="8"/>
  <c r="ER100" i="8"/>
  <c r="ES100" i="8"/>
  <c r="ET100" i="8"/>
  <c r="EU100" i="8"/>
  <c r="EV100" i="8"/>
  <c r="EW100" i="8"/>
  <c r="EX100" i="8"/>
  <c r="EY100" i="8"/>
  <c r="EZ100" i="8"/>
  <c r="FA100" i="8"/>
  <c r="FB100" i="8"/>
  <c r="FC100" i="8"/>
  <c r="FD100" i="8"/>
  <c r="FE100" i="8"/>
  <c r="FF100" i="8"/>
  <c r="FG100" i="8"/>
  <c r="FH100" i="8"/>
  <c r="FI100" i="8"/>
  <c r="FJ100" i="8"/>
  <c r="FK100" i="8"/>
  <c r="FL100" i="8"/>
  <c r="FM100" i="8"/>
  <c r="FN100" i="8"/>
  <c r="FO100" i="8"/>
  <c r="FP100" i="8"/>
  <c r="FQ100" i="8"/>
  <c r="FR100" i="8"/>
  <c r="FS100" i="8"/>
  <c r="FT100" i="8"/>
  <c r="FU100" i="8"/>
  <c r="FV100" i="8"/>
  <c r="FW100" i="8"/>
  <c r="FX100" i="8"/>
  <c r="FY100" i="8"/>
  <c r="FZ100" i="8"/>
  <c r="GA100" i="8"/>
  <c r="GB100" i="8"/>
  <c r="GC100" i="8"/>
  <c r="GD100" i="8"/>
  <c r="GE100" i="8"/>
  <c r="GF100" i="8"/>
  <c r="GG100" i="8"/>
  <c r="GH100" i="8"/>
  <c r="GI100" i="8"/>
  <c r="GJ100" i="8"/>
  <c r="GK100" i="8"/>
  <c r="GL100" i="8"/>
  <c r="GM100" i="8"/>
  <c r="GN100" i="8"/>
  <c r="GO100" i="8"/>
  <c r="GP100" i="8"/>
  <c r="GQ100" i="8"/>
  <c r="GR100" i="8"/>
  <c r="GS100" i="8"/>
  <c r="GT100" i="8"/>
  <c r="GU100" i="8"/>
  <c r="GV100" i="8"/>
  <c r="GW100" i="8"/>
  <c r="GX100" i="8"/>
  <c r="GY100" i="8"/>
  <c r="GZ100" i="8"/>
  <c r="HA100" i="8"/>
  <c r="HB100" i="8"/>
  <c r="HC100" i="8"/>
  <c r="HD100" i="8"/>
  <c r="HE100" i="8"/>
  <c r="HF100" i="8"/>
  <c r="HG100" i="8"/>
  <c r="HH100" i="8"/>
  <c r="HI100" i="8"/>
  <c r="HJ100" i="8"/>
  <c r="HK100" i="8"/>
  <c r="HL100" i="8"/>
  <c r="HM100" i="8"/>
  <c r="HN100" i="8"/>
  <c r="HO100" i="8"/>
  <c r="HP100" i="8"/>
  <c r="HQ100" i="8"/>
  <c r="HR100" i="8"/>
  <c r="HS100" i="8"/>
  <c r="HT100" i="8"/>
  <c r="HU100" i="8"/>
  <c r="HV100" i="8"/>
  <c r="HW100" i="8"/>
  <c r="HX100" i="8"/>
  <c r="HY100" i="8"/>
  <c r="HZ100" i="8"/>
  <c r="IA100" i="8"/>
  <c r="IB100" i="8"/>
  <c r="IC100" i="8"/>
  <c r="ID100" i="8"/>
  <c r="IE100" i="8"/>
  <c r="IF100" i="8"/>
  <c r="IG100" i="8"/>
  <c r="IH100" i="8"/>
  <c r="II100" i="8"/>
  <c r="IJ100" i="8"/>
  <c r="IK100" i="8"/>
  <c r="IL100" i="8"/>
  <c r="IM100" i="8"/>
  <c r="IN100" i="8"/>
  <c r="IO100" i="8"/>
  <c r="IP100" i="8"/>
  <c r="IQ100" i="8"/>
  <c r="IR100" i="8"/>
  <c r="IS100" i="8"/>
  <c r="IT100" i="8"/>
  <c r="IU100" i="8"/>
  <c r="IV100" i="8"/>
  <c r="F101" i="8"/>
  <c r="G101" i="8"/>
  <c r="H101" i="8"/>
  <c r="I101" i="8"/>
  <c r="J101" i="8"/>
  <c r="K101" i="8"/>
  <c r="L101" i="8"/>
  <c r="M101" i="8"/>
  <c r="N101" i="8"/>
  <c r="O101" i="8"/>
  <c r="P101" i="8"/>
  <c r="Q101" i="8"/>
  <c r="R101" i="8"/>
  <c r="S101" i="8"/>
  <c r="T101" i="8"/>
  <c r="U101" i="8"/>
  <c r="V101" i="8"/>
  <c r="W101" i="8"/>
  <c r="X101" i="8"/>
  <c r="Y101" i="8"/>
  <c r="Z101" i="8"/>
  <c r="AA101" i="8"/>
  <c r="AB101" i="8"/>
  <c r="AC101" i="8"/>
  <c r="AD101" i="8"/>
  <c r="AE101" i="8"/>
  <c r="AF101" i="8"/>
  <c r="AG101" i="8"/>
  <c r="AH101" i="8"/>
  <c r="AI101" i="8"/>
  <c r="AJ101" i="8"/>
  <c r="AK101" i="8"/>
  <c r="AL101" i="8"/>
  <c r="AM101" i="8"/>
  <c r="AN101" i="8"/>
  <c r="AO101" i="8"/>
  <c r="AP101" i="8"/>
  <c r="AQ101" i="8"/>
  <c r="AR101" i="8"/>
  <c r="AS101" i="8"/>
  <c r="AT101" i="8"/>
  <c r="AU101" i="8"/>
  <c r="AV101" i="8"/>
  <c r="AW101" i="8"/>
  <c r="AX101" i="8"/>
  <c r="AY101" i="8"/>
  <c r="AZ101" i="8"/>
  <c r="BA101" i="8"/>
  <c r="BB101" i="8"/>
  <c r="BC101" i="8"/>
  <c r="BD101" i="8"/>
  <c r="BE101" i="8"/>
  <c r="BF101" i="8"/>
  <c r="BG101" i="8"/>
  <c r="BH101" i="8"/>
  <c r="BI101" i="8"/>
  <c r="BJ101" i="8"/>
  <c r="BK101" i="8"/>
  <c r="BL101" i="8"/>
  <c r="BM101" i="8"/>
  <c r="BN101" i="8"/>
  <c r="BO101" i="8"/>
  <c r="BP101" i="8"/>
  <c r="BQ101" i="8"/>
  <c r="BR101" i="8"/>
  <c r="BS101" i="8"/>
  <c r="BT101" i="8"/>
  <c r="BU101" i="8"/>
  <c r="BV101" i="8"/>
  <c r="BW101" i="8"/>
  <c r="BX101" i="8"/>
  <c r="BY101" i="8"/>
  <c r="BZ101" i="8"/>
  <c r="CA101" i="8"/>
  <c r="CB101" i="8"/>
  <c r="CC101" i="8"/>
  <c r="CD101" i="8"/>
  <c r="CE101" i="8"/>
  <c r="CF101" i="8"/>
  <c r="CG101" i="8"/>
  <c r="CH101" i="8"/>
  <c r="CI101" i="8"/>
  <c r="CJ101" i="8"/>
  <c r="CK101" i="8"/>
  <c r="CL101" i="8"/>
  <c r="CM101" i="8"/>
  <c r="CN101" i="8"/>
  <c r="CO101" i="8"/>
  <c r="CP101" i="8"/>
  <c r="CQ101" i="8"/>
  <c r="CR101" i="8"/>
  <c r="CS101" i="8"/>
  <c r="CT101" i="8"/>
  <c r="CU101" i="8"/>
  <c r="CV101" i="8"/>
  <c r="CW101" i="8"/>
  <c r="CX101" i="8"/>
  <c r="CY101" i="8"/>
  <c r="CZ101" i="8"/>
  <c r="DA101" i="8"/>
  <c r="DB101" i="8"/>
  <c r="DC101" i="8"/>
  <c r="DD101" i="8"/>
  <c r="DE101" i="8"/>
  <c r="DF101" i="8"/>
  <c r="DG101" i="8"/>
  <c r="DH101" i="8"/>
  <c r="DI101" i="8"/>
  <c r="DJ101" i="8"/>
  <c r="DK101" i="8"/>
  <c r="DL101" i="8"/>
  <c r="DM101" i="8"/>
  <c r="DN101" i="8"/>
  <c r="DO101" i="8"/>
  <c r="DP101" i="8"/>
  <c r="DQ101" i="8"/>
  <c r="DR101" i="8"/>
  <c r="DS101" i="8"/>
  <c r="DT101" i="8"/>
  <c r="DU101" i="8"/>
  <c r="DV101" i="8"/>
  <c r="DW101" i="8"/>
  <c r="DX101" i="8"/>
  <c r="DY101" i="8"/>
  <c r="DZ101" i="8"/>
  <c r="EA101" i="8"/>
  <c r="EB101" i="8"/>
  <c r="EC101" i="8"/>
  <c r="ED101" i="8"/>
  <c r="EE101" i="8"/>
  <c r="EF101" i="8"/>
  <c r="EG101" i="8"/>
  <c r="EH101" i="8"/>
  <c r="EI101" i="8"/>
  <c r="EJ101" i="8"/>
  <c r="EK101" i="8"/>
  <c r="EL101" i="8"/>
  <c r="EM101" i="8"/>
  <c r="EN101" i="8"/>
  <c r="EO101" i="8"/>
  <c r="EP101" i="8"/>
  <c r="EQ101" i="8"/>
  <c r="ER101" i="8"/>
  <c r="ES101" i="8"/>
  <c r="ET101" i="8"/>
  <c r="EU101" i="8"/>
  <c r="EV101" i="8"/>
  <c r="EW101" i="8"/>
  <c r="EX101" i="8"/>
  <c r="EY101" i="8"/>
  <c r="EZ101" i="8"/>
  <c r="FA101" i="8"/>
  <c r="FB101" i="8"/>
  <c r="FC101" i="8"/>
  <c r="FD101" i="8"/>
  <c r="FE101" i="8"/>
  <c r="FF101" i="8"/>
  <c r="FG101" i="8"/>
  <c r="FH101" i="8"/>
  <c r="FI101" i="8"/>
  <c r="FJ101" i="8"/>
  <c r="FK101" i="8"/>
  <c r="FL101" i="8"/>
  <c r="FM101" i="8"/>
  <c r="FN101" i="8"/>
  <c r="FO101" i="8"/>
  <c r="FP101" i="8"/>
  <c r="FQ101" i="8"/>
  <c r="FR101" i="8"/>
  <c r="FS101" i="8"/>
  <c r="FT101" i="8"/>
  <c r="FU101" i="8"/>
  <c r="FV101" i="8"/>
  <c r="FW101" i="8"/>
  <c r="FX101" i="8"/>
  <c r="FY101" i="8"/>
  <c r="FZ101" i="8"/>
  <c r="GA101" i="8"/>
  <c r="GB101" i="8"/>
  <c r="GC101" i="8"/>
  <c r="GD101" i="8"/>
  <c r="GE101" i="8"/>
  <c r="GF101" i="8"/>
  <c r="GG101" i="8"/>
  <c r="GH101" i="8"/>
  <c r="GI101" i="8"/>
  <c r="GJ101" i="8"/>
  <c r="GK101" i="8"/>
  <c r="GL101" i="8"/>
  <c r="GM101" i="8"/>
  <c r="GN101" i="8"/>
  <c r="GO101" i="8"/>
  <c r="GP101" i="8"/>
  <c r="GQ101" i="8"/>
  <c r="GR101" i="8"/>
  <c r="GS101" i="8"/>
  <c r="GT101" i="8"/>
  <c r="GU101" i="8"/>
  <c r="GV101" i="8"/>
  <c r="GW101" i="8"/>
  <c r="GX101" i="8"/>
  <c r="GY101" i="8"/>
  <c r="GZ101" i="8"/>
  <c r="HA101" i="8"/>
  <c r="HB101" i="8"/>
  <c r="HC101" i="8"/>
  <c r="HD101" i="8"/>
  <c r="HE101" i="8"/>
  <c r="HF101" i="8"/>
  <c r="HG101" i="8"/>
  <c r="HH101" i="8"/>
  <c r="HI101" i="8"/>
  <c r="HJ101" i="8"/>
  <c r="HK101" i="8"/>
  <c r="HL101" i="8"/>
  <c r="HM101" i="8"/>
  <c r="HN101" i="8"/>
  <c r="HO101" i="8"/>
  <c r="HP101" i="8"/>
  <c r="HQ101" i="8"/>
  <c r="HR101" i="8"/>
  <c r="HS101" i="8"/>
  <c r="HT101" i="8"/>
  <c r="HU101" i="8"/>
  <c r="HV101" i="8"/>
  <c r="HW101" i="8"/>
  <c r="HX101" i="8"/>
  <c r="HY101" i="8"/>
  <c r="HZ101" i="8"/>
  <c r="IA101" i="8"/>
  <c r="IB101" i="8"/>
  <c r="IC101" i="8"/>
  <c r="ID101" i="8"/>
  <c r="IE101" i="8"/>
  <c r="IF101" i="8"/>
  <c r="IG101" i="8"/>
  <c r="IH101" i="8"/>
  <c r="II101" i="8"/>
  <c r="IJ101" i="8"/>
  <c r="IK101" i="8"/>
  <c r="IL101" i="8"/>
  <c r="IM101" i="8"/>
  <c r="IN101" i="8"/>
  <c r="IO101" i="8"/>
  <c r="IP101" i="8"/>
  <c r="IQ101" i="8"/>
  <c r="IR101" i="8"/>
  <c r="IS101" i="8"/>
  <c r="IT101" i="8"/>
  <c r="IU101" i="8"/>
  <c r="IV101" i="8"/>
  <c r="F102" i="8"/>
  <c r="G102" i="8"/>
  <c r="H102" i="8"/>
  <c r="I102" i="8"/>
  <c r="J102" i="8"/>
  <c r="K102" i="8"/>
  <c r="L102" i="8"/>
  <c r="M102" i="8"/>
  <c r="N102" i="8"/>
  <c r="O102" i="8"/>
  <c r="P102" i="8"/>
  <c r="Q102" i="8"/>
  <c r="R102" i="8"/>
  <c r="S102" i="8"/>
  <c r="T102" i="8"/>
  <c r="U102" i="8"/>
  <c r="V102" i="8"/>
  <c r="W102" i="8"/>
  <c r="X102" i="8"/>
  <c r="Y102" i="8"/>
  <c r="Z102" i="8"/>
  <c r="AA102" i="8"/>
  <c r="AB102" i="8"/>
  <c r="AC102" i="8"/>
  <c r="AD102" i="8"/>
  <c r="AE102" i="8"/>
  <c r="AF102" i="8"/>
  <c r="AG102" i="8"/>
  <c r="AH102" i="8"/>
  <c r="AI102" i="8"/>
  <c r="AJ102" i="8"/>
  <c r="AK102" i="8"/>
  <c r="AL102" i="8"/>
  <c r="AM102" i="8"/>
  <c r="AN102" i="8"/>
  <c r="AO102" i="8"/>
  <c r="AP102" i="8"/>
  <c r="AQ102" i="8"/>
  <c r="AR102" i="8"/>
  <c r="AS102" i="8"/>
  <c r="AT102" i="8"/>
  <c r="AU102" i="8"/>
  <c r="AV102" i="8"/>
  <c r="AW102" i="8"/>
  <c r="AX102" i="8"/>
  <c r="AY102" i="8"/>
  <c r="AZ102" i="8"/>
  <c r="BA102" i="8"/>
  <c r="BB102" i="8"/>
  <c r="BC102" i="8"/>
  <c r="BD102" i="8"/>
  <c r="BE102" i="8"/>
  <c r="BF102" i="8"/>
  <c r="BG102" i="8"/>
  <c r="BH102" i="8"/>
  <c r="BI102" i="8"/>
  <c r="BJ102" i="8"/>
  <c r="BK102" i="8"/>
  <c r="BL102" i="8"/>
  <c r="BM102" i="8"/>
  <c r="BN102" i="8"/>
  <c r="BO102" i="8"/>
  <c r="BP102" i="8"/>
  <c r="BQ102" i="8"/>
  <c r="BR102" i="8"/>
  <c r="BS102" i="8"/>
  <c r="BT102" i="8"/>
  <c r="BU102" i="8"/>
  <c r="BV102" i="8"/>
  <c r="BW102" i="8"/>
  <c r="BX102" i="8"/>
  <c r="BY102" i="8"/>
  <c r="BZ102" i="8"/>
  <c r="CA102" i="8"/>
  <c r="CB102" i="8"/>
  <c r="CC102" i="8"/>
  <c r="CD102" i="8"/>
  <c r="CE102" i="8"/>
  <c r="CF102" i="8"/>
  <c r="CG102" i="8"/>
  <c r="CH102" i="8"/>
  <c r="CI102" i="8"/>
  <c r="CJ102" i="8"/>
  <c r="CK102" i="8"/>
  <c r="CL102" i="8"/>
  <c r="CM102" i="8"/>
  <c r="CN102" i="8"/>
  <c r="CO102" i="8"/>
  <c r="CP102" i="8"/>
  <c r="CQ102" i="8"/>
  <c r="CR102" i="8"/>
  <c r="CS102" i="8"/>
  <c r="CT102" i="8"/>
  <c r="CU102" i="8"/>
  <c r="CV102" i="8"/>
  <c r="CW102" i="8"/>
  <c r="CX102" i="8"/>
  <c r="CY102" i="8"/>
  <c r="CZ102" i="8"/>
  <c r="DA102" i="8"/>
  <c r="DB102" i="8"/>
  <c r="DC102" i="8"/>
  <c r="DD102" i="8"/>
  <c r="DE102" i="8"/>
  <c r="DF102" i="8"/>
  <c r="DG102" i="8"/>
  <c r="DH102" i="8"/>
  <c r="DI102" i="8"/>
  <c r="DJ102" i="8"/>
  <c r="DK102" i="8"/>
  <c r="DL102" i="8"/>
  <c r="DM102" i="8"/>
  <c r="DN102" i="8"/>
  <c r="DO102" i="8"/>
  <c r="DP102" i="8"/>
  <c r="DQ102" i="8"/>
  <c r="DR102" i="8"/>
  <c r="DS102" i="8"/>
  <c r="DT102" i="8"/>
  <c r="DU102" i="8"/>
  <c r="DV102" i="8"/>
  <c r="DW102" i="8"/>
  <c r="DX102" i="8"/>
  <c r="DY102" i="8"/>
  <c r="DZ102" i="8"/>
  <c r="EA102" i="8"/>
  <c r="EB102" i="8"/>
  <c r="EC102" i="8"/>
  <c r="ED102" i="8"/>
  <c r="EE102" i="8"/>
  <c r="EF102" i="8"/>
  <c r="EG102" i="8"/>
  <c r="EH102" i="8"/>
  <c r="EI102" i="8"/>
  <c r="EJ102" i="8"/>
  <c r="EK102" i="8"/>
  <c r="EL102" i="8"/>
  <c r="EM102" i="8"/>
  <c r="EN102" i="8"/>
  <c r="EO102" i="8"/>
  <c r="EP102" i="8"/>
  <c r="EQ102" i="8"/>
  <c r="ER102" i="8"/>
  <c r="ES102" i="8"/>
  <c r="ET102" i="8"/>
  <c r="EU102" i="8"/>
  <c r="EV102" i="8"/>
  <c r="EW102" i="8"/>
  <c r="EX102" i="8"/>
  <c r="EY102" i="8"/>
  <c r="EZ102" i="8"/>
  <c r="FA102" i="8"/>
  <c r="FB102" i="8"/>
  <c r="FC102" i="8"/>
  <c r="FD102" i="8"/>
  <c r="FE102" i="8"/>
  <c r="FF102" i="8"/>
  <c r="FG102" i="8"/>
  <c r="FH102" i="8"/>
  <c r="FI102" i="8"/>
  <c r="FJ102" i="8"/>
  <c r="FK102" i="8"/>
  <c r="FL102" i="8"/>
  <c r="FM102" i="8"/>
  <c r="FN102" i="8"/>
  <c r="FO102" i="8"/>
  <c r="FP102" i="8"/>
  <c r="FQ102" i="8"/>
  <c r="FR102" i="8"/>
  <c r="FS102" i="8"/>
  <c r="FT102" i="8"/>
  <c r="FU102" i="8"/>
  <c r="FV102" i="8"/>
  <c r="FW102" i="8"/>
  <c r="FX102" i="8"/>
  <c r="FY102" i="8"/>
  <c r="FZ102" i="8"/>
  <c r="GA102" i="8"/>
  <c r="GB102" i="8"/>
  <c r="GC102" i="8"/>
  <c r="GD102" i="8"/>
  <c r="GE102" i="8"/>
  <c r="GF102" i="8"/>
  <c r="GG102" i="8"/>
  <c r="GH102" i="8"/>
  <c r="GI102" i="8"/>
  <c r="GJ102" i="8"/>
  <c r="GK102" i="8"/>
  <c r="GL102" i="8"/>
  <c r="GM102" i="8"/>
  <c r="GN102" i="8"/>
  <c r="GO102" i="8"/>
  <c r="GP102" i="8"/>
  <c r="GQ102" i="8"/>
  <c r="GR102" i="8"/>
  <c r="GS102" i="8"/>
  <c r="GT102" i="8"/>
  <c r="GU102" i="8"/>
  <c r="GV102" i="8"/>
  <c r="GW102" i="8"/>
  <c r="GX102" i="8"/>
  <c r="GY102" i="8"/>
  <c r="GZ102" i="8"/>
  <c r="HA102" i="8"/>
  <c r="HB102" i="8"/>
  <c r="HC102" i="8"/>
  <c r="HD102" i="8"/>
  <c r="HE102" i="8"/>
  <c r="HF102" i="8"/>
  <c r="HG102" i="8"/>
  <c r="HH102" i="8"/>
  <c r="HI102" i="8"/>
  <c r="HJ102" i="8"/>
  <c r="HK102" i="8"/>
  <c r="HL102" i="8"/>
  <c r="HM102" i="8"/>
  <c r="HN102" i="8"/>
  <c r="HO102" i="8"/>
  <c r="HP102" i="8"/>
  <c r="HQ102" i="8"/>
  <c r="HR102" i="8"/>
  <c r="HS102" i="8"/>
  <c r="HT102" i="8"/>
  <c r="HU102" i="8"/>
  <c r="HV102" i="8"/>
  <c r="HW102" i="8"/>
  <c r="HX102" i="8"/>
  <c r="HY102" i="8"/>
  <c r="HZ102" i="8"/>
  <c r="IA102" i="8"/>
  <c r="IB102" i="8"/>
  <c r="IC102" i="8"/>
  <c r="ID102" i="8"/>
  <c r="IE102" i="8"/>
  <c r="IF102" i="8"/>
  <c r="IG102" i="8"/>
  <c r="IH102" i="8"/>
  <c r="II102" i="8"/>
  <c r="IJ102" i="8"/>
  <c r="IK102" i="8"/>
  <c r="IL102" i="8"/>
  <c r="IM102" i="8"/>
  <c r="IN102" i="8"/>
  <c r="IO102" i="8"/>
  <c r="IP102" i="8"/>
  <c r="IQ102" i="8"/>
  <c r="IR102" i="8"/>
  <c r="IS102" i="8"/>
  <c r="IT102" i="8"/>
  <c r="IU102" i="8"/>
  <c r="IV102" i="8"/>
  <c r="F103" i="8"/>
  <c r="G103" i="8"/>
  <c r="H103" i="8"/>
  <c r="I103" i="8"/>
  <c r="J103" i="8"/>
  <c r="K103" i="8"/>
  <c r="L103" i="8"/>
  <c r="M103" i="8"/>
  <c r="N103" i="8"/>
  <c r="O103" i="8"/>
  <c r="P103" i="8"/>
  <c r="Q103" i="8"/>
  <c r="R103" i="8"/>
  <c r="S103" i="8"/>
  <c r="T103" i="8"/>
  <c r="U103" i="8"/>
  <c r="V103" i="8"/>
  <c r="W103" i="8"/>
  <c r="X103" i="8"/>
  <c r="Y103" i="8"/>
  <c r="Z103" i="8"/>
  <c r="AA103" i="8"/>
  <c r="AB103" i="8"/>
  <c r="AC103" i="8"/>
  <c r="AD103" i="8"/>
  <c r="AE103" i="8"/>
  <c r="AF103" i="8"/>
  <c r="AG103" i="8"/>
  <c r="AH103" i="8"/>
  <c r="AI103" i="8"/>
  <c r="AJ103" i="8"/>
  <c r="AK103" i="8"/>
  <c r="AL103" i="8"/>
  <c r="AM103" i="8"/>
  <c r="AN103" i="8"/>
  <c r="AO103" i="8"/>
  <c r="AP103" i="8"/>
  <c r="AQ103" i="8"/>
  <c r="AR103" i="8"/>
  <c r="AS103" i="8"/>
  <c r="AT103" i="8"/>
  <c r="AU103" i="8"/>
  <c r="AV103" i="8"/>
  <c r="AW103" i="8"/>
  <c r="AX103" i="8"/>
  <c r="AY103" i="8"/>
  <c r="AZ103" i="8"/>
  <c r="BA103" i="8"/>
  <c r="BB103" i="8"/>
  <c r="BC103" i="8"/>
  <c r="BD103" i="8"/>
  <c r="BE103" i="8"/>
  <c r="BF103" i="8"/>
  <c r="BG103" i="8"/>
  <c r="BH103" i="8"/>
  <c r="BI103" i="8"/>
  <c r="BJ103" i="8"/>
  <c r="BK103" i="8"/>
  <c r="BL103" i="8"/>
  <c r="BM103" i="8"/>
  <c r="BN103" i="8"/>
  <c r="BO103" i="8"/>
  <c r="BP103" i="8"/>
  <c r="BQ103" i="8"/>
  <c r="BR103" i="8"/>
  <c r="BS103" i="8"/>
  <c r="BT103" i="8"/>
  <c r="BU103" i="8"/>
  <c r="BV103" i="8"/>
  <c r="BW103" i="8"/>
  <c r="BX103" i="8"/>
  <c r="BY103" i="8"/>
  <c r="BZ103" i="8"/>
  <c r="CA103" i="8"/>
  <c r="CB103" i="8"/>
  <c r="CC103" i="8"/>
  <c r="CD103" i="8"/>
  <c r="CE103" i="8"/>
  <c r="CF103" i="8"/>
  <c r="CG103" i="8"/>
  <c r="CH103" i="8"/>
  <c r="CI103" i="8"/>
  <c r="CJ103" i="8"/>
  <c r="CK103" i="8"/>
  <c r="CL103" i="8"/>
  <c r="CM103" i="8"/>
  <c r="CN103" i="8"/>
  <c r="CO103" i="8"/>
  <c r="CP103" i="8"/>
  <c r="CQ103" i="8"/>
  <c r="CR103" i="8"/>
  <c r="CS103" i="8"/>
  <c r="CT103" i="8"/>
  <c r="CU103" i="8"/>
  <c r="CV103" i="8"/>
  <c r="CW103" i="8"/>
  <c r="CX103" i="8"/>
  <c r="CY103" i="8"/>
  <c r="CZ103" i="8"/>
  <c r="DA103" i="8"/>
  <c r="DB103" i="8"/>
  <c r="DC103" i="8"/>
  <c r="DD103" i="8"/>
  <c r="DE103" i="8"/>
  <c r="DF103" i="8"/>
  <c r="DG103" i="8"/>
  <c r="DH103" i="8"/>
  <c r="DI103" i="8"/>
  <c r="DJ103" i="8"/>
  <c r="DK103" i="8"/>
  <c r="DL103" i="8"/>
  <c r="DM103" i="8"/>
  <c r="DN103" i="8"/>
  <c r="DO103" i="8"/>
  <c r="DP103" i="8"/>
  <c r="DQ103" i="8"/>
  <c r="DR103" i="8"/>
  <c r="DS103" i="8"/>
  <c r="DT103" i="8"/>
  <c r="DU103" i="8"/>
  <c r="DV103" i="8"/>
  <c r="DW103" i="8"/>
  <c r="DX103" i="8"/>
  <c r="DY103" i="8"/>
  <c r="DZ103" i="8"/>
  <c r="EA103" i="8"/>
  <c r="EB103" i="8"/>
  <c r="EC103" i="8"/>
  <c r="ED103" i="8"/>
  <c r="EE103" i="8"/>
  <c r="EF103" i="8"/>
  <c r="EG103" i="8"/>
  <c r="EH103" i="8"/>
  <c r="EI103" i="8"/>
  <c r="EJ103" i="8"/>
  <c r="EK103" i="8"/>
  <c r="EL103" i="8"/>
  <c r="EM103" i="8"/>
  <c r="EN103" i="8"/>
  <c r="EO103" i="8"/>
  <c r="EP103" i="8"/>
  <c r="EQ103" i="8"/>
  <c r="ER103" i="8"/>
  <c r="ES103" i="8"/>
  <c r="ET103" i="8"/>
  <c r="EU103" i="8"/>
  <c r="EV103" i="8"/>
  <c r="EW103" i="8"/>
  <c r="EX103" i="8"/>
  <c r="EY103" i="8"/>
  <c r="EZ103" i="8"/>
  <c r="FA103" i="8"/>
  <c r="FB103" i="8"/>
  <c r="FC103" i="8"/>
  <c r="FD103" i="8"/>
  <c r="FE103" i="8"/>
  <c r="FF103" i="8"/>
  <c r="FG103" i="8"/>
  <c r="FH103" i="8"/>
  <c r="FI103" i="8"/>
  <c r="FJ103" i="8"/>
  <c r="FK103" i="8"/>
  <c r="FL103" i="8"/>
  <c r="FM103" i="8"/>
  <c r="FN103" i="8"/>
  <c r="FO103" i="8"/>
  <c r="FP103" i="8"/>
  <c r="FQ103" i="8"/>
  <c r="FR103" i="8"/>
  <c r="FS103" i="8"/>
  <c r="FT103" i="8"/>
  <c r="FU103" i="8"/>
  <c r="FV103" i="8"/>
  <c r="FW103" i="8"/>
  <c r="FX103" i="8"/>
  <c r="FY103" i="8"/>
  <c r="FZ103" i="8"/>
  <c r="GA103" i="8"/>
  <c r="GB103" i="8"/>
  <c r="GC103" i="8"/>
  <c r="GD103" i="8"/>
  <c r="GE103" i="8"/>
  <c r="GF103" i="8"/>
  <c r="GG103" i="8"/>
  <c r="GH103" i="8"/>
  <c r="GI103" i="8"/>
  <c r="GJ103" i="8"/>
  <c r="GK103" i="8"/>
  <c r="GL103" i="8"/>
  <c r="GM103" i="8"/>
  <c r="GN103" i="8"/>
  <c r="GO103" i="8"/>
  <c r="GP103" i="8"/>
  <c r="GQ103" i="8"/>
  <c r="GR103" i="8"/>
  <c r="GS103" i="8"/>
  <c r="GT103" i="8"/>
  <c r="GU103" i="8"/>
  <c r="GV103" i="8"/>
  <c r="GW103" i="8"/>
  <c r="GX103" i="8"/>
  <c r="GY103" i="8"/>
  <c r="GZ103" i="8"/>
  <c r="HA103" i="8"/>
  <c r="HB103" i="8"/>
  <c r="HC103" i="8"/>
  <c r="HD103" i="8"/>
  <c r="HE103" i="8"/>
  <c r="HF103" i="8"/>
  <c r="HG103" i="8"/>
  <c r="HH103" i="8"/>
  <c r="HI103" i="8"/>
  <c r="HJ103" i="8"/>
  <c r="HK103" i="8"/>
  <c r="HL103" i="8"/>
  <c r="HM103" i="8"/>
  <c r="HN103" i="8"/>
  <c r="HO103" i="8"/>
  <c r="HP103" i="8"/>
  <c r="HQ103" i="8"/>
  <c r="HR103" i="8"/>
  <c r="HS103" i="8"/>
  <c r="HT103" i="8"/>
  <c r="HU103" i="8"/>
  <c r="HV103" i="8"/>
  <c r="HW103" i="8"/>
  <c r="HX103" i="8"/>
  <c r="HY103" i="8"/>
  <c r="HZ103" i="8"/>
  <c r="IA103" i="8"/>
  <c r="IB103" i="8"/>
  <c r="IC103" i="8"/>
  <c r="ID103" i="8"/>
  <c r="IE103" i="8"/>
  <c r="IF103" i="8"/>
  <c r="IG103" i="8"/>
  <c r="IH103" i="8"/>
  <c r="II103" i="8"/>
  <c r="IJ103" i="8"/>
  <c r="IK103" i="8"/>
  <c r="IL103" i="8"/>
  <c r="IM103" i="8"/>
  <c r="IN103" i="8"/>
  <c r="IO103" i="8"/>
  <c r="IP103" i="8"/>
  <c r="IQ103" i="8"/>
  <c r="IR103" i="8"/>
  <c r="IS103" i="8"/>
  <c r="IT103" i="8"/>
  <c r="IU103" i="8"/>
  <c r="IV103" i="8"/>
  <c r="F104" i="8"/>
  <c r="G104" i="8"/>
  <c r="H104" i="8"/>
  <c r="I104" i="8"/>
  <c r="J104" i="8"/>
  <c r="K104" i="8"/>
  <c r="L104" i="8"/>
  <c r="M104" i="8"/>
  <c r="N104" i="8"/>
  <c r="O104" i="8"/>
  <c r="P104" i="8"/>
  <c r="Q104" i="8"/>
  <c r="R104" i="8"/>
  <c r="S104" i="8"/>
  <c r="T104" i="8"/>
  <c r="U104" i="8"/>
  <c r="V104" i="8"/>
  <c r="W104" i="8"/>
  <c r="X104" i="8"/>
  <c r="Y104" i="8"/>
  <c r="Z104" i="8"/>
  <c r="AA104" i="8"/>
  <c r="AB104" i="8"/>
  <c r="AC104" i="8"/>
  <c r="AD104" i="8"/>
  <c r="AE104" i="8"/>
  <c r="AF104" i="8"/>
  <c r="AG104" i="8"/>
  <c r="AH104" i="8"/>
  <c r="AI104" i="8"/>
  <c r="AJ104" i="8"/>
  <c r="AK104" i="8"/>
  <c r="AL104" i="8"/>
  <c r="AM104" i="8"/>
  <c r="AN104" i="8"/>
  <c r="AO104" i="8"/>
  <c r="AP104" i="8"/>
  <c r="AQ104" i="8"/>
  <c r="AR104" i="8"/>
  <c r="AS104" i="8"/>
  <c r="AT104" i="8"/>
  <c r="AU104" i="8"/>
  <c r="AV104" i="8"/>
  <c r="AW104" i="8"/>
  <c r="AX104" i="8"/>
  <c r="AY104" i="8"/>
  <c r="AZ104" i="8"/>
  <c r="BA104" i="8"/>
  <c r="BB104" i="8"/>
  <c r="BC104" i="8"/>
  <c r="BD104" i="8"/>
  <c r="BE104" i="8"/>
  <c r="BF104" i="8"/>
  <c r="BG104" i="8"/>
  <c r="BH104" i="8"/>
  <c r="BI104" i="8"/>
  <c r="BJ104" i="8"/>
  <c r="BK104" i="8"/>
  <c r="BL104" i="8"/>
  <c r="BM104" i="8"/>
  <c r="BN104" i="8"/>
  <c r="BO104" i="8"/>
  <c r="BP104" i="8"/>
  <c r="BQ104" i="8"/>
  <c r="BR104" i="8"/>
  <c r="BS104" i="8"/>
  <c r="BT104" i="8"/>
  <c r="BU104" i="8"/>
  <c r="BV104" i="8"/>
  <c r="BW104" i="8"/>
  <c r="BX104" i="8"/>
  <c r="BY104" i="8"/>
  <c r="BZ104" i="8"/>
  <c r="CA104" i="8"/>
  <c r="CB104" i="8"/>
  <c r="CC104" i="8"/>
  <c r="CD104" i="8"/>
  <c r="CE104" i="8"/>
  <c r="CF104" i="8"/>
  <c r="CG104" i="8"/>
  <c r="CH104" i="8"/>
  <c r="CI104" i="8"/>
  <c r="CJ104" i="8"/>
  <c r="CK104" i="8"/>
  <c r="CL104" i="8"/>
  <c r="CM104" i="8"/>
  <c r="CN104" i="8"/>
  <c r="CO104" i="8"/>
  <c r="CP104" i="8"/>
  <c r="CQ104" i="8"/>
  <c r="CR104" i="8"/>
  <c r="CS104" i="8"/>
  <c r="CT104" i="8"/>
  <c r="CU104" i="8"/>
  <c r="CV104" i="8"/>
  <c r="CW104" i="8"/>
  <c r="CX104" i="8"/>
  <c r="CY104" i="8"/>
  <c r="CZ104" i="8"/>
  <c r="DA104" i="8"/>
  <c r="DB104" i="8"/>
  <c r="DC104" i="8"/>
  <c r="DD104" i="8"/>
  <c r="DE104" i="8"/>
  <c r="DF104" i="8"/>
  <c r="DG104" i="8"/>
  <c r="DH104" i="8"/>
  <c r="DI104" i="8"/>
  <c r="DJ104" i="8"/>
  <c r="DK104" i="8"/>
  <c r="DL104" i="8"/>
  <c r="DM104" i="8"/>
  <c r="DN104" i="8"/>
  <c r="DO104" i="8"/>
  <c r="DP104" i="8"/>
  <c r="DQ104" i="8"/>
  <c r="DR104" i="8"/>
  <c r="DS104" i="8"/>
  <c r="DT104" i="8"/>
  <c r="DU104" i="8"/>
  <c r="DV104" i="8"/>
  <c r="DW104" i="8"/>
  <c r="DX104" i="8"/>
  <c r="DY104" i="8"/>
  <c r="DZ104" i="8"/>
  <c r="EA104" i="8"/>
  <c r="EB104" i="8"/>
  <c r="EC104" i="8"/>
  <c r="ED104" i="8"/>
  <c r="EE104" i="8"/>
  <c r="EF104" i="8"/>
  <c r="EG104" i="8"/>
  <c r="EH104" i="8"/>
  <c r="EI104" i="8"/>
  <c r="EJ104" i="8"/>
  <c r="EK104" i="8"/>
  <c r="EL104" i="8"/>
  <c r="EM104" i="8"/>
  <c r="EN104" i="8"/>
  <c r="EO104" i="8"/>
  <c r="EP104" i="8"/>
  <c r="EQ104" i="8"/>
  <c r="ER104" i="8"/>
  <c r="ES104" i="8"/>
  <c r="ET104" i="8"/>
  <c r="EU104" i="8"/>
  <c r="EV104" i="8"/>
  <c r="EW104" i="8"/>
  <c r="EX104" i="8"/>
  <c r="EY104" i="8"/>
  <c r="EZ104" i="8"/>
  <c r="FA104" i="8"/>
  <c r="FB104" i="8"/>
  <c r="FC104" i="8"/>
  <c r="FD104" i="8"/>
  <c r="FE104" i="8"/>
  <c r="FF104" i="8"/>
  <c r="FG104" i="8"/>
  <c r="FH104" i="8"/>
  <c r="FI104" i="8"/>
  <c r="FJ104" i="8"/>
  <c r="FK104" i="8"/>
  <c r="FL104" i="8"/>
  <c r="FM104" i="8"/>
  <c r="FN104" i="8"/>
  <c r="FO104" i="8"/>
  <c r="FP104" i="8"/>
  <c r="FQ104" i="8"/>
  <c r="FR104" i="8"/>
  <c r="FS104" i="8"/>
  <c r="FT104" i="8"/>
  <c r="FU104" i="8"/>
  <c r="FV104" i="8"/>
  <c r="FW104" i="8"/>
  <c r="FX104" i="8"/>
  <c r="FY104" i="8"/>
  <c r="FZ104" i="8"/>
  <c r="GA104" i="8"/>
  <c r="GB104" i="8"/>
  <c r="GC104" i="8"/>
  <c r="GD104" i="8"/>
  <c r="GE104" i="8"/>
  <c r="GF104" i="8"/>
  <c r="GG104" i="8"/>
  <c r="GH104" i="8"/>
  <c r="GI104" i="8"/>
  <c r="GJ104" i="8"/>
  <c r="GK104" i="8"/>
  <c r="GL104" i="8"/>
  <c r="GM104" i="8"/>
  <c r="GN104" i="8"/>
  <c r="GO104" i="8"/>
  <c r="GP104" i="8"/>
  <c r="GQ104" i="8"/>
  <c r="GR104" i="8"/>
  <c r="GS104" i="8"/>
  <c r="GT104" i="8"/>
  <c r="GU104" i="8"/>
  <c r="GV104" i="8"/>
  <c r="GW104" i="8"/>
  <c r="GX104" i="8"/>
  <c r="GY104" i="8"/>
  <c r="GZ104" i="8"/>
  <c r="HA104" i="8"/>
  <c r="HB104" i="8"/>
  <c r="HC104" i="8"/>
  <c r="HD104" i="8"/>
  <c r="HE104" i="8"/>
  <c r="HF104" i="8"/>
  <c r="HG104" i="8"/>
  <c r="HH104" i="8"/>
  <c r="HI104" i="8"/>
  <c r="HJ104" i="8"/>
  <c r="HK104" i="8"/>
  <c r="HL104" i="8"/>
  <c r="HM104" i="8"/>
  <c r="HN104" i="8"/>
  <c r="HO104" i="8"/>
  <c r="HP104" i="8"/>
  <c r="HQ104" i="8"/>
  <c r="HR104" i="8"/>
  <c r="HS104" i="8"/>
  <c r="HT104" i="8"/>
  <c r="HU104" i="8"/>
  <c r="HV104" i="8"/>
  <c r="HW104" i="8"/>
  <c r="HX104" i="8"/>
  <c r="HY104" i="8"/>
  <c r="HZ104" i="8"/>
  <c r="IA104" i="8"/>
  <c r="IB104" i="8"/>
  <c r="IC104" i="8"/>
  <c r="ID104" i="8"/>
  <c r="IE104" i="8"/>
  <c r="IF104" i="8"/>
  <c r="IG104" i="8"/>
  <c r="IH104" i="8"/>
  <c r="II104" i="8"/>
  <c r="IJ104" i="8"/>
  <c r="IK104" i="8"/>
  <c r="IL104" i="8"/>
  <c r="IM104" i="8"/>
  <c r="IN104" i="8"/>
  <c r="IO104" i="8"/>
  <c r="IP104" i="8"/>
  <c r="IQ104" i="8"/>
  <c r="IR104" i="8"/>
  <c r="IS104" i="8"/>
  <c r="IT104" i="8"/>
  <c r="IU104" i="8"/>
  <c r="IV104" i="8"/>
  <c r="F105" i="8"/>
  <c r="G105" i="8"/>
  <c r="H105" i="8"/>
  <c r="I105" i="8"/>
  <c r="J105" i="8"/>
  <c r="K105" i="8"/>
  <c r="L105" i="8"/>
  <c r="M105" i="8"/>
  <c r="N105" i="8"/>
  <c r="O105" i="8"/>
  <c r="P105" i="8"/>
  <c r="Q105" i="8"/>
  <c r="R105" i="8"/>
  <c r="S105" i="8"/>
  <c r="T105" i="8"/>
  <c r="U105" i="8"/>
  <c r="V105" i="8"/>
  <c r="W105" i="8"/>
  <c r="X105" i="8"/>
  <c r="Y105" i="8"/>
  <c r="Z105" i="8"/>
  <c r="AA105" i="8"/>
  <c r="AB105" i="8"/>
  <c r="AC105" i="8"/>
  <c r="AD105" i="8"/>
  <c r="AE105" i="8"/>
  <c r="AF105" i="8"/>
  <c r="AG105" i="8"/>
  <c r="AH105" i="8"/>
  <c r="AI105" i="8"/>
  <c r="AJ105" i="8"/>
  <c r="AK105" i="8"/>
  <c r="AL105" i="8"/>
  <c r="AM105" i="8"/>
  <c r="AN105" i="8"/>
  <c r="AO105" i="8"/>
  <c r="AP105" i="8"/>
  <c r="AQ105" i="8"/>
  <c r="AR105" i="8"/>
  <c r="AS105" i="8"/>
  <c r="AT105" i="8"/>
  <c r="AU105" i="8"/>
  <c r="AV105" i="8"/>
  <c r="AW105" i="8"/>
  <c r="AX105" i="8"/>
  <c r="AY105" i="8"/>
  <c r="AZ105" i="8"/>
  <c r="BA105" i="8"/>
  <c r="BB105" i="8"/>
  <c r="BC105" i="8"/>
  <c r="BD105" i="8"/>
  <c r="BE105" i="8"/>
  <c r="BF105" i="8"/>
  <c r="BG105" i="8"/>
  <c r="BH105" i="8"/>
  <c r="BI105" i="8"/>
  <c r="BJ105" i="8"/>
  <c r="BK105" i="8"/>
  <c r="BL105" i="8"/>
  <c r="BM105" i="8"/>
  <c r="BN105" i="8"/>
  <c r="BO105" i="8"/>
  <c r="BP105" i="8"/>
  <c r="BQ105" i="8"/>
  <c r="BR105" i="8"/>
  <c r="BS105" i="8"/>
  <c r="BT105" i="8"/>
  <c r="BU105" i="8"/>
  <c r="BV105" i="8"/>
  <c r="BW105" i="8"/>
  <c r="BX105" i="8"/>
  <c r="BY105" i="8"/>
  <c r="BZ105" i="8"/>
  <c r="CA105" i="8"/>
  <c r="CB105" i="8"/>
  <c r="CC105" i="8"/>
  <c r="CD105" i="8"/>
  <c r="CE105" i="8"/>
  <c r="CF105" i="8"/>
  <c r="CG105" i="8"/>
  <c r="CH105" i="8"/>
  <c r="CI105" i="8"/>
  <c r="CJ105" i="8"/>
  <c r="CK105" i="8"/>
  <c r="CL105" i="8"/>
  <c r="CM105" i="8"/>
  <c r="CN105" i="8"/>
  <c r="CO105" i="8"/>
  <c r="CP105" i="8"/>
  <c r="CQ105" i="8"/>
  <c r="CR105" i="8"/>
  <c r="CS105" i="8"/>
  <c r="CT105" i="8"/>
  <c r="CU105" i="8"/>
  <c r="CV105" i="8"/>
  <c r="CW105" i="8"/>
  <c r="CX105" i="8"/>
  <c r="CY105" i="8"/>
  <c r="CZ105" i="8"/>
  <c r="DA105" i="8"/>
  <c r="DB105" i="8"/>
  <c r="DC105" i="8"/>
  <c r="DD105" i="8"/>
  <c r="DE105" i="8"/>
  <c r="DF105" i="8"/>
  <c r="DG105" i="8"/>
  <c r="DH105" i="8"/>
  <c r="DI105" i="8"/>
  <c r="DJ105" i="8"/>
  <c r="DK105" i="8"/>
  <c r="DL105" i="8"/>
  <c r="DM105" i="8"/>
  <c r="DN105" i="8"/>
  <c r="DO105" i="8"/>
  <c r="DP105" i="8"/>
  <c r="DQ105" i="8"/>
  <c r="DR105" i="8"/>
  <c r="DS105" i="8"/>
  <c r="DT105" i="8"/>
  <c r="DU105" i="8"/>
  <c r="DV105" i="8"/>
  <c r="DW105" i="8"/>
  <c r="DX105" i="8"/>
  <c r="DY105" i="8"/>
  <c r="DZ105" i="8"/>
  <c r="EA105" i="8"/>
  <c r="EB105" i="8"/>
  <c r="EC105" i="8"/>
  <c r="ED105" i="8"/>
  <c r="EE105" i="8"/>
  <c r="EF105" i="8"/>
  <c r="EG105" i="8"/>
  <c r="EH105" i="8"/>
  <c r="EI105" i="8"/>
  <c r="EJ105" i="8"/>
  <c r="EK105" i="8"/>
  <c r="EL105" i="8"/>
  <c r="EM105" i="8"/>
  <c r="EN105" i="8"/>
  <c r="EO105" i="8"/>
  <c r="EP105" i="8"/>
  <c r="EQ105" i="8"/>
  <c r="ER105" i="8"/>
  <c r="ES105" i="8"/>
  <c r="ET105" i="8"/>
  <c r="EU105" i="8"/>
  <c r="EV105" i="8"/>
  <c r="EW105" i="8"/>
  <c r="EX105" i="8"/>
  <c r="EY105" i="8"/>
  <c r="EZ105" i="8"/>
  <c r="FA105" i="8"/>
  <c r="FB105" i="8"/>
  <c r="FC105" i="8"/>
  <c r="FD105" i="8"/>
  <c r="FE105" i="8"/>
  <c r="FF105" i="8"/>
  <c r="FG105" i="8"/>
  <c r="FH105" i="8"/>
  <c r="FI105" i="8"/>
  <c r="FJ105" i="8"/>
  <c r="FK105" i="8"/>
  <c r="FL105" i="8"/>
  <c r="FM105" i="8"/>
  <c r="FN105" i="8"/>
  <c r="FO105" i="8"/>
  <c r="FP105" i="8"/>
  <c r="FQ105" i="8"/>
  <c r="FR105" i="8"/>
  <c r="FS105" i="8"/>
  <c r="FT105" i="8"/>
  <c r="FU105" i="8"/>
  <c r="FV105" i="8"/>
  <c r="FW105" i="8"/>
  <c r="FX105" i="8"/>
  <c r="FY105" i="8"/>
  <c r="FZ105" i="8"/>
  <c r="GA105" i="8"/>
  <c r="GB105" i="8"/>
  <c r="GC105" i="8"/>
  <c r="GD105" i="8"/>
  <c r="GE105" i="8"/>
  <c r="GF105" i="8"/>
  <c r="GG105" i="8"/>
  <c r="GH105" i="8"/>
  <c r="GI105" i="8"/>
  <c r="GJ105" i="8"/>
  <c r="GK105" i="8"/>
  <c r="GL105" i="8"/>
  <c r="GM105" i="8"/>
  <c r="GN105" i="8"/>
  <c r="GO105" i="8"/>
  <c r="GP105" i="8"/>
  <c r="GQ105" i="8"/>
  <c r="GR105" i="8"/>
  <c r="GS105" i="8"/>
  <c r="GT105" i="8"/>
  <c r="GU105" i="8"/>
  <c r="GV105" i="8"/>
  <c r="GW105" i="8"/>
  <c r="GX105" i="8"/>
  <c r="GY105" i="8"/>
  <c r="GZ105" i="8"/>
  <c r="HA105" i="8"/>
  <c r="HB105" i="8"/>
  <c r="HC105" i="8"/>
  <c r="HD105" i="8"/>
  <c r="HE105" i="8"/>
  <c r="HF105" i="8"/>
  <c r="HG105" i="8"/>
  <c r="HH105" i="8"/>
  <c r="HI105" i="8"/>
  <c r="HJ105" i="8"/>
  <c r="HK105" i="8"/>
  <c r="HL105" i="8"/>
  <c r="HM105" i="8"/>
  <c r="HN105" i="8"/>
  <c r="HO105" i="8"/>
  <c r="HP105" i="8"/>
  <c r="HQ105" i="8"/>
  <c r="HR105" i="8"/>
  <c r="HS105" i="8"/>
  <c r="HT105" i="8"/>
  <c r="HU105" i="8"/>
  <c r="HV105" i="8"/>
  <c r="HW105" i="8"/>
  <c r="HX105" i="8"/>
  <c r="HY105" i="8"/>
  <c r="HZ105" i="8"/>
  <c r="IA105" i="8"/>
  <c r="IB105" i="8"/>
  <c r="IC105" i="8"/>
  <c r="ID105" i="8"/>
  <c r="IE105" i="8"/>
  <c r="IF105" i="8"/>
  <c r="IG105" i="8"/>
  <c r="IH105" i="8"/>
  <c r="II105" i="8"/>
  <c r="IJ105" i="8"/>
  <c r="IK105" i="8"/>
  <c r="IL105" i="8"/>
  <c r="IM105" i="8"/>
  <c r="IN105" i="8"/>
  <c r="IO105" i="8"/>
  <c r="IP105" i="8"/>
  <c r="IQ105" i="8"/>
  <c r="IR105" i="8"/>
  <c r="IS105" i="8"/>
  <c r="IT105" i="8"/>
  <c r="IU105" i="8"/>
  <c r="IV105" i="8"/>
  <c r="F106" i="8"/>
  <c r="G106" i="8"/>
  <c r="H106" i="8"/>
  <c r="I106" i="8"/>
  <c r="J106" i="8"/>
  <c r="K106" i="8"/>
  <c r="L106" i="8"/>
  <c r="M106" i="8"/>
  <c r="N106" i="8"/>
  <c r="O106" i="8"/>
  <c r="P106" i="8"/>
  <c r="Q106" i="8"/>
  <c r="R106" i="8"/>
  <c r="S106" i="8"/>
  <c r="T106" i="8"/>
  <c r="U106" i="8"/>
  <c r="V106" i="8"/>
  <c r="W106" i="8"/>
  <c r="X106" i="8"/>
  <c r="Y106" i="8"/>
  <c r="Z106" i="8"/>
  <c r="AA106" i="8"/>
  <c r="AB106" i="8"/>
  <c r="AC106" i="8"/>
  <c r="AD106" i="8"/>
  <c r="AE106" i="8"/>
  <c r="AF106" i="8"/>
  <c r="AG106" i="8"/>
  <c r="AH106" i="8"/>
  <c r="AI106" i="8"/>
  <c r="AJ106" i="8"/>
  <c r="AK106" i="8"/>
  <c r="AL106" i="8"/>
  <c r="AM106" i="8"/>
  <c r="AN106" i="8"/>
  <c r="AO106" i="8"/>
  <c r="AP106" i="8"/>
  <c r="AQ106" i="8"/>
  <c r="AR106" i="8"/>
  <c r="AS106" i="8"/>
  <c r="AT106" i="8"/>
  <c r="AU106" i="8"/>
  <c r="AV106" i="8"/>
  <c r="AW106" i="8"/>
  <c r="AX106" i="8"/>
  <c r="AY106" i="8"/>
  <c r="AZ106" i="8"/>
  <c r="BA106" i="8"/>
  <c r="BB106" i="8"/>
  <c r="BC106" i="8"/>
  <c r="BD106" i="8"/>
  <c r="BE106" i="8"/>
  <c r="BF106" i="8"/>
  <c r="BG106" i="8"/>
  <c r="BH106" i="8"/>
  <c r="BI106" i="8"/>
  <c r="BJ106" i="8"/>
  <c r="BK106" i="8"/>
  <c r="BL106" i="8"/>
  <c r="BM106" i="8"/>
  <c r="BN106" i="8"/>
  <c r="BO106" i="8"/>
  <c r="BP106" i="8"/>
  <c r="BQ106" i="8"/>
  <c r="BR106" i="8"/>
  <c r="BS106" i="8"/>
  <c r="BT106" i="8"/>
  <c r="BU106" i="8"/>
  <c r="BV106" i="8"/>
  <c r="BW106" i="8"/>
  <c r="BX106" i="8"/>
  <c r="BY106" i="8"/>
  <c r="BZ106" i="8"/>
  <c r="CA106" i="8"/>
  <c r="CB106" i="8"/>
  <c r="CC106" i="8"/>
  <c r="CD106" i="8"/>
  <c r="CE106" i="8"/>
  <c r="CF106" i="8"/>
  <c r="CG106" i="8"/>
  <c r="CH106" i="8"/>
  <c r="CI106" i="8"/>
  <c r="CJ106" i="8"/>
  <c r="CK106" i="8"/>
  <c r="CL106" i="8"/>
  <c r="CM106" i="8"/>
  <c r="CN106" i="8"/>
  <c r="CO106" i="8"/>
  <c r="CP106" i="8"/>
  <c r="CQ106" i="8"/>
  <c r="CR106" i="8"/>
  <c r="CS106" i="8"/>
  <c r="CT106" i="8"/>
  <c r="CU106" i="8"/>
  <c r="CV106" i="8"/>
  <c r="CW106" i="8"/>
  <c r="CX106" i="8"/>
  <c r="CY106" i="8"/>
  <c r="CZ106" i="8"/>
  <c r="DA106" i="8"/>
  <c r="DB106" i="8"/>
  <c r="DC106" i="8"/>
  <c r="DD106" i="8"/>
  <c r="DE106" i="8"/>
  <c r="DF106" i="8"/>
  <c r="DG106" i="8"/>
  <c r="DH106" i="8"/>
  <c r="DI106" i="8"/>
  <c r="DJ106" i="8"/>
  <c r="DK106" i="8"/>
  <c r="DL106" i="8"/>
  <c r="DM106" i="8"/>
  <c r="DN106" i="8"/>
  <c r="DO106" i="8"/>
  <c r="DP106" i="8"/>
  <c r="DQ106" i="8"/>
  <c r="DR106" i="8"/>
  <c r="DS106" i="8"/>
  <c r="DT106" i="8"/>
  <c r="DU106" i="8"/>
  <c r="DV106" i="8"/>
  <c r="DW106" i="8"/>
  <c r="DX106" i="8"/>
  <c r="DY106" i="8"/>
  <c r="DZ106" i="8"/>
  <c r="EA106" i="8"/>
  <c r="EB106" i="8"/>
  <c r="EC106" i="8"/>
  <c r="ED106" i="8"/>
  <c r="EE106" i="8"/>
  <c r="EF106" i="8"/>
  <c r="EG106" i="8"/>
  <c r="EH106" i="8"/>
  <c r="EI106" i="8"/>
  <c r="EJ106" i="8"/>
  <c r="EK106" i="8"/>
  <c r="EL106" i="8"/>
  <c r="EM106" i="8"/>
  <c r="EN106" i="8"/>
  <c r="EO106" i="8"/>
  <c r="EP106" i="8"/>
  <c r="EQ106" i="8"/>
  <c r="ER106" i="8"/>
  <c r="ES106" i="8"/>
  <c r="ET106" i="8"/>
  <c r="EU106" i="8"/>
  <c r="EV106" i="8"/>
  <c r="EW106" i="8"/>
  <c r="EX106" i="8"/>
  <c r="EY106" i="8"/>
  <c r="EZ106" i="8"/>
  <c r="FA106" i="8"/>
  <c r="FB106" i="8"/>
  <c r="FC106" i="8"/>
  <c r="FD106" i="8"/>
  <c r="FE106" i="8"/>
  <c r="FF106" i="8"/>
  <c r="FG106" i="8"/>
  <c r="FH106" i="8"/>
  <c r="FI106" i="8"/>
  <c r="FJ106" i="8"/>
  <c r="FK106" i="8"/>
  <c r="FL106" i="8"/>
  <c r="FM106" i="8"/>
  <c r="FN106" i="8"/>
  <c r="FO106" i="8"/>
  <c r="FP106" i="8"/>
  <c r="FQ106" i="8"/>
  <c r="FR106" i="8"/>
  <c r="FS106" i="8"/>
  <c r="FT106" i="8"/>
  <c r="FU106" i="8"/>
  <c r="FV106" i="8"/>
  <c r="FW106" i="8"/>
  <c r="FX106" i="8"/>
  <c r="FY106" i="8"/>
  <c r="FZ106" i="8"/>
  <c r="GA106" i="8"/>
  <c r="GB106" i="8"/>
  <c r="GC106" i="8"/>
  <c r="GD106" i="8"/>
  <c r="GE106" i="8"/>
  <c r="GF106" i="8"/>
  <c r="GG106" i="8"/>
  <c r="GH106" i="8"/>
  <c r="GI106" i="8"/>
  <c r="GJ106" i="8"/>
  <c r="GK106" i="8"/>
  <c r="GL106" i="8"/>
  <c r="GM106" i="8"/>
  <c r="GN106" i="8"/>
  <c r="GO106" i="8"/>
  <c r="GP106" i="8"/>
  <c r="GQ106" i="8"/>
  <c r="GR106" i="8"/>
  <c r="GS106" i="8"/>
  <c r="GT106" i="8"/>
  <c r="GU106" i="8"/>
  <c r="GV106" i="8"/>
  <c r="GW106" i="8"/>
  <c r="GX106" i="8"/>
  <c r="GY106" i="8"/>
  <c r="GZ106" i="8"/>
  <c r="HA106" i="8"/>
  <c r="HB106" i="8"/>
  <c r="HC106" i="8"/>
  <c r="HD106" i="8"/>
  <c r="HE106" i="8"/>
  <c r="HF106" i="8"/>
  <c r="HG106" i="8"/>
  <c r="HH106" i="8"/>
  <c r="HI106" i="8"/>
  <c r="HJ106" i="8"/>
  <c r="HK106" i="8"/>
  <c r="HL106" i="8"/>
  <c r="HM106" i="8"/>
  <c r="HN106" i="8"/>
  <c r="HO106" i="8"/>
  <c r="HP106" i="8"/>
  <c r="HQ106" i="8"/>
  <c r="HR106" i="8"/>
  <c r="HS106" i="8"/>
  <c r="HT106" i="8"/>
  <c r="HU106" i="8"/>
  <c r="HV106" i="8"/>
  <c r="HW106" i="8"/>
  <c r="HX106" i="8"/>
  <c r="HY106" i="8"/>
  <c r="HZ106" i="8"/>
  <c r="IA106" i="8"/>
  <c r="IB106" i="8"/>
  <c r="IC106" i="8"/>
  <c r="ID106" i="8"/>
  <c r="IE106" i="8"/>
  <c r="IF106" i="8"/>
  <c r="IG106" i="8"/>
  <c r="IH106" i="8"/>
  <c r="II106" i="8"/>
  <c r="IJ106" i="8"/>
  <c r="IK106" i="8"/>
  <c r="IL106" i="8"/>
  <c r="IM106" i="8"/>
  <c r="IN106" i="8"/>
  <c r="IO106" i="8"/>
  <c r="IP106" i="8"/>
  <c r="IQ106" i="8"/>
  <c r="IR106" i="8"/>
  <c r="IS106" i="8"/>
  <c r="IT106" i="8"/>
  <c r="IU106" i="8"/>
  <c r="IV106" i="8"/>
  <c r="F107" i="8"/>
  <c r="G107" i="8"/>
  <c r="H107" i="8"/>
  <c r="I107" i="8"/>
  <c r="J107" i="8"/>
  <c r="K107" i="8"/>
  <c r="L107" i="8"/>
  <c r="M107" i="8"/>
  <c r="N107" i="8"/>
  <c r="O107" i="8"/>
  <c r="P107" i="8"/>
  <c r="Q107" i="8"/>
  <c r="R107" i="8"/>
  <c r="S107" i="8"/>
  <c r="T107" i="8"/>
  <c r="U107" i="8"/>
  <c r="V107" i="8"/>
  <c r="W107" i="8"/>
  <c r="X107" i="8"/>
  <c r="Y107" i="8"/>
  <c r="Z107" i="8"/>
  <c r="AA107" i="8"/>
  <c r="AB107" i="8"/>
  <c r="AC107" i="8"/>
  <c r="AD107" i="8"/>
  <c r="AE107" i="8"/>
  <c r="AF107" i="8"/>
  <c r="AG107" i="8"/>
  <c r="AH107" i="8"/>
  <c r="AI107" i="8"/>
  <c r="AJ107" i="8"/>
  <c r="AK107" i="8"/>
  <c r="AL107" i="8"/>
  <c r="AM107" i="8"/>
  <c r="AN107" i="8"/>
  <c r="AO107" i="8"/>
  <c r="AP107" i="8"/>
  <c r="AQ107" i="8"/>
  <c r="AR107" i="8"/>
  <c r="AS107" i="8"/>
  <c r="AT107" i="8"/>
  <c r="AU107" i="8"/>
  <c r="AV107" i="8"/>
  <c r="AW107" i="8"/>
  <c r="AX107" i="8"/>
  <c r="AY107" i="8"/>
  <c r="AZ107" i="8"/>
  <c r="BA107" i="8"/>
  <c r="BB107" i="8"/>
  <c r="BC107" i="8"/>
  <c r="BD107" i="8"/>
  <c r="BE107" i="8"/>
  <c r="BF107" i="8"/>
  <c r="BG107" i="8"/>
  <c r="BH107" i="8"/>
  <c r="BI107" i="8"/>
  <c r="BJ107" i="8"/>
  <c r="BK107" i="8"/>
  <c r="BL107" i="8"/>
  <c r="BM107" i="8"/>
  <c r="BN107" i="8"/>
  <c r="BO107" i="8"/>
  <c r="BP107" i="8"/>
  <c r="BQ107" i="8"/>
  <c r="BR107" i="8"/>
  <c r="BS107" i="8"/>
  <c r="BT107" i="8"/>
  <c r="BU107" i="8"/>
  <c r="BV107" i="8"/>
  <c r="BW107" i="8"/>
  <c r="BX107" i="8"/>
  <c r="BY107" i="8"/>
  <c r="BZ107" i="8"/>
  <c r="CA107" i="8"/>
  <c r="CB107" i="8"/>
  <c r="CC107" i="8"/>
  <c r="CD107" i="8"/>
  <c r="CE107" i="8"/>
  <c r="CF107" i="8"/>
  <c r="CG107" i="8"/>
  <c r="CH107" i="8"/>
  <c r="CI107" i="8"/>
  <c r="CJ107" i="8"/>
  <c r="CK107" i="8"/>
  <c r="CL107" i="8"/>
  <c r="CM107" i="8"/>
  <c r="CN107" i="8"/>
  <c r="CO107" i="8"/>
  <c r="CP107" i="8"/>
  <c r="CQ107" i="8"/>
  <c r="CR107" i="8"/>
  <c r="CS107" i="8"/>
  <c r="CT107" i="8"/>
  <c r="CU107" i="8"/>
  <c r="CV107" i="8"/>
  <c r="CW107" i="8"/>
  <c r="CX107" i="8"/>
  <c r="CY107" i="8"/>
  <c r="CZ107" i="8"/>
  <c r="DA107" i="8"/>
  <c r="DB107" i="8"/>
  <c r="DC107" i="8"/>
  <c r="DD107" i="8"/>
  <c r="DE107" i="8"/>
  <c r="DF107" i="8"/>
  <c r="DG107" i="8"/>
  <c r="DH107" i="8"/>
  <c r="DI107" i="8"/>
  <c r="DJ107" i="8"/>
  <c r="DK107" i="8"/>
  <c r="DL107" i="8"/>
  <c r="DM107" i="8"/>
  <c r="DN107" i="8"/>
  <c r="DO107" i="8"/>
  <c r="DP107" i="8"/>
  <c r="DQ107" i="8"/>
  <c r="DR107" i="8"/>
  <c r="DS107" i="8"/>
  <c r="DT107" i="8"/>
  <c r="DU107" i="8"/>
  <c r="DV107" i="8"/>
  <c r="DW107" i="8"/>
  <c r="DX107" i="8"/>
  <c r="DY107" i="8"/>
  <c r="DZ107" i="8"/>
  <c r="EA107" i="8"/>
  <c r="EB107" i="8"/>
  <c r="EC107" i="8"/>
  <c r="ED107" i="8"/>
  <c r="EE107" i="8"/>
  <c r="EF107" i="8"/>
  <c r="EG107" i="8"/>
  <c r="EH107" i="8"/>
  <c r="EI107" i="8"/>
  <c r="EJ107" i="8"/>
  <c r="EK107" i="8"/>
  <c r="EL107" i="8"/>
  <c r="EM107" i="8"/>
  <c r="EN107" i="8"/>
  <c r="EO107" i="8"/>
  <c r="EP107" i="8"/>
  <c r="EQ107" i="8"/>
  <c r="ER107" i="8"/>
  <c r="ES107" i="8"/>
  <c r="ET107" i="8"/>
  <c r="EU107" i="8"/>
  <c r="EV107" i="8"/>
  <c r="EW107" i="8"/>
  <c r="EX107" i="8"/>
  <c r="EY107" i="8"/>
  <c r="EZ107" i="8"/>
  <c r="FA107" i="8"/>
  <c r="FB107" i="8"/>
  <c r="FC107" i="8"/>
  <c r="FD107" i="8"/>
  <c r="FE107" i="8"/>
  <c r="FF107" i="8"/>
  <c r="FG107" i="8"/>
  <c r="FH107" i="8"/>
  <c r="FI107" i="8"/>
  <c r="FJ107" i="8"/>
  <c r="FK107" i="8"/>
  <c r="FL107" i="8"/>
  <c r="FM107" i="8"/>
  <c r="FN107" i="8"/>
  <c r="FO107" i="8"/>
  <c r="FP107" i="8"/>
  <c r="FQ107" i="8"/>
  <c r="FR107" i="8"/>
  <c r="FS107" i="8"/>
  <c r="FT107" i="8"/>
  <c r="FU107" i="8"/>
  <c r="FV107" i="8"/>
  <c r="FW107" i="8"/>
  <c r="FX107" i="8"/>
  <c r="FY107" i="8"/>
  <c r="FZ107" i="8"/>
  <c r="GA107" i="8"/>
  <c r="GB107" i="8"/>
  <c r="GC107" i="8"/>
  <c r="GD107" i="8"/>
  <c r="GE107" i="8"/>
  <c r="GF107" i="8"/>
  <c r="GG107" i="8"/>
  <c r="GH107" i="8"/>
  <c r="GI107" i="8"/>
  <c r="GJ107" i="8"/>
  <c r="GK107" i="8"/>
  <c r="GL107" i="8"/>
  <c r="GM107" i="8"/>
  <c r="GN107" i="8"/>
  <c r="GO107" i="8"/>
  <c r="GP107" i="8"/>
  <c r="GQ107" i="8"/>
  <c r="GR107" i="8"/>
  <c r="GS107" i="8"/>
  <c r="GT107" i="8"/>
  <c r="GU107" i="8"/>
  <c r="GV107" i="8"/>
  <c r="GW107" i="8"/>
  <c r="GX107" i="8"/>
  <c r="GY107" i="8"/>
  <c r="GZ107" i="8"/>
  <c r="HA107" i="8"/>
  <c r="HB107" i="8"/>
  <c r="HC107" i="8"/>
  <c r="HD107" i="8"/>
  <c r="HE107" i="8"/>
  <c r="HF107" i="8"/>
  <c r="HG107" i="8"/>
  <c r="HH107" i="8"/>
  <c r="HI107" i="8"/>
  <c r="HJ107" i="8"/>
  <c r="HK107" i="8"/>
  <c r="HL107" i="8"/>
  <c r="HM107" i="8"/>
  <c r="HN107" i="8"/>
  <c r="HO107" i="8"/>
  <c r="HP107" i="8"/>
  <c r="HQ107" i="8"/>
  <c r="HR107" i="8"/>
  <c r="HS107" i="8"/>
  <c r="HT107" i="8"/>
  <c r="HU107" i="8"/>
  <c r="HV107" i="8"/>
  <c r="HW107" i="8"/>
  <c r="HX107" i="8"/>
  <c r="HY107" i="8"/>
  <c r="HZ107" i="8"/>
  <c r="IA107" i="8"/>
  <c r="IB107" i="8"/>
  <c r="IC107" i="8"/>
  <c r="ID107" i="8"/>
  <c r="IE107" i="8"/>
  <c r="IF107" i="8"/>
  <c r="IG107" i="8"/>
  <c r="IH107" i="8"/>
  <c r="II107" i="8"/>
  <c r="IJ107" i="8"/>
  <c r="IK107" i="8"/>
  <c r="IL107" i="8"/>
  <c r="IM107" i="8"/>
  <c r="IN107" i="8"/>
  <c r="IO107" i="8"/>
  <c r="IP107" i="8"/>
  <c r="IQ107" i="8"/>
  <c r="IR107" i="8"/>
  <c r="IS107" i="8"/>
  <c r="IT107" i="8"/>
  <c r="IU107" i="8"/>
  <c r="IV107" i="8"/>
  <c r="F108" i="8"/>
  <c r="G108" i="8"/>
  <c r="H108" i="8"/>
  <c r="I108" i="8"/>
  <c r="J108" i="8"/>
  <c r="K108" i="8"/>
  <c r="L108" i="8"/>
  <c r="M108" i="8"/>
  <c r="N108" i="8"/>
  <c r="O108" i="8"/>
  <c r="P108" i="8"/>
  <c r="Q108" i="8"/>
  <c r="R108" i="8"/>
  <c r="S108" i="8"/>
  <c r="T108" i="8"/>
  <c r="U108" i="8"/>
  <c r="V108" i="8"/>
  <c r="W108" i="8"/>
  <c r="X108" i="8"/>
  <c r="Y108" i="8"/>
  <c r="Z108" i="8"/>
  <c r="AA108" i="8"/>
  <c r="AB108" i="8"/>
  <c r="AC108" i="8"/>
  <c r="AD108" i="8"/>
  <c r="AE108" i="8"/>
  <c r="AF108" i="8"/>
  <c r="AG108" i="8"/>
  <c r="AH108" i="8"/>
  <c r="AI108" i="8"/>
  <c r="AJ108" i="8"/>
  <c r="AK108" i="8"/>
  <c r="AL108" i="8"/>
  <c r="AM108" i="8"/>
  <c r="AN108" i="8"/>
  <c r="AO108" i="8"/>
  <c r="AP108" i="8"/>
  <c r="AQ108" i="8"/>
  <c r="AR108" i="8"/>
  <c r="AS108" i="8"/>
  <c r="AT108" i="8"/>
  <c r="AU108" i="8"/>
  <c r="AV108" i="8"/>
  <c r="AW108" i="8"/>
  <c r="AX108" i="8"/>
  <c r="AY108" i="8"/>
  <c r="AZ108" i="8"/>
  <c r="BA108" i="8"/>
  <c r="BB108" i="8"/>
  <c r="BC108" i="8"/>
  <c r="BD108" i="8"/>
  <c r="BE108" i="8"/>
  <c r="BF108" i="8"/>
  <c r="BG108" i="8"/>
  <c r="BH108" i="8"/>
  <c r="BI108" i="8"/>
  <c r="BJ108" i="8"/>
  <c r="BK108" i="8"/>
  <c r="BL108" i="8"/>
  <c r="BM108" i="8"/>
  <c r="BN108" i="8"/>
  <c r="BO108" i="8"/>
  <c r="BP108" i="8"/>
  <c r="BQ108" i="8"/>
  <c r="BR108" i="8"/>
  <c r="BS108" i="8"/>
  <c r="BT108" i="8"/>
  <c r="BU108" i="8"/>
  <c r="BV108" i="8"/>
  <c r="BW108" i="8"/>
  <c r="BX108" i="8"/>
  <c r="BY108" i="8"/>
  <c r="BZ108" i="8"/>
  <c r="CA108" i="8"/>
  <c r="CB108" i="8"/>
  <c r="CC108" i="8"/>
  <c r="CD108" i="8"/>
  <c r="CE108" i="8"/>
  <c r="CF108" i="8"/>
  <c r="CG108" i="8"/>
  <c r="CH108" i="8"/>
  <c r="CI108" i="8"/>
  <c r="CJ108" i="8"/>
  <c r="CK108" i="8"/>
  <c r="CL108" i="8"/>
  <c r="CM108" i="8"/>
  <c r="CN108" i="8"/>
  <c r="CO108" i="8"/>
  <c r="CP108" i="8"/>
  <c r="CQ108" i="8"/>
  <c r="CR108" i="8"/>
  <c r="CS108" i="8"/>
  <c r="CT108" i="8"/>
  <c r="CU108" i="8"/>
  <c r="CV108" i="8"/>
  <c r="CW108" i="8"/>
  <c r="CX108" i="8"/>
  <c r="CY108" i="8"/>
  <c r="CZ108" i="8"/>
  <c r="DA108" i="8"/>
  <c r="DB108" i="8"/>
  <c r="DC108" i="8"/>
  <c r="DD108" i="8"/>
  <c r="DE108" i="8"/>
  <c r="DF108" i="8"/>
  <c r="DG108" i="8"/>
  <c r="DH108" i="8"/>
  <c r="DI108" i="8"/>
  <c r="DJ108" i="8"/>
  <c r="DK108" i="8"/>
  <c r="DL108" i="8"/>
  <c r="DM108" i="8"/>
  <c r="DN108" i="8"/>
  <c r="DO108" i="8"/>
  <c r="DP108" i="8"/>
  <c r="DQ108" i="8"/>
  <c r="DR108" i="8"/>
  <c r="DS108" i="8"/>
  <c r="DT108" i="8"/>
  <c r="DU108" i="8"/>
  <c r="DV108" i="8"/>
  <c r="DW108" i="8"/>
  <c r="DX108" i="8"/>
  <c r="DY108" i="8"/>
  <c r="DZ108" i="8"/>
  <c r="EA108" i="8"/>
  <c r="EB108" i="8"/>
  <c r="EC108" i="8"/>
  <c r="ED108" i="8"/>
  <c r="EE108" i="8"/>
  <c r="EF108" i="8"/>
  <c r="EG108" i="8"/>
  <c r="EH108" i="8"/>
  <c r="EI108" i="8"/>
  <c r="EJ108" i="8"/>
  <c r="EK108" i="8"/>
  <c r="EL108" i="8"/>
  <c r="EM108" i="8"/>
  <c r="EN108" i="8"/>
  <c r="EO108" i="8"/>
  <c r="EP108" i="8"/>
  <c r="EQ108" i="8"/>
  <c r="ER108" i="8"/>
  <c r="ES108" i="8"/>
  <c r="ET108" i="8"/>
  <c r="EU108" i="8"/>
  <c r="EV108" i="8"/>
  <c r="EW108" i="8"/>
  <c r="EX108" i="8"/>
  <c r="EY108" i="8"/>
  <c r="EZ108" i="8"/>
  <c r="FA108" i="8"/>
  <c r="FB108" i="8"/>
  <c r="FC108" i="8"/>
  <c r="FD108" i="8"/>
  <c r="FE108" i="8"/>
  <c r="FF108" i="8"/>
  <c r="FG108" i="8"/>
  <c r="FH108" i="8"/>
  <c r="FI108" i="8"/>
  <c r="FJ108" i="8"/>
  <c r="FK108" i="8"/>
  <c r="FL108" i="8"/>
  <c r="FM108" i="8"/>
  <c r="FN108" i="8"/>
  <c r="FO108" i="8"/>
  <c r="FP108" i="8"/>
  <c r="FQ108" i="8"/>
  <c r="FR108" i="8"/>
  <c r="FS108" i="8"/>
  <c r="FT108" i="8"/>
  <c r="FU108" i="8"/>
  <c r="FV108" i="8"/>
  <c r="FW108" i="8"/>
  <c r="FX108" i="8"/>
  <c r="FY108" i="8"/>
  <c r="FZ108" i="8"/>
  <c r="GA108" i="8"/>
  <c r="GB108" i="8"/>
  <c r="GC108" i="8"/>
  <c r="GD108" i="8"/>
  <c r="GE108" i="8"/>
  <c r="GF108" i="8"/>
  <c r="GG108" i="8"/>
  <c r="GH108" i="8"/>
  <c r="GI108" i="8"/>
  <c r="GJ108" i="8"/>
  <c r="GK108" i="8"/>
  <c r="GL108" i="8"/>
  <c r="GM108" i="8"/>
  <c r="GN108" i="8"/>
  <c r="GO108" i="8"/>
  <c r="GP108" i="8"/>
  <c r="GQ108" i="8"/>
  <c r="GR108" i="8"/>
  <c r="GS108" i="8"/>
  <c r="GT108" i="8"/>
  <c r="GU108" i="8"/>
  <c r="GV108" i="8"/>
  <c r="GW108" i="8"/>
  <c r="GX108" i="8"/>
  <c r="GY108" i="8"/>
  <c r="GZ108" i="8"/>
  <c r="HA108" i="8"/>
  <c r="HB108" i="8"/>
  <c r="HC108" i="8"/>
  <c r="HD108" i="8"/>
  <c r="HE108" i="8"/>
  <c r="HF108" i="8"/>
  <c r="HG108" i="8"/>
  <c r="HH108" i="8"/>
  <c r="HI108" i="8"/>
  <c r="HJ108" i="8"/>
  <c r="HK108" i="8"/>
  <c r="HL108" i="8"/>
  <c r="HM108" i="8"/>
  <c r="HN108" i="8"/>
  <c r="HO108" i="8"/>
  <c r="HP108" i="8"/>
  <c r="HQ108" i="8"/>
  <c r="HR108" i="8"/>
  <c r="HS108" i="8"/>
  <c r="HT108" i="8"/>
  <c r="HU108" i="8"/>
  <c r="HV108" i="8"/>
  <c r="HW108" i="8"/>
  <c r="HX108" i="8"/>
  <c r="HY108" i="8"/>
  <c r="HZ108" i="8"/>
  <c r="IA108" i="8"/>
  <c r="IB108" i="8"/>
  <c r="IC108" i="8"/>
  <c r="ID108" i="8"/>
  <c r="IE108" i="8"/>
  <c r="IF108" i="8"/>
  <c r="IG108" i="8"/>
  <c r="IH108" i="8"/>
  <c r="II108" i="8"/>
  <c r="IJ108" i="8"/>
  <c r="IK108" i="8"/>
  <c r="IL108" i="8"/>
  <c r="IM108" i="8"/>
  <c r="IN108" i="8"/>
  <c r="IO108" i="8"/>
  <c r="IP108" i="8"/>
  <c r="IQ108" i="8"/>
  <c r="IR108" i="8"/>
  <c r="IS108" i="8"/>
  <c r="IT108" i="8"/>
  <c r="IU108" i="8"/>
  <c r="IV108" i="8"/>
  <c r="F109" i="8"/>
  <c r="G109" i="8"/>
  <c r="H109" i="8"/>
  <c r="I109" i="8"/>
  <c r="J109" i="8"/>
  <c r="K109" i="8"/>
  <c r="L109" i="8"/>
  <c r="M109" i="8"/>
  <c r="N109" i="8"/>
  <c r="O109" i="8"/>
  <c r="P109" i="8"/>
  <c r="Q109" i="8"/>
  <c r="R109" i="8"/>
  <c r="S109" i="8"/>
  <c r="T109" i="8"/>
  <c r="U109" i="8"/>
  <c r="V109" i="8"/>
  <c r="W109" i="8"/>
  <c r="X109" i="8"/>
  <c r="Y109" i="8"/>
  <c r="Z109" i="8"/>
  <c r="AA109" i="8"/>
  <c r="AB109" i="8"/>
  <c r="AC109" i="8"/>
  <c r="AD109" i="8"/>
  <c r="AE109" i="8"/>
  <c r="AF109" i="8"/>
  <c r="AG109" i="8"/>
  <c r="AH109" i="8"/>
  <c r="AI109" i="8"/>
  <c r="AJ109" i="8"/>
  <c r="AK109" i="8"/>
  <c r="AL109" i="8"/>
  <c r="AM109" i="8"/>
  <c r="AN109" i="8"/>
  <c r="AO109" i="8"/>
  <c r="AP109" i="8"/>
  <c r="AQ109" i="8"/>
  <c r="AR109" i="8"/>
  <c r="AS109" i="8"/>
  <c r="AT109" i="8"/>
  <c r="AU109" i="8"/>
  <c r="AV109" i="8"/>
  <c r="AW109" i="8"/>
  <c r="AX109" i="8"/>
  <c r="AY109" i="8"/>
  <c r="AZ109" i="8"/>
  <c r="BA109" i="8"/>
  <c r="BB109" i="8"/>
  <c r="BC109" i="8"/>
  <c r="BD109" i="8"/>
  <c r="BE109" i="8"/>
  <c r="BF109" i="8"/>
  <c r="BG109" i="8"/>
  <c r="BH109" i="8"/>
  <c r="BI109" i="8"/>
  <c r="BJ109" i="8"/>
  <c r="BK109" i="8"/>
  <c r="BL109" i="8"/>
  <c r="BM109" i="8"/>
  <c r="BN109" i="8"/>
  <c r="BO109" i="8"/>
  <c r="BP109" i="8"/>
  <c r="BQ109" i="8"/>
  <c r="BR109" i="8"/>
  <c r="BS109" i="8"/>
  <c r="BT109" i="8"/>
  <c r="BU109" i="8"/>
  <c r="BV109" i="8"/>
  <c r="BW109" i="8"/>
  <c r="BX109" i="8"/>
  <c r="BY109" i="8"/>
  <c r="BZ109" i="8"/>
  <c r="CA109" i="8"/>
  <c r="CB109" i="8"/>
  <c r="CC109" i="8"/>
  <c r="CD109" i="8"/>
  <c r="CE109" i="8"/>
  <c r="CF109" i="8"/>
  <c r="CG109" i="8"/>
  <c r="CH109" i="8"/>
  <c r="CI109" i="8"/>
  <c r="CJ109" i="8"/>
  <c r="CK109" i="8"/>
  <c r="CL109" i="8"/>
  <c r="CM109" i="8"/>
  <c r="CN109" i="8"/>
  <c r="CO109" i="8"/>
  <c r="CP109" i="8"/>
  <c r="CQ109" i="8"/>
  <c r="CR109" i="8"/>
  <c r="CS109" i="8"/>
  <c r="CT109" i="8"/>
  <c r="CU109" i="8"/>
  <c r="CV109" i="8"/>
  <c r="CW109" i="8"/>
  <c r="CX109" i="8"/>
  <c r="CY109" i="8"/>
  <c r="CZ109" i="8"/>
  <c r="DA109" i="8"/>
  <c r="DB109" i="8"/>
  <c r="DC109" i="8"/>
  <c r="DD109" i="8"/>
  <c r="DE109" i="8"/>
  <c r="DF109" i="8"/>
  <c r="DG109" i="8"/>
  <c r="DH109" i="8"/>
  <c r="DI109" i="8"/>
  <c r="DJ109" i="8"/>
  <c r="DK109" i="8"/>
  <c r="DL109" i="8"/>
  <c r="DM109" i="8"/>
  <c r="DN109" i="8"/>
  <c r="DO109" i="8"/>
  <c r="DP109" i="8"/>
  <c r="DQ109" i="8"/>
  <c r="DR109" i="8"/>
  <c r="DS109" i="8"/>
  <c r="DT109" i="8"/>
  <c r="DU109" i="8"/>
  <c r="DV109" i="8"/>
  <c r="DW109" i="8"/>
  <c r="DX109" i="8"/>
  <c r="DY109" i="8"/>
  <c r="DZ109" i="8"/>
  <c r="EA109" i="8"/>
  <c r="EB109" i="8"/>
  <c r="EC109" i="8"/>
  <c r="ED109" i="8"/>
  <c r="EE109" i="8"/>
  <c r="EF109" i="8"/>
  <c r="EG109" i="8"/>
  <c r="EH109" i="8"/>
  <c r="EI109" i="8"/>
  <c r="EJ109" i="8"/>
  <c r="EK109" i="8"/>
  <c r="EL109" i="8"/>
  <c r="EM109" i="8"/>
  <c r="EN109" i="8"/>
  <c r="EO109" i="8"/>
  <c r="EP109" i="8"/>
  <c r="EQ109" i="8"/>
  <c r="ER109" i="8"/>
  <c r="ES109" i="8"/>
  <c r="ET109" i="8"/>
  <c r="EU109" i="8"/>
  <c r="EV109" i="8"/>
  <c r="EW109" i="8"/>
  <c r="EX109" i="8"/>
  <c r="EY109" i="8"/>
  <c r="EZ109" i="8"/>
  <c r="FA109" i="8"/>
  <c r="FB109" i="8"/>
  <c r="FC109" i="8"/>
  <c r="FD109" i="8"/>
  <c r="FE109" i="8"/>
  <c r="FF109" i="8"/>
  <c r="FG109" i="8"/>
  <c r="FH109" i="8"/>
  <c r="FI109" i="8"/>
  <c r="FJ109" i="8"/>
  <c r="FK109" i="8"/>
  <c r="FL109" i="8"/>
  <c r="FM109" i="8"/>
  <c r="FN109" i="8"/>
  <c r="FO109" i="8"/>
  <c r="FP109" i="8"/>
  <c r="FQ109" i="8"/>
  <c r="FR109" i="8"/>
  <c r="FS109" i="8"/>
  <c r="FT109" i="8"/>
  <c r="FU109" i="8"/>
  <c r="FV109" i="8"/>
  <c r="FW109" i="8"/>
  <c r="FX109" i="8"/>
  <c r="FY109" i="8"/>
  <c r="FZ109" i="8"/>
  <c r="GA109" i="8"/>
  <c r="GB109" i="8"/>
  <c r="GC109" i="8"/>
  <c r="GD109" i="8"/>
  <c r="GE109" i="8"/>
  <c r="GF109" i="8"/>
  <c r="GG109" i="8"/>
  <c r="GH109" i="8"/>
  <c r="GI109" i="8"/>
  <c r="GJ109" i="8"/>
  <c r="GK109" i="8"/>
  <c r="GL109" i="8"/>
  <c r="GM109" i="8"/>
  <c r="GN109" i="8"/>
  <c r="GO109" i="8"/>
  <c r="GP109" i="8"/>
  <c r="GQ109" i="8"/>
  <c r="GR109" i="8"/>
  <c r="GS109" i="8"/>
  <c r="GT109" i="8"/>
  <c r="GU109" i="8"/>
  <c r="GV109" i="8"/>
  <c r="GW109" i="8"/>
  <c r="GX109" i="8"/>
  <c r="GY109" i="8"/>
  <c r="GZ109" i="8"/>
  <c r="HA109" i="8"/>
  <c r="HB109" i="8"/>
  <c r="HC109" i="8"/>
  <c r="HD109" i="8"/>
  <c r="HE109" i="8"/>
  <c r="HF109" i="8"/>
  <c r="HG109" i="8"/>
  <c r="HH109" i="8"/>
  <c r="HI109" i="8"/>
  <c r="HJ109" i="8"/>
  <c r="HK109" i="8"/>
  <c r="HL109" i="8"/>
  <c r="HM109" i="8"/>
  <c r="HN109" i="8"/>
  <c r="HO109" i="8"/>
  <c r="HP109" i="8"/>
  <c r="HQ109" i="8"/>
  <c r="HR109" i="8"/>
  <c r="HS109" i="8"/>
  <c r="HT109" i="8"/>
  <c r="HU109" i="8"/>
  <c r="HV109" i="8"/>
  <c r="HW109" i="8"/>
  <c r="HX109" i="8"/>
  <c r="HY109" i="8"/>
  <c r="HZ109" i="8"/>
  <c r="IA109" i="8"/>
  <c r="IB109" i="8"/>
  <c r="IC109" i="8"/>
  <c r="ID109" i="8"/>
  <c r="IE109" i="8"/>
  <c r="IF109" i="8"/>
  <c r="IG109" i="8"/>
  <c r="IH109" i="8"/>
  <c r="II109" i="8"/>
  <c r="IJ109" i="8"/>
  <c r="IK109" i="8"/>
  <c r="IL109" i="8"/>
  <c r="IM109" i="8"/>
  <c r="IN109" i="8"/>
  <c r="IO109" i="8"/>
  <c r="IP109" i="8"/>
  <c r="IQ109" i="8"/>
  <c r="IR109" i="8"/>
  <c r="IS109" i="8"/>
  <c r="IT109" i="8"/>
  <c r="IU109" i="8"/>
  <c r="IV109" i="8"/>
  <c r="F110" i="8"/>
  <c r="G110" i="8"/>
  <c r="H110" i="8"/>
  <c r="I110" i="8"/>
  <c r="J110" i="8"/>
  <c r="K110" i="8"/>
  <c r="L110" i="8"/>
  <c r="M110" i="8"/>
  <c r="N110" i="8"/>
  <c r="O110" i="8"/>
  <c r="P110" i="8"/>
  <c r="Q110" i="8"/>
  <c r="R110" i="8"/>
  <c r="S110" i="8"/>
  <c r="T110" i="8"/>
  <c r="U110" i="8"/>
  <c r="V110" i="8"/>
  <c r="W110" i="8"/>
  <c r="X110" i="8"/>
  <c r="Y110" i="8"/>
  <c r="Z110" i="8"/>
  <c r="AA110" i="8"/>
  <c r="AB110" i="8"/>
  <c r="AC110" i="8"/>
  <c r="AD110" i="8"/>
  <c r="AE110" i="8"/>
  <c r="AF110" i="8"/>
  <c r="AG110" i="8"/>
  <c r="AH110" i="8"/>
  <c r="AI110" i="8"/>
  <c r="AJ110" i="8"/>
  <c r="AK110" i="8"/>
  <c r="AL110" i="8"/>
  <c r="AM110" i="8"/>
  <c r="AN110" i="8"/>
  <c r="AO110" i="8"/>
  <c r="AP110" i="8"/>
  <c r="AQ110" i="8"/>
  <c r="AR110" i="8"/>
  <c r="AS110" i="8"/>
  <c r="AT110" i="8"/>
  <c r="AU110" i="8"/>
  <c r="AV110" i="8"/>
  <c r="AW110" i="8"/>
  <c r="AX110" i="8"/>
  <c r="AY110" i="8"/>
  <c r="AZ110" i="8"/>
  <c r="BA110" i="8"/>
  <c r="BB110" i="8"/>
  <c r="BC110" i="8"/>
  <c r="BD110" i="8"/>
  <c r="BE110" i="8"/>
  <c r="BF110" i="8"/>
  <c r="BG110" i="8"/>
  <c r="BH110" i="8"/>
  <c r="BI110" i="8"/>
  <c r="BJ110" i="8"/>
  <c r="BK110" i="8"/>
  <c r="BL110" i="8"/>
  <c r="BM110" i="8"/>
  <c r="BN110" i="8"/>
  <c r="BO110" i="8"/>
  <c r="BP110" i="8"/>
  <c r="BQ110" i="8"/>
  <c r="BR110" i="8"/>
  <c r="BS110" i="8"/>
  <c r="BT110" i="8"/>
  <c r="BU110" i="8"/>
  <c r="BV110" i="8"/>
  <c r="BW110" i="8"/>
  <c r="BX110" i="8"/>
  <c r="BY110" i="8"/>
  <c r="BZ110" i="8"/>
  <c r="CA110" i="8"/>
  <c r="CB110" i="8"/>
  <c r="CC110" i="8"/>
  <c r="CD110" i="8"/>
  <c r="CE110" i="8"/>
  <c r="CF110" i="8"/>
  <c r="CG110" i="8"/>
  <c r="CH110" i="8"/>
  <c r="CI110" i="8"/>
  <c r="CJ110" i="8"/>
  <c r="CK110" i="8"/>
  <c r="CL110" i="8"/>
  <c r="CM110" i="8"/>
  <c r="CN110" i="8"/>
  <c r="CO110" i="8"/>
  <c r="CP110" i="8"/>
  <c r="CQ110" i="8"/>
  <c r="CR110" i="8"/>
  <c r="CS110" i="8"/>
  <c r="CT110" i="8"/>
  <c r="CU110" i="8"/>
  <c r="CV110" i="8"/>
  <c r="CW110" i="8"/>
  <c r="CX110" i="8"/>
  <c r="CY110" i="8"/>
  <c r="CZ110" i="8"/>
  <c r="DA110" i="8"/>
  <c r="DB110" i="8"/>
  <c r="DC110" i="8"/>
  <c r="DD110" i="8"/>
  <c r="DE110" i="8"/>
  <c r="DF110" i="8"/>
  <c r="DG110" i="8"/>
  <c r="DH110" i="8"/>
  <c r="DI110" i="8"/>
  <c r="DJ110" i="8"/>
  <c r="DK110" i="8"/>
  <c r="DL110" i="8"/>
  <c r="DM110" i="8"/>
  <c r="DN110" i="8"/>
  <c r="DO110" i="8"/>
  <c r="DP110" i="8"/>
  <c r="DQ110" i="8"/>
  <c r="DR110" i="8"/>
  <c r="DS110" i="8"/>
  <c r="DT110" i="8"/>
  <c r="DU110" i="8"/>
  <c r="DV110" i="8"/>
  <c r="DW110" i="8"/>
  <c r="DX110" i="8"/>
  <c r="DY110" i="8"/>
  <c r="DZ110" i="8"/>
  <c r="EA110" i="8"/>
  <c r="EB110" i="8"/>
  <c r="EC110" i="8"/>
  <c r="ED110" i="8"/>
  <c r="EE110" i="8"/>
  <c r="EF110" i="8"/>
  <c r="EG110" i="8"/>
  <c r="EH110" i="8"/>
  <c r="EI110" i="8"/>
  <c r="EJ110" i="8"/>
  <c r="EK110" i="8"/>
  <c r="EL110" i="8"/>
  <c r="EM110" i="8"/>
  <c r="EN110" i="8"/>
  <c r="EO110" i="8"/>
  <c r="EP110" i="8"/>
  <c r="EQ110" i="8"/>
  <c r="ER110" i="8"/>
  <c r="ES110" i="8"/>
  <c r="ET110" i="8"/>
  <c r="EU110" i="8"/>
  <c r="EV110" i="8"/>
  <c r="EW110" i="8"/>
  <c r="EX110" i="8"/>
  <c r="EY110" i="8"/>
  <c r="EZ110" i="8"/>
  <c r="FA110" i="8"/>
  <c r="FB110" i="8"/>
  <c r="FC110" i="8"/>
  <c r="FD110" i="8"/>
  <c r="FE110" i="8"/>
  <c r="FF110" i="8"/>
  <c r="FG110" i="8"/>
  <c r="FH110" i="8"/>
  <c r="FI110" i="8"/>
  <c r="FJ110" i="8"/>
  <c r="FK110" i="8"/>
  <c r="FL110" i="8"/>
  <c r="FM110" i="8"/>
  <c r="FN110" i="8"/>
  <c r="FO110" i="8"/>
  <c r="FP110" i="8"/>
  <c r="FQ110" i="8"/>
  <c r="FR110" i="8"/>
  <c r="FS110" i="8"/>
  <c r="FT110" i="8"/>
  <c r="FU110" i="8"/>
  <c r="FV110" i="8"/>
  <c r="FW110" i="8"/>
  <c r="FX110" i="8"/>
  <c r="FY110" i="8"/>
  <c r="FZ110" i="8"/>
  <c r="GA110" i="8"/>
  <c r="GB110" i="8"/>
  <c r="GC110" i="8"/>
  <c r="GD110" i="8"/>
  <c r="GE110" i="8"/>
  <c r="GF110" i="8"/>
  <c r="GG110" i="8"/>
  <c r="GH110" i="8"/>
  <c r="GI110" i="8"/>
  <c r="GJ110" i="8"/>
  <c r="GK110" i="8"/>
  <c r="GL110" i="8"/>
  <c r="GM110" i="8"/>
  <c r="GN110" i="8"/>
  <c r="GO110" i="8"/>
  <c r="GP110" i="8"/>
  <c r="GQ110" i="8"/>
  <c r="GR110" i="8"/>
  <c r="GS110" i="8"/>
  <c r="GT110" i="8"/>
  <c r="GU110" i="8"/>
  <c r="GV110" i="8"/>
  <c r="GW110" i="8"/>
  <c r="GX110" i="8"/>
  <c r="GY110" i="8"/>
  <c r="GZ110" i="8"/>
  <c r="HA110" i="8"/>
  <c r="HB110" i="8"/>
  <c r="HC110" i="8"/>
  <c r="HD110" i="8"/>
  <c r="HE110" i="8"/>
  <c r="HF110" i="8"/>
  <c r="HG110" i="8"/>
  <c r="HH110" i="8"/>
  <c r="HI110" i="8"/>
  <c r="HJ110" i="8"/>
  <c r="HK110" i="8"/>
  <c r="HL110" i="8"/>
  <c r="HM110" i="8"/>
  <c r="HN110" i="8"/>
  <c r="HO110" i="8"/>
  <c r="HP110" i="8"/>
  <c r="HQ110" i="8"/>
  <c r="HR110" i="8"/>
  <c r="HS110" i="8"/>
  <c r="HT110" i="8"/>
  <c r="HU110" i="8"/>
  <c r="HV110" i="8"/>
  <c r="HW110" i="8"/>
  <c r="HX110" i="8"/>
  <c r="HY110" i="8"/>
  <c r="HZ110" i="8"/>
  <c r="IA110" i="8"/>
  <c r="IB110" i="8"/>
  <c r="IC110" i="8"/>
  <c r="ID110" i="8"/>
  <c r="IE110" i="8"/>
  <c r="IF110" i="8"/>
  <c r="IG110" i="8"/>
  <c r="IH110" i="8"/>
  <c r="II110" i="8"/>
  <c r="IJ110" i="8"/>
  <c r="IK110" i="8"/>
  <c r="IL110" i="8"/>
  <c r="IM110" i="8"/>
  <c r="IN110" i="8"/>
  <c r="IO110" i="8"/>
  <c r="IP110" i="8"/>
  <c r="IQ110" i="8"/>
  <c r="IR110" i="8"/>
  <c r="IS110" i="8"/>
  <c r="IT110" i="8"/>
  <c r="IU110" i="8"/>
  <c r="IV110" i="8"/>
  <c r="F111" i="8"/>
  <c r="G111" i="8"/>
  <c r="H111" i="8"/>
  <c r="I111" i="8"/>
  <c r="J111" i="8"/>
  <c r="K111" i="8"/>
  <c r="L111" i="8"/>
  <c r="M111" i="8"/>
  <c r="N111" i="8"/>
  <c r="O111" i="8"/>
  <c r="P111" i="8"/>
  <c r="Q111" i="8"/>
  <c r="R111" i="8"/>
  <c r="S111" i="8"/>
  <c r="T111" i="8"/>
  <c r="U111" i="8"/>
  <c r="V111" i="8"/>
  <c r="W111" i="8"/>
  <c r="X111" i="8"/>
  <c r="Y111" i="8"/>
  <c r="Z111" i="8"/>
  <c r="AA111" i="8"/>
  <c r="AB111" i="8"/>
  <c r="AC111" i="8"/>
  <c r="AD111" i="8"/>
  <c r="AE111" i="8"/>
  <c r="AF111" i="8"/>
  <c r="AG111" i="8"/>
  <c r="AH111" i="8"/>
  <c r="AI111" i="8"/>
  <c r="AJ111" i="8"/>
  <c r="AK111" i="8"/>
  <c r="AL111" i="8"/>
  <c r="AM111" i="8"/>
  <c r="AN111" i="8"/>
  <c r="AO111" i="8"/>
  <c r="AP111" i="8"/>
  <c r="AQ111" i="8"/>
  <c r="AR111" i="8"/>
  <c r="AS111" i="8"/>
  <c r="AT111" i="8"/>
  <c r="AU111" i="8"/>
  <c r="AV111" i="8"/>
  <c r="AW111" i="8"/>
  <c r="AX111" i="8"/>
  <c r="AY111" i="8"/>
  <c r="AZ111" i="8"/>
  <c r="BA111" i="8"/>
  <c r="BB111" i="8"/>
  <c r="BC111" i="8"/>
  <c r="BD111" i="8"/>
  <c r="BE111" i="8"/>
  <c r="BF111" i="8"/>
  <c r="BG111" i="8"/>
  <c r="BH111" i="8"/>
  <c r="BI111" i="8"/>
  <c r="BJ111" i="8"/>
  <c r="BK111" i="8"/>
  <c r="BL111" i="8"/>
  <c r="BM111" i="8"/>
  <c r="BN111" i="8"/>
  <c r="BO111" i="8"/>
  <c r="BP111" i="8"/>
  <c r="BQ111" i="8"/>
  <c r="BR111" i="8"/>
  <c r="BS111" i="8"/>
  <c r="BT111" i="8"/>
  <c r="BU111" i="8"/>
  <c r="BV111" i="8"/>
  <c r="BW111" i="8"/>
  <c r="BX111" i="8"/>
  <c r="BY111" i="8"/>
  <c r="BZ111" i="8"/>
  <c r="CA111" i="8"/>
  <c r="CB111" i="8"/>
  <c r="CC111" i="8"/>
  <c r="CD111" i="8"/>
  <c r="CE111" i="8"/>
  <c r="CF111" i="8"/>
  <c r="CG111" i="8"/>
  <c r="CH111" i="8"/>
  <c r="CI111" i="8"/>
  <c r="CJ111" i="8"/>
  <c r="CK111" i="8"/>
  <c r="CL111" i="8"/>
  <c r="CM111" i="8"/>
  <c r="CN111" i="8"/>
  <c r="CO111" i="8"/>
  <c r="CP111" i="8"/>
  <c r="CQ111" i="8"/>
  <c r="CR111" i="8"/>
  <c r="CS111" i="8"/>
  <c r="CT111" i="8"/>
  <c r="CU111" i="8"/>
  <c r="CV111" i="8"/>
  <c r="CW111" i="8"/>
  <c r="CX111" i="8"/>
  <c r="CY111" i="8"/>
  <c r="CZ111" i="8"/>
  <c r="DA111" i="8"/>
  <c r="DB111" i="8"/>
  <c r="DC111" i="8"/>
  <c r="DD111" i="8"/>
  <c r="DE111" i="8"/>
  <c r="DF111" i="8"/>
  <c r="DG111" i="8"/>
  <c r="DH111" i="8"/>
  <c r="DI111" i="8"/>
  <c r="DJ111" i="8"/>
  <c r="DK111" i="8"/>
  <c r="DL111" i="8"/>
  <c r="DM111" i="8"/>
  <c r="DN111" i="8"/>
  <c r="DO111" i="8"/>
  <c r="DP111" i="8"/>
  <c r="DQ111" i="8"/>
  <c r="DR111" i="8"/>
  <c r="DS111" i="8"/>
  <c r="DT111" i="8"/>
  <c r="DU111" i="8"/>
  <c r="DV111" i="8"/>
  <c r="DW111" i="8"/>
  <c r="DX111" i="8"/>
  <c r="DY111" i="8"/>
  <c r="DZ111" i="8"/>
  <c r="EA111" i="8"/>
  <c r="EB111" i="8"/>
  <c r="EC111" i="8"/>
  <c r="ED111" i="8"/>
  <c r="EE111" i="8"/>
  <c r="EF111" i="8"/>
  <c r="EG111" i="8"/>
  <c r="EH111" i="8"/>
  <c r="EI111" i="8"/>
  <c r="EJ111" i="8"/>
  <c r="EK111" i="8"/>
  <c r="EL111" i="8"/>
  <c r="EM111" i="8"/>
  <c r="EN111" i="8"/>
  <c r="EO111" i="8"/>
  <c r="EP111" i="8"/>
  <c r="EQ111" i="8"/>
  <c r="ER111" i="8"/>
  <c r="ES111" i="8"/>
  <c r="ET111" i="8"/>
  <c r="EU111" i="8"/>
  <c r="EV111" i="8"/>
  <c r="EW111" i="8"/>
  <c r="EX111" i="8"/>
  <c r="EY111" i="8"/>
  <c r="EZ111" i="8"/>
  <c r="FA111" i="8"/>
  <c r="FB111" i="8"/>
  <c r="FC111" i="8"/>
  <c r="FD111" i="8"/>
  <c r="FE111" i="8"/>
  <c r="FF111" i="8"/>
  <c r="FG111" i="8"/>
  <c r="FH111" i="8"/>
  <c r="FI111" i="8"/>
  <c r="FJ111" i="8"/>
  <c r="FK111" i="8"/>
  <c r="FL111" i="8"/>
  <c r="FM111" i="8"/>
  <c r="FN111" i="8"/>
  <c r="FO111" i="8"/>
  <c r="FP111" i="8"/>
  <c r="FQ111" i="8"/>
  <c r="FR111" i="8"/>
  <c r="FS111" i="8"/>
  <c r="FT111" i="8"/>
  <c r="FU111" i="8"/>
  <c r="FV111" i="8"/>
  <c r="FW111" i="8"/>
  <c r="FX111" i="8"/>
  <c r="FY111" i="8"/>
  <c r="FZ111" i="8"/>
  <c r="GA111" i="8"/>
  <c r="GB111" i="8"/>
  <c r="GC111" i="8"/>
  <c r="GD111" i="8"/>
  <c r="GE111" i="8"/>
  <c r="GF111" i="8"/>
  <c r="GG111" i="8"/>
  <c r="GH111" i="8"/>
  <c r="GI111" i="8"/>
  <c r="GJ111" i="8"/>
  <c r="GK111" i="8"/>
  <c r="GL111" i="8"/>
  <c r="GM111" i="8"/>
  <c r="GN111" i="8"/>
  <c r="GO111" i="8"/>
  <c r="GP111" i="8"/>
  <c r="GQ111" i="8"/>
  <c r="GR111" i="8"/>
  <c r="GS111" i="8"/>
  <c r="GT111" i="8"/>
  <c r="GU111" i="8"/>
  <c r="GV111" i="8"/>
  <c r="GW111" i="8"/>
  <c r="GX111" i="8"/>
  <c r="GY111" i="8"/>
  <c r="GZ111" i="8"/>
  <c r="HA111" i="8"/>
  <c r="HB111" i="8"/>
  <c r="HC111" i="8"/>
  <c r="HD111" i="8"/>
  <c r="HE111" i="8"/>
  <c r="HF111" i="8"/>
  <c r="HG111" i="8"/>
  <c r="HH111" i="8"/>
  <c r="HI111" i="8"/>
  <c r="HJ111" i="8"/>
  <c r="HK111" i="8"/>
  <c r="HL111" i="8"/>
  <c r="HM111" i="8"/>
  <c r="HN111" i="8"/>
  <c r="HO111" i="8"/>
  <c r="HP111" i="8"/>
  <c r="HQ111" i="8"/>
  <c r="HR111" i="8"/>
  <c r="HS111" i="8"/>
  <c r="HT111" i="8"/>
  <c r="HU111" i="8"/>
  <c r="HV111" i="8"/>
  <c r="HW111" i="8"/>
  <c r="HX111" i="8"/>
  <c r="HY111" i="8"/>
  <c r="HZ111" i="8"/>
  <c r="IA111" i="8"/>
  <c r="IB111" i="8"/>
  <c r="IC111" i="8"/>
  <c r="ID111" i="8"/>
  <c r="IE111" i="8"/>
  <c r="IF111" i="8"/>
  <c r="IG111" i="8"/>
  <c r="IH111" i="8"/>
  <c r="II111" i="8"/>
  <c r="IJ111" i="8"/>
  <c r="IK111" i="8"/>
  <c r="IL111" i="8"/>
  <c r="IM111" i="8"/>
  <c r="IN111" i="8"/>
  <c r="IO111" i="8"/>
  <c r="IP111" i="8"/>
  <c r="IQ111" i="8"/>
  <c r="IR111" i="8"/>
  <c r="IS111" i="8"/>
  <c r="IT111" i="8"/>
  <c r="IU111" i="8"/>
  <c r="IV111" i="8"/>
  <c r="F112" i="8"/>
  <c r="G112" i="8"/>
  <c r="H112" i="8"/>
  <c r="I112" i="8"/>
  <c r="J112" i="8"/>
  <c r="K112" i="8"/>
  <c r="L112" i="8"/>
  <c r="M112" i="8"/>
  <c r="N112" i="8"/>
  <c r="O112" i="8"/>
  <c r="P112" i="8"/>
  <c r="Q112" i="8"/>
  <c r="R112" i="8"/>
  <c r="S112" i="8"/>
  <c r="T112" i="8"/>
  <c r="U112" i="8"/>
  <c r="V112" i="8"/>
  <c r="W112" i="8"/>
  <c r="X112" i="8"/>
  <c r="Y112" i="8"/>
  <c r="Z112" i="8"/>
  <c r="AA112" i="8"/>
  <c r="AB112" i="8"/>
  <c r="AC112" i="8"/>
  <c r="AD112" i="8"/>
  <c r="AE112" i="8"/>
  <c r="AF112" i="8"/>
  <c r="AG112" i="8"/>
  <c r="AH112" i="8"/>
  <c r="AI112" i="8"/>
  <c r="AJ112" i="8"/>
  <c r="AK112" i="8"/>
  <c r="AL112" i="8"/>
  <c r="AM112" i="8"/>
  <c r="AN112" i="8"/>
  <c r="AO112" i="8"/>
  <c r="AP112" i="8"/>
  <c r="AQ112" i="8"/>
  <c r="AR112" i="8"/>
  <c r="AS112" i="8"/>
  <c r="AT112" i="8"/>
  <c r="AU112" i="8"/>
  <c r="AV112" i="8"/>
  <c r="AW112" i="8"/>
  <c r="AX112" i="8"/>
  <c r="AY112" i="8"/>
  <c r="AZ112" i="8"/>
  <c r="BA112" i="8"/>
  <c r="BB112" i="8"/>
  <c r="BC112" i="8"/>
  <c r="BD112" i="8"/>
  <c r="BE112" i="8"/>
  <c r="BF112" i="8"/>
  <c r="BG112" i="8"/>
  <c r="BH112" i="8"/>
  <c r="BI112" i="8"/>
  <c r="BJ112" i="8"/>
  <c r="BK112" i="8"/>
  <c r="BL112" i="8"/>
  <c r="BM112" i="8"/>
  <c r="BN112" i="8"/>
  <c r="BO112" i="8"/>
  <c r="BP112" i="8"/>
  <c r="BQ112" i="8"/>
  <c r="BR112" i="8"/>
  <c r="BS112" i="8"/>
  <c r="BT112" i="8"/>
  <c r="BU112" i="8"/>
  <c r="BV112" i="8"/>
  <c r="BW112" i="8"/>
  <c r="BX112" i="8"/>
  <c r="BY112" i="8"/>
  <c r="BZ112" i="8"/>
  <c r="CA112" i="8"/>
  <c r="CB112" i="8"/>
  <c r="CC112" i="8"/>
  <c r="CD112" i="8"/>
  <c r="CE112" i="8"/>
  <c r="CF112" i="8"/>
  <c r="CG112" i="8"/>
  <c r="CH112" i="8"/>
  <c r="CI112" i="8"/>
  <c r="CJ112" i="8"/>
  <c r="CK112" i="8"/>
  <c r="CL112" i="8"/>
  <c r="CM112" i="8"/>
  <c r="CN112" i="8"/>
  <c r="CO112" i="8"/>
  <c r="CP112" i="8"/>
  <c r="CQ112" i="8"/>
  <c r="CR112" i="8"/>
  <c r="CS112" i="8"/>
  <c r="CT112" i="8"/>
  <c r="CU112" i="8"/>
  <c r="CV112" i="8"/>
  <c r="CW112" i="8"/>
  <c r="CX112" i="8"/>
  <c r="CY112" i="8"/>
  <c r="CZ112" i="8"/>
  <c r="DA112" i="8"/>
  <c r="DB112" i="8"/>
  <c r="DC112" i="8"/>
  <c r="DD112" i="8"/>
  <c r="DE112" i="8"/>
  <c r="DF112" i="8"/>
  <c r="DG112" i="8"/>
  <c r="DH112" i="8"/>
  <c r="DI112" i="8"/>
  <c r="DJ112" i="8"/>
  <c r="DK112" i="8"/>
  <c r="DL112" i="8"/>
  <c r="DM112" i="8"/>
  <c r="DN112" i="8"/>
  <c r="DO112" i="8"/>
  <c r="DP112" i="8"/>
  <c r="DQ112" i="8"/>
  <c r="DR112" i="8"/>
  <c r="DS112" i="8"/>
  <c r="DT112" i="8"/>
  <c r="DU112" i="8"/>
  <c r="DV112" i="8"/>
  <c r="DW112" i="8"/>
  <c r="DX112" i="8"/>
  <c r="DY112" i="8"/>
  <c r="DZ112" i="8"/>
  <c r="EA112" i="8"/>
  <c r="EB112" i="8"/>
  <c r="EC112" i="8"/>
  <c r="ED112" i="8"/>
  <c r="EE112" i="8"/>
  <c r="EF112" i="8"/>
  <c r="EG112" i="8"/>
  <c r="EH112" i="8"/>
  <c r="EI112" i="8"/>
  <c r="EJ112" i="8"/>
  <c r="EK112" i="8"/>
  <c r="EL112" i="8"/>
  <c r="EM112" i="8"/>
  <c r="EN112" i="8"/>
  <c r="EO112" i="8"/>
  <c r="EP112" i="8"/>
  <c r="EQ112" i="8"/>
  <c r="ER112" i="8"/>
  <c r="ES112" i="8"/>
  <c r="ET112" i="8"/>
  <c r="EU112" i="8"/>
  <c r="EV112" i="8"/>
  <c r="EW112" i="8"/>
  <c r="EX112" i="8"/>
  <c r="EY112" i="8"/>
  <c r="EZ112" i="8"/>
  <c r="FA112" i="8"/>
  <c r="FB112" i="8"/>
  <c r="FC112" i="8"/>
  <c r="FD112" i="8"/>
  <c r="FE112" i="8"/>
  <c r="FF112" i="8"/>
  <c r="FG112" i="8"/>
  <c r="FH112" i="8"/>
  <c r="FI112" i="8"/>
  <c r="FJ112" i="8"/>
  <c r="FK112" i="8"/>
  <c r="FL112" i="8"/>
  <c r="FM112" i="8"/>
  <c r="FN112" i="8"/>
  <c r="FO112" i="8"/>
  <c r="FP112" i="8"/>
  <c r="FQ112" i="8"/>
  <c r="FR112" i="8"/>
  <c r="FS112" i="8"/>
  <c r="FT112" i="8"/>
  <c r="FU112" i="8"/>
  <c r="FV112" i="8"/>
  <c r="FW112" i="8"/>
  <c r="FX112" i="8"/>
  <c r="FY112" i="8"/>
  <c r="FZ112" i="8"/>
  <c r="GA112" i="8"/>
  <c r="GB112" i="8"/>
  <c r="GC112" i="8"/>
  <c r="GD112" i="8"/>
  <c r="GE112" i="8"/>
  <c r="GF112" i="8"/>
  <c r="GG112" i="8"/>
  <c r="GH112" i="8"/>
  <c r="GI112" i="8"/>
  <c r="GJ112" i="8"/>
  <c r="GK112" i="8"/>
  <c r="GL112" i="8"/>
  <c r="GM112" i="8"/>
  <c r="GN112" i="8"/>
  <c r="GO112" i="8"/>
  <c r="GP112" i="8"/>
  <c r="GQ112" i="8"/>
  <c r="GR112" i="8"/>
  <c r="GS112" i="8"/>
  <c r="GT112" i="8"/>
  <c r="GU112" i="8"/>
  <c r="GV112" i="8"/>
  <c r="GW112" i="8"/>
  <c r="GX112" i="8"/>
  <c r="GY112" i="8"/>
  <c r="GZ112" i="8"/>
  <c r="HA112" i="8"/>
  <c r="HB112" i="8"/>
  <c r="HC112" i="8"/>
  <c r="HD112" i="8"/>
  <c r="HE112" i="8"/>
  <c r="HF112" i="8"/>
  <c r="HG112" i="8"/>
  <c r="HH112" i="8"/>
  <c r="HI112" i="8"/>
  <c r="HJ112" i="8"/>
  <c r="HK112" i="8"/>
  <c r="HL112" i="8"/>
  <c r="HM112" i="8"/>
  <c r="HN112" i="8"/>
  <c r="HO112" i="8"/>
  <c r="HP112" i="8"/>
  <c r="HQ112" i="8"/>
  <c r="HR112" i="8"/>
  <c r="HS112" i="8"/>
  <c r="HT112" i="8"/>
  <c r="HU112" i="8"/>
  <c r="HV112" i="8"/>
  <c r="HW112" i="8"/>
  <c r="HX112" i="8"/>
  <c r="HY112" i="8"/>
  <c r="HZ112" i="8"/>
  <c r="IA112" i="8"/>
  <c r="IB112" i="8"/>
  <c r="IC112" i="8"/>
  <c r="ID112" i="8"/>
  <c r="IE112" i="8"/>
  <c r="IF112" i="8"/>
  <c r="IG112" i="8"/>
  <c r="IH112" i="8"/>
  <c r="II112" i="8"/>
  <c r="IJ112" i="8"/>
  <c r="IK112" i="8"/>
  <c r="IL112" i="8"/>
  <c r="IM112" i="8"/>
  <c r="IN112" i="8"/>
  <c r="IO112" i="8"/>
  <c r="IP112" i="8"/>
  <c r="IQ112" i="8"/>
  <c r="IR112" i="8"/>
  <c r="IS112" i="8"/>
  <c r="IT112" i="8"/>
  <c r="IU112" i="8"/>
  <c r="IV112" i="8"/>
  <c r="F113" i="8"/>
  <c r="G113" i="8"/>
  <c r="H113" i="8"/>
  <c r="I113" i="8"/>
  <c r="J113" i="8"/>
  <c r="K113" i="8"/>
  <c r="L113" i="8"/>
  <c r="M113" i="8"/>
  <c r="N113" i="8"/>
  <c r="O113" i="8"/>
  <c r="P113" i="8"/>
  <c r="Q113" i="8"/>
  <c r="R113" i="8"/>
  <c r="S113" i="8"/>
  <c r="T113" i="8"/>
  <c r="U113" i="8"/>
  <c r="V113" i="8"/>
  <c r="W113" i="8"/>
  <c r="X113" i="8"/>
  <c r="Y113" i="8"/>
  <c r="Z113" i="8"/>
  <c r="AA113" i="8"/>
  <c r="AB113" i="8"/>
  <c r="AC113" i="8"/>
  <c r="AD113" i="8"/>
  <c r="AE113" i="8"/>
  <c r="AF113" i="8"/>
  <c r="AG113" i="8"/>
  <c r="AH113" i="8"/>
  <c r="AI113" i="8"/>
  <c r="AJ113" i="8"/>
  <c r="AK113" i="8"/>
  <c r="AL113" i="8"/>
  <c r="AM113" i="8"/>
  <c r="AN113" i="8"/>
  <c r="AO113" i="8"/>
  <c r="AP113" i="8"/>
  <c r="AQ113" i="8"/>
  <c r="AR113" i="8"/>
  <c r="AS113" i="8"/>
  <c r="AT113" i="8"/>
  <c r="AU113" i="8"/>
  <c r="AV113" i="8"/>
  <c r="AW113" i="8"/>
  <c r="AX113" i="8"/>
  <c r="AY113" i="8"/>
  <c r="AZ113" i="8"/>
  <c r="BA113" i="8"/>
  <c r="BB113" i="8"/>
  <c r="BC113" i="8"/>
  <c r="BD113" i="8"/>
  <c r="BE113" i="8"/>
  <c r="BF113" i="8"/>
  <c r="BG113" i="8"/>
  <c r="BH113" i="8"/>
  <c r="BI113" i="8"/>
  <c r="BJ113" i="8"/>
  <c r="BK113" i="8"/>
  <c r="BL113" i="8"/>
  <c r="BM113" i="8"/>
  <c r="BN113" i="8"/>
  <c r="BO113" i="8"/>
  <c r="BP113" i="8"/>
  <c r="BQ113" i="8"/>
  <c r="BR113" i="8"/>
  <c r="BS113" i="8"/>
  <c r="BT113" i="8"/>
  <c r="BU113" i="8"/>
  <c r="BV113" i="8"/>
  <c r="BW113" i="8"/>
  <c r="BX113" i="8"/>
  <c r="BY113" i="8"/>
  <c r="BZ113" i="8"/>
  <c r="CA113" i="8"/>
  <c r="CB113" i="8"/>
  <c r="CC113" i="8"/>
  <c r="CD113" i="8"/>
  <c r="CE113" i="8"/>
  <c r="CF113" i="8"/>
  <c r="CG113" i="8"/>
  <c r="CH113" i="8"/>
  <c r="CI113" i="8"/>
  <c r="CJ113" i="8"/>
  <c r="CK113" i="8"/>
  <c r="CL113" i="8"/>
  <c r="CM113" i="8"/>
  <c r="CN113" i="8"/>
  <c r="CO113" i="8"/>
  <c r="CP113" i="8"/>
  <c r="CQ113" i="8"/>
  <c r="CR113" i="8"/>
  <c r="CS113" i="8"/>
  <c r="CT113" i="8"/>
  <c r="CU113" i="8"/>
  <c r="CV113" i="8"/>
  <c r="CW113" i="8"/>
  <c r="CX113" i="8"/>
  <c r="CY113" i="8"/>
  <c r="CZ113" i="8"/>
  <c r="DA113" i="8"/>
  <c r="DB113" i="8"/>
  <c r="DC113" i="8"/>
  <c r="DD113" i="8"/>
  <c r="DE113" i="8"/>
  <c r="DF113" i="8"/>
  <c r="DG113" i="8"/>
  <c r="DH113" i="8"/>
  <c r="DI113" i="8"/>
  <c r="DJ113" i="8"/>
  <c r="DK113" i="8"/>
  <c r="DL113" i="8"/>
  <c r="DM113" i="8"/>
  <c r="DN113" i="8"/>
  <c r="DO113" i="8"/>
  <c r="DP113" i="8"/>
  <c r="DQ113" i="8"/>
  <c r="DR113" i="8"/>
  <c r="DS113" i="8"/>
  <c r="DT113" i="8"/>
  <c r="DU113" i="8"/>
  <c r="DV113" i="8"/>
  <c r="DW113" i="8"/>
  <c r="DX113" i="8"/>
  <c r="DY113" i="8"/>
  <c r="DZ113" i="8"/>
  <c r="EA113" i="8"/>
  <c r="EB113" i="8"/>
  <c r="EC113" i="8"/>
  <c r="ED113" i="8"/>
  <c r="EE113" i="8"/>
  <c r="EF113" i="8"/>
  <c r="EG113" i="8"/>
  <c r="EH113" i="8"/>
  <c r="EI113" i="8"/>
  <c r="EJ113" i="8"/>
  <c r="EK113" i="8"/>
  <c r="EL113" i="8"/>
  <c r="EM113" i="8"/>
  <c r="EN113" i="8"/>
  <c r="EO113" i="8"/>
  <c r="EP113" i="8"/>
  <c r="EQ113" i="8"/>
  <c r="ER113" i="8"/>
  <c r="ES113" i="8"/>
  <c r="ET113" i="8"/>
  <c r="EU113" i="8"/>
  <c r="EV113" i="8"/>
  <c r="EW113" i="8"/>
  <c r="EX113" i="8"/>
  <c r="EY113" i="8"/>
  <c r="EZ113" i="8"/>
  <c r="FA113" i="8"/>
  <c r="FB113" i="8"/>
  <c r="FC113" i="8"/>
  <c r="FD113" i="8"/>
  <c r="FE113" i="8"/>
  <c r="FF113" i="8"/>
  <c r="FG113" i="8"/>
  <c r="FH113" i="8"/>
  <c r="FI113" i="8"/>
  <c r="FJ113" i="8"/>
  <c r="FK113" i="8"/>
  <c r="FL113" i="8"/>
  <c r="FM113" i="8"/>
  <c r="FN113" i="8"/>
  <c r="FO113" i="8"/>
  <c r="FP113" i="8"/>
  <c r="FQ113" i="8"/>
  <c r="FR113" i="8"/>
  <c r="FS113" i="8"/>
  <c r="FT113" i="8"/>
  <c r="FU113" i="8"/>
  <c r="FV113" i="8"/>
  <c r="FW113" i="8"/>
  <c r="FX113" i="8"/>
  <c r="FY113" i="8"/>
  <c r="FZ113" i="8"/>
  <c r="GA113" i="8"/>
  <c r="GB113" i="8"/>
  <c r="GC113" i="8"/>
  <c r="GD113" i="8"/>
  <c r="GE113" i="8"/>
  <c r="GF113" i="8"/>
  <c r="GG113" i="8"/>
  <c r="GH113" i="8"/>
  <c r="GI113" i="8"/>
  <c r="GJ113" i="8"/>
  <c r="GK113" i="8"/>
  <c r="GL113" i="8"/>
  <c r="GM113" i="8"/>
  <c r="GN113" i="8"/>
  <c r="GO113" i="8"/>
  <c r="GP113" i="8"/>
  <c r="GQ113" i="8"/>
  <c r="GR113" i="8"/>
  <c r="GS113" i="8"/>
  <c r="GT113" i="8"/>
  <c r="GU113" i="8"/>
  <c r="GV113" i="8"/>
  <c r="GW113" i="8"/>
  <c r="GX113" i="8"/>
  <c r="GY113" i="8"/>
  <c r="GZ113" i="8"/>
  <c r="HA113" i="8"/>
  <c r="HB113" i="8"/>
  <c r="HC113" i="8"/>
  <c r="HD113" i="8"/>
  <c r="HE113" i="8"/>
  <c r="HF113" i="8"/>
  <c r="HG113" i="8"/>
  <c r="HH113" i="8"/>
  <c r="HI113" i="8"/>
  <c r="HJ113" i="8"/>
  <c r="HK113" i="8"/>
  <c r="HL113" i="8"/>
  <c r="HM113" i="8"/>
  <c r="HN113" i="8"/>
  <c r="HO113" i="8"/>
  <c r="HP113" i="8"/>
  <c r="HQ113" i="8"/>
  <c r="HR113" i="8"/>
  <c r="HS113" i="8"/>
  <c r="HT113" i="8"/>
  <c r="HU113" i="8"/>
  <c r="HV113" i="8"/>
  <c r="HW113" i="8"/>
  <c r="HX113" i="8"/>
  <c r="HY113" i="8"/>
  <c r="HZ113" i="8"/>
  <c r="IA113" i="8"/>
  <c r="IB113" i="8"/>
  <c r="IC113" i="8"/>
  <c r="ID113" i="8"/>
  <c r="IE113" i="8"/>
  <c r="IF113" i="8"/>
  <c r="IG113" i="8"/>
  <c r="IH113" i="8"/>
  <c r="II113" i="8"/>
  <c r="IJ113" i="8"/>
  <c r="IK113" i="8"/>
  <c r="IL113" i="8"/>
  <c r="IM113" i="8"/>
  <c r="IN113" i="8"/>
  <c r="IO113" i="8"/>
  <c r="IP113" i="8"/>
  <c r="IQ113" i="8"/>
  <c r="IR113" i="8"/>
  <c r="IS113" i="8"/>
  <c r="IT113" i="8"/>
  <c r="IU113" i="8"/>
  <c r="IV113" i="8"/>
  <c r="F114" i="8"/>
  <c r="G114" i="8"/>
  <c r="H114" i="8"/>
  <c r="I114" i="8"/>
  <c r="J114" i="8"/>
  <c r="K114" i="8"/>
  <c r="L114" i="8"/>
  <c r="M114" i="8"/>
  <c r="N114" i="8"/>
  <c r="O114" i="8"/>
  <c r="P114" i="8"/>
  <c r="Q114" i="8"/>
  <c r="R114" i="8"/>
  <c r="S114" i="8"/>
  <c r="T114" i="8"/>
  <c r="U114" i="8"/>
  <c r="V114" i="8"/>
  <c r="W114" i="8"/>
  <c r="X114" i="8"/>
  <c r="Y114" i="8"/>
  <c r="Z114" i="8"/>
  <c r="AA114" i="8"/>
  <c r="AB114" i="8"/>
  <c r="AC114" i="8"/>
  <c r="AD114" i="8"/>
  <c r="AE114" i="8"/>
  <c r="AF114" i="8"/>
  <c r="AG114" i="8"/>
  <c r="AH114" i="8"/>
  <c r="AI114" i="8"/>
  <c r="AJ114" i="8"/>
  <c r="AK114" i="8"/>
  <c r="AL114" i="8"/>
  <c r="AM114" i="8"/>
  <c r="AN114" i="8"/>
  <c r="AO114" i="8"/>
  <c r="AP114" i="8"/>
  <c r="AQ114" i="8"/>
  <c r="AR114" i="8"/>
  <c r="AS114" i="8"/>
  <c r="AT114" i="8"/>
  <c r="AU114" i="8"/>
  <c r="AV114" i="8"/>
  <c r="AW114" i="8"/>
  <c r="AX114" i="8"/>
  <c r="AY114" i="8"/>
  <c r="AZ114" i="8"/>
  <c r="BA114" i="8"/>
  <c r="BB114" i="8"/>
  <c r="BC114" i="8"/>
  <c r="BD114" i="8"/>
  <c r="BE114" i="8"/>
  <c r="BF114" i="8"/>
  <c r="BG114" i="8"/>
  <c r="BH114" i="8"/>
  <c r="BI114" i="8"/>
  <c r="BJ114" i="8"/>
  <c r="BK114" i="8"/>
  <c r="BL114" i="8"/>
  <c r="BM114" i="8"/>
  <c r="BN114" i="8"/>
  <c r="BO114" i="8"/>
  <c r="BP114" i="8"/>
  <c r="BQ114" i="8"/>
  <c r="BR114" i="8"/>
  <c r="BS114" i="8"/>
  <c r="BT114" i="8"/>
  <c r="BU114" i="8"/>
  <c r="BV114" i="8"/>
  <c r="BW114" i="8"/>
  <c r="BX114" i="8"/>
  <c r="BY114" i="8"/>
  <c r="BZ114" i="8"/>
  <c r="CA114" i="8"/>
  <c r="CB114" i="8"/>
  <c r="CC114" i="8"/>
  <c r="CD114" i="8"/>
  <c r="CE114" i="8"/>
  <c r="CF114" i="8"/>
  <c r="CG114" i="8"/>
  <c r="CH114" i="8"/>
  <c r="CI114" i="8"/>
  <c r="CJ114" i="8"/>
  <c r="CK114" i="8"/>
  <c r="CL114" i="8"/>
  <c r="CM114" i="8"/>
  <c r="CN114" i="8"/>
  <c r="CO114" i="8"/>
  <c r="CP114" i="8"/>
  <c r="CQ114" i="8"/>
  <c r="CR114" i="8"/>
  <c r="CS114" i="8"/>
  <c r="CT114" i="8"/>
  <c r="CU114" i="8"/>
  <c r="CV114" i="8"/>
  <c r="CW114" i="8"/>
  <c r="CX114" i="8"/>
  <c r="CY114" i="8"/>
  <c r="CZ114" i="8"/>
  <c r="DA114" i="8"/>
  <c r="DB114" i="8"/>
  <c r="DC114" i="8"/>
  <c r="DD114" i="8"/>
  <c r="DE114" i="8"/>
  <c r="DF114" i="8"/>
  <c r="DG114" i="8"/>
  <c r="DH114" i="8"/>
  <c r="DI114" i="8"/>
  <c r="DJ114" i="8"/>
  <c r="DK114" i="8"/>
  <c r="DL114" i="8"/>
  <c r="DM114" i="8"/>
  <c r="DN114" i="8"/>
  <c r="DO114" i="8"/>
  <c r="DP114" i="8"/>
  <c r="DQ114" i="8"/>
  <c r="DR114" i="8"/>
  <c r="DS114" i="8"/>
  <c r="DT114" i="8"/>
  <c r="DU114" i="8"/>
  <c r="DV114" i="8"/>
  <c r="DW114" i="8"/>
  <c r="DX114" i="8"/>
  <c r="DY114" i="8"/>
  <c r="DZ114" i="8"/>
  <c r="EA114" i="8"/>
  <c r="EB114" i="8"/>
  <c r="EC114" i="8"/>
  <c r="ED114" i="8"/>
  <c r="EE114" i="8"/>
  <c r="EF114" i="8"/>
  <c r="EG114" i="8"/>
  <c r="EH114" i="8"/>
  <c r="EI114" i="8"/>
  <c r="EJ114" i="8"/>
  <c r="EK114" i="8"/>
  <c r="EL114" i="8"/>
  <c r="EM114" i="8"/>
  <c r="EN114" i="8"/>
  <c r="EO114" i="8"/>
  <c r="EP114" i="8"/>
  <c r="EQ114" i="8"/>
  <c r="ER114" i="8"/>
  <c r="ES114" i="8"/>
  <c r="ET114" i="8"/>
  <c r="EU114" i="8"/>
  <c r="EV114" i="8"/>
  <c r="EW114" i="8"/>
  <c r="EX114" i="8"/>
  <c r="EY114" i="8"/>
  <c r="EZ114" i="8"/>
  <c r="FA114" i="8"/>
  <c r="FB114" i="8"/>
  <c r="FC114" i="8"/>
  <c r="FD114" i="8"/>
  <c r="FE114" i="8"/>
  <c r="FF114" i="8"/>
  <c r="FG114" i="8"/>
  <c r="FH114" i="8"/>
  <c r="FI114" i="8"/>
  <c r="FJ114" i="8"/>
  <c r="FK114" i="8"/>
  <c r="FL114" i="8"/>
  <c r="FM114" i="8"/>
  <c r="FN114" i="8"/>
  <c r="FO114" i="8"/>
  <c r="FP114" i="8"/>
  <c r="FQ114" i="8"/>
  <c r="FR114" i="8"/>
  <c r="FS114" i="8"/>
  <c r="FT114" i="8"/>
  <c r="FU114" i="8"/>
  <c r="FV114" i="8"/>
  <c r="FW114" i="8"/>
  <c r="FX114" i="8"/>
  <c r="FY114" i="8"/>
  <c r="FZ114" i="8"/>
  <c r="GA114" i="8"/>
  <c r="GB114" i="8"/>
  <c r="GC114" i="8"/>
  <c r="GD114" i="8"/>
  <c r="GE114" i="8"/>
  <c r="GF114" i="8"/>
  <c r="GG114" i="8"/>
  <c r="GH114" i="8"/>
  <c r="GI114" i="8"/>
  <c r="GJ114" i="8"/>
  <c r="GK114" i="8"/>
  <c r="GL114" i="8"/>
  <c r="GM114" i="8"/>
  <c r="GN114" i="8"/>
  <c r="GO114" i="8"/>
  <c r="GP114" i="8"/>
  <c r="GQ114" i="8"/>
  <c r="GR114" i="8"/>
  <c r="GS114" i="8"/>
  <c r="GT114" i="8"/>
  <c r="GU114" i="8"/>
  <c r="GV114" i="8"/>
  <c r="GW114" i="8"/>
  <c r="GX114" i="8"/>
  <c r="GY114" i="8"/>
  <c r="GZ114" i="8"/>
  <c r="HA114" i="8"/>
  <c r="HB114" i="8"/>
  <c r="HC114" i="8"/>
  <c r="HD114" i="8"/>
  <c r="HE114" i="8"/>
  <c r="HF114" i="8"/>
  <c r="HG114" i="8"/>
  <c r="HH114" i="8"/>
  <c r="HI114" i="8"/>
  <c r="HJ114" i="8"/>
  <c r="HK114" i="8"/>
  <c r="HL114" i="8"/>
  <c r="HM114" i="8"/>
  <c r="HN114" i="8"/>
  <c r="HO114" i="8"/>
  <c r="HP114" i="8"/>
  <c r="HQ114" i="8"/>
  <c r="HR114" i="8"/>
  <c r="HS114" i="8"/>
  <c r="HT114" i="8"/>
  <c r="HU114" i="8"/>
  <c r="HV114" i="8"/>
  <c r="HW114" i="8"/>
  <c r="HX114" i="8"/>
  <c r="HY114" i="8"/>
  <c r="HZ114" i="8"/>
  <c r="IA114" i="8"/>
  <c r="IB114" i="8"/>
  <c r="IC114" i="8"/>
  <c r="ID114" i="8"/>
  <c r="IE114" i="8"/>
  <c r="IF114" i="8"/>
  <c r="IG114" i="8"/>
  <c r="IH114" i="8"/>
  <c r="II114" i="8"/>
  <c r="IJ114" i="8"/>
  <c r="IK114" i="8"/>
  <c r="IL114" i="8"/>
  <c r="IM114" i="8"/>
  <c r="IN114" i="8"/>
  <c r="IO114" i="8"/>
  <c r="IP114" i="8"/>
  <c r="IQ114" i="8"/>
  <c r="IR114" i="8"/>
  <c r="IS114" i="8"/>
  <c r="IT114" i="8"/>
  <c r="IU114" i="8"/>
  <c r="IV114" i="8"/>
  <c r="F115" i="8"/>
  <c r="G115" i="8"/>
  <c r="H115" i="8"/>
  <c r="I115" i="8"/>
  <c r="J115" i="8"/>
  <c r="K115" i="8"/>
  <c r="L115" i="8"/>
  <c r="M115" i="8"/>
  <c r="N115" i="8"/>
  <c r="O115" i="8"/>
  <c r="P115" i="8"/>
  <c r="Q115" i="8"/>
  <c r="R115" i="8"/>
  <c r="S115" i="8"/>
  <c r="T115" i="8"/>
  <c r="U115" i="8"/>
  <c r="V115" i="8"/>
  <c r="W115" i="8"/>
  <c r="X115" i="8"/>
  <c r="Y115" i="8"/>
  <c r="Z115" i="8"/>
  <c r="AA115" i="8"/>
  <c r="AB115" i="8"/>
  <c r="AC115" i="8"/>
  <c r="AD115" i="8"/>
  <c r="AE115" i="8"/>
  <c r="AF115" i="8"/>
  <c r="AG115" i="8"/>
  <c r="AH115" i="8"/>
  <c r="AI115" i="8"/>
  <c r="AJ115" i="8"/>
  <c r="AK115" i="8"/>
  <c r="AL115" i="8"/>
  <c r="AM115" i="8"/>
  <c r="AN115" i="8"/>
  <c r="AO115" i="8"/>
  <c r="AP115" i="8"/>
  <c r="AQ115" i="8"/>
  <c r="AR115" i="8"/>
  <c r="AS115" i="8"/>
  <c r="AT115" i="8"/>
  <c r="AU115" i="8"/>
  <c r="AV115" i="8"/>
  <c r="AW115" i="8"/>
  <c r="AX115" i="8"/>
  <c r="AY115" i="8"/>
  <c r="AZ115" i="8"/>
  <c r="BA115" i="8"/>
  <c r="BB115" i="8"/>
  <c r="BC115" i="8"/>
  <c r="BD115" i="8"/>
  <c r="BE115" i="8"/>
  <c r="BF115" i="8"/>
  <c r="BG115" i="8"/>
  <c r="BH115" i="8"/>
  <c r="BI115" i="8"/>
  <c r="BJ115" i="8"/>
  <c r="BK115" i="8"/>
  <c r="BL115" i="8"/>
  <c r="BM115" i="8"/>
  <c r="BN115" i="8"/>
  <c r="BO115" i="8"/>
  <c r="BP115" i="8"/>
  <c r="BQ115" i="8"/>
  <c r="BR115" i="8"/>
  <c r="BS115" i="8"/>
  <c r="BT115" i="8"/>
  <c r="BU115" i="8"/>
  <c r="BV115" i="8"/>
  <c r="BW115" i="8"/>
  <c r="BX115" i="8"/>
  <c r="BY115" i="8"/>
  <c r="BZ115" i="8"/>
  <c r="CA115" i="8"/>
  <c r="CB115" i="8"/>
  <c r="CC115" i="8"/>
  <c r="CD115" i="8"/>
  <c r="CE115" i="8"/>
  <c r="CF115" i="8"/>
  <c r="CG115" i="8"/>
  <c r="CH115" i="8"/>
  <c r="CI115" i="8"/>
  <c r="CJ115" i="8"/>
  <c r="CK115" i="8"/>
  <c r="CL115" i="8"/>
  <c r="CM115" i="8"/>
  <c r="CN115" i="8"/>
  <c r="CO115" i="8"/>
  <c r="CP115" i="8"/>
  <c r="CQ115" i="8"/>
  <c r="CR115" i="8"/>
  <c r="CS115" i="8"/>
  <c r="CT115" i="8"/>
  <c r="CU115" i="8"/>
  <c r="CV115" i="8"/>
  <c r="CW115" i="8"/>
  <c r="CX115" i="8"/>
  <c r="CY115" i="8"/>
  <c r="CZ115" i="8"/>
  <c r="DA115" i="8"/>
  <c r="DB115" i="8"/>
  <c r="DC115" i="8"/>
  <c r="DD115" i="8"/>
  <c r="DE115" i="8"/>
  <c r="DF115" i="8"/>
  <c r="DG115" i="8"/>
  <c r="DH115" i="8"/>
  <c r="DI115" i="8"/>
  <c r="DJ115" i="8"/>
  <c r="DK115" i="8"/>
  <c r="DL115" i="8"/>
  <c r="DM115" i="8"/>
  <c r="DN115" i="8"/>
  <c r="DO115" i="8"/>
  <c r="DP115" i="8"/>
  <c r="DQ115" i="8"/>
  <c r="DR115" i="8"/>
  <c r="DS115" i="8"/>
  <c r="DT115" i="8"/>
  <c r="DU115" i="8"/>
  <c r="DV115" i="8"/>
  <c r="DW115" i="8"/>
  <c r="DX115" i="8"/>
  <c r="DY115" i="8"/>
  <c r="DZ115" i="8"/>
  <c r="EA115" i="8"/>
  <c r="EB115" i="8"/>
  <c r="EC115" i="8"/>
  <c r="ED115" i="8"/>
  <c r="EE115" i="8"/>
  <c r="EF115" i="8"/>
  <c r="EG115" i="8"/>
  <c r="EH115" i="8"/>
  <c r="EI115" i="8"/>
  <c r="EJ115" i="8"/>
  <c r="EK115" i="8"/>
  <c r="EL115" i="8"/>
  <c r="EM115" i="8"/>
  <c r="EN115" i="8"/>
  <c r="EO115" i="8"/>
  <c r="EP115" i="8"/>
  <c r="EQ115" i="8"/>
  <c r="ER115" i="8"/>
  <c r="ES115" i="8"/>
  <c r="ET115" i="8"/>
  <c r="EU115" i="8"/>
  <c r="EV115" i="8"/>
  <c r="EW115" i="8"/>
  <c r="EX115" i="8"/>
  <c r="EY115" i="8"/>
  <c r="EZ115" i="8"/>
  <c r="FA115" i="8"/>
  <c r="FB115" i="8"/>
  <c r="FC115" i="8"/>
  <c r="FD115" i="8"/>
  <c r="FE115" i="8"/>
  <c r="FF115" i="8"/>
  <c r="FG115" i="8"/>
  <c r="FH115" i="8"/>
  <c r="FI115" i="8"/>
  <c r="FJ115" i="8"/>
  <c r="FK115" i="8"/>
  <c r="FL115" i="8"/>
  <c r="FM115" i="8"/>
  <c r="FN115" i="8"/>
  <c r="FO115" i="8"/>
  <c r="FP115" i="8"/>
  <c r="FQ115" i="8"/>
  <c r="FR115" i="8"/>
  <c r="FS115" i="8"/>
  <c r="FT115" i="8"/>
  <c r="FU115" i="8"/>
  <c r="FV115" i="8"/>
  <c r="FW115" i="8"/>
  <c r="FX115" i="8"/>
  <c r="FY115" i="8"/>
  <c r="FZ115" i="8"/>
  <c r="GA115" i="8"/>
  <c r="GB115" i="8"/>
  <c r="GC115" i="8"/>
  <c r="GD115" i="8"/>
  <c r="GE115" i="8"/>
  <c r="GF115" i="8"/>
  <c r="GG115" i="8"/>
  <c r="GH115" i="8"/>
  <c r="GI115" i="8"/>
  <c r="GJ115" i="8"/>
  <c r="GK115" i="8"/>
  <c r="GL115" i="8"/>
  <c r="GM115" i="8"/>
  <c r="GN115" i="8"/>
  <c r="GO115" i="8"/>
  <c r="GP115" i="8"/>
  <c r="GQ115" i="8"/>
  <c r="GR115" i="8"/>
  <c r="GS115" i="8"/>
  <c r="GT115" i="8"/>
  <c r="GU115" i="8"/>
  <c r="GV115" i="8"/>
  <c r="GW115" i="8"/>
  <c r="GX115" i="8"/>
  <c r="GY115" i="8"/>
  <c r="GZ115" i="8"/>
  <c r="HA115" i="8"/>
  <c r="HB115" i="8"/>
  <c r="HC115" i="8"/>
  <c r="HD115" i="8"/>
  <c r="HE115" i="8"/>
  <c r="HF115" i="8"/>
  <c r="HG115" i="8"/>
  <c r="HH115" i="8"/>
  <c r="HI115" i="8"/>
  <c r="HJ115" i="8"/>
  <c r="HK115" i="8"/>
  <c r="HL115" i="8"/>
  <c r="HM115" i="8"/>
  <c r="HN115" i="8"/>
  <c r="HO115" i="8"/>
  <c r="HP115" i="8"/>
  <c r="HQ115" i="8"/>
  <c r="HR115" i="8"/>
  <c r="HS115" i="8"/>
  <c r="HT115" i="8"/>
  <c r="HU115" i="8"/>
  <c r="HV115" i="8"/>
  <c r="HW115" i="8"/>
  <c r="HX115" i="8"/>
  <c r="HY115" i="8"/>
  <c r="HZ115" i="8"/>
  <c r="IA115" i="8"/>
  <c r="IB115" i="8"/>
  <c r="IC115" i="8"/>
  <c r="ID115" i="8"/>
  <c r="IE115" i="8"/>
  <c r="IF115" i="8"/>
  <c r="IG115" i="8"/>
  <c r="IH115" i="8"/>
  <c r="II115" i="8"/>
  <c r="IJ115" i="8"/>
  <c r="IK115" i="8"/>
  <c r="IL115" i="8"/>
  <c r="IM115" i="8"/>
  <c r="IN115" i="8"/>
  <c r="IO115" i="8"/>
  <c r="IP115" i="8"/>
  <c r="IQ115" i="8"/>
  <c r="IR115" i="8"/>
  <c r="IS115" i="8"/>
  <c r="IT115" i="8"/>
  <c r="IU115" i="8"/>
  <c r="IV115" i="8"/>
  <c r="F116" i="8"/>
  <c r="G116" i="8"/>
  <c r="H116" i="8"/>
  <c r="I116" i="8"/>
  <c r="J116" i="8"/>
  <c r="K116" i="8"/>
  <c r="L116" i="8"/>
  <c r="M116" i="8"/>
  <c r="N116" i="8"/>
  <c r="O116" i="8"/>
  <c r="P116" i="8"/>
  <c r="Q116" i="8"/>
  <c r="R116" i="8"/>
  <c r="S116" i="8"/>
  <c r="T116" i="8"/>
  <c r="U116" i="8"/>
  <c r="V116" i="8"/>
  <c r="W116" i="8"/>
  <c r="X116" i="8"/>
  <c r="Y116" i="8"/>
  <c r="Z116" i="8"/>
  <c r="AA116" i="8"/>
  <c r="AB116" i="8"/>
  <c r="AC116" i="8"/>
  <c r="AD116" i="8"/>
  <c r="AE116" i="8"/>
  <c r="AF116" i="8"/>
  <c r="AG116" i="8"/>
  <c r="AH116" i="8"/>
  <c r="AI116" i="8"/>
  <c r="AJ116" i="8"/>
  <c r="AK116" i="8"/>
  <c r="AL116" i="8"/>
  <c r="AM116" i="8"/>
  <c r="AN116" i="8"/>
  <c r="AO116" i="8"/>
  <c r="AP116" i="8"/>
  <c r="AQ116" i="8"/>
  <c r="AR116" i="8"/>
  <c r="AS116" i="8"/>
  <c r="AT116" i="8"/>
  <c r="AU116" i="8"/>
  <c r="AV116" i="8"/>
  <c r="AW116" i="8"/>
  <c r="AX116" i="8"/>
  <c r="AY116" i="8"/>
  <c r="AZ116" i="8"/>
  <c r="BA116" i="8"/>
  <c r="BB116" i="8"/>
  <c r="BC116" i="8"/>
  <c r="BD116" i="8"/>
  <c r="BE116" i="8"/>
  <c r="BF116" i="8"/>
  <c r="BG116" i="8"/>
  <c r="BH116" i="8"/>
  <c r="BI116" i="8"/>
  <c r="BJ116" i="8"/>
  <c r="BK116" i="8"/>
  <c r="BL116" i="8"/>
  <c r="BM116" i="8"/>
  <c r="BN116" i="8"/>
  <c r="BO116" i="8"/>
  <c r="BP116" i="8"/>
  <c r="BQ116" i="8"/>
  <c r="BR116" i="8"/>
  <c r="BS116" i="8"/>
  <c r="BT116" i="8"/>
  <c r="BU116" i="8"/>
  <c r="BV116" i="8"/>
  <c r="BW116" i="8"/>
  <c r="BX116" i="8"/>
  <c r="BY116" i="8"/>
  <c r="BZ116" i="8"/>
  <c r="CA116" i="8"/>
  <c r="CB116" i="8"/>
  <c r="CC116" i="8"/>
  <c r="CD116" i="8"/>
  <c r="CE116" i="8"/>
  <c r="CF116" i="8"/>
  <c r="CG116" i="8"/>
  <c r="CH116" i="8"/>
  <c r="CI116" i="8"/>
  <c r="CJ116" i="8"/>
  <c r="CK116" i="8"/>
  <c r="CL116" i="8"/>
  <c r="CM116" i="8"/>
  <c r="CN116" i="8"/>
  <c r="CO116" i="8"/>
  <c r="CP116" i="8"/>
  <c r="CQ116" i="8"/>
  <c r="CR116" i="8"/>
  <c r="CS116" i="8"/>
  <c r="CT116" i="8"/>
  <c r="CU116" i="8"/>
  <c r="CV116" i="8"/>
  <c r="CW116" i="8"/>
  <c r="CX116" i="8"/>
  <c r="CY116" i="8"/>
  <c r="CZ116" i="8"/>
  <c r="DA116" i="8"/>
  <c r="DB116" i="8"/>
  <c r="DC116" i="8"/>
  <c r="DD116" i="8"/>
  <c r="DE116" i="8"/>
  <c r="DF116" i="8"/>
  <c r="DG116" i="8"/>
  <c r="DH116" i="8"/>
  <c r="DI116" i="8"/>
  <c r="DJ116" i="8"/>
  <c r="DK116" i="8"/>
  <c r="DL116" i="8"/>
  <c r="DM116" i="8"/>
  <c r="DN116" i="8"/>
  <c r="DO116" i="8"/>
  <c r="DP116" i="8"/>
  <c r="DQ116" i="8"/>
  <c r="DR116" i="8"/>
  <c r="DS116" i="8"/>
  <c r="DT116" i="8"/>
  <c r="DU116" i="8"/>
  <c r="DV116" i="8"/>
  <c r="DW116" i="8"/>
  <c r="DX116" i="8"/>
  <c r="DY116" i="8"/>
  <c r="DZ116" i="8"/>
  <c r="EA116" i="8"/>
  <c r="EB116" i="8"/>
  <c r="EC116" i="8"/>
  <c r="ED116" i="8"/>
  <c r="EE116" i="8"/>
  <c r="EF116" i="8"/>
  <c r="EG116" i="8"/>
  <c r="EH116" i="8"/>
  <c r="EI116" i="8"/>
  <c r="EJ116" i="8"/>
  <c r="EK116" i="8"/>
  <c r="EL116" i="8"/>
  <c r="EM116" i="8"/>
  <c r="EN116" i="8"/>
  <c r="EO116" i="8"/>
  <c r="EP116" i="8"/>
  <c r="EQ116" i="8"/>
  <c r="ER116" i="8"/>
  <c r="ES116" i="8"/>
  <c r="ET116" i="8"/>
  <c r="EU116" i="8"/>
  <c r="EV116" i="8"/>
  <c r="EW116" i="8"/>
  <c r="EX116" i="8"/>
  <c r="EY116" i="8"/>
  <c r="EZ116" i="8"/>
  <c r="FA116" i="8"/>
  <c r="FB116" i="8"/>
  <c r="FC116" i="8"/>
  <c r="FD116" i="8"/>
  <c r="FE116" i="8"/>
  <c r="FF116" i="8"/>
  <c r="FG116" i="8"/>
  <c r="FH116" i="8"/>
  <c r="FI116" i="8"/>
  <c r="FJ116" i="8"/>
  <c r="FK116" i="8"/>
  <c r="FL116" i="8"/>
  <c r="FM116" i="8"/>
  <c r="FN116" i="8"/>
  <c r="FO116" i="8"/>
  <c r="FP116" i="8"/>
  <c r="FQ116" i="8"/>
  <c r="FR116" i="8"/>
  <c r="FS116" i="8"/>
  <c r="FT116" i="8"/>
  <c r="FU116" i="8"/>
  <c r="FV116" i="8"/>
  <c r="FW116" i="8"/>
  <c r="FX116" i="8"/>
  <c r="FY116" i="8"/>
  <c r="FZ116" i="8"/>
  <c r="GA116" i="8"/>
  <c r="GB116" i="8"/>
  <c r="GC116" i="8"/>
  <c r="GD116" i="8"/>
  <c r="GE116" i="8"/>
  <c r="GF116" i="8"/>
  <c r="GG116" i="8"/>
  <c r="GH116" i="8"/>
  <c r="GI116" i="8"/>
  <c r="GJ116" i="8"/>
  <c r="GK116" i="8"/>
  <c r="GL116" i="8"/>
  <c r="GM116" i="8"/>
  <c r="GN116" i="8"/>
  <c r="GO116" i="8"/>
  <c r="GP116" i="8"/>
  <c r="GQ116" i="8"/>
  <c r="GR116" i="8"/>
  <c r="GS116" i="8"/>
  <c r="GT116" i="8"/>
  <c r="GU116" i="8"/>
  <c r="GV116" i="8"/>
  <c r="GW116" i="8"/>
  <c r="GX116" i="8"/>
  <c r="GY116" i="8"/>
  <c r="GZ116" i="8"/>
  <c r="HA116" i="8"/>
  <c r="HB116" i="8"/>
  <c r="HC116" i="8"/>
  <c r="HD116" i="8"/>
  <c r="HE116" i="8"/>
  <c r="HF116" i="8"/>
  <c r="HG116" i="8"/>
  <c r="HH116" i="8"/>
  <c r="HI116" i="8"/>
  <c r="HJ116" i="8"/>
  <c r="HK116" i="8"/>
  <c r="HL116" i="8"/>
  <c r="HM116" i="8"/>
  <c r="HN116" i="8"/>
  <c r="HO116" i="8"/>
  <c r="HP116" i="8"/>
  <c r="HQ116" i="8"/>
  <c r="HR116" i="8"/>
  <c r="HS116" i="8"/>
  <c r="HT116" i="8"/>
  <c r="HU116" i="8"/>
  <c r="HV116" i="8"/>
  <c r="HW116" i="8"/>
  <c r="HX116" i="8"/>
  <c r="HY116" i="8"/>
  <c r="HZ116" i="8"/>
  <c r="IA116" i="8"/>
  <c r="IB116" i="8"/>
  <c r="IC116" i="8"/>
  <c r="ID116" i="8"/>
  <c r="IE116" i="8"/>
  <c r="IF116" i="8"/>
  <c r="IG116" i="8"/>
  <c r="IH116" i="8"/>
  <c r="II116" i="8"/>
  <c r="IJ116" i="8"/>
  <c r="IK116" i="8"/>
  <c r="IL116" i="8"/>
  <c r="IM116" i="8"/>
  <c r="IN116" i="8"/>
  <c r="IO116" i="8"/>
  <c r="IP116" i="8"/>
  <c r="IQ116" i="8"/>
  <c r="IR116" i="8"/>
  <c r="IS116" i="8"/>
  <c r="IT116" i="8"/>
  <c r="IU116" i="8"/>
  <c r="IV116" i="8"/>
  <c r="F117" i="8"/>
  <c r="G117" i="8"/>
  <c r="H117" i="8"/>
  <c r="I117" i="8"/>
  <c r="J117" i="8"/>
  <c r="K117" i="8"/>
  <c r="L117" i="8"/>
  <c r="M117" i="8"/>
  <c r="N117" i="8"/>
  <c r="O117" i="8"/>
  <c r="P117" i="8"/>
  <c r="Q117" i="8"/>
  <c r="R117" i="8"/>
  <c r="S117" i="8"/>
  <c r="T117" i="8"/>
  <c r="U117" i="8"/>
  <c r="V117" i="8"/>
  <c r="W117" i="8"/>
  <c r="X117" i="8"/>
  <c r="Y117" i="8"/>
  <c r="Z117" i="8"/>
  <c r="AA117" i="8"/>
  <c r="AB117" i="8"/>
  <c r="AC117" i="8"/>
  <c r="AD117" i="8"/>
  <c r="AE117" i="8"/>
  <c r="AF117" i="8"/>
  <c r="AG117" i="8"/>
  <c r="AH117" i="8"/>
  <c r="AI117" i="8"/>
  <c r="AJ117" i="8"/>
  <c r="AK117" i="8"/>
  <c r="AL117" i="8"/>
  <c r="AM117" i="8"/>
  <c r="AN117" i="8"/>
  <c r="AO117" i="8"/>
  <c r="AP117" i="8"/>
  <c r="AQ117" i="8"/>
  <c r="AR117" i="8"/>
  <c r="AS117" i="8"/>
  <c r="AT117" i="8"/>
  <c r="AU117" i="8"/>
  <c r="AV117" i="8"/>
  <c r="AW117" i="8"/>
  <c r="AX117" i="8"/>
  <c r="AY117" i="8"/>
  <c r="AZ117" i="8"/>
  <c r="BA117" i="8"/>
  <c r="BB117" i="8"/>
  <c r="BC117" i="8"/>
  <c r="BD117" i="8"/>
  <c r="BE117" i="8"/>
  <c r="BF117" i="8"/>
  <c r="BG117" i="8"/>
  <c r="BH117" i="8"/>
  <c r="BI117" i="8"/>
  <c r="BJ117" i="8"/>
  <c r="BK117" i="8"/>
  <c r="BL117" i="8"/>
  <c r="BM117" i="8"/>
  <c r="BN117" i="8"/>
  <c r="BO117" i="8"/>
  <c r="BP117" i="8"/>
  <c r="BQ117" i="8"/>
  <c r="BR117" i="8"/>
  <c r="BS117" i="8"/>
  <c r="BT117" i="8"/>
  <c r="BU117" i="8"/>
  <c r="BV117" i="8"/>
  <c r="BW117" i="8"/>
  <c r="BX117" i="8"/>
  <c r="BY117" i="8"/>
  <c r="BZ117" i="8"/>
  <c r="CA117" i="8"/>
  <c r="CB117" i="8"/>
  <c r="CC117" i="8"/>
  <c r="CD117" i="8"/>
  <c r="CE117" i="8"/>
  <c r="CF117" i="8"/>
  <c r="CG117" i="8"/>
  <c r="CH117" i="8"/>
  <c r="CI117" i="8"/>
  <c r="CJ117" i="8"/>
  <c r="CK117" i="8"/>
  <c r="CL117" i="8"/>
  <c r="CM117" i="8"/>
  <c r="CN117" i="8"/>
  <c r="CO117" i="8"/>
  <c r="CP117" i="8"/>
  <c r="CQ117" i="8"/>
  <c r="CR117" i="8"/>
  <c r="CS117" i="8"/>
  <c r="CT117" i="8"/>
  <c r="CU117" i="8"/>
  <c r="CV117" i="8"/>
  <c r="CW117" i="8"/>
  <c r="CX117" i="8"/>
  <c r="CY117" i="8"/>
  <c r="CZ117" i="8"/>
  <c r="DA117" i="8"/>
  <c r="DB117" i="8"/>
  <c r="DC117" i="8"/>
  <c r="DD117" i="8"/>
  <c r="DE117" i="8"/>
  <c r="DF117" i="8"/>
  <c r="DG117" i="8"/>
  <c r="DH117" i="8"/>
  <c r="DI117" i="8"/>
  <c r="DJ117" i="8"/>
  <c r="DK117" i="8"/>
  <c r="DL117" i="8"/>
  <c r="DM117" i="8"/>
  <c r="DN117" i="8"/>
  <c r="DO117" i="8"/>
  <c r="DP117" i="8"/>
  <c r="DQ117" i="8"/>
  <c r="DR117" i="8"/>
  <c r="DS117" i="8"/>
  <c r="DT117" i="8"/>
  <c r="DU117" i="8"/>
  <c r="DV117" i="8"/>
  <c r="DW117" i="8"/>
  <c r="DX117" i="8"/>
  <c r="DY117" i="8"/>
  <c r="DZ117" i="8"/>
  <c r="EA117" i="8"/>
  <c r="EB117" i="8"/>
  <c r="EC117" i="8"/>
  <c r="ED117" i="8"/>
  <c r="EE117" i="8"/>
  <c r="EF117" i="8"/>
  <c r="EG117" i="8"/>
  <c r="EH117" i="8"/>
  <c r="EI117" i="8"/>
  <c r="EJ117" i="8"/>
  <c r="EK117" i="8"/>
  <c r="EL117" i="8"/>
  <c r="EM117" i="8"/>
  <c r="EN117" i="8"/>
  <c r="EO117" i="8"/>
  <c r="EP117" i="8"/>
  <c r="EQ117" i="8"/>
  <c r="ER117" i="8"/>
  <c r="ES117" i="8"/>
  <c r="ET117" i="8"/>
  <c r="EU117" i="8"/>
  <c r="EV117" i="8"/>
  <c r="EW117" i="8"/>
  <c r="EX117" i="8"/>
  <c r="EY117" i="8"/>
  <c r="EZ117" i="8"/>
  <c r="FA117" i="8"/>
  <c r="FB117" i="8"/>
  <c r="FC117" i="8"/>
  <c r="FD117" i="8"/>
  <c r="FE117" i="8"/>
  <c r="FF117" i="8"/>
  <c r="FG117" i="8"/>
  <c r="FH117" i="8"/>
  <c r="FI117" i="8"/>
  <c r="FJ117" i="8"/>
  <c r="FK117" i="8"/>
  <c r="FL117" i="8"/>
  <c r="FM117" i="8"/>
  <c r="FN117" i="8"/>
  <c r="FO117" i="8"/>
  <c r="FP117" i="8"/>
  <c r="FQ117" i="8"/>
  <c r="FR117" i="8"/>
  <c r="FS117" i="8"/>
  <c r="FT117" i="8"/>
  <c r="FU117" i="8"/>
  <c r="FV117" i="8"/>
  <c r="FW117" i="8"/>
  <c r="FX117" i="8"/>
  <c r="FY117" i="8"/>
  <c r="FZ117" i="8"/>
  <c r="GA117" i="8"/>
  <c r="GB117" i="8"/>
  <c r="GC117" i="8"/>
  <c r="GD117" i="8"/>
  <c r="GE117" i="8"/>
  <c r="GF117" i="8"/>
  <c r="GG117" i="8"/>
  <c r="GH117" i="8"/>
  <c r="GI117" i="8"/>
  <c r="GJ117" i="8"/>
  <c r="GK117" i="8"/>
  <c r="GL117" i="8"/>
  <c r="GM117" i="8"/>
  <c r="GN117" i="8"/>
  <c r="GO117" i="8"/>
  <c r="GP117" i="8"/>
  <c r="GQ117" i="8"/>
  <c r="GR117" i="8"/>
  <c r="GS117" i="8"/>
  <c r="GT117" i="8"/>
  <c r="GU117" i="8"/>
  <c r="GV117" i="8"/>
  <c r="GW117" i="8"/>
  <c r="GX117" i="8"/>
  <c r="GY117" i="8"/>
  <c r="GZ117" i="8"/>
  <c r="HA117" i="8"/>
  <c r="HB117" i="8"/>
  <c r="HC117" i="8"/>
  <c r="HD117" i="8"/>
  <c r="HE117" i="8"/>
  <c r="HF117" i="8"/>
  <c r="HG117" i="8"/>
  <c r="HH117" i="8"/>
  <c r="HI117" i="8"/>
  <c r="HJ117" i="8"/>
  <c r="HK117" i="8"/>
  <c r="HL117" i="8"/>
  <c r="HM117" i="8"/>
  <c r="HN117" i="8"/>
  <c r="HO117" i="8"/>
  <c r="HP117" i="8"/>
  <c r="HQ117" i="8"/>
  <c r="HR117" i="8"/>
  <c r="HS117" i="8"/>
  <c r="HT117" i="8"/>
  <c r="HU117" i="8"/>
  <c r="HV117" i="8"/>
  <c r="HW117" i="8"/>
  <c r="HX117" i="8"/>
  <c r="HY117" i="8"/>
  <c r="HZ117" i="8"/>
  <c r="IA117" i="8"/>
  <c r="IB117" i="8"/>
  <c r="IC117" i="8"/>
  <c r="ID117" i="8"/>
  <c r="IE117" i="8"/>
  <c r="IF117" i="8"/>
  <c r="IG117" i="8"/>
  <c r="IH117" i="8"/>
  <c r="II117" i="8"/>
  <c r="IJ117" i="8"/>
  <c r="IK117" i="8"/>
  <c r="IL117" i="8"/>
  <c r="IM117" i="8"/>
  <c r="IN117" i="8"/>
  <c r="IO117" i="8"/>
  <c r="IP117" i="8"/>
  <c r="IQ117" i="8"/>
  <c r="IR117" i="8"/>
  <c r="IS117" i="8"/>
  <c r="IT117" i="8"/>
  <c r="IU117" i="8"/>
  <c r="IV117" i="8"/>
  <c r="F118" i="8"/>
  <c r="G118" i="8"/>
  <c r="H118" i="8"/>
  <c r="I118" i="8"/>
  <c r="J118" i="8"/>
  <c r="K118" i="8"/>
  <c r="L118" i="8"/>
  <c r="M118" i="8"/>
  <c r="N118" i="8"/>
  <c r="O118" i="8"/>
  <c r="P118" i="8"/>
  <c r="Q118" i="8"/>
  <c r="R118" i="8"/>
  <c r="S118" i="8"/>
  <c r="T118" i="8"/>
  <c r="U118" i="8"/>
  <c r="V118" i="8"/>
  <c r="W118" i="8"/>
  <c r="X118" i="8"/>
  <c r="Y118" i="8"/>
  <c r="Z118" i="8"/>
  <c r="AA118" i="8"/>
  <c r="AB118" i="8"/>
  <c r="AC118" i="8"/>
  <c r="AD118" i="8"/>
  <c r="AE118" i="8"/>
  <c r="AF118" i="8"/>
  <c r="AG118" i="8"/>
  <c r="AH118" i="8"/>
  <c r="AI118" i="8"/>
  <c r="AJ118" i="8"/>
  <c r="AK118" i="8"/>
  <c r="AL118" i="8"/>
  <c r="AM118" i="8"/>
  <c r="AN118" i="8"/>
  <c r="AO118" i="8"/>
  <c r="AP118" i="8"/>
  <c r="AQ118" i="8"/>
  <c r="AR118" i="8"/>
  <c r="AS118" i="8"/>
  <c r="AT118" i="8"/>
  <c r="AU118" i="8"/>
  <c r="AV118" i="8"/>
  <c r="AW118" i="8"/>
  <c r="AX118" i="8"/>
  <c r="AY118" i="8"/>
  <c r="AZ118" i="8"/>
  <c r="BA118" i="8"/>
  <c r="BB118" i="8"/>
  <c r="BC118" i="8"/>
  <c r="BD118" i="8"/>
  <c r="BE118" i="8"/>
  <c r="BF118" i="8"/>
  <c r="BG118" i="8"/>
  <c r="BH118" i="8"/>
  <c r="BI118" i="8"/>
  <c r="BJ118" i="8"/>
  <c r="BK118" i="8"/>
  <c r="BL118" i="8"/>
  <c r="BM118" i="8"/>
  <c r="BN118" i="8"/>
  <c r="BO118" i="8"/>
  <c r="BP118" i="8"/>
  <c r="BQ118" i="8"/>
  <c r="BR118" i="8"/>
  <c r="BS118" i="8"/>
  <c r="BT118" i="8"/>
  <c r="BU118" i="8"/>
  <c r="BV118" i="8"/>
  <c r="BW118" i="8"/>
  <c r="BX118" i="8"/>
  <c r="BY118" i="8"/>
  <c r="BZ118" i="8"/>
  <c r="CA118" i="8"/>
  <c r="CB118" i="8"/>
  <c r="CC118" i="8"/>
  <c r="CD118" i="8"/>
  <c r="CE118" i="8"/>
  <c r="CF118" i="8"/>
  <c r="CG118" i="8"/>
  <c r="CH118" i="8"/>
  <c r="CI118" i="8"/>
  <c r="CJ118" i="8"/>
  <c r="CK118" i="8"/>
  <c r="CL118" i="8"/>
  <c r="CM118" i="8"/>
  <c r="CN118" i="8"/>
  <c r="CO118" i="8"/>
  <c r="CP118" i="8"/>
  <c r="CQ118" i="8"/>
  <c r="CR118" i="8"/>
  <c r="CS118" i="8"/>
  <c r="CT118" i="8"/>
  <c r="CU118" i="8"/>
  <c r="CV118" i="8"/>
  <c r="CW118" i="8"/>
  <c r="CX118" i="8"/>
  <c r="CY118" i="8"/>
  <c r="CZ118" i="8"/>
  <c r="DA118" i="8"/>
  <c r="DB118" i="8"/>
  <c r="DC118" i="8"/>
  <c r="DD118" i="8"/>
  <c r="DE118" i="8"/>
  <c r="DF118" i="8"/>
  <c r="DG118" i="8"/>
  <c r="DH118" i="8"/>
  <c r="DI118" i="8"/>
  <c r="DJ118" i="8"/>
  <c r="DK118" i="8"/>
  <c r="DL118" i="8"/>
  <c r="DM118" i="8"/>
  <c r="DN118" i="8"/>
  <c r="DO118" i="8"/>
  <c r="DP118" i="8"/>
  <c r="DQ118" i="8"/>
  <c r="DR118" i="8"/>
  <c r="DS118" i="8"/>
  <c r="DT118" i="8"/>
  <c r="DU118" i="8"/>
  <c r="DV118" i="8"/>
  <c r="DW118" i="8"/>
  <c r="DX118" i="8"/>
  <c r="DY118" i="8"/>
  <c r="DZ118" i="8"/>
  <c r="EA118" i="8"/>
  <c r="EB118" i="8"/>
  <c r="EC118" i="8"/>
  <c r="ED118" i="8"/>
  <c r="EE118" i="8"/>
  <c r="EF118" i="8"/>
  <c r="EG118" i="8"/>
  <c r="EH118" i="8"/>
  <c r="EI118" i="8"/>
  <c r="EJ118" i="8"/>
  <c r="EK118" i="8"/>
  <c r="EL118" i="8"/>
  <c r="EM118" i="8"/>
  <c r="EN118" i="8"/>
  <c r="EO118" i="8"/>
  <c r="EP118" i="8"/>
  <c r="EQ118" i="8"/>
  <c r="ER118" i="8"/>
  <c r="ES118" i="8"/>
  <c r="ET118" i="8"/>
  <c r="EU118" i="8"/>
  <c r="EV118" i="8"/>
  <c r="EW118" i="8"/>
  <c r="EX118" i="8"/>
  <c r="EY118" i="8"/>
  <c r="EZ118" i="8"/>
  <c r="FA118" i="8"/>
  <c r="FB118" i="8"/>
  <c r="FC118" i="8"/>
  <c r="FD118" i="8"/>
  <c r="FE118" i="8"/>
  <c r="FF118" i="8"/>
  <c r="FG118" i="8"/>
  <c r="FH118" i="8"/>
  <c r="FI118" i="8"/>
  <c r="FJ118" i="8"/>
  <c r="FK118" i="8"/>
  <c r="FL118" i="8"/>
  <c r="FM118" i="8"/>
  <c r="FN118" i="8"/>
  <c r="FO118" i="8"/>
  <c r="FP118" i="8"/>
  <c r="FQ118" i="8"/>
  <c r="FR118" i="8"/>
  <c r="FS118" i="8"/>
  <c r="FT118" i="8"/>
  <c r="FU118" i="8"/>
  <c r="FV118" i="8"/>
  <c r="FW118" i="8"/>
  <c r="FX118" i="8"/>
  <c r="FY118" i="8"/>
  <c r="FZ118" i="8"/>
  <c r="GA118" i="8"/>
  <c r="GB118" i="8"/>
  <c r="GC118" i="8"/>
  <c r="GD118" i="8"/>
  <c r="GE118" i="8"/>
  <c r="GF118" i="8"/>
  <c r="GG118" i="8"/>
  <c r="GH118" i="8"/>
  <c r="GI118" i="8"/>
  <c r="GJ118" i="8"/>
  <c r="GK118" i="8"/>
  <c r="GL118" i="8"/>
  <c r="GM118" i="8"/>
  <c r="GN118" i="8"/>
  <c r="GO118" i="8"/>
  <c r="GP118" i="8"/>
  <c r="GQ118" i="8"/>
  <c r="GR118" i="8"/>
  <c r="GS118" i="8"/>
  <c r="GT118" i="8"/>
  <c r="GU118" i="8"/>
  <c r="GV118" i="8"/>
  <c r="GW118" i="8"/>
  <c r="GX118" i="8"/>
  <c r="GY118" i="8"/>
  <c r="GZ118" i="8"/>
  <c r="HA118" i="8"/>
  <c r="HB118" i="8"/>
  <c r="HC118" i="8"/>
  <c r="HD118" i="8"/>
  <c r="HE118" i="8"/>
  <c r="HF118" i="8"/>
  <c r="HG118" i="8"/>
  <c r="HH118" i="8"/>
  <c r="HI118" i="8"/>
  <c r="HJ118" i="8"/>
  <c r="HK118" i="8"/>
  <c r="HL118" i="8"/>
  <c r="HM118" i="8"/>
  <c r="HN118" i="8"/>
  <c r="HO118" i="8"/>
  <c r="HP118" i="8"/>
  <c r="HQ118" i="8"/>
  <c r="HR118" i="8"/>
  <c r="HS118" i="8"/>
  <c r="HT118" i="8"/>
  <c r="HU118" i="8"/>
  <c r="HV118" i="8"/>
  <c r="HW118" i="8"/>
  <c r="HX118" i="8"/>
  <c r="HY118" i="8"/>
  <c r="HZ118" i="8"/>
  <c r="IA118" i="8"/>
  <c r="IB118" i="8"/>
  <c r="IC118" i="8"/>
  <c r="ID118" i="8"/>
  <c r="IE118" i="8"/>
  <c r="IF118" i="8"/>
  <c r="IG118" i="8"/>
  <c r="IH118" i="8"/>
  <c r="II118" i="8"/>
  <c r="IJ118" i="8"/>
  <c r="IK118" i="8"/>
  <c r="IL118" i="8"/>
  <c r="IM118" i="8"/>
  <c r="IN118" i="8"/>
  <c r="IO118" i="8"/>
  <c r="IP118" i="8"/>
  <c r="IQ118" i="8"/>
  <c r="IR118" i="8"/>
  <c r="IS118" i="8"/>
  <c r="IT118" i="8"/>
  <c r="IU118" i="8"/>
  <c r="IV118" i="8"/>
  <c r="F119" i="8"/>
  <c r="G119" i="8"/>
  <c r="H119" i="8"/>
  <c r="I119" i="8"/>
  <c r="J119" i="8"/>
  <c r="K119" i="8"/>
  <c r="L119" i="8"/>
  <c r="M119" i="8"/>
  <c r="N119" i="8"/>
  <c r="O119" i="8"/>
  <c r="P119" i="8"/>
  <c r="Q119" i="8"/>
  <c r="R119" i="8"/>
  <c r="S119" i="8"/>
  <c r="T119" i="8"/>
  <c r="U119" i="8"/>
  <c r="V119" i="8"/>
  <c r="W119" i="8"/>
  <c r="X119" i="8"/>
  <c r="Y119" i="8"/>
  <c r="Z119" i="8"/>
  <c r="AA119" i="8"/>
  <c r="AB119" i="8"/>
  <c r="AC119" i="8"/>
  <c r="AD119" i="8"/>
  <c r="AE119" i="8"/>
  <c r="AF119" i="8"/>
  <c r="AG119" i="8"/>
  <c r="AH119" i="8"/>
  <c r="AI119" i="8"/>
  <c r="AJ119" i="8"/>
  <c r="AK119" i="8"/>
  <c r="AL119" i="8"/>
  <c r="AM119" i="8"/>
  <c r="AN119" i="8"/>
  <c r="AO119" i="8"/>
  <c r="AP119" i="8"/>
  <c r="AQ119" i="8"/>
  <c r="AR119" i="8"/>
  <c r="AS119" i="8"/>
  <c r="AT119" i="8"/>
  <c r="AU119" i="8"/>
  <c r="AV119" i="8"/>
  <c r="AW119" i="8"/>
  <c r="AX119" i="8"/>
  <c r="AY119" i="8"/>
  <c r="AZ119" i="8"/>
  <c r="BA119" i="8"/>
  <c r="BB119" i="8"/>
  <c r="BC119" i="8"/>
  <c r="BD119" i="8"/>
  <c r="BE119" i="8"/>
  <c r="BF119" i="8"/>
  <c r="BG119" i="8"/>
  <c r="BH119" i="8"/>
  <c r="BI119" i="8"/>
  <c r="BJ119" i="8"/>
  <c r="BK119" i="8"/>
  <c r="BL119" i="8"/>
  <c r="BM119" i="8"/>
  <c r="BN119" i="8"/>
  <c r="BO119" i="8"/>
  <c r="BP119" i="8"/>
  <c r="BQ119" i="8"/>
  <c r="BR119" i="8"/>
  <c r="BS119" i="8"/>
  <c r="BT119" i="8"/>
  <c r="BU119" i="8"/>
  <c r="BV119" i="8"/>
  <c r="BW119" i="8"/>
  <c r="BX119" i="8"/>
  <c r="BY119" i="8"/>
  <c r="BZ119" i="8"/>
  <c r="CA119" i="8"/>
  <c r="CB119" i="8"/>
  <c r="CC119" i="8"/>
  <c r="CD119" i="8"/>
  <c r="CE119" i="8"/>
  <c r="CF119" i="8"/>
  <c r="CG119" i="8"/>
  <c r="CH119" i="8"/>
  <c r="CI119" i="8"/>
  <c r="CJ119" i="8"/>
  <c r="CK119" i="8"/>
  <c r="CL119" i="8"/>
  <c r="CM119" i="8"/>
  <c r="CN119" i="8"/>
  <c r="CO119" i="8"/>
  <c r="CP119" i="8"/>
  <c r="CQ119" i="8"/>
  <c r="CR119" i="8"/>
  <c r="CS119" i="8"/>
  <c r="CT119" i="8"/>
  <c r="CU119" i="8"/>
  <c r="CV119" i="8"/>
  <c r="CW119" i="8"/>
  <c r="CX119" i="8"/>
  <c r="CY119" i="8"/>
  <c r="CZ119" i="8"/>
  <c r="DA119" i="8"/>
  <c r="DB119" i="8"/>
  <c r="DC119" i="8"/>
  <c r="DD119" i="8"/>
  <c r="DE119" i="8"/>
  <c r="DF119" i="8"/>
  <c r="DG119" i="8"/>
  <c r="DH119" i="8"/>
  <c r="DI119" i="8"/>
  <c r="DJ119" i="8"/>
  <c r="DK119" i="8"/>
  <c r="DL119" i="8"/>
  <c r="DM119" i="8"/>
  <c r="DN119" i="8"/>
  <c r="DO119" i="8"/>
  <c r="DP119" i="8"/>
  <c r="DQ119" i="8"/>
  <c r="DR119" i="8"/>
  <c r="DS119" i="8"/>
  <c r="DT119" i="8"/>
  <c r="DU119" i="8"/>
  <c r="DV119" i="8"/>
  <c r="DW119" i="8"/>
  <c r="DX119" i="8"/>
  <c r="DY119" i="8"/>
  <c r="DZ119" i="8"/>
  <c r="EA119" i="8"/>
  <c r="EB119" i="8"/>
  <c r="EC119" i="8"/>
  <c r="ED119" i="8"/>
  <c r="EE119" i="8"/>
  <c r="EF119" i="8"/>
  <c r="EG119" i="8"/>
  <c r="EH119" i="8"/>
  <c r="EI119" i="8"/>
  <c r="EJ119" i="8"/>
  <c r="EK119" i="8"/>
  <c r="EL119" i="8"/>
  <c r="EM119" i="8"/>
  <c r="EN119" i="8"/>
  <c r="EO119" i="8"/>
  <c r="EP119" i="8"/>
  <c r="EQ119" i="8"/>
  <c r="ER119" i="8"/>
  <c r="ES119" i="8"/>
  <c r="ET119" i="8"/>
  <c r="EU119" i="8"/>
  <c r="EV119" i="8"/>
  <c r="EW119" i="8"/>
  <c r="EX119" i="8"/>
  <c r="EY119" i="8"/>
  <c r="EZ119" i="8"/>
  <c r="FA119" i="8"/>
  <c r="FB119" i="8"/>
  <c r="FC119" i="8"/>
  <c r="FD119" i="8"/>
  <c r="FE119" i="8"/>
  <c r="FF119" i="8"/>
  <c r="FG119" i="8"/>
  <c r="FH119" i="8"/>
  <c r="FI119" i="8"/>
  <c r="FJ119" i="8"/>
  <c r="FK119" i="8"/>
  <c r="FL119" i="8"/>
  <c r="FM119" i="8"/>
  <c r="FN119" i="8"/>
  <c r="FO119" i="8"/>
  <c r="FP119" i="8"/>
  <c r="FQ119" i="8"/>
  <c r="FR119" i="8"/>
  <c r="FS119" i="8"/>
  <c r="FT119" i="8"/>
  <c r="FU119" i="8"/>
  <c r="FV119" i="8"/>
  <c r="FW119" i="8"/>
  <c r="FX119" i="8"/>
  <c r="FY119" i="8"/>
  <c r="FZ119" i="8"/>
  <c r="GA119" i="8"/>
  <c r="GB119" i="8"/>
  <c r="GC119" i="8"/>
  <c r="GD119" i="8"/>
  <c r="GE119" i="8"/>
  <c r="GF119" i="8"/>
  <c r="GG119" i="8"/>
  <c r="GH119" i="8"/>
  <c r="GI119" i="8"/>
  <c r="GJ119" i="8"/>
  <c r="GK119" i="8"/>
  <c r="GL119" i="8"/>
  <c r="GM119" i="8"/>
  <c r="GN119" i="8"/>
  <c r="GO119" i="8"/>
  <c r="GP119" i="8"/>
  <c r="GQ119" i="8"/>
  <c r="GR119" i="8"/>
  <c r="GS119" i="8"/>
  <c r="GT119" i="8"/>
  <c r="GU119" i="8"/>
  <c r="GV119" i="8"/>
  <c r="GW119" i="8"/>
  <c r="GX119" i="8"/>
  <c r="GY119" i="8"/>
  <c r="GZ119" i="8"/>
  <c r="HA119" i="8"/>
  <c r="HB119" i="8"/>
  <c r="HC119" i="8"/>
  <c r="HD119" i="8"/>
  <c r="HE119" i="8"/>
  <c r="HF119" i="8"/>
  <c r="HG119" i="8"/>
  <c r="HH119" i="8"/>
  <c r="HI119" i="8"/>
  <c r="HJ119" i="8"/>
  <c r="HK119" i="8"/>
  <c r="HL119" i="8"/>
  <c r="HM119" i="8"/>
  <c r="HN119" i="8"/>
  <c r="HO119" i="8"/>
  <c r="HP119" i="8"/>
  <c r="HQ119" i="8"/>
  <c r="HR119" i="8"/>
  <c r="HS119" i="8"/>
  <c r="HT119" i="8"/>
  <c r="HU119" i="8"/>
  <c r="HV119" i="8"/>
  <c r="HW119" i="8"/>
  <c r="HX119" i="8"/>
  <c r="HY119" i="8"/>
  <c r="HZ119" i="8"/>
  <c r="IA119" i="8"/>
  <c r="IB119" i="8"/>
  <c r="IC119" i="8"/>
  <c r="ID119" i="8"/>
  <c r="IE119" i="8"/>
  <c r="IF119" i="8"/>
  <c r="IG119" i="8"/>
  <c r="IH119" i="8"/>
  <c r="II119" i="8"/>
  <c r="IJ119" i="8"/>
  <c r="IK119" i="8"/>
  <c r="IL119" i="8"/>
  <c r="IM119" i="8"/>
  <c r="IN119" i="8"/>
  <c r="IO119" i="8"/>
  <c r="IP119" i="8"/>
  <c r="IQ119" i="8"/>
  <c r="IR119" i="8"/>
  <c r="IS119" i="8"/>
  <c r="IT119" i="8"/>
  <c r="IU119" i="8"/>
  <c r="IV119" i="8"/>
  <c r="F120" i="8"/>
  <c r="G120" i="8"/>
  <c r="H120" i="8"/>
  <c r="I120" i="8"/>
  <c r="J120" i="8"/>
  <c r="K120" i="8"/>
  <c r="L120" i="8"/>
  <c r="M120" i="8"/>
  <c r="N120" i="8"/>
  <c r="O120" i="8"/>
  <c r="P120" i="8"/>
  <c r="Q120" i="8"/>
  <c r="R120" i="8"/>
  <c r="S120" i="8"/>
  <c r="T120" i="8"/>
  <c r="U120" i="8"/>
  <c r="V120" i="8"/>
  <c r="W120" i="8"/>
  <c r="X120" i="8"/>
  <c r="Y120" i="8"/>
  <c r="Z120" i="8"/>
  <c r="AA120" i="8"/>
  <c r="AB120" i="8"/>
  <c r="AC120" i="8"/>
  <c r="AD120" i="8"/>
  <c r="AE120" i="8"/>
  <c r="AF120" i="8"/>
  <c r="AG120" i="8"/>
  <c r="AH120" i="8"/>
  <c r="AI120" i="8"/>
  <c r="AJ120" i="8"/>
  <c r="AK120" i="8"/>
  <c r="AL120" i="8"/>
  <c r="AM120" i="8"/>
  <c r="AN120" i="8"/>
  <c r="AO120" i="8"/>
  <c r="AP120" i="8"/>
  <c r="AQ120" i="8"/>
  <c r="AR120" i="8"/>
  <c r="AS120" i="8"/>
  <c r="AT120" i="8"/>
  <c r="AU120" i="8"/>
  <c r="AV120" i="8"/>
  <c r="AW120" i="8"/>
  <c r="AX120" i="8"/>
  <c r="AY120" i="8"/>
  <c r="AZ120" i="8"/>
  <c r="BA120" i="8"/>
  <c r="BB120" i="8"/>
  <c r="BC120" i="8"/>
  <c r="BD120" i="8"/>
  <c r="BE120" i="8"/>
  <c r="BF120" i="8"/>
  <c r="BG120" i="8"/>
  <c r="BH120" i="8"/>
  <c r="BI120" i="8"/>
  <c r="BJ120" i="8"/>
  <c r="BK120" i="8"/>
  <c r="BL120" i="8"/>
  <c r="BM120" i="8"/>
  <c r="BN120" i="8"/>
  <c r="BO120" i="8"/>
  <c r="BP120" i="8"/>
  <c r="BQ120" i="8"/>
  <c r="BR120" i="8"/>
  <c r="BS120" i="8"/>
  <c r="BT120" i="8"/>
  <c r="BU120" i="8"/>
  <c r="BV120" i="8"/>
  <c r="BW120" i="8"/>
  <c r="BX120" i="8"/>
  <c r="BY120" i="8"/>
  <c r="BZ120" i="8"/>
  <c r="CA120" i="8"/>
  <c r="CB120" i="8"/>
  <c r="CC120" i="8"/>
  <c r="CD120" i="8"/>
  <c r="CE120" i="8"/>
  <c r="CF120" i="8"/>
  <c r="CG120" i="8"/>
  <c r="CH120" i="8"/>
  <c r="CI120" i="8"/>
  <c r="CJ120" i="8"/>
  <c r="CK120" i="8"/>
  <c r="CL120" i="8"/>
  <c r="CM120" i="8"/>
  <c r="CN120" i="8"/>
  <c r="CO120" i="8"/>
  <c r="CP120" i="8"/>
  <c r="CQ120" i="8"/>
  <c r="CR120" i="8"/>
  <c r="CS120" i="8"/>
  <c r="CT120" i="8"/>
  <c r="CU120" i="8"/>
  <c r="CV120" i="8"/>
  <c r="CW120" i="8"/>
  <c r="CX120" i="8"/>
  <c r="CY120" i="8"/>
  <c r="CZ120" i="8"/>
  <c r="DA120" i="8"/>
  <c r="DB120" i="8"/>
  <c r="DC120" i="8"/>
  <c r="DD120" i="8"/>
  <c r="DE120" i="8"/>
  <c r="DF120" i="8"/>
  <c r="DG120" i="8"/>
  <c r="DH120" i="8"/>
  <c r="DI120" i="8"/>
  <c r="DJ120" i="8"/>
  <c r="DK120" i="8"/>
  <c r="DL120" i="8"/>
  <c r="DM120" i="8"/>
  <c r="DN120" i="8"/>
  <c r="DO120" i="8"/>
  <c r="DP120" i="8"/>
  <c r="DQ120" i="8"/>
  <c r="DR120" i="8"/>
  <c r="DS120" i="8"/>
  <c r="DT120" i="8"/>
  <c r="DU120" i="8"/>
  <c r="DV120" i="8"/>
  <c r="DW120" i="8"/>
  <c r="DX120" i="8"/>
  <c r="DY120" i="8"/>
  <c r="DZ120" i="8"/>
  <c r="EA120" i="8"/>
  <c r="EB120" i="8"/>
  <c r="EC120" i="8"/>
  <c r="ED120" i="8"/>
  <c r="EE120" i="8"/>
  <c r="EF120" i="8"/>
  <c r="EG120" i="8"/>
  <c r="EH120" i="8"/>
  <c r="EI120" i="8"/>
  <c r="EJ120" i="8"/>
  <c r="EK120" i="8"/>
  <c r="EL120" i="8"/>
  <c r="EM120" i="8"/>
  <c r="EN120" i="8"/>
  <c r="EO120" i="8"/>
  <c r="EP120" i="8"/>
  <c r="EQ120" i="8"/>
  <c r="ER120" i="8"/>
  <c r="ES120" i="8"/>
  <c r="ET120" i="8"/>
  <c r="EU120" i="8"/>
  <c r="EV120" i="8"/>
  <c r="EW120" i="8"/>
  <c r="EX120" i="8"/>
  <c r="EY120" i="8"/>
  <c r="EZ120" i="8"/>
  <c r="FA120" i="8"/>
  <c r="FB120" i="8"/>
  <c r="FC120" i="8"/>
  <c r="FD120" i="8"/>
  <c r="FE120" i="8"/>
  <c r="FF120" i="8"/>
  <c r="FG120" i="8"/>
  <c r="FH120" i="8"/>
  <c r="FI120" i="8"/>
  <c r="FJ120" i="8"/>
  <c r="FK120" i="8"/>
  <c r="FL120" i="8"/>
  <c r="FM120" i="8"/>
  <c r="FN120" i="8"/>
  <c r="FO120" i="8"/>
  <c r="FP120" i="8"/>
  <c r="FQ120" i="8"/>
  <c r="FR120" i="8"/>
  <c r="FS120" i="8"/>
  <c r="FT120" i="8"/>
  <c r="FU120" i="8"/>
  <c r="FV120" i="8"/>
  <c r="FW120" i="8"/>
  <c r="FX120" i="8"/>
  <c r="FY120" i="8"/>
  <c r="FZ120" i="8"/>
  <c r="GA120" i="8"/>
  <c r="GB120" i="8"/>
  <c r="GC120" i="8"/>
  <c r="GD120" i="8"/>
  <c r="GE120" i="8"/>
  <c r="GF120" i="8"/>
  <c r="GG120" i="8"/>
  <c r="GH120" i="8"/>
  <c r="GI120" i="8"/>
  <c r="GJ120" i="8"/>
  <c r="GK120" i="8"/>
  <c r="GL120" i="8"/>
  <c r="GM120" i="8"/>
  <c r="GN120" i="8"/>
  <c r="GO120" i="8"/>
  <c r="GP120" i="8"/>
  <c r="GQ120" i="8"/>
  <c r="GR120" i="8"/>
  <c r="GS120" i="8"/>
  <c r="GT120" i="8"/>
  <c r="GU120" i="8"/>
  <c r="GV120" i="8"/>
  <c r="GW120" i="8"/>
  <c r="GX120" i="8"/>
  <c r="GY120" i="8"/>
  <c r="GZ120" i="8"/>
  <c r="HA120" i="8"/>
  <c r="HB120" i="8"/>
  <c r="HC120" i="8"/>
  <c r="HD120" i="8"/>
  <c r="HE120" i="8"/>
  <c r="HF120" i="8"/>
  <c r="HG120" i="8"/>
  <c r="HH120" i="8"/>
  <c r="HI120" i="8"/>
  <c r="HJ120" i="8"/>
  <c r="HK120" i="8"/>
  <c r="HL120" i="8"/>
  <c r="HM120" i="8"/>
  <c r="HN120" i="8"/>
  <c r="HO120" i="8"/>
  <c r="HP120" i="8"/>
  <c r="HQ120" i="8"/>
  <c r="HR120" i="8"/>
  <c r="HS120" i="8"/>
  <c r="HT120" i="8"/>
  <c r="HU120" i="8"/>
  <c r="HV120" i="8"/>
  <c r="HW120" i="8"/>
  <c r="HX120" i="8"/>
  <c r="HY120" i="8"/>
  <c r="HZ120" i="8"/>
  <c r="IA120" i="8"/>
  <c r="IB120" i="8"/>
  <c r="IC120" i="8"/>
  <c r="ID120" i="8"/>
  <c r="IE120" i="8"/>
  <c r="IF120" i="8"/>
  <c r="IG120" i="8"/>
  <c r="IH120" i="8"/>
  <c r="II120" i="8"/>
  <c r="IJ120" i="8"/>
  <c r="IK120" i="8"/>
  <c r="IL120" i="8"/>
  <c r="IM120" i="8"/>
  <c r="IN120" i="8"/>
  <c r="IO120" i="8"/>
  <c r="IP120" i="8"/>
  <c r="IQ120" i="8"/>
  <c r="IR120" i="8"/>
  <c r="IS120" i="8"/>
  <c r="IT120" i="8"/>
  <c r="IU120" i="8"/>
  <c r="IV120" i="8"/>
  <c r="F121" i="8"/>
  <c r="G121" i="8"/>
  <c r="H121" i="8"/>
  <c r="I121" i="8"/>
  <c r="J121" i="8"/>
  <c r="K121" i="8"/>
  <c r="L121" i="8"/>
  <c r="M121" i="8"/>
  <c r="N121" i="8"/>
  <c r="O121" i="8"/>
  <c r="P121" i="8"/>
  <c r="Q121" i="8"/>
  <c r="R121" i="8"/>
  <c r="S121" i="8"/>
  <c r="T121" i="8"/>
  <c r="U121" i="8"/>
  <c r="V121" i="8"/>
  <c r="W121" i="8"/>
  <c r="X121" i="8"/>
  <c r="Y121" i="8"/>
  <c r="Z121" i="8"/>
  <c r="AA121" i="8"/>
  <c r="AB121" i="8"/>
  <c r="AC121" i="8"/>
  <c r="AD121" i="8"/>
  <c r="AE121" i="8"/>
  <c r="AF121" i="8"/>
  <c r="AG121" i="8"/>
  <c r="AH121" i="8"/>
  <c r="AI121" i="8"/>
  <c r="AJ121" i="8"/>
  <c r="AK121" i="8"/>
  <c r="AL121" i="8"/>
  <c r="AM121" i="8"/>
  <c r="AN121" i="8"/>
  <c r="AO121" i="8"/>
  <c r="AP121" i="8"/>
  <c r="AQ121" i="8"/>
  <c r="AR121" i="8"/>
  <c r="AS121" i="8"/>
  <c r="AT121" i="8"/>
  <c r="AU121" i="8"/>
  <c r="AV121" i="8"/>
  <c r="AW121" i="8"/>
  <c r="AX121" i="8"/>
  <c r="AY121" i="8"/>
  <c r="AZ121" i="8"/>
  <c r="BA121" i="8"/>
  <c r="BB121" i="8"/>
  <c r="BC121" i="8"/>
  <c r="BD121" i="8"/>
  <c r="BE121" i="8"/>
  <c r="BF121" i="8"/>
  <c r="BG121" i="8"/>
  <c r="BH121" i="8"/>
  <c r="BI121" i="8"/>
  <c r="BJ121" i="8"/>
  <c r="BK121" i="8"/>
  <c r="BL121" i="8"/>
  <c r="BM121" i="8"/>
  <c r="BN121" i="8"/>
  <c r="BO121" i="8"/>
  <c r="BP121" i="8"/>
  <c r="BQ121" i="8"/>
  <c r="BR121" i="8"/>
  <c r="BS121" i="8"/>
  <c r="BT121" i="8"/>
  <c r="BU121" i="8"/>
  <c r="BV121" i="8"/>
  <c r="BW121" i="8"/>
  <c r="BX121" i="8"/>
  <c r="BY121" i="8"/>
  <c r="BZ121" i="8"/>
  <c r="CA121" i="8"/>
  <c r="CB121" i="8"/>
  <c r="CC121" i="8"/>
  <c r="CD121" i="8"/>
  <c r="CE121" i="8"/>
  <c r="CF121" i="8"/>
  <c r="CG121" i="8"/>
  <c r="CH121" i="8"/>
  <c r="CI121" i="8"/>
  <c r="CJ121" i="8"/>
  <c r="CK121" i="8"/>
  <c r="CL121" i="8"/>
  <c r="CM121" i="8"/>
  <c r="CN121" i="8"/>
  <c r="CO121" i="8"/>
  <c r="CP121" i="8"/>
  <c r="CQ121" i="8"/>
  <c r="CR121" i="8"/>
  <c r="CS121" i="8"/>
  <c r="CT121" i="8"/>
  <c r="CU121" i="8"/>
  <c r="CV121" i="8"/>
  <c r="CW121" i="8"/>
  <c r="CX121" i="8"/>
  <c r="CY121" i="8"/>
  <c r="CZ121" i="8"/>
  <c r="DA121" i="8"/>
  <c r="DB121" i="8"/>
  <c r="DC121" i="8"/>
  <c r="DD121" i="8"/>
  <c r="DE121" i="8"/>
  <c r="DF121" i="8"/>
  <c r="DG121" i="8"/>
  <c r="DH121" i="8"/>
  <c r="DI121" i="8"/>
  <c r="DJ121" i="8"/>
  <c r="DK121" i="8"/>
  <c r="DL121" i="8"/>
  <c r="DM121" i="8"/>
  <c r="DN121" i="8"/>
  <c r="DO121" i="8"/>
  <c r="DP121" i="8"/>
  <c r="DQ121" i="8"/>
  <c r="DR121" i="8"/>
  <c r="DS121" i="8"/>
  <c r="DT121" i="8"/>
  <c r="DU121" i="8"/>
  <c r="DV121" i="8"/>
  <c r="DW121" i="8"/>
  <c r="DX121" i="8"/>
  <c r="DY121" i="8"/>
  <c r="DZ121" i="8"/>
  <c r="EA121" i="8"/>
  <c r="EB121" i="8"/>
  <c r="EC121" i="8"/>
  <c r="ED121" i="8"/>
  <c r="EE121" i="8"/>
  <c r="EF121" i="8"/>
  <c r="EG121" i="8"/>
  <c r="EH121" i="8"/>
  <c r="EI121" i="8"/>
  <c r="EJ121" i="8"/>
  <c r="EK121" i="8"/>
  <c r="EL121" i="8"/>
  <c r="EM121" i="8"/>
  <c r="EN121" i="8"/>
  <c r="EO121" i="8"/>
  <c r="EP121" i="8"/>
  <c r="EQ121" i="8"/>
  <c r="ER121" i="8"/>
  <c r="ES121" i="8"/>
  <c r="ET121" i="8"/>
  <c r="EU121" i="8"/>
  <c r="EV121" i="8"/>
  <c r="EW121" i="8"/>
  <c r="EX121" i="8"/>
  <c r="EY121" i="8"/>
  <c r="EZ121" i="8"/>
  <c r="FA121" i="8"/>
  <c r="FB121" i="8"/>
  <c r="FC121" i="8"/>
  <c r="FD121" i="8"/>
  <c r="FE121" i="8"/>
  <c r="FF121" i="8"/>
  <c r="FG121" i="8"/>
  <c r="FH121" i="8"/>
  <c r="FI121" i="8"/>
  <c r="FJ121" i="8"/>
  <c r="FK121" i="8"/>
  <c r="FL121" i="8"/>
  <c r="FM121" i="8"/>
  <c r="FN121" i="8"/>
  <c r="FO121" i="8"/>
  <c r="FP121" i="8"/>
  <c r="FQ121" i="8"/>
  <c r="FR121" i="8"/>
  <c r="FS121" i="8"/>
  <c r="FT121" i="8"/>
  <c r="FU121" i="8"/>
  <c r="FV121" i="8"/>
  <c r="FW121" i="8"/>
  <c r="FX121" i="8"/>
  <c r="FY121" i="8"/>
  <c r="FZ121" i="8"/>
  <c r="GA121" i="8"/>
  <c r="GB121" i="8"/>
  <c r="GC121" i="8"/>
  <c r="GD121" i="8"/>
  <c r="GE121" i="8"/>
  <c r="GF121" i="8"/>
  <c r="GG121" i="8"/>
  <c r="GH121" i="8"/>
  <c r="GI121" i="8"/>
  <c r="GJ121" i="8"/>
  <c r="GK121" i="8"/>
  <c r="GL121" i="8"/>
  <c r="GM121" i="8"/>
  <c r="GN121" i="8"/>
  <c r="GO121" i="8"/>
  <c r="GP121" i="8"/>
  <c r="GQ121" i="8"/>
  <c r="GR121" i="8"/>
  <c r="GS121" i="8"/>
  <c r="GT121" i="8"/>
  <c r="GU121" i="8"/>
  <c r="GV121" i="8"/>
  <c r="GW121" i="8"/>
  <c r="GX121" i="8"/>
  <c r="GY121" i="8"/>
  <c r="GZ121" i="8"/>
  <c r="HA121" i="8"/>
  <c r="HB121" i="8"/>
  <c r="HC121" i="8"/>
  <c r="HD121" i="8"/>
  <c r="HE121" i="8"/>
  <c r="HF121" i="8"/>
  <c r="HG121" i="8"/>
  <c r="HH121" i="8"/>
  <c r="HI121" i="8"/>
  <c r="HJ121" i="8"/>
  <c r="HK121" i="8"/>
  <c r="HL121" i="8"/>
  <c r="HM121" i="8"/>
  <c r="HN121" i="8"/>
  <c r="HO121" i="8"/>
  <c r="HP121" i="8"/>
  <c r="HQ121" i="8"/>
  <c r="HR121" i="8"/>
  <c r="HS121" i="8"/>
  <c r="HT121" i="8"/>
  <c r="HU121" i="8"/>
  <c r="HV121" i="8"/>
  <c r="HW121" i="8"/>
  <c r="HX121" i="8"/>
  <c r="HY121" i="8"/>
  <c r="HZ121" i="8"/>
  <c r="IA121" i="8"/>
  <c r="IB121" i="8"/>
  <c r="IC121" i="8"/>
  <c r="ID121" i="8"/>
  <c r="IE121" i="8"/>
  <c r="IF121" i="8"/>
  <c r="IG121" i="8"/>
  <c r="IH121" i="8"/>
  <c r="II121" i="8"/>
  <c r="IJ121" i="8"/>
  <c r="IK121" i="8"/>
  <c r="IL121" i="8"/>
  <c r="IM121" i="8"/>
  <c r="IN121" i="8"/>
  <c r="IO121" i="8"/>
  <c r="IP121" i="8"/>
  <c r="IQ121" i="8"/>
  <c r="IR121" i="8"/>
  <c r="IS121" i="8"/>
  <c r="IT121" i="8"/>
  <c r="IU121" i="8"/>
  <c r="IV121" i="8"/>
  <c r="F122" i="8"/>
  <c r="G122" i="8"/>
  <c r="H122" i="8"/>
  <c r="I122" i="8"/>
  <c r="J122" i="8"/>
  <c r="K122" i="8"/>
  <c r="L122" i="8"/>
  <c r="M122" i="8"/>
  <c r="N122" i="8"/>
  <c r="O122" i="8"/>
  <c r="P122" i="8"/>
  <c r="Q122" i="8"/>
  <c r="R122" i="8"/>
  <c r="S122" i="8"/>
  <c r="T122" i="8"/>
  <c r="U122" i="8"/>
  <c r="V122" i="8"/>
  <c r="W122" i="8"/>
  <c r="X122" i="8"/>
  <c r="Y122" i="8"/>
  <c r="Z122" i="8"/>
  <c r="AA122" i="8"/>
  <c r="AB122" i="8"/>
  <c r="AC122" i="8"/>
  <c r="AD122" i="8"/>
  <c r="AE122" i="8"/>
  <c r="AF122" i="8"/>
  <c r="AG122" i="8"/>
  <c r="AH122" i="8"/>
  <c r="AI122" i="8"/>
  <c r="AJ122" i="8"/>
  <c r="AK122" i="8"/>
  <c r="AL122" i="8"/>
  <c r="AM122" i="8"/>
  <c r="AN122" i="8"/>
  <c r="AO122" i="8"/>
  <c r="AP122" i="8"/>
  <c r="AQ122" i="8"/>
  <c r="AR122" i="8"/>
  <c r="AS122" i="8"/>
  <c r="AT122" i="8"/>
  <c r="AU122" i="8"/>
  <c r="AV122" i="8"/>
  <c r="AW122" i="8"/>
  <c r="AX122" i="8"/>
  <c r="AY122" i="8"/>
  <c r="AZ122" i="8"/>
  <c r="BA122" i="8"/>
  <c r="BB122" i="8"/>
  <c r="BC122" i="8"/>
  <c r="BD122" i="8"/>
  <c r="BE122" i="8"/>
  <c r="BF122" i="8"/>
  <c r="BG122" i="8"/>
  <c r="BH122" i="8"/>
  <c r="BI122" i="8"/>
  <c r="BJ122" i="8"/>
  <c r="BK122" i="8"/>
  <c r="BL122" i="8"/>
  <c r="BM122" i="8"/>
  <c r="BN122" i="8"/>
  <c r="BO122" i="8"/>
  <c r="BP122" i="8"/>
  <c r="BQ122" i="8"/>
  <c r="BR122" i="8"/>
  <c r="BS122" i="8"/>
  <c r="BT122" i="8"/>
  <c r="BU122" i="8"/>
  <c r="BV122" i="8"/>
  <c r="BW122" i="8"/>
  <c r="BX122" i="8"/>
  <c r="BY122" i="8"/>
  <c r="BZ122" i="8"/>
  <c r="CA122" i="8"/>
  <c r="CB122" i="8"/>
  <c r="CC122" i="8"/>
  <c r="CD122" i="8"/>
  <c r="CE122" i="8"/>
  <c r="CF122" i="8"/>
  <c r="CG122" i="8"/>
  <c r="CH122" i="8"/>
  <c r="CI122" i="8"/>
  <c r="CJ122" i="8"/>
  <c r="CK122" i="8"/>
  <c r="CL122" i="8"/>
  <c r="CM122" i="8"/>
  <c r="CN122" i="8"/>
  <c r="CO122" i="8"/>
  <c r="CP122" i="8"/>
  <c r="CQ122" i="8"/>
  <c r="CR122" i="8"/>
  <c r="CS122" i="8"/>
  <c r="CT122" i="8"/>
  <c r="CU122" i="8"/>
  <c r="CV122" i="8"/>
  <c r="CW122" i="8"/>
  <c r="CX122" i="8"/>
  <c r="CY122" i="8"/>
  <c r="CZ122" i="8"/>
  <c r="DA122" i="8"/>
  <c r="DB122" i="8"/>
  <c r="DC122" i="8"/>
  <c r="DD122" i="8"/>
  <c r="DE122" i="8"/>
  <c r="DF122" i="8"/>
  <c r="DG122" i="8"/>
  <c r="DH122" i="8"/>
  <c r="DI122" i="8"/>
  <c r="DJ122" i="8"/>
  <c r="DK122" i="8"/>
  <c r="DL122" i="8"/>
  <c r="DM122" i="8"/>
  <c r="DN122" i="8"/>
  <c r="DO122" i="8"/>
  <c r="DP122" i="8"/>
  <c r="DQ122" i="8"/>
  <c r="DR122" i="8"/>
  <c r="DS122" i="8"/>
  <c r="DT122" i="8"/>
  <c r="DU122" i="8"/>
  <c r="DV122" i="8"/>
  <c r="DW122" i="8"/>
  <c r="DX122" i="8"/>
  <c r="DY122" i="8"/>
  <c r="DZ122" i="8"/>
  <c r="EA122" i="8"/>
  <c r="EB122" i="8"/>
  <c r="EC122" i="8"/>
  <c r="ED122" i="8"/>
  <c r="EE122" i="8"/>
  <c r="EF122" i="8"/>
  <c r="EG122" i="8"/>
  <c r="EH122" i="8"/>
  <c r="EI122" i="8"/>
  <c r="EJ122" i="8"/>
  <c r="EK122" i="8"/>
  <c r="EL122" i="8"/>
  <c r="EM122" i="8"/>
  <c r="EN122" i="8"/>
  <c r="EO122" i="8"/>
  <c r="EP122" i="8"/>
  <c r="EQ122" i="8"/>
  <c r="ER122" i="8"/>
  <c r="ES122" i="8"/>
  <c r="ET122" i="8"/>
  <c r="EU122" i="8"/>
  <c r="EV122" i="8"/>
  <c r="EW122" i="8"/>
  <c r="EX122" i="8"/>
  <c r="EY122" i="8"/>
  <c r="EZ122" i="8"/>
  <c r="FA122" i="8"/>
  <c r="FB122" i="8"/>
  <c r="FC122" i="8"/>
  <c r="FD122" i="8"/>
  <c r="FE122" i="8"/>
  <c r="FF122" i="8"/>
  <c r="FG122" i="8"/>
  <c r="FH122" i="8"/>
  <c r="FI122" i="8"/>
  <c r="FJ122" i="8"/>
  <c r="FK122" i="8"/>
  <c r="FL122" i="8"/>
  <c r="FM122" i="8"/>
  <c r="FN122" i="8"/>
  <c r="FO122" i="8"/>
  <c r="FP122" i="8"/>
  <c r="FQ122" i="8"/>
  <c r="FR122" i="8"/>
  <c r="FS122" i="8"/>
  <c r="FT122" i="8"/>
  <c r="FU122" i="8"/>
  <c r="FV122" i="8"/>
  <c r="FW122" i="8"/>
  <c r="FX122" i="8"/>
  <c r="FY122" i="8"/>
  <c r="FZ122" i="8"/>
  <c r="GA122" i="8"/>
  <c r="GB122" i="8"/>
  <c r="GC122" i="8"/>
  <c r="GD122" i="8"/>
  <c r="GE122" i="8"/>
  <c r="GF122" i="8"/>
  <c r="GG122" i="8"/>
  <c r="GH122" i="8"/>
  <c r="GI122" i="8"/>
  <c r="GJ122" i="8"/>
  <c r="GK122" i="8"/>
  <c r="GL122" i="8"/>
  <c r="GM122" i="8"/>
  <c r="GN122" i="8"/>
  <c r="GO122" i="8"/>
  <c r="GP122" i="8"/>
  <c r="GQ122" i="8"/>
  <c r="GR122" i="8"/>
  <c r="GS122" i="8"/>
  <c r="GT122" i="8"/>
  <c r="GU122" i="8"/>
  <c r="GV122" i="8"/>
  <c r="GW122" i="8"/>
  <c r="GX122" i="8"/>
  <c r="GY122" i="8"/>
  <c r="GZ122" i="8"/>
  <c r="HA122" i="8"/>
  <c r="HB122" i="8"/>
  <c r="HC122" i="8"/>
  <c r="HD122" i="8"/>
  <c r="HE122" i="8"/>
  <c r="HF122" i="8"/>
  <c r="HG122" i="8"/>
  <c r="HH122" i="8"/>
  <c r="HI122" i="8"/>
  <c r="HJ122" i="8"/>
  <c r="HK122" i="8"/>
  <c r="HL122" i="8"/>
  <c r="HM122" i="8"/>
  <c r="HN122" i="8"/>
  <c r="HO122" i="8"/>
  <c r="HP122" i="8"/>
  <c r="HQ122" i="8"/>
  <c r="HR122" i="8"/>
  <c r="HS122" i="8"/>
  <c r="HT122" i="8"/>
  <c r="HU122" i="8"/>
  <c r="HV122" i="8"/>
  <c r="HW122" i="8"/>
  <c r="HX122" i="8"/>
  <c r="HY122" i="8"/>
  <c r="HZ122" i="8"/>
  <c r="IA122" i="8"/>
  <c r="IB122" i="8"/>
  <c r="IC122" i="8"/>
  <c r="ID122" i="8"/>
  <c r="IE122" i="8"/>
  <c r="IF122" i="8"/>
  <c r="IG122" i="8"/>
  <c r="IH122" i="8"/>
  <c r="II122" i="8"/>
  <c r="IJ122" i="8"/>
  <c r="IK122" i="8"/>
  <c r="IL122" i="8"/>
  <c r="IM122" i="8"/>
  <c r="IN122" i="8"/>
  <c r="IO122" i="8"/>
  <c r="IP122" i="8"/>
  <c r="IQ122" i="8"/>
  <c r="IR122" i="8"/>
  <c r="IS122" i="8"/>
  <c r="IT122" i="8"/>
  <c r="IU122" i="8"/>
  <c r="IV122" i="8"/>
  <c r="F123" i="8"/>
  <c r="G123" i="8"/>
  <c r="H123" i="8"/>
  <c r="I123" i="8"/>
  <c r="J123" i="8"/>
  <c r="K123" i="8"/>
  <c r="L123" i="8"/>
  <c r="M123" i="8"/>
  <c r="N123" i="8"/>
  <c r="O123" i="8"/>
  <c r="P123" i="8"/>
  <c r="Q123" i="8"/>
  <c r="R123" i="8"/>
  <c r="S123" i="8"/>
  <c r="T123" i="8"/>
  <c r="U123" i="8"/>
  <c r="V123" i="8"/>
  <c r="W123" i="8"/>
  <c r="X123" i="8"/>
  <c r="Y123" i="8"/>
  <c r="Z123" i="8"/>
  <c r="AA123" i="8"/>
  <c r="AB123" i="8"/>
  <c r="AC123" i="8"/>
  <c r="AD123" i="8"/>
  <c r="AE123" i="8"/>
  <c r="AF123" i="8"/>
  <c r="AG123" i="8"/>
  <c r="AH123" i="8"/>
  <c r="AI123" i="8"/>
  <c r="AJ123" i="8"/>
  <c r="AK123" i="8"/>
  <c r="AL123" i="8"/>
  <c r="AM123" i="8"/>
  <c r="AN123" i="8"/>
  <c r="AO123" i="8"/>
  <c r="AP123" i="8"/>
  <c r="AQ123" i="8"/>
  <c r="AR123" i="8"/>
  <c r="AS123" i="8"/>
  <c r="AT123" i="8"/>
  <c r="AU123" i="8"/>
  <c r="AV123" i="8"/>
  <c r="AW123" i="8"/>
  <c r="AX123" i="8"/>
  <c r="AY123" i="8"/>
  <c r="AZ123" i="8"/>
  <c r="BA123" i="8"/>
  <c r="BB123" i="8"/>
  <c r="BC123" i="8"/>
  <c r="BD123" i="8"/>
  <c r="BE123" i="8"/>
  <c r="BF123" i="8"/>
  <c r="BG123" i="8"/>
  <c r="BH123" i="8"/>
  <c r="BI123" i="8"/>
  <c r="BJ123" i="8"/>
  <c r="BK123" i="8"/>
  <c r="BL123" i="8"/>
  <c r="BM123" i="8"/>
  <c r="BN123" i="8"/>
  <c r="BO123" i="8"/>
  <c r="BP123" i="8"/>
  <c r="BQ123" i="8"/>
  <c r="BR123" i="8"/>
  <c r="BS123" i="8"/>
  <c r="BT123" i="8"/>
  <c r="BU123" i="8"/>
  <c r="BV123" i="8"/>
  <c r="BW123" i="8"/>
  <c r="BX123" i="8"/>
  <c r="BY123" i="8"/>
  <c r="BZ123" i="8"/>
  <c r="CA123" i="8"/>
  <c r="CB123" i="8"/>
  <c r="CC123" i="8"/>
  <c r="CD123" i="8"/>
  <c r="CE123" i="8"/>
  <c r="CF123" i="8"/>
  <c r="CG123" i="8"/>
  <c r="CH123" i="8"/>
  <c r="CI123" i="8"/>
  <c r="CJ123" i="8"/>
  <c r="CK123" i="8"/>
  <c r="CL123" i="8"/>
  <c r="CM123" i="8"/>
  <c r="CN123" i="8"/>
  <c r="CO123" i="8"/>
  <c r="CP123" i="8"/>
  <c r="CQ123" i="8"/>
  <c r="CR123" i="8"/>
  <c r="CS123" i="8"/>
  <c r="CT123" i="8"/>
  <c r="CU123" i="8"/>
  <c r="CV123" i="8"/>
  <c r="CW123" i="8"/>
  <c r="CX123" i="8"/>
  <c r="CY123" i="8"/>
  <c r="CZ123" i="8"/>
  <c r="DA123" i="8"/>
  <c r="DB123" i="8"/>
  <c r="DC123" i="8"/>
  <c r="DD123" i="8"/>
  <c r="DE123" i="8"/>
  <c r="DF123" i="8"/>
  <c r="DG123" i="8"/>
  <c r="DH123" i="8"/>
  <c r="DI123" i="8"/>
  <c r="DJ123" i="8"/>
  <c r="DK123" i="8"/>
  <c r="DL123" i="8"/>
  <c r="DM123" i="8"/>
  <c r="DN123" i="8"/>
  <c r="DO123" i="8"/>
  <c r="DP123" i="8"/>
  <c r="DQ123" i="8"/>
  <c r="DR123" i="8"/>
  <c r="DS123" i="8"/>
  <c r="DT123" i="8"/>
  <c r="DU123" i="8"/>
  <c r="DV123" i="8"/>
  <c r="DW123" i="8"/>
  <c r="DX123" i="8"/>
  <c r="DY123" i="8"/>
  <c r="DZ123" i="8"/>
  <c r="EA123" i="8"/>
  <c r="EB123" i="8"/>
  <c r="EC123" i="8"/>
  <c r="ED123" i="8"/>
  <c r="EE123" i="8"/>
  <c r="EF123" i="8"/>
  <c r="EG123" i="8"/>
  <c r="EH123" i="8"/>
  <c r="EI123" i="8"/>
  <c r="EJ123" i="8"/>
  <c r="EK123" i="8"/>
  <c r="EL123" i="8"/>
  <c r="EM123" i="8"/>
  <c r="EN123" i="8"/>
  <c r="EO123" i="8"/>
  <c r="EP123" i="8"/>
  <c r="EQ123" i="8"/>
  <c r="ER123" i="8"/>
  <c r="ES123" i="8"/>
  <c r="ET123" i="8"/>
  <c r="EU123" i="8"/>
  <c r="EV123" i="8"/>
  <c r="EW123" i="8"/>
  <c r="EX123" i="8"/>
  <c r="EY123" i="8"/>
  <c r="EZ123" i="8"/>
  <c r="FA123" i="8"/>
  <c r="FB123" i="8"/>
  <c r="FC123" i="8"/>
  <c r="FD123" i="8"/>
  <c r="FE123" i="8"/>
  <c r="FF123" i="8"/>
  <c r="FG123" i="8"/>
  <c r="FH123" i="8"/>
  <c r="FI123" i="8"/>
  <c r="FJ123" i="8"/>
  <c r="FK123" i="8"/>
  <c r="FL123" i="8"/>
  <c r="FM123" i="8"/>
  <c r="FN123" i="8"/>
  <c r="FO123" i="8"/>
  <c r="FP123" i="8"/>
  <c r="FQ123" i="8"/>
  <c r="FR123" i="8"/>
  <c r="FS123" i="8"/>
  <c r="FT123" i="8"/>
  <c r="FU123" i="8"/>
  <c r="FV123" i="8"/>
  <c r="FW123" i="8"/>
  <c r="FX123" i="8"/>
  <c r="FY123" i="8"/>
  <c r="FZ123" i="8"/>
  <c r="GA123" i="8"/>
  <c r="GB123" i="8"/>
  <c r="GC123" i="8"/>
  <c r="GD123" i="8"/>
  <c r="GE123" i="8"/>
  <c r="GF123" i="8"/>
  <c r="GG123" i="8"/>
  <c r="GH123" i="8"/>
  <c r="GI123" i="8"/>
  <c r="GJ123" i="8"/>
  <c r="GK123" i="8"/>
  <c r="GL123" i="8"/>
  <c r="GM123" i="8"/>
  <c r="GN123" i="8"/>
  <c r="GO123" i="8"/>
  <c r="GP123" i="8"/>
  <c r="GQ123" i="8"/>
  <c r="GR123" i="8"/>
  <c r="GS123" i="8"/>
  <c r="GT123" i="8"/>
  <c r="GU123" i="8"/>
  <c r="GV123" i="8"/>
  <c r="GW123" i="8"/>
  <c r="GX123" i="8"/>
  <c r="GY123" i="8"/>
  <c r="GZ123" i="8"/>
  <c r="HA123" i="8"/>
  <c r="HB123" i="8"/>
  <c r="HC123" i="8"/>
  <c r="HD123" i="8"/>
  <c r="HE123" i="8"/>
  <c r="HF123" i="8"/>
  <c r="HG123" i="8"/>
  <c r="HH123" i="8"/>
  <c r="HI123" i="8"/>
  <c r="HJ123" i="8"/>
  <c r="HK123" i="8"/>
  <c r="HL123" i="8"/>
  <c r="HM123" i="8"/>
  <c r="HN123" i="8"/>
  <c r="HO123" i="8"/>
  <c r="HP123" i="8"/>
  <c r="HQ123" i="8"/>
  <c r="HR123" i="8"/>
  <c r="HS123" i="8"/>
  <c r="HT123" i="8"/>
  <c r="HU123" i="8"/>
  <c r="HV123" i="8"/>
  <c r="HW123" i="8"/>
  <c r="HX123" i="8"/>
  <c r="HY123" i="8"/>
  <c r="HZ123" i="8"/>
  <c r="IA123" i="8"/>
  <c r="IB123" i="8"/>
  <c r="IC123" i="8"/>
  <c r="ID123" i="8"/>
  <c r="IE123" i="8"/>
  <c r="IF123" i="8"/>
  <c r="IG123" i="8"/>
  <c r="IH123" i="8"/>
  <c r="II123" i="8"/>
  <c r="IJ123" i="8"/>
  <c r="IK123" i="8"/>
  <c r="IL123" i="8"/>
  <c r="IM123" i="8"/>
  <c r="IN123" i="8"/>
  <c r="IO123" i="8"/>
  <c r="IP123" i="8"/>
  <c r="IQ123" i="8"/>
  <c r="IR123" i="8"/>
  <c r="IS123" i="8"/>
  <c r="IT123" i="8"/>
  <c r="IU123" i="8"/>
  <c r="IV123" i="8"/>
  <c r="F124" i="8"/>
  <c r="G124" i="8"/>
  <c r="H124" i="8"/>
  <c r="I124" i="8"/>
  <c r="J124" i="8"/>
  <c r="K124" i="8"/>
  <c r="L124" i="8"/>
  <c r="M124" i="8"/>
  <c r="N124" i="8"/>
  <c r="O124" i="8"/>
  <c r="P124" i="8"/>
  <c r="Q124" i="8"/>
  <c r="R124" i="8"/>
  <c r="S124" i="8"/>
  <c r="T124" i="8"/>
  <c r="U124" i="8"/>
  <c r="V124" i="8"/>
  <c r="W124" i="8"/>
  <c r="X124" i="8"/>
  <c r="Y124" i="8"/>
  <c r="Z124" i="8"/>
  <c r="AA124" i="8"/>
  <c r="AB124" i="8"/>
  <c r="AC124" i="8"/>
  <c r="AD124" i="8"/>
  <c r="AE124" i="8"/>
  <c r="AF124" i="8"/>
  <c r="AG124" i="8"/>
  <c r="AH124" i="8"/>
  <c r="AI124" i="8"/>
  <c r="AJ124" i="8"/>
  <c r="AK124" i="8"/>
  <c r="AL124" i="8"/>
  <c r="AM124" i="8"/>
  <c r="AN124" i="8"/>
  <c r="AO124" i="8"/>
  <c r="AP124" i="8"/>
  <c r="AQ124" i="8"/>
  <c r="AR124" i="8"/>
  <c r="AS124" i="8"/>
  <c r="AT124" i="8"/>
  <c r="AU124" i="8"/>
  <c r="AV124" i="8"/>
  <c r="AW124" i="8"/>
  <c r="AX124" i="8"/>
  <c r="AY124" i="8"/>
  <c r="AZ124" i="8"/>
  <c r="BA124" i="8"/>
  <c r="BB124" i="8"/>
  <c r="BC124" i="8"/>
  <c r="BD124" i="8"/>
  <c r="BE124" i="8"/>
  <c r="BF124" i="8"/>
  <c r="BG124" i="8"/>
  <c r="BH124" i="8"/>
  <c r="BI124" i="8"/>
  <c r="BJ124" i="8"/>
  <c r="BK124" i="8"/>
  <c r="BL124" i="8"/>
  <c r="BM124" i="8"/>
  <c r="BN124" i="8"/>
  <c r="BO124" i="8"/>
  <c r="BP124" i="8"/>
  <c r="BQ124" i="8"/>
  <c r="BR124" i="8"/>
  <c r="BS124" i="8"/>
  <c r="BT124" i="8"/>
  <c r="BU124" i="8"/>
  <c r="BV124" i="8"/>
  <c r="BW124" i="8"/>
  <c r="BX124" i="8"/>
  <c r="BY124" i="8"/>
  <c r="BZ124" i="8"/>
  <c r="CA124" i="8"/>
  <c r="CB124" i="8"/>
  <c r="CC124" i="8"/>
  <c r="CD124" i="8"/>
  <c r="CE124" i="8"/>
  <c r="CF124" i="8"/>
  <c r="CG124" i="8"/>
  <c r="CH124" i="8"/>
  <c r="CI124" i="8"/>
  <c r="CJ124" i="8"/>
  <c r="CK124" i="8"/>
  <c r="CL124" i="8"/>
  <c r="CM124" i="8"/>
  <c r="CN124" i="8"/>
  <c r="CO124" i="8"/>
  <c r="CP124" i="8"/>
  <c r="CQ124" i="8"/>
  <c r="CR124" i="8"/>
  <c r="CS124" i="8"/>
  <c r="CT124" i="8"/>
  <c r="CU124" i="8"/>
  <c r="CV124" i="8"/>
  <c r="CW124" i="8"/>
  <c r="CX124" i="8"/>
  <c r="CY124" i="8"/>
  <c r="CZ124" i="8"/>
  <c r="DA124" i="8"/>
  <c r="DB124" i="8"/>
  <c r="DC124" i="8"/>
  <c r="DD124" i="8"/>
  <c r="DE124" i="8"/>
  <c r="DF124" i="8"/>
  <c r="DG124" i="8"/>
  <c r="DH124" i="8"/>
  <c r="DI124" i="8"/>
  <c r="DJ124" i="8"/>
  <c r="DK124" i="8"/>
  <c r="DL124" i="8"/>
  <c r="DM124" i="8"/>
  <c r="DN124" i="8"/>
  <c r="DO124" i="8"/>
  <c r="DP124" i="8"/>
  <c r="DQ124" i="8"/>
  <c r="DR124" i="8"/>
  <c r="DS124" i="8"/>
  <c r="DT124" i="8"/>
  <c r="DU124" i="8"/>
  <c r="DV124" i="8"/>
  <c r="DW124" i="8"/>
  <c r="DX124" i="8"/>
  <c r="DY124" i="8"/>
  <c r="DZ124" i="8"/>
  <c r="EA124" i="8"/>
  <c r="EB124" i="8"/>
  <c r="EC124" i="8"/>
  <c r="ED124" i="8"/>
  <c r="EE124" i="8"/>
  <c r="EF124" i="8"/>
  <c r="EG124" i="8"/>
  <c r="EH124" i="8"/>
  <c r="EI124" i="8"/>
  <c r="EJ124" i="8"/>
  <c r="EK124" i="8"/>
  <c r="EL124" i="8"/>
  <c r="EM124" i="8"/>
  <c r="EN124" i="8"/>
  <c r="EO124" i="8"/>
  <c r="EP124" i="8"/>
  <c r="EQ124" i="8"/>
  <c r="ER124" i="8"/>
  <c r="ES124" i="8"/>
  <c r="ET124" i="8"/>
  <c r="EU124" i="8"/>
  <c r="EV124" i="8"/>
  <c r="EW124" i="8"/>
  <c r="EX124" i="8"/>
  <c r="EY124" i="8"/>
  <c r="EZ124" i="8"/>
  <c r="FA124" i="8"/>
  <c r="FB124" i="8"/>
  <c r="FC124" i="8"/>
  <c r="FD124" i="8"/>
  <c r="FE124" i="8"/>
  <c r="FF124" i="8"/>
  <c r="FG124" i="8"/>
  <c r="FH124" i="8"/>
  <c r="FI124" i="8"/>
  <c r="FJ124" i="8"/>
  <c r="FK124" i="8"/>
  <c r="FL124" i="8"/>
  <c r="FM124" i="8"/>
  <c r="FN124" i="8"/>
  <c r="FO124" i="8"/>
  <c r="FP124" i="8"/>
  <c r="FQ124" i="8"/>
  <c r="FR124" i="8"/>
  <c r="FS124" i="8"/>
  <c r="FT124" i="8"/>
  <c r="FU124" i="8"/>
  <c r="FV124" i="8"/>
  <c r="FW124" i="8"/>
  <c r="FX124" i="8"/>
  <c r="FY124" i="8"/>
  <c r="FZ124" i="8"/>
  <c r="GA124" i="8"/>
  <c r="GB124" i="8"/>
  <c r="GC124" i="8"/>
  <c r="GD124" i="8"/>
  <c r="GE124" i="8"/>
  <c r="GF124" i="8"/>
  <c r="GG124" i="8"/>
  <c r="GH124" i="8"/>
  <c r="GI124" i="8"/>
  <c r="GJ124" i="8"/>
  <c r="GK124" i="8"/>
  <c r="GL124" i="8"/>
  <c r="GM124" i="8"/>
  <c r="GN124" i="8"/>
  <c r="GO124" i="8"/>
  <c r="GP124" i="8"/>
  <c r="GQ124" i="8"/>
  <c r="GR124" i="8"/>
  <c r="GS124" i="8"/>
  <c r="GT124" i="8"/>
  <c r="GU124" i="8"/>
  <c r="GV124" i="8"/>
  <c r="GW124" i="8"/>
  <c r="GX124" i="8"/>
  <c r="GY124" i="8"/>
  <c r="GZ124" i="8"/>
  <c r="HA124" i="8"/>
  <c r="HB124" i="8"/>
  <c r="HC124" i="8"/>
  <c r="HD124" i="8"/>
  <c r="HE124" i="8"/>
  <c r="HF124" i="8"/>
  <c r="HG124" i="8"/>
  <c r="HH124" i="8"/>
  <c r="HI124" i="8"/>
  <c r="HJ124" i="8"/>
  <c r="HK124" i="8"/>
  <c r="HL124" i="8"/>
  <c r="HM124" i="8"/>
  <c r="HN124" i="8"/>
  <c r="HO124" i="8"/>
  <c r="HP124" i="8"/>
  <c r="HQ124" i="8"/>
  <c r="HR124" i="8"/>
  <c r="HS124" i="8"/>
  <c r="HT124" i="8"/>
  <c r="HU124" i="8"/>
  <c r="HV124" i="8"/>
  <c r="HW124" i="8"/>
  <c r="HX124" i="8"/>
  <c r="HY124" i="8"/>
  <c r="HZ124" i="8"/>
  <c r="IA124" i="8"/>
  <c r="IB124" i="8"/>
  <c r="IC124" i="8"/>
  <c r="ID124" i="8"/>
  <c r="IE124" i="8"/>
  <c r="IF124" i="8"/>
  <c r="IG124" i="8"/>
  <c r="IH124" i="8"/>
  <c r="II124" i="8"/>
  <c r="IJ124" i="8"/>
  <c r="IK124" i="8"/>
  <c r="IL124" i="8"/>
  <c r="IM124" i="8"/>
  <c r="IN124" i="8"/>
  <c r="IO124" i="8"/>
  <c r="IP124" i="8"/>
  <c r="IQ124" i="8"/>
  <c r="IR124" i="8"/>
  <c r="IS124" i="8"/>
  <c r="IT124" i="8"/>
  <c r="IU124" i="8"/>
  <c r="IV124" i="8"/>
  <c r="F125" i="8"/>
  <c r="G125" i="8"/>
  <c r="H125" i="8"/>
  <c r="I125" i="8"/>
  <c r="J125" i="8"/>
  <c r="K125" i="8"/>
  <c r="L125" i="8"/>
  <c r="M125" i="8"/>
  <c r="N125" i="8"/>
  <c r="O125" i="8"/>
  <c r="P125" i="8"/>
  <c r="Q125" i="8"/>
  <c r="R125" i="8"/>
  <c r="S125" i="8"/>
  <c r="T125" i="8"/>
  <c r="U125" i="8"/>
  <c r="V125" i="8"/>
  <c r="W125" i="8"/>
  <c r="X125" i="8"/>
  <c r="Y125" i="8"/>
  <c r="Z125" i="8"/>
  <c r="AA125" i="8"/>
  <c r="AB125" i="8"/>
  <c r="AC125" i="8"/>
  <c r="AD125" i="8"/>
  <c r="AE125" i="8"/>
  <c r="AF125" i="8"/>
  <c r="AG125" i="8"/>
  <c r="AH125" i="8"/>
  <c r="AI125" i="8"/>
  <c r="AJ125" i="8"/>
  <c r="AK125" i="8"/>
  <c r="AL125" i="8"/>
  <c r="AM125" i="8"/>
  <c r="AN125" i="8"/>
  <c r="AO125" i="8"/>
  <c r="AP125" i="8"/>
  <c r="AQ125" i="8"/>
  <c r="AR125" i="8"/>
  <c r="AS125" i="8"/>
  <c r="AT125" i="8"/>
  <c r="AU125" i="8"/>
  <c r="AV125" i="8"/>
  <c r="AW125" i="8"/>
  <c r="AX125" i="8"/>
  <c r="AY125" i="8"/>
  <c r="AZ125" i="8"/>
  <c r="BA125" i="8"/>
  <c r="BB125" i="8"/>
  <c r="BC125" i="8"/>
  <c r="BD125" i="8"/>
  <c r="BE125" i="8"/>
  <c r="BF125" i="8"/>
  <c r="BG125" i="8"/>
  <c r="BH125" i="8"/>
  <c r="BI125" i="8"/>
  <c r="BJ125" i="8"/>
  <c r="BK125" i="8"/>
  <c r="BL125" i="8"/>
  <c r="BM125" i="8"/>
  <c r="BN125" i="8"/>
  <c r="BO125" i="8"/>
  <c r="BP125" i="8"/>
  <c r="BQ125" i="8"/>
  <c r="BR125" i="8"/>
  <c r="BS125" i="8"/>
  <c r="BT125" i="8"/>
  <c r="BU125" i="8"/>
  <c r="BV125" i="8"/>
  <c r="BW125" i="8"/>
  <c r="BX125" i="8"/>
  <c r="BY125" i="8"/>
  <c r="BZ125" i="8"/>
  <c r="CA125" i="8"/>
  <c r="CB125" i="8"/>
  <c r="CC125" i="8"/>
  <c r="CD125" i="8"/>
  <c r="CE125" i="8"/>
  <c r="CF125" i="8"/>
  <c r="CG125" i="8"/>
  <c r="CH125" i="8"/>
  <c r="CI125" i="8"/>
  <c r="CJ125" i="8"/>
  <c r="CK125" i="8"/>
  <c r="CL125" i="8"/>
  <c r="CM125" i="8"/>
  <c r="CN125" i="8"/>
  <c r="CO125" i="8"/>
  <c r="CP125" i="8"/>
  <c r="CQ125" i="8"/>
  <c r="CR125" i="8"/>
  <c r="CS125" i="8"/>
  <c r="CT125" i="8"/>
  <c r="CU125" i="8"/>
  <c r="CV125" i="8"/>
  <c r="CW125" i="8"/>
  <c r="CX125" i="8"/>
  <c r="CY125" i="8"/>
  <c r="CZ125" i="8"/>
  <c r="DA125" i="8"/>
  <c r="DB125" i="8"/>
  <c r="DC125" i="8"/>
  <c r="DD125" i="8"/>
  <c r="DE125" i="8"/>
  <c r="DF125" i="8"/>
  <c r="DG125" i="8"/>
  <c r="DH125" i="8"/>
  <c r="DI125" i="8"/>
  <c r="DJ125" i="8"/>
  <c r="DK125" i="8"/>
  <c r="DL125" i="8"/>
  <c r="DM125" i="8"/>
  <c r="DN125" i="8"/>
  <c r="DO125" i="8"/>
  <c r="DP125" i="8"/>
  <c r="DQ125" i="8"/>
  <c r="DR125" i="8"/>
  <c r="DS125" i="8"/>
  <c r="DT125" i="8"/>
  <c r="DU125" i="8"/>
  <c r="DV125" i="8"/>
  <c r="DW125" i="8"/>
  <c r="DX125" i="8"/>
  <c r="DY125" i="8"/>
  <c r="DZ125" i="8"/>
  <c r="EA125" i="8"/>
  <c r="EB125" i="8"/>
  <c r="EC125" i="8"/>
  <c r="ED125" i="8"/>
  <c r="EE125" i="8"/>
  <c r="EF125" i="8"/>
  <c r="EG125" i="8"/>
  <c r="EH125" i="8"/>
  <c r="EI125" i="8"/>
  <c r="EJ125" i="8"/>
  <c r="EK125" i="8"/>
  <c r="EL125" i="8"/>
  <c r="EM125" i="8"/>
  <c r="EN125" i="8"/>
  <c r="EO125" i="8"/>
  <c r="EP125" i="8"/>
  <c r="EQ125" i="8"/>
  <c r="ER125" i="8"/>
  <c r="ES125" i="8"/>
  <c r="ET125" i="8"/>
  <c r="EU125" i="8"/>
  <c r="EV125" i="8"/>
  <c r="EW125" i="8"/>
  <c r="EX125" i="8"/>
  <c r="EY125" i="8"/>
  <c r="EZ125" i="8"/>
  <c r="FA125" i="8"/>
  <c r="FB125" i="8"/>
  <c r="FC125" i="8"/>
  <c r="FD125" i="8"/>
  <c r="FE125" i="8"/>
  <c r="FF125" i="8"/>
  <c r="FG125" i="8"/>
  <c r="FH125" i="8"/>
  <c r="FI125" i="8"/>
  <c r="FJ125" i="8"/>
  <c r="FK125" i="8"/>
  <c r="FL125" i="8"/>
  <c r="FM125" i="8"/>
  <c r="FN125" i="8"/>
  <c r="FO125" i="8"/>
  <c r="FP125" i="8"/>
  <c r="FQ125" i="8"/>
  <c r="FR125" i="8"/>
  <c r="FS125" i="8"/>
  <c r="FT125" i="8"/>
  <c r="FU125" i="8"/>
  <c r="FV125" i="8"/>
  <c r="FW125" i="8"/>
  <c r="FX125" i="8"/>
  <c r="FY125" i="8"/>
  <c r="FZ125" i="8"/>
  <c r="GA125" i="8"/>
  <c r="GB125" i="8"/>
  <c r="GC125" i="8"/>
  <c r="GD125" i="8"/>
  <c r="GE125" i="8"/>
  <c r="GF125" i="8"/>
  <c r="GG125" i="8"/>
  <c r="GH125" i="8"/>
  <c r="GI125" i="8"/>
  <c r="GJ125" i="8"/>
  <c r="GK125" i="8"/>
  <c r="GL125" i="8"/>
  <c r="GM125" i="8"/>
  <c r="GN125" i="8"/>
  <c r="GO125" i="8"/>
  <c r="GP125" i="8"/>
  <c r="GQ125" i="8"/>
  <c r="GR125" i="8"/>
  <c r="GS125" i="8"/>
  <c r="GT125" i="8"/>
  <c r="GU125" i="8"/>
  <c r="GV125" i="8"/>
  <c r="GW125" i="8"/>
  <c r="GX125" i="8"/>
  <c r="GY125" i="8"/>
  <c r="GZ125" i="8"/>
  <c r="HA125" i="8"/>
  <c r="HB125" i="8"/>
  <c r="HC125" i="8"/>
  <c r="HD125" i="8"/>
  <c r="HE125" i="8"/>
  <c r="HF125" i="8"/>
  <c r="HG125" i="8"/>
  <c r="HH125" i="8"/>
  <c r="HI125" i="8"/>
  <c r="HJ125" i="8"/>
  <c r="HK125" i="8"/>
  <c r="HL125" i="8"/>
  <c r="HM125" i="8"/>
  <c r="HN125" i="8"/>
  <c r="HO125" i="8"/>
  <c r="HP125" i="8"/>
  <c r="HQ125" i="8"/>
  <c r="HR125" i="8"/>
  <c r="HS125" i="8"/>
  <c r="HT125" i="8"/>
  <c r="HU125" i="8"/>
  <c r="HV125" i="8"/>
  <c r="HW125" i="8"/>
  <c r="HX125" i="8"/>
  <c r="HY125" i="8"/>
  <c r="HZ125" i="8"/>
  <c r="IA125" i="8"/>
  <c r="IB125" i="8"/>
  <c r="IC125" i="8"/>
  <c r="ID125" i="8"/>
  <c r="IE125" i="8"/>
  <c r="IF125" i="8"/>
  <c r="IG125" i="8"/>
  <c r="IH125" i="8"/>
  <c r="II125" i="8"/>
  <c r="IJ125" i="8"/>
  <c r="IK125" i="8"/>
  <c r="IL125" i="8"/>
  <c r="IM125" i="8"/>
  <c r="IN125" i="8"/>
  <c r="IO125" i="8"/>
  <c r="IP125" i="8"/>
  <c r="IQ125" i="8"/>
  <c r="IR125" i="8"/>
  <c r="IS125" i="8"/>
  <c r="IT125" i="8"/>
  <c r="IU125" i="8"/>
  <c r="IV125" i="8"/>
  <c r="F126" i="8"/>
  <c r="G126" i="8"/>
  <c r="H126" i="8"/>
  <c r="I126" i="8"/>
  <c r="J126" i="8"/>
  <c r="K126" i="8"/>
  <c r="L126" i="8"/>
  <c r="M126" i="8"/>
  <c r="N126" i="8"/>
  <c r="O126" i="8"/>
  <c r="P126" i="8"/>
  <c r="Q126" i="8"/>
  <c r="R126" i="8"/>
  <c r="S126" i="8"/>
  <c r="T126" i="8"/>
  <c r="U126" i="8"/>
  <c r="V126" i="8"/>
  <c r="W126" i="8"/>
  <c r="X126" i="8"/>
  <c r="Y126" i="8"/>
  <c r="Z126" i="8"/>
  <c r="AA126" i="8"/>
  <c r="AB126" i="8"/>
  <c r="AC126" i="8"/>
  <c r="AD126" i="8"/>
  <c r="AE126" i="8"/>
  <c r="AF126" i="8"/>
  <c r="AG126" i="8"/>
  <c r="AH126" i="8"/>
  <c r="AI126" i="8"/>
  <c r="AJ126" i="8"/>
  <c r="AK126" i="8"/>
  <c r="AL126" i="8"/>
  <c r="AM126" i="8"/>
  <c r="AN126" i="8"/>
  <c r="AO126" i="8"/>
  <c r="AP126" i="8"/>
  <c r="AQ126" i="8"/>
  <c r="AR126" i="8"/>
  <c r="AS126" i="8"/>
  <c r="AT126" i="8"/>
  <c r="AU126" i="8"/>
  <c r="AV126" i="8"/>
  <c r="AW126" i="8"/>
  <c r="AX126" i="8"/>
  <c r="AY126" i="8"/>
  <c r="AZ126" i="8"/>
  <c r="BA126" i="8"/>
  <c r="BB126" i="8"/>
  <c r="BC126" i="8"/>
  <c r="BD126" i="8"/>
  <c r="BE126" i="8"/>
  <c r="BF126" i="8"/>
  <c r="BG126" i="8"/>
  <c r="BH126" i="8"/>
  <c r="BI126" i="8"/>
  <c r="BJ126" i="8"/>
  <c r="BK126" i="8"/>
  <c r="BL126" i="8"/>
  <c r="BM126" i="8"/>
  <c r="BN126" i="8"/>
  <c r="BO126" i="8"/>
  <c r="BP126" i="8"/>
  <c r="BQ126" i="8"/>
  <c r="BR126" i="8"/>
  <c r="BS126" i="8"/>
  <c r="BT126" i="8"/>
  <c r="BU126" i="8"/>
  <c r="BV126" i="8"/>
  <c r="BW126" i="8"/>
  <c r="BX126" i="8"/>
  <c r="BY126" i="8"/>
  <c r="BZ126" i="8"/>
  <c r="CA126" i="8"/>
  <c r="CB126" i="8"/>
  <c r="CC126" i="8"/>
  <c r="CD126" i="8"/>
  <c r="CE126" i="8"/>
  <c r="CF126" i="8"/>
  <c r="CG126" i="8"/>
  <c r="CH126" i="8"/>
  <c r="CI126" i="8"/>
  <c r="CJ126" i="8"/>
  <c r="CK126" i="8"/>
  <c r="CL126" i="8"/>
  <c r="CM126" i="8"/>
  <c r="CN126" i="8"/>
  <c r="CO126" i="8"/>
  <c r="CP126" i="8"/>
  <c r="CQ126" i="8"/>
  <c r="CR126" i="8"/>
  <c r="CS126" i="8"/>
  <c r="CT126" i="8"/>
  <c r="CU126" i="8"/>
  <c r="CV126" i="8"/>
  <c r="CW126" i="8"/>
  <c r="CX126" i="8"/>
  <c r="CY126" i="8"/>
  <c r="CZ126" i="8"/>
  <c r="DA126" i="8"/>
  <c r="DB126" i="8"/>
  <c r="DC126" i="8"/>
  <c r="DD126" i="8"/>
  <c r="DE126" i="8"/>
  <c r="DF126" i="8"/>
  <c r="DG126" i="8"/>
  <c r="DH126" i="8"/>
  <c r="DI126" i="8"/>
  <c r="DJ126" i="8"/>
  <c r="DK126" i="8"/>
  <c r="DL126" i="8"/>
  <c r="DM126" i="8"/>
  <c r="DN126" i="8"/>
  <c r="DO126" i="8"/>
  <c r="DP126" i="8"/>
  <c r="DQ126" i="8"/>
  <c r="DR126" i="8"/>
  <c r="DS126" i="8"/>
  <c r="DT126" i="8"/>
  <c r="DU126" i="8"/>
  <c r="DV126" i="8"/>
  <c r="DW126" i="8"/>
  <c r="DX126" i="8"/>
  <c r="DY126" i="8"/>
  <c r="DZ126" i="8"/>
  <c r="EA126" i="8"/>
  <c r="EB126" i="8"/>
  <c r="EC126" i="8"/>
  <c r="ED126" i="8"/>
  <c r="EE126" i="8"/>
  <c r="EF126" i="8"/>
  <c r="EG126" i="8"/>
  <c r="EH126" i="8"/>
  <c r="EI126" i="8"/>
  <c r="EJ126" i="8"/>
  <c r="EK126" i="8"/>
  <c r="EL126" i="8"/>
  <c r="EM126" i="8"/>
  <c r="EN126" i="8"/>
  <c r="EO126" i="8"/>
  <c r="EP126" i="8"/>
  <c r="EQ126" i="8"/>
  <c r="ER126" i="8"/>
  <c r="ES126" i="8"/>
  <c r="ET126" i="8"/>
  <c r="EU126" i="8"/>
  <c r="EV126" i="8"/>
  <c r="EW126" i="8"/>
  <c r="EX126" i="8"/>
  <c r="EY126" i="8"/>
  <c r="EZ126" i="8"/>
  <c r="FA126" i="8"/>
  <c r="FB126" i="8"/>
  <c r="FC126" i="8"/>
  <c r="FD126" i="8"/>
  <c r="FE126" i="8"/>
  <c r="FF126" i="8"/>
  <c r="FG126" i="8"/>
  <c r="FH126" i="8"/>
  <c r="FI126" i="8"/>
  <c r="FJ126" i="8"/>
  <c r="FK126" i="8"/>
  <c r="FL126" i="8"/>
  <c r="FM126" i="8"/>
  <c r="FN126" i="8"/>
  <c r="FO126" i="8"/>
  <c r="FP126" i="8"/>
  <c r="FQ126" i="8"/>
  <c r="FR126" i="8"/>
  <c r="FS126" i="8"/>
  <c r="FT126" i="8"/>
  <c r="FU126" i="8"/>
  <c r="FV126" i="8"/>
  <c r="FW126" i="8"/>
  <c r="FX126" i="8"/>
  <c r="FY126" i="8"/>
  <c r="FZ126" i="8"/>
  <c r="GA126" i="8"/>
  <c r="GB126" i="8"/>
  <c r="GC126" i="8"/>
  <c r="GD126" i="8"/>
  <c r="GE126" i="8"/>
  <c r="GF126" i="8"/>
  <c r="GG126" i="8"/>
  <c r="GH126" i="8"/>
  <c r="GI126" i="8"/>
  <c r="GJ126" i="8"/>
  <c r="GK126" i="8"/>
  <c r="GL126" i="8"/>
  <c r="GM126" i="8"/>
  <c r="GN126" i="8"/>
  <c r="GO126" i="8"/>
  <c r="GP126" i="8"/>
  <c r="GQ126" i="8"/>
  <c r="GR126" i="8"/>
  <c r="GS126" i="8"/>
  <c r="GT126" i="8"/>
  <c r="GU126" i="8"/>
  <c r="GV126" i="8"/>
  <c r="GW126" i="8"/>
  <c r="GX126" i="8"/>
  <c r="GY126" i="8"/>
  <c r="GZ126" i="8"/>
  <c r="HA126" i="8"/>
  <c r="HB126" i="8"/>
  <c r="HC126" i="8"/>
  <c r="HD126" i="8"/>
  <c r="HE126" i="8"/>
  <c r="HF126" i="8"/>
  <c r="HG126" i="8"/>
  <c r="HH126" i="8"/>
  <c r="HI126" i="8"/>
  <c r="HJ126" i="8"/>
  <c r="HK126" i="8"/>
  <c r="HL126" i="8"/>
  <c r="HM126" i="8"/>
  <c r="HN126" i="8"/>
  <c r="HO126" i="8"/>
  <c r="HP126" i="8"/>
  <c r="HQ126" i="8"/>
  <c r="HR126" i="8"/>
  <c r="HS126" i="8"/>
  <c r="HT126" i="8"/>
  <c r="HU126" i="8"/>
  <c r="HV126" i="8"/>
  <c r="HW126" i="8"/>
  <c r="HX126" i="8"/>
  <c r="HY126" i="8"/>
  <c r="HZ126" i="8"/>
  <c r="IA126" i="8"/>
  <c r="IB126" i="8"/>
  <c r="IC126" i="8"/>
  <c r="ID126" i="8"/>
  <c r="IE126" i="8"/>
  <c r="IF126" i="8"/>
  <c r="IG126" i="8"/>
  <c r="IH126" i="8"/>
  <c r="II126" i="8"/>
  <c r="IJ126" i="8"/>
  <c r="IK126" i="8"/>
  <c r="IL126" i="8"/>
  <c r="IM126" i="8"/>
  <c r="IN126" i="8"/>
  <c r="IO126" i="8"/>
  <c r="IP126" i="8"/>
  <c r="IQ126" i="8"/>
  <c r="IR126" i="8"/>
  <c r="IS126" i="8"/>
  <c r="IT126" i="8"/>
  <c r="IU126" i="8"/>
  <c r="IV126" i="8"/>
  <c r="F127" i="8"/>
  <c r="G127" i="8"/>
  <c r="H127" i="8"/>
  <c r="I127" i="8"/>
  <c r="J127" i="8"/>
  <c r="K127" i="8"/>
  <c r="L127" i="8"/>
  <c r="M127" i="8"/>
  <c r="N127" i="8"/>
  <c r="O127" i="8"/>
  <c r="P127" i="8"/>
  <c r="Q127" i="8"/>
  <c r="R127" i="8"/>
  <c r="S127" i="8"/>
  <c r="T127" i="8"/>
  <c r="U127" i="8"/>
  <c r="V127" i="8"/>
  <c r="W127" i="8"/>
  <c r="X127" i="8"/>
  <c r="Y127" i="8"/>
  <c r="Z127" i="8"/>
  <c r="AA127" i="8"/>
  <c r="AB127" i="8"/>
  <c r="AC127" i="8"/>
  <c r="AD127" i="8"/>
  <c r="AE127" i="8"/>
  <c r="AF127" i="8"/>
  <c r="AG127" i="8"/>
  <c r="AH127" i="8"/>
  <c r="AI127" i="8"/>
  <c r="AJ127" i="8"/>
  <c r="AK127" i="8"/>
  <c r="AL127" i="8"/>
  <c r="AM127" i="8"/>
  <c r="AN127" i="8"/>
  <c r="AO127" i="8"/>
  <c r="AP127" i="8"/>
  <c r="AQ127" i="8"/>
  <c r="AR127" i="8"/>
  <c r="AS127" i="8"/>
  <c r="AT127" i="8"/>
  <c r="AU127" i="8"/>
  <c r="AV127" i="8"/>
  <c r="AW127" i="8"/>
  <c r="AX127" i="8"/>
  <c r="AY127" i="8"/>
  <c r="AZ127" i="8"/>
  <c r="BA127" i="8"/>
  <c r="BB127" i="8"/>
  <c r="BC127" i="8"/>
  <c r="BD127" i="8"/>
  <c r="BE127" i="8"/>
  <c r="BF127" i="8"/>
  <c r="BG127" i="8"/>
  <c r="BH127" i="8"/>
  <c r="BI127" i="8"/>
  <c r="BJ127" i="8"/>
  <c r="BK127" i="8"/>
  <c r="BL127" i="8"/>
  <c r="BM127" i="8"/>
  <c r="BN127" i="8"/>
  <c r="BO127" i="8"/>
  <c r="BP127" i="8"/>
  <c r="BQ127" i="8"/>
  <c r="BR127" i="8"/>
  <c r="BS127" i="8"/>
  <c r="BT127" i="8"/>
  <c r="BU127" i="8"/>
  <c r="BV127" i="8"/>
  <c r="BW127" i="8"/>
  <c r="BX127" i="8"/>
  <c r="BY127" i="8"/>
  <c r="BZ127" i="8"/>
  <c r="CA127" i="8"/>
  <c r="CB127" i="8"/>
  <c r="CC127" i="8"/>
  <c r="CD127" i="8"/>
  <c r="CE127" i="8"/>
  <c r="CF127" i="8"/>
  <c r="CG127" i="8"/>
  <c r="CH127" i="8"/>
  <c r="CI127" i="8"/>
  <c r="CJ127" i="8"/>
  <c r="CK127" i="8"/>
  <c r="CL127" i="8"/>
  <c r="CM127" i="8"/>
  <c r="CN127" i="8"/>
  <c r="CO127" i="8"/>
  <c r="CP127" i="8"/>
  <c r="CQ127" i="8"/>
  <c r="CR127" i="8"/>
  <c r="CS127" i="8"/>
  <c r="CT127" i="8"/>
  <c r="CU127" i="8"/>
  <c r="CV127" i="8"/>
  <c r="CW127" i="8"/>
  <c r="CX127" i="8"/>
  <c r="CY127" i="8"/>
  <c r="CZ127" i="8"/>
  <c r="DA127" i="8"/>
  <c r="DB127" i="8"/>
  <c r="DC127" i="8"/>
  <c r="DD127" i="8"/>
  <c r="DE127" i="8"/>
  <c r="DF127" i="8"/>
  <c r="DG127" i="8"/>
  <c r="DH127" i="8"/>
  <c r="DI127" i="8"/>
  <c r="DJ127" i="8"/>
  <c r="DK127" i="8"/>
  <c r="DL127" i="8"/>
  <c r="DM127" i="8"/>
  <c r="DN127" i="8"/>
  <c r="DO127" i="8"/>
  <c r="DP127" i="8"/>
  <c r="DQ127" i="8"/>
  <c r="DR127" i="8"/>
  <c r="DS127" i="8"/>
  <c r="DT127" i="8"/>
  <c r="DU127" i="8"/>
  <c r="DV127" i="8"/>
  <c r="DW127" i="8"/>
  <c r="DX127" i="8"/>
  <c r="DY127" i="8"/>
  <c r="DZ127" i="8"/>
  <c r="EA127" i="8"/>
  <c r="EB127" i="8"/>
  <c r="EC127" i="8"/>
  <c r="ED127" i="8"/>
  <c r="EE127" i="8"/>
  <c r="EF127" i="8"/>
  <c r="EG127" i="8"/>
  <c r="EH127" i="8"/>
  <c r="EI127" i="8"/>
  <c r="EJ127" i="8"/>
  <c r="EK127" i="8"/>
  <c r="EL127" i="8"/>
  <c r="EM127" i="8"/>
  <c r="EN127" i="8"/>
  <c r="EO127" i="8"/>
  <c r="EP127" i="8"/>
  <c r="EQ127" i="8"/>
  <c r="ER127" i="8"/>
  <c r="ES127" i="8"/>
  <c r="ET127" i="8"/>
  <c r="EU127" i="8"/>
  <c r="EV127" i="8"/>
  <c r="EW127" i="8"/>
  <c r="EX127" i="8"/>
  <c r="EY127" i="8"/>
  <c r="EZ127" i="8"/>
  <c r="FA127" i="8"/>
  <c r="FB127" i="8"/>
  <c r="FC127" i="8"/>
  <c r="FD127" i="8"/>
  <c r="FE127" i="8"/>
  <c r="FF127" i="8"/>
  <c r="FG127" i="8"/>
  <c r="FH127" i="8"/>
  <c r="FI127" i="8"/>
  <c r="FJ127" i="8"/>
  <c r="FK127" i="8"/>
  <c r="FL127" i="8"/>
  <c r="FM127" i="8"/>
  <c r="FN127" i="8"/>
  <c r="FO127" i="8"/>
  <c r="FP127" i="8"/>
  <c r="FQ127" i="8"/>
  <c r="FR127" i="8"/>
  <c r="FS127" i="8"/>
  <c r="FT127" i="8"/>
  <c r="FU127" i="8"/>
  <c r="FV127" i="8"/>
  <c r="FW127" i="8"/>
  <c r="FX127" i="8"/>
  <c r="FY127" i="8"/>
  <c r="FZ127" i="8"/>
  <c r="GA127" i="8"/>
  <c r="GB127" i="8"/>
  <c r="GC127" i="8"/>
  <c r="GD127" i="8"/>
  <c r="GE127" i="8"/>
  <c r="GF127" i="8"/>
  <c r="GG127" i="8"/>
  <c r="GH127" i="8"/>
  <c r="GI127" i="8"/>
  <c r="GJ127" i="8"/>
  <c r="GK127" i="8"/>
  <c r="GL127" i="8"/>
  <c r="GM127" i="8"/>
  <c r="GN127" i="8"/>
  <c r="GO127" i="8"/>
  <c r="GP127" i="8"/>
  <c r="GQ127" i="8"/>
  <c r="GR127" i="8"/>
  <c r="GS127" i="8"/>
  <c r="GT127" i="8"/>
  <c r="GU127" i="8"/>
  <c r="GV127" i="8"/>
  <c r="GW127" i="8"/>
  <c r="GX127" i="8"/>
  <c r="GY127" i="8"/>
  <c r="GZ127" i="8"/>
  <c r="HA127" i="8"/>
  <c r="HB127" i="8"/>
  <c r="HC127" i="8"/>
  <c r="HD127" i="8"/>
  <c r="HE127" i="8"/>
  <c r="HF127" i="8"/>
  <c r="HG127" i="8"/>
  <c r="HH127" i="8"/>
  <c r="HI127" i="8"/>
  <c r="HJ127" i="8"/>
  <c r="HK127" i="8"/>
  <c r="HL127" i="8"/>
  <c r="HM127" i="8"/>
  <c r="HN127" i="8"/>
  <c r="HO127" i="8"/>
  <c r="HP127" i="8"/>
  <c r="HQ127" i="8"/>
  <c r="HR127" i="8"/>
  <c r="HS127" i="8"/>
  <c r="HT127" i="8"/>
  <c r="HU127" i="8"/>
  <c r="HV127" i="8"/>
  <c r="HW127" i="8"/>
  <c r="HX127" i="8"/>
  <c r="HY127" i="8"/>
  <c r="HZ127" i="8"/>
  <c r="IA127" i="8"/>
  <c r="IB127" i="8"/>
  <c r="IC127" i="8"/>
  <c r="ID127" i="8"/>
  <c r="IE127" i="8"/>
  <c r="IF127" i="8"/>
  <c r="IG127" i="8"/>
  <c r="IH127" i="8"/>
  <c r="II127" i="8"/>
  <c r="IJ127" i="8"/>
  <c r="IK127" i="8"/>
  <c r="IL127" i="8"/>
  <c r="IM127" i="8"/>
  <c r="IN127" i="8"/>
  <c r="IO127" i="8"/>
  <c r="IP127" i="8"/>
  <c r="IQ127" i="8"/>
  <c r="IR127" i="8"/>
  <c r="IS127" i="8"/>
  <c r="IT127" i="8"/>
  <c r="IU127" i="8"/>
  <c r="IV127" i="8"/>
  <c r="F128" i="8"/>
  <c r="G128" i="8"/>
  <c r="H128" i="8"/>
  <c r="I128" i="8"/>
  <c r="J128" i="8"/>
  <c r="K128" i="8"/>
  <c r="L128" i="8"/>
  <c r="M128" i="8"/>
  <c r="N128" i="8"/>
  <c r="O128" i="8"/>
  <c r="P128" i="8"/>
  <c r="Q128" i="8"/>
  <c r="R128" i="8"/>
  <c r="S128" i="8"/>
  <c r="T128" i="8"/>
  <c r="U128" i="8"/>
  <c r="V128" i="8"/>
  <c r="W128" i="8"/>
  <c r="X128" i="8"/>
  <c r="Y128" i="8"/>
  <c r="Z128" i="8"/>
  <c r="AA128" i="8"/>
  <c r="AB128" i="8"/>
  <c r="AC128" i="8"/>
  <c r="AD128" i="8"/>
  <c r="AE128" i="8"/>
  <c r="AF128" i="8"/>
  <c r="AG128" i="8"/>
  <c r="AH128" i="8"/>
  <c r="AI128" i="8"/>
  <c r="AJ128" i="8"/>
  <c r="AK128" i="8"/>
  <c r="AL128" i="8"/>
  <c r="AM128" i="8"/>
  <c r="AN128" i="8"/>
  <c r="AO128" i="8"/>
  <c r="AP128" i="8"/>
  <c r="AQ128" i="8"/>
  <c r="AR128" i="8"/>
  <c r="AS128" i="8"/>
  <c r="AT128" i="8"/>
  <c r="AU128" i="8"/>
  <c r="AV128" i="8"/>
  <c r="AW128" i="8"/>
  <c r="AX128" i="8"/>
  <c r="AY128" i="8"/>
  <c r="AZ128" i="8"/>
  <c r="BA128" i="8"/>
  <c r="BB128" i="8"/>
  <c r="BC128" i="8"/>
  <c r="BD128" i="8"/>
  <c r="BE128" i="8"/>
  <c r="BF128" i="8"/>
  <c r="BG128" i="8"/>
  <c r="BH128" i="8"/>
  <c r="BI128" i="8"/>
  <c r="BJ128" i="8"/>
  <c r="BK128" i="8"/>
  <c r="BL128" i="8"/>
  <c r="BM128" i="8"/>
  <c r="BN128" i="8"/>
  <c r="BO128" i="8"/>
  <c r="BP128" i="8"/>
  <c r="BQ128" i="8"/>
  <c r="BR128" i="8"/>
  <c r="BS128" i="8"/>
  <c r="BT128" i="8"/>
  <c r="BU128" i="8"/>
  <c r="BV128" i="8"/>
  <c r="BW128" i="8"/>
  <c r="BX128" i="8"/>
  <c r="BY128" i="8"/>
  <c r="BZ128" i="8"/>
  <c r="CA128" i="8"/>
  <c r="CB128" i="8"/>
  <c r="CC128" i="8"/>
  <c r="CD128" i="8"/>
  <c r="CE128" i="8"/>
  <c r="CF128" i="8"/>
  <c r="CG128" i="8"/>
  <c r="CH128" i="8"/>
  <c r="CI128" i="8"/>
  <c r="CJ128" i="8"/>
  <c r="CK128" i="8"/>
  <c r="CL128" i="8"/>
  <c r="CM128" i="8"/>
  <c r="CN128" i="8"/>
  <c r="CO128" i="8"/>
  <c r="CP128" i="8"/>
  <c r="CQ128" i="8"/>
  <c r="CR128" i="8"/>
  <c r="CS128" i="8"/>
  <c r="CT128" i="8"/>
  <c r="CU128" i="8"/>
  <c r="CV128" i="8"/>
  <c r="CW128" i="8"/>
  <c r="CX128" i="8"/>
  <c r="CY128" i="8"/>
  <c r="CZ128" i="8"/>
  <c r="DA128" i="8"/>
  <c r="DB128" i="8"/>
  <c r="DC128" i="8"/>
  <c r="DD128" i="8"/>
  <c r="DE128" i="8"/>
  <c r="DF128" i="8"/>
  <c r="DG128" i="8"/>
  <c r="DH128" i="8"/>
  <c r="DI128" i="8"/>
  <c r="DJ128" i="8"/>
  <c r="DK128" i="8"/>
  <c r="DL128" i="8"/>
  <c r="DM128" i="8"/>
  <c r="DN128" i="8"/>
  <c r="DO128" i="8"/>
  <c r="DP128" i="8"/>
  <c r="DQ128" i="8"/>
  <c r="DR128" i="8"/>
  <c r="DS128" i="8"/>
  <c r="DT128" i="8"/>
  <c r="DU128" i="8"/>
  <c r="DV128" i="8"/>
  <c r="DW128" i="8"/>
  <c r="DX128" i="8"/>
  <c r="DY128" i="8"/>
  <c r="DZ128" i="8"/>
  <c r="EA128" i="8"/>
  <c r="EB128" i="8"/>
  <c r="EC128" i="8"/>
  <c r="ED128" i="8"/>
  <c r="EE128" i="8"/>
  <c r="EF128" i="8"/>
  <c r="EG128" i="8"/>
  <c r="EH128" i="8"/>
  <c r="EI128" i="8"/>
  <c r="EJ128" i="8"/>
  <c r="EK128" i="8"/>
  <c r="EL128" i="8"/>
  <c r="EM128" i="8"/>
  <c r="EN128" i="8"/>
  <c r="EO128" i="8"/>
  <c r="EP128" i="8"/>
  <c r="EQ128" i="8"/>
  <c r="ER128" i="8"/>
  <c r="ES128" i="8"/>
  <c r="ET128" i="8"/>
  <c r="EU128" i="8"/>
  <c r="EV128" i="8"/>
  <c r="EW128" i="8"/>
  <c r="EX128" i="8"/>
  <c r="EY128" i="8"/>
  <c r="EZ128" i="8"/>
  <c r="FA128" i="8"/>
  <c r="FB128" i="8"/>
  <c r="FC128" i="8"/>
  <c r="FD128" i="8"/>
  <c r="FE128" i="8"/>
  <c r="FF128" i="8"/>
  <c r="FG128" i="8"/>
  <c r="FH128" i="8"/>
  <c r="FI128" i="8"/>
  <c r="FJ128" i="8"/>
  <c r="FK128" i="8"/>
  <c r="FL128" i="8"/>
  <c r="FM128" i="8"/>
  <c r="FN128" i="8"/>
  <c r="FO128" i="8"/>
  <c r="FP128" i="8"/>
  <c r="FQ128" i="8"/>
  <c r="FR128" i="8"/>
  <c r="FS128" i="8"/>
  <c r="FT128" i="8"/>
  <c r="FU128" i="8"/>
  <c r="FV128" i="8"/>
  <c r="FW128" i="8"/>
  <c r="FX128" i="8"/>
  <c r="FY128" i="8"/>
  <c r="FZ128" i="8"/>
  <c r="GA128" i="8"/>
  <c r="GB128" i="8"/>
  <c r="GC128" i="8"/>
  <c r="GD128" i="8"/>
  <c r="GE128" i="8"/>
  <c r="GF128" i="8"/>
  <c r="GG128" i="8"/>
  <c r="GH128" i="8"/>
  <c r="GI128" i="8"/>
  <c r="GJ128" i="8"/>
  <c r="GK128" i="8"/>
  <c r="GL128" i="8"/>
  <c r="GM128" i="8"/>
  <c r="GN128" i="8"/>
  <c r="GO128" i="8"/>
  <c r="GP128" i="8"/>
  <c r="GQ128" i="8"/>
  <c r="GR128" i="8"/>
  <c r="GS128" i="8"/>
  <c r="GT128" i="8"/>
  <c r="GU128" i="8"/>
  <c r="GV128" i="8"/>
  <c r="GW128" i="8"/>
  <c r="GX128" i="8"/>
  <c r="GY128" i="8"/>
  <c r="GZ128" i="8"/>
  <c r="HA128" i="8"/>
  <c r="HB128" i="8"/>
  <c r="HC128" i="8"/>
  <c r="HD128" i="8"/>
  <c r="HE128" i="8"/>
  <c r="HF128" i="8"/>
  <c r="HG128" i="8"/>
  <c r="HH128" i="8"/>
  <c r="HI128" i="8"/>
  <c r="HJ128" i="8"/>
  <c r="HK128" i="8"/>
  <c r="HL128" i="8"/>
  <c r="HM128" i="8"/>
  <c r="HN128" i="8"/>
  <c r="HO128" i="8"/>
  <c r="HP128" i="8"/>
  <c r="HQ128" i="8"/>
  <c r="HR128" i="8"/>
  <c r="HS128" i="8"/>
  <c r="HT128" i="8"/>
  <c r="HU128" i="8"/>
  <c r="HV128" i="8"/>
  <c r="HW128" i="8"/>
  <c r="HX128" i="8"/>
  <c r="HY128" i="8"/>
  <c r="HZ128" i="8"/>
  <c r="IA128" i="8"/>
  <c r="IB128" i="8"/>
  <c r="IC128" i="8"/>
  <c r="ID128" i="8"/>
  <c r="IE128" i="8"/>
  <c r="IF128" i="8"/>
  <c r="IG128" i="8"/>
  <c r="IH128" i="8"/>
  <c r="II128" i="8"/>
  <c r="IJ128" i="8"/>
  <c r="IK128" i="8"/>
  <c r="IL128" i="8"/>
  <c r="IM128" i="8"/>
  <c r="IN128" i="8"/>
  <c r="IO128" i="8"/>
  <c r="IP128" i="8"/>
  <c r="IQ128" i="8"/>
  <c r="IR128" i="8"/>
  <c r="IS128" i="8"/>
  <c r="IT128" i="8"/>
  <c r="IU128" i="8"/>
  <c r="IV128" i="8"/>
  <c r="F129" i="8"/>
  <c r="G129" i="8"/>
  <c r="H129" i="8"/>
  <c r="I129" i="8"/>
  <c r="J129" i="8"/>
  <c r="K129" i="8"/>
  <c r="L129" i="8"/>
  <c r="M129" i="8"/>
  <c r="N129" i="8"/>
  <c r="O129" i="8"/>
  <c r="P129" i="8"/>
  <c r="Q129" i="8"/>
  <c r="R129" i="8"/>
  <c r="S129" i="8"/>
  <c r="T129" i="8"/>
  <c r="U129" i="8"/>
  <c r="V129" i="8"/>
  <c r="W129" i="8"/>
  <c r="X129" i="8"/>
  <c r="Y129" i="8"/>
  <c r="Z129" i="8"/>
  <c r="AA129" i="8"/>
  <c r="AB129" i="8"/>
  <c r="AC129" i="8"/>
  <c r="AD129" i="8"/>
  <c r="AE129" i="8"/>
  <c r="AF129" i="8"/>
  <c r="AG129" i="8"/>
  <c r="AH129" i="8"/>
  <c r="AI129" i="8"/>
  <c r="AJ129" i="8"/>
  <c r="AK129" i="8"/>
  <c r="AL129" i="8"/>
  <c r="AM129" i="8"/>
  <c r="AN129" i="8"/>
  <c r="AO129" i="8"/>
  <c r="AP129" i="8"/>
  <c r="AQ129" i="8"/>
  <c r="AR129" i="8"/>
  <c r="AS129" i="8"/>
  <c r="AT129" i="8"/>
  <c r="AU129" i="8"/>
  <c r="AV129" i="8"/>
  <c r="AW129" i="8"/>
  <c r="AX129" i="8"/>
  <c r="AY129" i="8"/>
  <c r="AZ129" i="8"/>
  <c r="BA129" i="8"/>
  <c r="BB129" i="8"/>
  <c r="BC129" i="8"/>
  <c r="BD129" i="8"/>
  <c r="BE129" i="8"/>
  <c r="BF129" i="8"/>
  <c r="BG129" i="8"/>
  <c r="BH129" i="8"/>
  <c r="BI129" i="8"/>
  <c r="BJ129" i="8"/>
  <c r="BK129" i="8"/>
  <c r="BL129" i="8"/>
  <c r="BM129" i="8"/>
  <c r="BN129" i="8"/>
  <c r="BO129" i="8"/>
  <c r="BP129" i="8"/>
  <c r="BQ129" i="8"/>
  <c r="BR129" i="8"/>
  <c r="BS129" i="8"/>
  <c r="BT129" i="8"/>
  <c r="BU129" i="8"/>
  <c r="BV129" i="8"/>
  <c r="BW129" i="8"/>
  <c r="BX129" i="8"/>
  <c r="BY129" i="8"/>
  <c r="BZ129" i="8"/>
  <c r="CA129" i="8"/>
  <c r="CB129" i="8"/>
  <c r="CC129" i="8"/>
  <c r="CD129" i="8"/>
  <c r="CE129" i="8"/>
  <c r="CF129" i="8"/>
  <c r="CG129" i="8"/>
  <c r="CH129" i="8"/>
  <c r="CI129" i="8"/>
  <c r="CJ129" i="8"/>
  <c r="CK129" i="8"/>
  <c r="CL129" i="8"/>
  <c r="CM129" i="8"/>
  <c r="CN129" i="8"/>
  <c r="CO129" i="8"/>
  <c r="CP129" i="8"/>
  <c r="CQ129" i="8"/>
  <c r="CR129" i="8"/>
  <c r="CS129" i="8"/>
  <c r="CT129" i="8"/>
  <c r="CU129" i="8"/>
  <c r="CV129" i="8"/>
  <c r="CW129" i="8"/>
  <c r="CX129" i="8"/>
  <c r="CY129" i="8"/>
  <c r="CZ129" i="8"/>
  <c r="DA129" i="8"/>
  <c r="DB129" i="8"/>
  <c r="DC129" i="8"/>
  <c r="DD129" i="8"/>
  <c r="DE129" i="8"/>
  <c r="DF129" i="8"/>
  <c r="DG129" i="8"/>
  <c r="DH129" i="8"/>
  <c r="DI129" i="8"/>
  <c r="DJ129" i="8"/>
  <c r="DK129" i="8"/>
  <c r="DL129" i="8"/>
  <c r="DM129" i="8"/>
  <c r="DN129" i="8"/>
  <c r="DO129" i="8"/>
  <c r="DP129" i="8"/>
  <c r="DQ129" i="8"/>
  <c r="DR129" i="8"/>
  <c r="DS129" i="8"/>
  <c r="DT129" i="8"/>
  <c r="DU129" i="8"/>
  <c r="DV129" i="8"/>
  <c r="DW129" i="8"/>
  <c r="DX129" i="8"/>
  <c r="DY129" i="8"/>
  <c r="DZ129" i="8"/>
  <c r="EA129" i="8"/>
  <c r="EB129" i="8"/>
  <c r="EC129" i="8"/>
  <c r="ED129" i="8"/>
  <c r="EE129" i="8"/>
  <c r="EF129" i="8"/>
  <c r="EG129" i="8"/>
  <c r="EH129" i="8"/>
  <c r="EI129" i="8"/>
  <c r="EJ129" i="8"/>
  <c r="EK129" i="8"/>
  <c r="EL129" i="8"/>
  <c r="EM129" i="8"/>
  <c r="EN129" i="8"/>
  <c r="EO129" i="8"/>
  <c r="EP129" i="8"/>
  <c r="EQ129" i="8"/>
  <c r="ER129" i="8"/>
  <c r="ES129" i="8"/>
  <c r="ET129" i="8"/>
  <c r="EU129" i="8"/>
  <c r="EV129" i="8"/>
  <c r="EW129" i="8"/>
  <c r="EX129" i="8"/>
  <c r="EY129" i="8"/>
  <c r="EZ129" i="8"/>
  <c r="FA129" i="8"/>
  <c r="FB129" i="8"/>
  <c r="FC129" i="8"/>
  <c r="FD129" i="8"/>
  <c r="FE129" i="8"/>
  <c r="FF129" i="8"/>
  <c r="FG129" i="8"/>
  <c r="FH129" i="8"/>
  <c r="FI129" i="8"/>
  <c r="FJ129" i="8"/>
  <c r="FK129" i="8"/>
  <c r="FL129" i="8"/>
  <c r="FM129" i="8"/>
  <c r="FN129" i="8"/>
  <c r="FO129" i="8"/>
  <c r="FP129" i="8"/>
  <c r="GJ129" i="8"/>
  <c r="GK129" i="8"/>
  <c r="GM129" i="8"/>
  <c r="GN129" i="8"/>
  <c r="GO129" i="8"/>
  <c r="GP129" i="8"/>
  <c r="GQ129" i="8"/>
  <c r="GR129" i="8"/>
  <c r="GS129" i="8"/>
  <c r="GT129" i="8"/>
  <c r="GU129" i="8"/>
  <c r="GW129" i="8"/>
  <c r="HQ129" i="8"/>
  <c r="HR129" i="8"/>
  <c r="HT129" i="8"/>
  <c r="HU129" i="8"/>
  <c r="HV129" i="8"/>
  <c r="HW129" i="8"/>
  <c r="HX129" i="8"/>
  <c r="HY129" i="8"/>
  <c r="HZ129" i="8"/>
  <c r="IA129" i="8"/>
  <c r="ID129" i="8"/>
  <c r="IE129" i="8"/>
  <c r="G130" i="8"/>
  <c r="H130" i="8"/>
  <c r="J130" i="8"/>
  <c r="K130" i="8"/>
  <c r="L130" i="8"/>
  <c r="M130" i="8"/>
  <c r="N130" i="8"/>
  <c r="O130" i="8"/>
  <c r="P130" i="8"/>
  <c r="Q130" i="8"/>
  <c r="T130" i="8"/>
  <c r="U130" i="8"/>
  <c r="AN130" i="8"/>
  <c r="AO130" i="8"/>
  <c r="AQ130" i="8"/>
  <c r="AR130" i="8"/>
  <c r="AS130" i="8"/>
  <c r="AT130" i="8"/>
  <c r="AU130" i="8"/>
  <c r="AV130" i="8"/>
  <c r="AW130" i="8"/>
  <c r="AX130" i="8"/>
  <c r="BA130" i="8"/>
  <c r="BB130" i="8"/>
  <c r="BU130" i="8"/>
  <c r="BV130" i="8"/>
  <c r="BX130" i="8"/>
  <c r="BY130" i="8"/>
  <c r="BZ130" i="8"/>
  <c r="CA130" i="8"/>
  <c r="CB130" i="8"/>
  <c r="CC130" i="8"/>
  <c r="CD130" i="8"/>
  <c r="CE130" i="8"/>
  <c r="CH130" i="8"/>
  <c r="CI130" i="8"/>
  <c r="CJ130" i="8"/>
  <c r="CK130" i="8"/>
  <c r="CL130" i="8"/>
  <c r="CM130" i="8"/>
  <c r="CN130" i="8"/>
  <c r="CO130" i="8"/>
  <c r="CP130" i="8"/>
  <c r="CQ130" i="8"/>
  <c r="CR130" i="8"/>
  <c r="CS130" i="8"/>
  <c r="CT130" i="8"/>
  <c r="CU130" i="8"/>
  <c r="CV130" i="8"/>
  <c r="CW130" i="8"/>
  <c r="CX130" i="8"/>
  <c r="CY130" i="8"/>
  <c r="CZ130" i="8"/>
  <c r="DB130" i="8"/>
  <c r="DC130" i="8"/>
  <c r="DE130" i="8"/>
  <c r="DF130" i="8"/>
  <c r="DG130" i="8"/>
  <c r="DH130" i="8"/>
  <c r="DI130" i="8"/>
  <c r="DJ130" i="8"/>
  <c r="DK130" i="8"/>
  <c r="DL130" i="8"/>
  <c r="DM130" i="8"/>
  <c r="DO130" i="8"/>
  <c r="DP130" i="8"/>
  <c r="DQ130" i="8"/>
  <c r="DR130" i="8"/>
  <c r="DS130" i="8"/>
  <c r="DT130" i="8"/>
  <c r="DU130" i="8"/>
  <c r="DV130" i="8"/>
  <c r="DW130" i="8"/>
  <c r="DX130" i="8"/>
  <c r="DY130" i="8"/>
  <c r="DZ130" i="8"/>
  <c r="EA130" i="8"/>
  <c r="EB130" i="8"/>
  <c r="EC130" i="8"/>
  <c r="ED130" i="8"/>
  <c r="EE130" i="8"/>
  <c r="EF130" i="8"/>
  <c r="EG130" i="8"/>
  <c r="EH130" i="8"/>
  <c r="EI130" i="8"/>
  <c r="EJ130" i="8"/>
  <c r="EK130" i="8"/>
  <c r="EL130" i="8"/>
  <c r="EM130" i="8"/>
  <c r="EN130" i="8"/>
  <c r="EO130" i="8"/>
  <c r="EP130" i="8"/>
  <c r="EQ130" i="8"/>
  <c r="ER130" i="8"/>
  <c r="ES130" i="8"/>
  <c r="ET130" i="8"/>
  <c r="EU130" i="8"/>
  <c r="EV130" i="8"/>
  <c r="EW130" i="8"/>
  <c r="EX130" i="8"/>
  <c r="EY130" i="8"/>
  <c r="EZ130" i="8"/>
  <c r="FA130" i="8"/>
  <c r="FB130" i="8"/>
  <c r="FC130" i="8"/>
  <c r="FD130" i="8"/>
  <c r="FE130" i="8"/>
  <c r="FF130" i="8"/>
  <c r="FG130" i="8"/>
  <c r="FH130" i="8"/>
  <c r="FI130" i="8"/>
  <c r="FJ130" i="8"/>
  <c r="FK130" i="8"/>
  <c r="FL130" i="8"/>
  <c r="FM130" i="8"/>
  <c r="FN130" i="8"/>
  <c r="FO130" i="8"/>
  <c r="FP130" i="8"/>
  <c r="FQ130" i="8"/>
  <c r="FR130" i="8"/>
  <c r="FS130" i="8"/>
  <c r="FT130" i="8"/>
  <c r="FU130" i="8"/>
  <c r="FV130" i="8"/>
  <c r="FW130" i="8"/>
  <c r="FX130" i="8"/>
  <c r="FY130" i="8"/>
  <c r="FZ130" i="8"/>
  <c r="GA130" i="8"/>
  <c r="GB130" i="8"/>
  <c r="GC130" i="8"/>
  <c r="GD130" i="8"/>
  <c r="GE130" i="8"/>
  <c r="GF130" i="8"/>
  <c r="GG130" i="8"/>
  <c r="GH130" i="8"/>
  <c r="GI130" i="8"/>
  <c r="GJ130" i="8"/>
  <c r="GK130" i="8"/>
  <c r="GL130" i="8"/>
  <c r="GM130" i="8"/>
  <c r="GN130" i="8"/>
  <c r="GO130" i="8"/>
  <c r="GP130" i="8"/>
  <c r="GQ130" i="8"/>
  <c r="GR130" i="8"/>
  <c r="GS130" i="8"/>
  <c r="GT130" i="8"/>
  <c r="GU130" i="8"/>
  <c r="GV130" i="8"/>
  <c r="GW130" i="8"/>
  <c r="GX130" i="8"/>
  <c r="GY130" i="8"/>
  <c r="GZ130" i="8"/>
  <c r="HA130" i="8"/>
  <c r="HB130" i="8"/>
  <c r="HC130" i="8"/>
  <c r="HD130" i="8"/>
  <c r="HE130" i="8"/>
  <c r="HF130" i="8"/>
  <c r="HG130" i="8"/>
  <c r="HH130" i="8"/>
  <c r="HI130" i="8"/>
  <c r="HJ130" i="8"/>
  <c r="HK130" i="8"/>
  <c r="HL130" i="8"/>
  <c r="HM130" i="8"/>
  <c r="HN130" i="8"/>
  <c r="HO130" i="8"/>
  <c r="HP130" i="8"/>
  <c r="HQ130" i="8"/>
  <c r="HR130" i="8"/>
  <c r="HS130" i="8"/>
  <c r="HT130" i="8"/>
  <c r="HU130" i="8"/>
  <c r="HV130" i="8"/>
  <c r="HW130" i="8"/>
  <c r="HX130" i="8"/>
  <c r="HY130" i="8"/>
  <c r="HZ130" i="8"/>
  <c r="IA130" i="8"/>
  <c r="IB130" i="8"/>
  <c r="IC130" i="8"/>
  <c r="ID130" i="8"/>
  <c r="IE130" i="8"/>
  <c r="IF130" i="8"/>
  <c r="IG130" i="8"/>
  <c r="IH130" i="8"/>
  <c r="II130" i="8"/>
  <c r="IJ130" i="8"/>
  <c r="IK130" i="8"/>
  <c r="IL130" i="8"/>
  <c r="IM130" i="8"/>
  <c r="IN130" i="8"/>
  <c r="IO130" i="8"/>
  <c r="IP130" i="8"/>
  <c r="IQ130" i="8"/>
  <c r="IR130" i="8"/>
  <c r="IS130" i="8"/>
  <c r="IT130" i="8"/>
  <c r="IU130" i="8"/>
  <c r="IV130" i="8"/>
  <c r="F131" i="8"/>
  <c r="G131" i="8"/>
  <c r="H131" i="8"/>
  <c r="I131" i="8"/>
  <c r="J131" i="8"/>
  <c r="K131" i="8"/>
  <c r="L131" i="8"/>
  <c r="M131" i="8"/>
  <c r="N131" i="8"/>
  <c r="O131" i="8"/>
  <c r="P131" i="8"/>
  <c r="Q131" i="8"/>
  <c r="R131" i="8"/>
  <c r="S131" i="8"/>
  <c r="T131" i="8"/>
  <c r="U131" i="8"/>
  <c r="V131" i="8"/>
  <c r="W131" i="8"/>
  <c r="X131" i="8"/>
  <c r="Y131" i="8"/>
  <c r="Z131" i="8"/>
  <c r="AA131" i="8"/>
  <c r="AB131" i="8"/>
  <c r="AC131" i="8"/>
  <c r="AD131" i="8"/>
  <c r="AE131" i="8"/>
  <c r="AF131" i="8"/>
  <c r="AG131" i="8"/>
  <c r="AH131" i="8"/>
  <c r="AI131" i="8"/>
  <c r="AJ131" i="8"/>
  <c r="AK131" i="8"/>
  <c r="AL131" i="8"/>
  <c r="AM131" i="8"/>
  <c r="AN131" i="8"/>
  <c r="AO131" i="8"/>
  <c r="AP131" i="8"/>
  <c r="AQ131" i="8"/>
  <c r="AR131" i="8"/>
  <c r="AS131" i="8"/>
  <c r="AT131" i="8"/>
  <c r="AU131" i="8"/>
  <c r="AV131" i="8"/>
  <c r="AW131" i="8"/>
  <c r="AX131" i="8"/>
  <c r="AY131" i="8"/>
  <c r="AZ131" i="8"/>
  <c r="BA131" i="8"/>
  <c r="BB131" i="8"/>
  <c r="BC131" i="8"/>
  <c r="BD131" i="8"/>
  <c r="BE131" i="8"/>
  <c r="BF131" i="8"/>
  <c r="BG131" i="8"/>
  <c r="BH131" i="8"/>
  <c r="BI131" i="8"/>
  <c r="BJ131" i="8"/>
  <c r="BK131" i="8"/>
  <c r="BL131" i="8"/>
  <c r="BM131" i="8"/>
  <c r="BN131" i="8"/>
  <c r="BO131" i="8"/>
  <c r="BP131" i="8"/>
  <c r="BQ131" i="8"/>
  <c r="BR131" i="8"/>
  <c r="BS131" i="8"/>
  <c r="BT131" i="8"/>
  <c r="BU131" i="8"/>
  <c r="BV131" i="8"/>
  <c r="BW131" i="8"/>
  <c r="BX131" i="8"/>
  <c r="BY131" i="8"/>
  <c r="BZ131" i="8"/>
  <c r="CA131" i="8"/>
  <c r="CB131" i="8"/>
  <c r="CC131" i="8"/>
  <c r="CD131" i="8"/>
  <c r="CE131" i="8"/>
  <c r="CF131" i="8"/>
  <c r="CG131" i="8"/>
  <c r="CH131" i="8"/>
  <c r="CI131" i="8"/>
  <c r="CJ131" i="8"/>
  <c r="CK131" i="8"/>
  <c r="CL131" i="8"/>
  <c r="CM131" i="8"/>
  <c r="CN131" i="8"/>
  <c r="CO131" i="8"/>
  <c r="CP131" i="8"/>
  <c r="CQ131" i="8"/>
  <c r="CR131" i="8"/>
  <c r="CS131" i="8"/>
  <c r="CT131" i="8"/>
  <c r="CU131" i="8"/>
  <c r="CV131" i="8"/>
  <c r="CW131" i="8"/>
  <c r="CX131" i="8"/>
  <c r="CY131" i="8"/>
  <c r="CZ131" i="8"/>
  <c r="DA131" i="8"/>
  <c r="DB131" i="8"/>
  <c r="DC131" i="8"/>
  <c r="DD131" i="8"/>
  <c r="DE131" i="8"/>
  <c r="DF131" i="8"/>
  <c r="DG131" i="8"/>
  <c r="DH131" i="8"/>
  <c r="DI131" i="8"/>
  <c r="DJ131" i="8"/>
  <c r="DK131" i="8"/>
  <c r="DL131" i="8"/>
  <c r="DM131" i="8"/>
  <c r="DN131" i="8"/>
  <c r="DO131" i="8"/>
  <c r="DP131" i="8"/>
  <c r="DQ131" i="8"/>
  <c r="DR131" i="8"/>
  <c r="DS131" i="8"/>
  <c r="DT131" i="8"/>
  <c r="DU131" i="8"/>
  <c r="DV131" i="8"/>
  <c r="DW131" i="8"/>
  <c r="DX131" i="8"/>
  <c r="DY131" i="8"/>
  <c r="DZ131" i="8"/>
  <c r="EA131" i="8"/>
  <c r="EB131" i="8"/>
  <c r="EC131" i="8"/>
  <c r="ED131" i="8"/>
  <c r="EE131" i="8"/>
  <c r="EF131" i="8"/>
  <c r="EG131" i="8"/>
  <c r="EH131" i="8"/>
  <c r="EI131" i="8"/>
  <c r="EJ131" i="8"/>
  <c r="EK131" i="8"/>
  <c r="EL131" i="8"/>
  <c r="EM131" i="8"/>
  <c r="EN131" i="8"/>
  <c r="EO131" i="8"/>
  <c r="EP131" i="8"/>
  <c r="EQ131" i="8"/>
  <c r="ER131" i="8"/>
  <c r="ES131" i="8"/>
  <c r="ET131" i="8"/>
  <c r="EU131" i="8"/>
  <c r="EV131" i="8"/>
  <c r="EW131" i="8"/>
  <c r="EX131" i="8"/>
  <c r="EY131" i="8"/>
  <c r="EZ131" i="8"/>
  <c r="FA131" i="8"/>
  <c r="FB131" i="8"/>
  <c r="FC131" i="8"/>
  <c r="FD131" i="8"/>
  <c r="FE131" i="8"/>
  <c r="FF131" i="8"/>
  <c r="FG131" i="8"/>
  <c r="FH131" i="8"/>
  <c r="FI131" i="8"/>
  <c r="FJ131" i="8"/>
  <c r="FK131" i="8"/>
  <c r="FL131" i="8"/>
  <c r="FM131" i="8"/>
  <c r="FN131" i="8"/>
  <c r="FO131" i="8"/>
  <c r="FP131" i="8"/>
  <c r="FQ131" i="8"/>
  <c r="FR131" i="8"/>
  <c r="FS131" i="8"/>
  <c r="FT131" i="8"/>
  <c r="FU131" i="8"/>
  <c r="FV131" i="8"/>
  <c r="FW131" i="8"/>
  <c r="FX131" i="8"/>
  <c r="FY131" i="8"/>
  <c r="FZ131" i="8"/>
  <c r="GA131" i="8"/>
  <c r="GB131" i="8"/>
  <c r="GC131" i="8"/>
  <c r="GD131" i="8"/>
  <c r="GE131" i="8"/>
  <c r="GF131" i="8"/>
  <c r="GG131" i="8"/>
  <c r="GH131" i="8"/>
  <c r="GI131" i="8"/>
  <c r="GJ131" i="8"/>
  <c r="GK131" i="8"/>
  <c r="GL131" i="8"/>
  <c r="GM131" i="8"/>
  <c r="GN131" i="8"/>
  <c r="GO131" i="8"/>
  <c r="GP131" i="8"/>
  <c r="GQ131" i="8"/>
  <c r="GR131" i="8"/>
  <c r="GS131" i="8"/>
  <c r="GT131" i="8"/>
  <c r="GU131" i="8"/>
  <c r="GV131" i="8"/>
  <c r="GW131" i="8"/>
  <c r="GX131" i="8"/>
  <c r="GY131" i="8"/>
  <c r="GZ131" i="8"/>
  <c r="HA131" i="8"/>
  <c r="HB131" i="8"/>
  <c r="HC131" i="8"/>
  <c r="HD131" i="8"/>
  <c r="HE131" i="8"/>
  <c r="HF131" i="8"/>
  <c r="HG131" i="8"/>
  <c r="HH131" i="8"/>
  <c r="HI131" i="8"/>
  <c r="HJ131" i="8"/>
  <c r="HK131" i="8"/>
  <c r="HL131" i="8"/>
  <c r="HM131" i="8"/>
  <c r="HN131" i="8"/>
  <c r="HO131" i="8"/>
  <c r="HP131" i="8"/>
  <c r="HQ131" i="8"/>
  <c r="HR131" i="8"/>
  <c r="HS131" i="8"/>
  <c r="HT131" i="8"/>
  <c r="HU131" i="8"/>
  <c r="HV131" i="8"/>
  <c r="HW131" i="8"/>
  <c r="HX131" i="8"/>
  <c r="HY131" i="8"/>
  <c r="HZ131" i="8"/>
  <c r="IA131" i="8"/>
  <c r="IB131" i="8"/>
  <c r="IC131" i="8"/>
  <c r="ID131" i="8"/>
  <c r="IE131" i="8"/>
  <c r="IF131" i="8"/>
  <c r="IG131" i="8"/>
  <c r="IH131" i="8"/>
  <c r="II131" i="8"/>
  <c r="IJ131" i="8"/>
  <c r="IK131" i="8"/>
  <c r="IL131" i="8"/>
  <c r="IM131" i="8"/>
  <c r="IN131" i="8"/>
  <c r="IO131" i="8"/>
  <c r="IP131" i="8"/>
  <c r="IQ131" i="8"/>
  <c r="IR131" i="8"/>
  <c r="IS131" i="8"/>
  <c r="IT131" i="8"/>
  <c r="IU131" i="8"/>
  <c r="IV131" i="8"/>
  <c r="F132" i="8"/>
  <c r="G132" i="8"/>
  <c r="H132" i="8"/>
  <c r="I132" i="8"/>
  <c r="J132" i="8"/>
  <c r="K132" i="8"/>
  <c r="L132" i="8"/>
  <c r="M132" i="8"/>
  <c r="N132" i="8"/>
  <c r="O132" i="8"/>
  <c r="P132" i="8"/>
  <c r="Q132" i="8"/>
  <c r="R132" i="8"/>
  <c r="S132" i="8"/>
  <c r="T132" i="8"/>
  <c r="U132" i="8"/>
  <c r="V132" i="8"/>
  <c r="W132" i="8"/>
  <c r="X132" i="8"/>
  <c r="Y132" i="8"/>
  <c r="Z132" i="8"/>
  <c r="AA132" i="8"/>
  <c r="AB132" i="8"/>
  <c r="AC132" i="8"/>
  <c r="AD132" i="8"/>
  <c r="AE132" i="8"/>
  <c r="AF132" i="8"/>
  <c r="AG132" i="8"/>
  <c r="AH132" i="8"/>
  <c r="AI132" i="8"/>
  <c r="AJ132" i="8"/>
  <c r="AK132" i="8"/>
  <c r="AL132" i="8"/>
  <c r="AM132" i="8"/>
  <c r="AN132" i="8"/>
  <c r="AO132" i="8"/>
  <c r="AP132" i="8"/>
  <c r="AQ132" i="8"/>
  <c r="AR132" i="8"/>
  <c r="AS132" i="8"/>
  <c r="AT132" i="8"/>
  <c r="AU132" i="8"/>
  <c r="AV132" i="8"/>
  <c r="AW132" i="8"/>
  <c r="AX132" i="8"/>
  <c r="AY132" i="8"/>
  <c r="AZ132" i="8"/>
  <c r="BA132" i="8"/>
  <c r="BB132" i="8"/>
  <c r="BC132" i="8"/>
  <c r="BD132" i="8"/>
  <c r="BE132" i="8"/>
  <c r="BF132" i="8"/>
  <c r="BG132" i="8"/>
  <c r="BH132" i="8"/>
  <c r="BI132" i="8"/>
  <c r="BJ132" i="8"/>
  <c r="BK132" i="8"/>
  <c r="BL132" i="8"/>
  <c r="BM132" i="8"/>
  <c r="BN132" i="8"/>
  <c r="BO132" i="8"/>
  <c r="BP132" i="8"/>
  <c r="BQ132" i="8"/>
  <c r="BR132" i="8"/>
  <c r="BS132" i="8"/>
  <c r="BT132" i="8"/>
  <c r="BU132" i="8"/>
  <c r="BV132" i="8"/>
  <c r="BW132" i="8"/>
  <c r="BX132" i="8"/>
  <c r="BY132" i="8"/>
  <c r="BZ132" i="8"/>
  <c r="CA132" i="8"/>
  <c r="CB132" i="8"/>
  <c r="CC132" i="8"/>
  <c r="CD132" i="8"/>
  <c r="CE132" i="8"/>
  <c r="CF132" i="8"/>
  <c r="CG132" i="8"/>
  <c r="CH132" i="8"/>
  <c r="CI132" i="8"/>
  <c r="CJ132" i="8"/>
  <c r="CK132" i="8"/>
  <c r="CL132" i="8"/>
  <c r="CM132" i="8"/>
  <c r="CN132" i="8"/>
  <c r="CO132" i="8"/>
  <c r="CP132" i="8"/>
  <c r="CQ132" i="8"/>
  <c r="CR132" i="8"/>
  <c r="CS132" i="8"/>
  <c r="CT132" i="8"/>
  <c r="CU132" i="8"/>
  <c r="CV132" i="8"/>
  <c r="CW132" i="8"/>
  <c r="CX132" i="8"/>
  <c r="CY132" i="8"/>
  <c r="CZ132" i="8"/>
  <c r="DA132" i="8"/>
  <c r="DB132" i="8"/>
  <c r="DC132" i="8"/>
  <c r="DD132" i="8"/>
  <c r="DE132" i="8"/>
  <c r="DF132" i="8"/>
  <c r="DG132" i="8"/>
  <c r="DH132" i="8"/>
  <c r="DI132" i="8"/>
  <c r="DJ132" i="8"/>
  <c r="DK132" i="8"/>
  <c r="DL132" i="8"/>
  <c r="DM132" i="8"/>
  <c r="DN132" i="8"/>
  <c r="DO132" i="8"/>
  <c r="DP132" i="8"/>
  <c r="DQ132" i="8"/>
  <c r="DR132" i="8"/>
  <c r="DS132" i="8"/>
  <c r="DT132" i="8"/>
  <c r="DU132" i="8"/>
  <c r="DV132" i="8"/>
  <c r="DW132" i="8"/>
  <c r="DX132" i="8"/>
  <c r="DY132" i="8"/>
  <c r="DZ132" i="8"/>
  <c r="EA132" i="8"/>
  <c r="EB132" i="8"/>
  <c r="EC132" i="8"/>
  <c r="ED132" i="8"/>
  <c r="EE132" i="8"/>
  <c r="EF132" i="8"/>
  <c r="EG132" i="8"/>
  <c r="EH132" i="8"/>
  <c r="EI132" i="8"/>
  <c r="EJ132" i="8"/>
  <c r="EK132" i="8"/>
  <c r="EL132" i="8"/>
  <c r="EM132" i="8"/>
  <c r="EN132" i="8"/>
  <c r="EO132" i="8"/>
  <c r="EP132" i="8"/>
  <c r="EQ132" i="8"/>
  <c r="ER132" i="8"/>
  <c r="ES132" i="8"/>
  <c r="ET132" i="8"/>
  <c r="EU132" i="8"/>
  <c r="EV132" i="8"/>
  <c r="EW132" i="8"/>
  <c r="EX132" i="8"/>
  <c r="EY132" i="8"/>
  <c r="EZ132" i="8"/>
  <c r="FA132" i="8"/>
  <c r="FB132" i="8"/>
  <c r="FC132" i="8"/>
  <c r="FD132" i="8"/>
  <c r="FE132" i="8"/>
  <c r="FF132" i="8"/>
  <c r="FG132" i="8"/>
  <c r="FH132" i="8"/>
  <c r="FI132" i="8"/>
  <c r="FJ132" i="8"/>
  <c r="FK132" i="8"/>
  <c r="FL132" i="8"/>
  <c r="FM132" i="8"/>
  <c r="FN132" i="8"/>
  <c r="FO132" i="8"/>
  <c r="FP132" i="8"/>
  <c r="FQ132" i="8"/>
  <c r="FR132" i="8"/>
  <c r="FS132" i="8"/>
  <c r="FT132" i="8"/>
  <c r="FU132" i="8"/>
  <c r="FV132" i="8"/>
  <c r="FW132" i="8"/>
  <c r="FX132" i="8"/>
  <c r="FY132" i="8"/>
  <c r="FZ132" i="8"/>
  <c r="GA132" i="8"/>
  <c r="GB132" i="8"/>
  <c r="GC132" i="8"/>
  <c r="GD132" i="8"/>
  <c r="GE132" i="8"/>
  <c r="GF132" i="8"/>
  <c r="GG132" i="8"/>
  <c r="GH132" i="8"/>
  <c r="GI132" i="8"/>
  <c r="GJ132" i="8"/>
  <c r="GK132" i="8"/>
  <c r="GL132" i="8"/>
  <c r="GM132" i="8"/>
  <c r="GN132" i="8"/>
  <c r="GO132" i="8"/>
  <c r="GP132" i="8"/>
  <c r="GQ132" i="8"/>
  <c r="GR132" i="8"/>
  <c r="GS132" i="8"/>
  <c r="GT132" i="8"/>
  <c r="GU132" i="8"/>
  <c r="GV132" i="8"/>
  <c r="GW132" i="8"/>
  <c r="GX132" i="8"/>
  <c r="GY132" i="8"/>
  <c r="GZ132" i="8"/>
  <c r="HA132" i="8"/>
  <c r="HB132" i="8"/>
  <c r="HC132" i="8"/>
  <c r="HD132" i="8"/>
  <c r="HE132" i="8"/>
  <c r="HF132" i="8"/>
  <c r="HG132" i="8"/>
  <c r="HH132" i="8"/>
  <c r="HI132" i="8"/>
  <c r="HJ132" i="8"/>
  <c r="HK132" i="8"/>
  <c r="HL132" i="8"/>
  <c r="HM132" i="8"/>
  <c r="HN132" i="8"/>
  <c r="HO132" i="8"/>
  <c r="HP132" i="8"/>
  <c r="HQ132" i="8"/>
  <c r="HR132" i="8"/>
  <c r="HS132" i="8"/>
  <c r="HT132" i="8"/>
  <c r="HU132" i="8"/>
  <c r="HV132" i="8"/>
  <c r="HW132" i="8"/>
  <c r="HX132" i="8"/>
  <c r="HY132" i="8"/>
  <c r="HZ132" i="8"/>
  <c r="IA132" i="8"/>
  <c r="IB132" i="8"/>
  <c r="IC132" i="8"/>
  <c r="ID132" i="8"/>
  <c r="IE132" i="8"/>
  <c r="IF132" i="8"/>
  <c r="IG132" i="8"/>
  <c r="IH132" i="8"/>
  <c r="II132" i="8"/>
  <c r="IJ132" i="8"/>
  <c r="IK132" i="8"/>
  <c r="IL132" i="8"/>
  <c r="IM132" i="8"/>
  <c r="IN132" i="8"/>
  <c r="IO132" i="8"/>
  <c r="IP132" i="8"/>
  <c r="IQ132" i="8"/>
  <c r="IR132" i="8"/>
  <c r="IS132" i="8"/>
  <c r="IT132" i="8"/>
  <c r="IU132" i="8"/>
  <c r="IV132" i="8"/>
  <c r="F133" i="8"/>
  <c r="G133" i="8"/>
  <c r="H133" i="8"/>
  <c r="I133" i="8"/>
  <c r="J133" i="8"/>
  <c r="K133" i="8"/>
  <c r="L133" i="8"/>
  <c r="M133" i="8"/>
  <c r="N133" i="8"/>
  <c r="O133" i="8"/>
  <c r="P133" i="8"/>
  <c r="Q133" i="8"/>
  <c r="R133" i="8"/>
  <c r="S133" i="8"/>
  <c r="T133" i="8"/>
  <c r="U133" i="8"/>
  <c r="V133" i="8"/>
  <c r="W133" i="8"/>
  <c r="X133" i="8"/>
  <c r="Y133" i="8"/>
  <c r="Z133" i="8"/>
  <c r="AA133" i="8"/>
  <c r="AB133" i="8"/>
  <c r="AC133" i="8"/>
  <c r="AD133" i="8"/>
  <c r="AE133" i="8"/>
  <c r="AF133" i="8"/>
  <c r="AG133" i="8"/>
  <c r="AH133" i="8"/>
  <c r="AI133" i="8"/>
  <c r="AJ133" i="8"/>
  <c r="AK133" i="8"/>
  <c r="AL133" i="8"/>
  <c r="AM133" i="8"/>
  <c r="AN133" i="8"/>
  <c r="AO133" i="8"/>
  <c r="AP133" i="8"/>
  <c r="AQ133" i="8"/>
  <c r="AR133" i="8"/>
  <c r="AS133" i="8"/>
  <c r="AT133" i="8"/>
  <c r="AU133" i="8"/>
  <c r="AV133" i="8"/>
  <c r="AW133" i="8"/>
  <c r="AX133" i="8"/>
  <c r="AY133" i="8"/>
  <c r="AZ133" i="8"/>
  <c r="BA133" i="8"/>
  <c r="BB133" i="8"/>
  <c r="BC133" i="8"/>
  <c r="BD133" i="8"/>
  <c r="BE133" i="8"/>
  <c r="BF133" i="8"/>
  <c r="BG133" i="8"/>
  <c r="BH133" i="8"/>
  <c r="BI133" i="8"/>
  <c r="BJ133" i="8"/>
  <c r="BK133" i="8"/>
  <c r="BL133" i="8"/>
  <c r="BM133" i="8"/>
  <c r="BN133" i="8"/>
  <c r="BO133" i="8"/>
  <c r="BP133" i="8"/>
  <c r="BQ133" i="8"/>
  <c r="BR133" i="8"/>
  <c r="BS133" i="8"/>
  <c r="BT133" i="8"/>
  <c r="BU133" i="8"/>
  <c r="BV133" i="8"/>
  <c r="BW133" i="8"/>
  <c r="BX133" i="8"/>
  <c r="BY133" i="8"/>
  <c r="BZ133" i="8"/>
  <c r="CA133" i="8"/>
  <c r="CB133" i="8"/>
  <c r="CC133" i="8"/>
  <c r="CD133" i="8"/>
  <c r="CE133" i="8"/>
  <c r="CF133" i="8"/>
  <c r="CG133" i="8"/>
  <c r="CH133" i="8"/>
  <c r="CI133" i="8"/>
  <c r="CJ133" i="8"/>
  <c r="CK133" i="8"/>
  <c r="CL133" i="8"/>
  <c r="CM133" i="8"/>
  <c r="CN133" i="8"/>
  <c r="CO133" i="8"/>
  <c r="CP133" i="8"/>
  <c r="CQ133" i="8"/>
  <c r="CR133" i="8"/>
  <c r="CS133" i="8"/>
  <c r="CT133" i="8"/>
  <c r="CU133" i="8"/>
  <c r="CV133" i="8"/>
  <c r="CW133" i="8"/>
  <c r="CX133" i="8"/>
  <c r="CY133" i="8"/>
  <c r="CZ133" i="8"/>
  <c r="DA133" i="8"/>
  <c r="DB133" i="8"/>
  <c r="DC133" i="8"/>
  <c r="DD133" i="8"/>
  <c r="DE133" i="8"/>
  <c r="DF133" i="8"/>
  <c r="DG133" i="8"/>
  <c r="DH133" i="8"/>
  <c r="DI133" i="8"/>
  <c r="DJ133" i="8"/>
  <c r="DK133" i="8"/>
  <c r="DL133" i="8"/>
  <c r="DM133" i="8"/>
  <c r="DN133" i="8"/>
  <c r="DO133" i="8"/>
  <c r="DP133" i="8"/>
  <c r="DQ133" i="8"/>
  <c r="DR133" i="8"/>
  <c r="DS133" i="8"/>
  <c r="DT133" i="8"/>
  <c r="DU133" i="8"/>
  <c r="DV133" i="8"/>
  <c r="DW133" i="8"/>
  <c r="DX133" i="8"/>
  <c r="DY133" i="8"/>
  <c r="DZ133" i="8"/>
  <c r="EA133" i="8"/>
  <c r="EB133" i="8"/>
  <c r="EC133" i="8"/>
  <c r="ED133" i="8"/>
  <c r="EE133" i="8"/>
  <c r="EF133" i="8"/>
  <c r="EG133" i="8"/>
  <c r="EH133" i="8"/>
  <c r="EI133" i="8"/>
  <c r="EJ133" i="8"/>
  <c r="EK133" i="8"/>
  <c r="EL133" i="8"/>
  <c r="EM133" i="8"/>
  <c r="EN133" i="8"/>
  <c r="EO133" i="8"/>
  <c r="EP133" i="8"/>
  <c r="EQ133" i="8"/>
  <c r="ER133" i="8"/>
  <c r="ES133" i="8"/>
  <c r="ET133" i="8"/>
  <c r="EU133" i="8"/>
  <c r="EV133" i="8"/>
  <c r="EW133" i="8"/>
  <c r="EX133" i="8"/>
  <c r="EY133" i="8"/>
  <c r="EZ133" i="8"/>
  <c r="FA133" i="8"/>
  <c r="FB133" i="8"/>
  <c r="FC133" i="8"/>
  <c r="FD133" i="8"/>
  <c r="FE133" i="8"/>
  <c r="FF133" i="8"/>
  <c r="FG133" i="8"/>
  <c r="FH133" i="8"/>
  <c r="FI133" i="8"/>
  <c r="FJ133" i="8"/>
  <c r="FK133" i="8"/>
  <c r="FL133" i="8"/>
  <c r="FM133" i="8"/>
  <c r="FN133" i="8"/>
  <c r="FO133" i="8"/>
  <c r="FP133" i="8"/>
  <c r="FQ133" i="8"/>
  <c r="FR133" i="8"/>
  <c r="FS133" i="8"/>
  <c r="FT133" i="8"/>
  <c r="FU133" i="8"/>
  <c r="FV133" i="8"/>
  <c r="FW133" i="8"/>
  <c r="FX133" i="8"/>
  <c r="FY133" i="8"/>
  <c r="FZ133" i="8"/>
  <c r="GA133" i="8"/>
  <c r="GB133" i="8"/>
  <c r="GC133" i="8"/>
  <c r="GD133" i="8"/>
  <c r="GE133" i="8"/>
  <c r="GF133" i="8"/>
  <c r="GG133" i="8"/>
  <c r="GH133" i="8"/>
  <c r="GI133" i="8"/>
  <c r="GJ133" i="8"/>
  <c r="GK133" i="8"/>
  <c r="GL133" i="8"/>
  <c r="GM133" i="8"/>
  <c r="GN133" i="8"/>
  <c r="GO133" i="8"/>
  <c r="GP133" i="8"/>
  <c r="GQ133" i="8"/>
  <c r="GR133" i="8"/>
  <c r="GS133" i="8"/>
  <c r="GT133" i="8"/>
  <c r="GU133" i="8"/>
  <c r="GV133" i="8"/>
  <c r="GW133" i="8"/>
  <c r="GX133" i="8"/>
  <c r="GY133" i="8"/>
  <c r="GZ133" i="8"/>
  <c r="HA133" i="8"/>
  <c r="HB133" i="8"/>
  <c r="HC133" i="8"/>
  <c r="HD133" i="8"/>
  <c r="HE133" i="8"/>
  <c r="HF133" i="8"/>
  <c r="HG133" i="8"/>
  <c r="HH133" i="8"/>
  <c r="HI133" i="8"/>
  <c r="HJ133" i="8"/>
  <c r="HK133" i="8"/>
  <c r="HL133" i="8"/>
  <c r="HM133" i="8"/>
  <c r="HN133" i="8"/>
  <c r="HO133" i="8"/>
  <c r="HP133" i="8"/>
  <c r="HQ133" i="8"/>
  <c r="HR133" i="8"/>
  <c r="HS133" i="8"/>
  <c r="HT133" i="8"/>
  <c r="HU133" i="8"/>
  <c r="HV133" i="8"/>
  <c r="HW133" i="8"/>
  <c r="HX133" i="8"/>
  <c r="HY133" i="8"/>
  <c r="HZ133" i="8"/>
  <c r="IA133" i="8"/>
  <c r="IB133" i="8"/>
  <c r="IC133" i="8"/>
  <c r="ID133" i="8"/>
  <c r="IE133" i="8"/>
  <c r="IF133" i="8"/>
  <c r="IG133" i="8"/>
  <c r="IH133" i="8"/>
  <c r="II133" i="8"/>
  <c r="IJ133" i="8"/>
  <c r="IK133" i="8"/>
  <c r="IL133" i="8"/>
  <c r="IM133" i="8"/>
  <c r="IN133" i="8"/>
  <c r="IO133" i="8"/>
  <c r="IP133" i="8"/>
  <c r="IQ133" i="8"/>
  <c r="IR133" i="8"/>
  <c r="IS133" i="8"/>
  <c r="IT133" i="8"/>
  <c r="IU133" i="8"/>
  <c r="IV133" i="8"/>
  <c r="F134" i="8"/>
  <c r="G134" i="8"/>
  <c r="H134" i="8"/>
  <c r="I134" i="8"/>
  <c r="J134" i="8"/>
  <c r="K134" i="8"/>
  <c r="L134" i="8"/>
  <c r="M134" i="8"/>
  <c r="N134" i="8"/>
  <c r="O134" i="8"/>
  <c r="P134" i="8"/>
  <c r="Q134" i="8"/>
  <c r="R134" i="8"/>
  <c r="S134" i="8"/>
  <c r="T134" i="8"/>
  <c r="U134" i="8"/>
  <c r="V134" i="8"/>
  <c r="W134" i="8"/>
  <c r="X134" i="8"/>
  <c r="Y134" i="8"/>
  <c r="Z134" i="8"/>
  <c r="AA134" i="8"/>
  <c r="AB134" i="8"/>
  <c r="AC134" i="8"/>
  <c r="AD134" i="8"/>
  <c r="AE134" i="8"/>
  <c r="AF134" i="8"/>
  <c r="AG134" i="8"/>
  <c r="AH134" i="8"/>
  <c r="AI134" i="8"/>
  <c r="AJ134" i="8"/>
  <c r="AK134" i="8"/>
  <c r="AL134" i="8"/>
  <c r="AM134" i="8"/>
  <c r="AN134" i="8"/>
  <c r="AO134" i="8"/>
  <c r="AP134" i="8"/>
  <c r="AQ134" i="8"/>
  <c r="AR134" i="8"/>
  <c r="AS134" i="8"/>
  <c r="AT134" i="8"/>
  <c r="AU134" i="8"/>
  <c r="AV134" i="8"/>
  <c r="AW134" i="8"/>
  <c r="AX134" i="8"/>
  <c r="AY134" i="8"/>
  <c r="AZ134" i="8"/>
  <c r="BA134" i="8"/>
  <c r="BB134" i="8"/>
  <c r="BC134" i="8"/>
  <c r="BD134" i="8"/>
  <c r="BE134" i="8"/>
  <c r="BF134" i="8"/>
  <c r="BG134" i="8"/>
  <c r="BH134" i="8"/>
  <c r="BI134" i="8"/>
  <c r="BJ134" i="8"/>
  <c r="BK134" i="8"/>
  <c r="BL134" i="8"/>
  <c r="BM134" i="8"/>
  <c r="BN134" i="8"/>
  <c r="BO134" i="8"/>
  <c r="BP134" i="8"/>
  <c r="BQ134" i="8"/>
  <c r="BR134" i="8"/>
  <c r="BS134" i="8"/>
  <c r="BT134" i="8"/>
  <c r="BU134" i="8"/>
  <c r="BV134" i="8"/>
  <c r="BW134" i="8"/>
  <c r="BX134" i="8"/>
  <c r="BY134" i="8"/>
  <c r="BZ134" i="8"/>
  <c r="CA134" i="8"/>
  <c r="CB134" i="8"/>
  <c r="CC134" i="8"/>
  <c r="CD134" i="8"/>
  <c r="CE134" i="8"/>
  <c r="CF134" i="8"/>
  <c r="CG134" i="8"/>
  <c r="CH134" i="8"/>
  <c r="CI134" i="8"/>
  <c r="CJ134" i="8"/>
  <c r="CK134" i="8"/>
  <c r="CL134" i="8"/>
  <c r="CM134" i="8"/>
  <c r="CN134" i="8"/>
  <c r="CO134" i="8"/>
  <c r="CP134" i="8"/>
  <c r="CQ134" i="8"/>
  <c r="CR134" i="8"/>
  <c r="CS134" i="8"/>
  <c r="CT134" i="8"/>
  <c r="CU134" i="8"/>
  <c r="CV134" i="8"/>
  <c r="CW134" i="8"/>
  <c r="CX134" i="8"/>
  <c r="CY134" i="8"/>
  <c r="CZ134" i="8"/>
  <c r="DA134" i="8"/>
  <c r="DB134" i="8"/>
  <c r="DC134" i="8"/>
  <c r="DD134" i="8"/>
  <c r="DE134" i="8"/>
  <c r="DF134" i="8"/>
  <c r="DG134" i="8"/>
  <c r="DH134" i="8"/>
  <c r="DI134" i="8"/>
  <c r="DJ134" i="8"/>
  <c r="DK134" i="8"/>
  <c r="DL134" i="8"/>
  <c r="DM134" i="8"/>
  <c r="DN134" i="8"/>
  <c r="DO134" i="8"/>
  <c r="DP134" i="8"/>
  <c r="DQ134" i="8"/>
  <c r="DR134" i="8"/>
  <c r="DS134" i="8"/>
  <c r="DT134" i="8"/>
  <c r="DU134" i="8"/>
  <c r="DV134" i="8"/>
  <c r="DW134" i="8"/>
  <c r="DX134" i="8"/>
  <c r="DY134" i="8"/>
  <c r="DZ134" i="8"/>
  <c r="EA134" i="8"/>
  <c r="EB134" i="8"/>
  <c r="EC134" i="8"/>
  <c r="ED134" i="8"/>
  <c r="EE134" i="8"/>
  <c r="EF134" i="8"/>
  <c r="EG134" i="8"/>
  <c r="EH134" i="8"/>
  <c r="EI134" i="8"/>
  <c r="EJ134" i="8"/>
  <c r="EK134" i="8"/>
  <c r="EL134" i="8"/>
  <c r="EM134" i="8"/>
  <c r="EN134" i="8"/>
  <c r="EO134" i="8"/>
  <c r="EP134" i="8"/>
  <c r="EQ134" i="8"/>
  <c r="ER134" i="8"/>
  <c r="ES134" i="8"/>
  <c r="ET134" i="8"/>
  <c r="EU134" i="8"/>
  <c r="EV134" i="8"/>
  <c r="EW134" i="8"/>
  <c r="EX134" i="8"/>
  <c r="EY134" i="8"/>
  <c r="EZ134" i="8"/>
  <c r="FA134" i="8"/>
  <c r="FB134" i="8"/>
  <c r="FC134" i="8"/>
  <c r="FD134" i="8"/>
  <c r="FE134" i="8"/>
  <c r="FF134" i="8"/>
  <c r="FG134" i="8"/>
  <c r="FH134" i="8"/>
  <c r="FI134" i="8"/>
  <c r="FJ134" i="8"/>
  <c r="FK134" i="8"/>
  <c r="FL134" i="8"/>
  <c r="FM134" i="8"/>
  <c r="FN134" i="8"/>
  <c r="FO134" i="8"/>
  <c r="FP134" i="8"/>
  <c r="FQ134" i="8"/>
  <c r="FR134" i="8"/>
  <c r="FS134" i="8"/>
  <c r="FT134" i="8"/>
  <c r="FU134" i="8"/>
  <c r="FV134" i="8"/>
  <c r="FW134" i="8"/>
  <c r="FX134" i="8"/>
  <c r="FY134" i="8"/>
  <c r="FZ134" i="8"/>
  <c r="GA134" i="8"/>
  <c r="GB134" i="8"/>
  <c r="GC134" i="8"/>
  <c r="GD134" i="8"/>
  <c r="GE134" i="8"/>
  <c r="GF134" i="8"/>
  <c r="GG134" i="8"/>
  <c r="GH134" i="8"/>
  <c r="GI134" i="8"/>
  <c r="GJ134" i="8"/>
  <c r="GK134" i="8"/>
  <c r="GL134" i="8"/>
  <c r="GM134" i="8"/>
  <c r="GN134" i="8"/>
  <c r="GO134" i="8"/>
  <c r="GP134" i="8"/>
  <c r="GQ134" i="8"/>
  <c r="GR134" i="8"/>
  <c r="GS134" i="8"/>
  <c r="GT134" i="8"/>
  <c r="GU134" i="8"/>
  <c r="GV134" i="8"/>
  <c r="GW134" i="8"/>
  <c r="GX134" i="8"/>
  <c r="GY134" i="8"/>
  <c r="GZ134" i="8"/>
  <c r="HA134" i="8"/>
  <c r="HB134" i="8"/>
  <c r="HC134" i="8"/>
  <c r="HD134" i="8"/>
  <c r="HE134" i="8"/>
  <c r="HF134" i="8"/>
  <c r="HG134" i="8"/>
  <c r="HH134" i="8"/>
  <c r="HI134" i="8"/>
  <c r="HJ134" i="8"/>
  <c r="HK134" i="8"/>
  <c r="HL134" i="8"/>
  <c r="HM134" i="8"/>
  <c r="HN134" i="8"/>
  <c r="HO134" i="8"/>
  <c r="HP134" i="8"/>
  <c r="HQ134" i="8"/>
  <c r="HR134" i="8"/>
  <c r="HS134" i="8"/>
  <c r="HT134" i="8"/>
  <c r="HU134" i="8"/>
  <c r="HV134" i="8"/>
  <c r="HW134" i="8"/>
  <c r="HX134" i="8"/>
  <c r="HY134" i="8"/>
  <c r="HZ134" i="8"/>
  <c r="IA134" i="8"/>
  <c r="IB134" i="8"/>
  <c r="IC134" i="8"/>
  <c r="ID134" i="8"/>
  <c r="IE134" i="8"/>
  <c r="IF134" i="8"/>
  <c r="IG134" i="8"/>
  <c r="IH134" i="8"/>
  <c r="II134" i="8"/>
  <c r="IJ134" i="8"/>
  <c r="IK134" i="8"/>
  <c r="IL134" i="8"/>
  <c r="IM134" i="8"/>
  <c r="IN134" i="8"/>
  <c r="IO134" i="8"/>
  <c r="IP134" i="8"/>
  <c r="IQ134" i="8"/>
  <c r="IR134" i="8"/>
  <c r="IS134" i="8"/>
  <c r="IT134" i="8"/>
  <c r="IU134" i="8"/>
  <c r="IV134" i="8"/>
  <c r="F135" i="8"/>
  <c r="G135" i="8"/>
  <c r="H135" i="8"/>
  <c r="I135" i="8"/>
  <c r="J135" i="8"/>
  <c r="K135" i="8"/>
  <c r="L135" i="8"/>
  <c r="M135" i="8"/>
  <c r="N135" i="8"/>
  <c r="O135" i="8"/>
  <c r="P135" i="8"/>
  <c r="Q135" i="8"/>
  <c r="R135" i="8"/>
  <c r="S135" i="8"/>
  <c r="T135" i="8"/>
  <c r="U135" i="8"/>
  <c r="V135" i="8"/>
  <c r="W135" i="8"/>
  <c r="X135" i="8"/>
  <c r="Y135" i="8"/>
  <c r="Z135" i="8"/>
  <c r="AA135" i="8"/>
  <c r="AB135" i="8"/>
  <c r="AC135" i="8"/>
  <c r="AD135" i="8"/>
  <c r="AE135" i="8"/>
  <c r="AF135" i="8"/>
  <c r="AG135" i="8"/>
  <c r="AH135" i="8"/>
  <c r="AI135" i="8"/>
  <c r="AJ135" i="8"/>
  <c r="AK135" i="8"/>
  <c r="AL135" i="8"/>
  <c r="AM135" i="8"/>
  <c r="AN135" i="8"/>
  <c r="AO135" i="8"/>
  <c r="AP135" i="8"/>
  <c r="AQ135" i="8"/>
  <c r="AR135" i="8"/>
  <c r="AS135" i="8"/>
  <c r="AT135" i="8"/>
  <c r="AU135" i="8"/>
  <c r="AV135" i="8"/>
  <c r="AW135" i="8"/>
  <c r="AX135" i="8"/>
  <c r="AY135" i="8"/>
  <c r="AZ135" i="8"/>
  <c r="BA135" i="8"/>
  <c r="BB135" i="8"/>
  <c r="BC135" i="8"/>
  <c r="BD135" i="8"/>
  <c r="BE135" i="8"/>
  <c r="BF135" i="8"/>
  <c r="BG135" i="8"/>
  <c r="BH135" i="8"/>
  <c r="BI135" i="8"/>
  <c r="BJ135" i="8"/>
  <c r="BK135" i="8"/>
  <c r="BL135" i="8"/>
  <c r="BM135" i="8"/>
  <c r="BN135" i="8"/>
  <c r="BO135" i="8"/>
  <c r="BP135" i="8"/>
  <c r="BQ135" i="8"/>
  <c r="BR135" i="8"/>
  <c r="BS135" i="8"/>
  <c r="BT135" i="8"/>
  <c r="BU135" i="8"/>
  <c r="BV135" i="8"/>
  <c r="BW135" i="8"/>
  <c r="BX135" i="8"/>
  <c r="BY135" i="8"/>
  <c r="BZ135" i="8"/>
  <c r="CA135" i="8"/>
  <c r="CB135" i="8"/>
  <c r="CC135" i="8"/>
  <c r="CD135" i="8"/>
  <c r="CE135" i="8"/>
  <c r="CF135" i="8"/>
  <c r="CG135" i="8"/>
  <c r="CH135" i="8"/>
  <c r="CI135" i="8"/>
  <c r="CJ135" i="8"/>
  <c r="CK135" i="8"/>
  <c r="CL135" i="8"/>
  <c r="CM135" i="8"/>
  <c r="CN135" i="8"/>
  <c r="CO135" i="8"/>
  <c r="CP135" i="8"/>
  <c r="CQ135" i="8"/>
  <c r="CR135" i="8"/>
  <c r="CS135" i="8"/>
  <c r="CT135" i="8"/>
  <c r="CU135" i="8"/>
  <c r="CV135" i="8"/>
  <c r="CW135" i="8"/>
  <c r="CX135" i="8"/>
  <c r="CY135" i="8"/>
  <c r="CZ135" i="8"/>
  <c r="DA135" i="8"/>
  <c r="DB135" i="8"/>
  <c r="DC135" i="8"/>
  <c r="DD135" i="8"/>
  <c r="DE135" i="8"/>
  <c r="DF135" i="8"/>
  <c r="DG135" i="8"/>
  <c r="DH135" i="8"/>
  <c r="DI135" i="8"/>
  <c r="DJ135" i="8"/>
  <c r="DK135" i="8"/>
  <c r="DL135" i="8"/>
  <c r="DM135" i="8"/>
  <c r="DN135" i="8"/>
  <c r="DO135" i="8"/>
  <c r="DP135" i="8"/>
  <c r="DQ135" i="8"/>
  <c r="DR135" i="8"/>
  <c r="DS135" i="8"/>
  <c r="DT135" i="8"/>
  <c r="DU135" i="8"/>
  <c r="DV135" i="8"/>
  <c r="DW135" i="8"/>
  <c r="DX135" i="8"/>
  <c r="DY135" i="8"/>
  <c r="DZ135" i="8"/>
  <c r="EA135" i="8"/>
  <c r="EB135" i="8"/>
  <c r="EC135" i="8"/>
  <c r="ED135" i="8"/>
  <c r="EE135" i="8"/>
  <c r="EF135" i="8"/>
  <c r="EG135" i="8"/>
  <c r="EH135" i="8"/>
  <c r="EI135" i="8"/>
  <c r="EJ135" i="8"/>
  <c r="EK135" i="8"/>
  <c r="EL135" i="8"/>
  <c r="EM135" i="8"/>
  <c r="EN135" i="8"/>
  <c r="EO135" i="8"/>
  <c r="EP135" i="8"/>
  <c r="EQ135" i="8"/>
  <c r="ER135" i="8"/>
  <c r="ES135" i="8"/>
  <c r="ET135" i="8"/>
  <c r="EU135" i="8"/>
  <c r="EV135" i="8"/>
  <c r="EW135" i="8"/>
  <c r="EX135" i="8"/>
  <c r="EY135" i="8"/>
  <c r="EZ135" i="8"/>
  <c r="FA135" i="8"/>
  <c r="FB135" i="8"/>
  <c r="FC135" i="8"/>
  <c r="FD135" i="8"/>
  <c r="FE135" i="8"/>
  <c r="FF135" i="8"/>
  <c r="FG135" i="8"/>
  <c r="FH135" i="8"/>
  <c r="FI135" i="8"/>
  <c r="FJ135" i="8"/>
  <c r="FK135" i="8"/>
  <c r="FL135" i="8"/>
  <c r="FM135" i="8"/>
  <c r="FN135" i="8"/>
  <c r="FO135" i="8"/>
  <c r="FP135" i="8"/>
  <c r="FQ135" i="8"/>
  <c r="FR135" i="8"/>
  <c r="FS135" i="8"/>
  <c r="FT135" i="8"/>
  <c r="FU135" i="8"/>
  <c r="FV135" i="8"/>
  <c r="FW135" i="8"/>
  <c r="FX135" i="8"/>
  <c r="FY135" i="8"/>
  <c r="FZ135" i="8"/>
  <c r="GA135" i="8"/>
  <c r="GB135" i="8"/>
  <c r="GC135" i="8"/>
  <c r="GD135" i="8"/>
  <c r="GE135" i="8"/>
  <c r="GF135" i="8"/>
  <c r="GG135" i="8"/>
  <c r="GH135" i="8"/>
  <c r="GI135" i="8"/>
  <c r="GJ135" i="8"/>
  <c r="GK135" i="8"/>
  <c r="GL135" i="8"/>
  <c r="GM135" i="8"/>
  <c r="GN135" i="8"/>
  <c r="GO135" i="8"/>
  <c r="GP135" i="8"/>
  <c r="GQ135" i="8"/>
  <c r="GR135" i="8"/>
  <c r="GS135" i="8"/>
  <c r="GT135" i="8"/>
  <c r="GU135" i="8"/>
  <c r="GV135" i="8"/>
  <c r="GW135" i="8"/>
  <c r="GX135" i="8"/>
  <c r="GY135" i="8"/>
  <c r="GZ135" i="8"/>
  <c r="HA135" i="8"/>
  <c r="HB135" i="8"/>
  <c r="HC135" i="8"/>
  <c r="HD135" i="8"/>
  <c r="HE135" i="8"/>
  <c r="HF135" i="8"/>
  <c r="HG135" i="8"/>
  <c r="HH135" i="8"/>
  <c r="HI135" i="8"/>
  <c r="HJ135" i="8"/>
  <c r="HK135" i="8"/>
  <c r="HL135" i="8"/>
  <c r="HM135" i="8"/>
  <c r="HN135" i="8"/>
  <c r="HO135" i="8"/>
  <c r="HP135" i="8"/>
  <c r="HQ135" i="8"/>
  <c r="HR135" i="8"/>
  <c r="HS135" i="8"/>
  <c r="HT135" i="8"/>
  <c r="HU135" i="8"/>
  <c r="HV135" i="8"/>
  <c r="HW135" i="8"/>
  <c r="HX135" i="8"/>
  <c r="HY135" i="8"/>
  <c r="HZ135" i="8"/>
  <c r="IA135" i="8"/>
  <c r="IB135" i="8"/>
  <c r="IC135" i="8"/>
  <c r="ID135" i="8"/>
  <c r="IE135" i="8"/>
  <c r="IF135" i="8"/>
  <c r="IG135" i="8"/>
  <c r="IH135" i="8"/>
  <c r="II135" i="8"/>
  <c r="IJ135" i="8"/>
  <c r="IK135" i="8"/>
  <c r="IL135" i="8"/>
  <c r="IM135" i="8"/>
  <c r="IN135" i="8"/>
  <c r="IO135" i="8"/>
  <c r="IP135" i="8"/>
  <c r="IQ135" i="8"/>
  <c r="IR135" i="8"/>
  <c r="IS135" i="8"/>
  <c r="IT135" i="8"/>
  <c r="IU135" i="8"/>
  <c r="IV135" i="8"/>
  <c r="F136" i="8"/>
  <c r="G136" i="8"/>
  <c r="H136" i="8"/>
  <c r="I136" i="8"/>
  <c r="J136" i="8"/>
  <c r="K136" i="8"/>
  <c r="L136" i="8"/>
  <c r="M136" i="8"/>
  <c r="N136" i="8"/>
  <c r="O136" i="8"/>
  <c r="P136" i="8"/>
  <c r="Q136" i="8"/>
  <c r="R136" i="8"/>
  <c r="S136" i="8"/>
  <c r="T136" i="8"/>
  <c r="U136" i="8"/>
  <c r="V136" i="8"/>
  <c r="W136" i="8"/>
  <c r="X136" i="8"/>
  <c r="Y136" i="8"/>
  <c r="Z136" i="8"/>
  <c r="AA136" i="8"/>
  <c r="AB136" i="8"/>
  <c r="AC136" i="8"/>
  <c r="AD136" i="8"/>
  <c r="AE136" i="8"/>
  <c r="AF136" i="8"/>
  <c r="AG136" i="8"/>
  <c r="AH136" i="8"/>
  <c r="AI136" i="8"/>
  <c r="AJ136" i="8"/>
  <c r="AK136" i="8"/>
  <c r="AL136" i="8"/>
  <c r="AM136" i="8"/>
  <c r="AN136" i="8"/>
  <c r="AO136" i="8"/>
  <c r="AP136" i="8"/>
  <c r="AQ136" i="8"/>
  <c r="AR136" i="8"/>
  <c r="AS136" i="8"/>
  <c r="AT136" i="8"/>
  <c r="AU136" i="8"/>
  <c r="AV136" i="8"/>
  <c r="AW136" i="8"/>
  <c r="AX136" i="8"/>
  <c r="AY136" i="8"/>
  <c r="AZ136" i="8"/>
  <c r="BA136" i="8"/>
  <c r="BB136" i="8"/>
  <c r="BC136" i="8"/>
  <c r="BD136" i="8"/>
  <c r="BE136" i="8"/>
  <c r="BF136" i="8"/>
  <c r="BG136" i="8"/>
  <c r="BH136" i="8"/>
  <c r="BI136" i="8"/>
  <c r="BJ136" i="8"/>
  <c r="BK136" i="8"/>
  <c r="BL136" i="8"/>
  <c r="BM136" i="8"/>
  <c r="BN136" i="8"/>
  <c r="BO136" i="8"/>
  <c r="BP136" i="8"/>
  <c r="BQ136" i="8"/>
  <c r="BR136" i="8"/>
  <c r="BS136" i="8"/>
  <c r="BT136" i="8"/>
  <c r="BU136" i="8"/>
  <c r="BV136" i="8"/>
  <c r="BW136" i="8"/>
  <c r="BX136" i="8"/>
  <c r="BY136" i="8"/>
  <c r="BZ136" i="8"/>
  <c r="CA136" i="8"/>
  <c r="CB136" i="8"/>
  <c r="CC136" i="8"/>
  <c r="CD136" i="8"/>
  <c r="CE136" i="8"/>
  <c r="CF136" i="8"/>
  <c r="CG136" i="8"/>
  <c r="CH136" i="8"/>
  <c r="CI136" i="8"/>
  <c r="CJ136" i="8"/>
  <c r="CK136" i="8"/>
  <c r="CL136" i="8"/>
  <c r="CM136" i="8"/>
  <c r="CN136" i="8"/>
  <c r="CO136" i="8"/>
  <c r="CP136" i="8"/>
  <c r="CQ136" i="8"/>
  <c r="CR136" i="8"/>
  <c r="CS136" i="8"/>
  <c r="CT136" i="8"/>
  <c r="CU136" i="8"/>
  <c r="CV136" i="8"/>
  <c r="CW136" i="8"/>
  <c r="CX136" i="8"/>
  <c r="CY136" i="8"/>
  <c r="CZ136" i="8"/>
  <c r="DA136" i="8"/>
  <c r="DB136" i="8"/>
  <c r="DC136" i="8"/>
  <c r="DD136" i="8"/>
  <c r="DE136" i="8"/>
  <c r="DF136" i="8"/>
  <c r="DG136" i="8"/>
  <c r="DH136" i="8"/>
  <c r="DI136" i="8"/>
  <c r="DJ136" i="8"/>
  <c r="DK136" i="8"/>
  <c r="DL136" i="8"/>
  <c r="DM136" i="8"/>
  <c r="DN136" i="8"/>
  <c r="DO136" i="8"/>
  <c r="DP136" i="8"/>
  <c r="DQ136" i="8"/>
  <c r="DR136" i="8"/>
  <c r="DS136" i="8"/>
  <c r="DT136" i="8"/>
  <c r="DU136" i="8"/>
  <c r="DV136" i="8"/>
  <c r="DW136" i="8"/>
  <c r="DX136" i="8"/>
  <c r="DY136" i="8"/>
  <c r="DZ136" i="8"/>
  <c r="EA136" i="8"/>
  <c r="EB136" i="8"/>
  <c r="EC136" i="8"/>
  <c r="ED136" i="8"/>
  <c r="EE136" i="8"/>
  <c r="EF136" i="8"/>
  <c r="EG136" i="8"/>
  <c r="EH136" i="8"/>
  <c r="EI136" i="8"/>
  <c r="EJ136" i="8"/>
  <c r="EK136" i="8"/>
  <c r="EL136" i="8"/>
  <c r="EM136" i="8"/>
  <c r="EN136" i="8"/>
  <c r="EO136" i="8"/>
  <c r="EP136" i="8"/>
  <c r="EQ136" i="8"/>
  <c r="ER136" i="8"/>
  <c r="ES136" i="8"/>
  <c r="ET136" i="8"/>
  <c r="EU136" i="8"/>
  <c r="EV136" i="8"/>
  <c r="EW136" i="8"/>
  <c r="EX136" i="8"/>
  <c r="EY136" i="8"/>
  <c r="EZ136" i="8"/>
  <c r="FA136" i="8"/>
  <c r="FB136" i="8"/>
  <c r="FC136" i="8"/>
  <c r="FD136" i="8"/>
  <c r="FE136" i="8"/>
  <c r="FF136" i="8"/>
  <c r="FG136" i="8"/>
  <c r="FH136" i="8"/>
  <c r="FI136" i="8"/>
  <c r="FJ136" i="8"/>
  <c r="FK136" i="8"/>
  <c r="FL136" i="8"/>
  <c r="FM136" i="8"/>
  <c r="FN136" i="8"/>
  <c r="FO136" i="8"/>
  <c r="FP136" i="8"/>
  <c r="FQ136" i="8"/>
  <c r="FR136" i="8"/>
  <c r="FS136" i="8"/>
  <c r="FT136" i="8"/>
  <c r="FU136" i="8"/>
  <c r="FV136" i="8"/>
  <c r="FW136" i="8"/>
  <c r="FX136" i="8"/>
  <c r="FY136" i="8"/>
  <c r="FZ136" i="8"/>
  <c r="GA136" i="8"/>
  <c r="GB136" i="8"/>
  <c r="GC136" i="8"/>
  <c r="GD136" i="8"/>
  <c r="GE136" i="8"/>
  <c r="GF136" i="8"/>
  <c r="GG136" i="8"/>
  <c r="GH136" i="8"/>
  <c r="GI136" i="8"/>
  <c r="GJ136" i="8"/>
  <c r="GK136" i="8"/>
  <c r="GL136" i="8"/>
  <c r="GM136" i="8"/>
  <c r="GN136" i="8"/>
  <c r="GO136" i="8"/>
  <c r="GP136" i="8"/>
  <c r="GQ136" i="8"/>
  <c r="GR136" i="8"/>
  <c r="GS136" i="8"/>
  <c r="GT136" i="8"/>
  <c r="GU136" i="8"/>
  <c r="GV136" i="8"/>
  <c r="GW136" i="8"/>
  <c r="GX136" i="8"/>
  <c r="GY136" i="8"/>
  <c r="GZ136" i="8"/>
  <c r="HA136" i="8"/>
  <c r="HB136" i="8"/>
  <c r="HC136" i="8"/>
  <c r="HD136" i="8"/>
  <c r="HE136" i="8"/>
  <c r="HF136" i="8"/>
  <c r="HG136" i="8"/>
  <c r="HH136" i="8"/>
  <c r="HI136" i="8"/>
  <c r="HJ136" i="8"/>
  <c r="HK136" i="8"/>
  <c r="HL136" i="8"/>
  <c r="HM136" i="8"/>
  <c r="HN136" i="8"/>
  <c r="HO136" i="8"/>
  <c r="HP136" i="8"/>
  <c r="HQ136" i="8"/>
  <c r="HR136" i="8"/>
  <c r="HS136" i="8"/>
  <c r="HT136" i="8"/>
  <c r="HU136" i="8"/>
  <c r="HV136" i="8"/>
  <c r="HW136" i="8"/>
  <c r="HX136" i="8"/>
  <c r="HY136" i="8"/>
  <c r="HZ136" i="8"/>
  <c r="IA136" i="8"/>
  <c r="IB136" i="8"/>
  <c r="IC136" i="8"/>
  <c r="ID136" i="8"/>
  <c r="IE136" i="8"/>
  <c r="IF136" i="8"/>
  <c r="IG136" i="8"/>
  <c r="IH136" i="8"/>
  <c r="II136" i="8"/>
  <c r="IJ136" i="8"/>
  <c r="IK136" i="8"/>
  <c r="IL136" i="8"/>
  <c r="IM136" i="8"/>
  <c r="IN136" i="8"/>
  <c r="IO136" i="8"/>
  <c r="IP136" i="8"/>
  <c r="IQ136" i="8"/>
  <c r="IR136" i="8"/>
  <c r="IS136" i="8"/>
  <c r="IT136" i="8"/>
  <c r="IU136" i="8"/>
  <c r="IV136" i="8"/>
  <c r="F137" i="8"/>
  <c r="G137" i="8"/>
  <c r="H137" i="8"/>
  <c r="I137" i="8"/>
  <c r="J137" i="8"/>
  <c r="K137" i="8"/>
  <c r="L137" i="8"/>
  <c r="M137" i="8"/>
  <c r="N137" i="8"/>
  <c r="O137" i="8"/>
  <c r="P137" i="8"/>
  <c r="Q137" i="8"/>
  <c r="R137" i="8"/>
  <c r="S137" i="8"/>
  <c r="T137" i="8"/>
  <c r="U137" i="8"/>
  <c r="V137" i="8"/>
  <c r="W137" i="8"/>
  <c r="X137" i="8"/>
  <c r="Y137" i="8"/>
  <c r="Z137" i="8"/>
  <c r="AA137" i="8"/>
  <c r="AB137" i="8"/>
  <c r="AC137" i="8"/>
  <c r="AD137" i="8"/>
  <c r="AE137" i="8"/>
  <c r="AF137" i="8"/>
  <c r="AG137" i="8"/>
  <c r="AH137" i="8"/>
  <c r="AI137" i="8"/>
  <c r="AJ137" i="8"/>
  <c r="AK137" i="8"/>
  <c r="AL137" i="8"/>
  <c r="AM137" i="8"/>
  <c r="AN137" i="8"/>
  <c r="AO137" i="8"/>
  <c r="AP137" i="8"/>
  <c r="AQ137" i="8"/>
  <c r="AR137" i="8"/>
  <c r="AS137" i="8"/>
  <c r="AT137" i="8"/>
  <c r="AU137" i="8"/>
  <c r="AV137" i="8"/>
  <c r="AW137" i="8"/>
  <c r="AX137" i="8"/>
  <c r="AY137" i="8"/>
  <c r="AZ137" i="8"/>
  <c r="BA137" i="8"/>
  <c r="BB137" i="8"/>
  <c r="BC137" i="8"/>
  <c r="BD137" i="8"/>
  <c r="BE137" i="8"/>
  <c r="BF137" i="8"/>
  <c r="BG137" i="8"/>
  <c r="BH137" i="8"/>
  <c r="BI137" i="8"/>
  <c r="BJ137" i="8"/>
  <c r="BK137" i="8"/>
  <c r="BL137" i="8"/>
  <c r="BM137" i="8"/>
  <c r="BN137" i="8"/>
  <c r="BO137" i="8"/>
  <c r="BP137" i="8"/>
  <c r="BQ137" i="8"/>
  <c r="BR137" i="8"/>
  <c r="BS137" i="8"/>
  <c r="BT137" i="8"/>
  <c r="BU137" i="8"/>
  <c r="BV137" i="8"/>
  <c r="BW137" i="8"/>
  <c r="BX137" i="8"/>
  <c r="BY137" i="8"/>
  <c r="BZ137" i="8"/>
  <c r="CA137" i="8"/>
  <c r="CB137" i="8"/>
  <c r="CC137" i="8"/>
  <c r="CD137" i="8"/>
  <c r="CE137" i="8"/>
  <c r="CF137" i="8"/>
  <c r="CG137" i="8"/>
  <c r="CH137" i="8"/>
  <c r="CI137" i="8"/>
  <c r="CJ137" i="8"/>
  <c r="CK137" i="8"/>
  <c r="CL137" i="8"/>
  <c r="CM137" i="8"/>
  <c r="CN137" i="8"/>
  <c r="CO137" i="8"/>
  <c r="CP137" i="8"/>
  <c r="CQ137" i="8"/>
  <c r="CR137" i="8"/>
  <c r="CS137" i="8"/>
  <c r="CT137" i="8"/>
  <c r="CU137" i="8"/>
  <c r="CV137" i="8"/>
  <c r="CW137" i="8"/>
  <c r="CX137" i="8"/>
  <c r="CY137" i="8"/>
  <c r="CZ137" i="8"/>
  <c r="DA137" i="8"/>
  <c r="DB137" i="8"/>
  <c r="DC137" i="8"/>
  <c r="DD137" i="8"/>
  <c r="DE137" i="8"/>
  <c r="DF137" i="8"/>
  <c r="DG137" i="8"/>
  <c r="DH137" i="8"/>
  <c r="DI137" i="8"/>
  <c r="DJ137" i="8"/>
  <c r="DK137" i="8"/>
  <c r="DL137" i="8"/>
  <c r="DM137" i="8"/>
  <c r="DN137" i="8"/>
  <c r="DO137" i="8"/>
  <c r="DP137" i="8"/>
  <c r="DQ137" i="8"/>
  <c r="DR137" i="8"/>
  <c r="DS137" i="8"/>
  <c r="DT137" i="8"/>
  <c r="DU137" i="8"/>
  <c r="DV137" i="8"/>
  <c r="DW137" i="8"/>
  <c r="DX137" i="8"/>
  <c r="DY137" i="8"/>
  <c r="DZ137" i="8"/>
  <c r="EA137" i="8"/>
  <c r="EB137" i="8"/>
  <c r="EC137" i="8"/>
  <c r="ED137" i="8"/>
  <c r="EE137" i="8"/>
  <c r="EF137" i="8"/>
  <c r="EG137" i="8"/>
  <c r="EH137" i="8"/>
  <c r="EI137" i="8"/>
  <c r="EJ137" i="8"/>
  <c r="EK137" i="8"/>
  <c r="EL137" i="8"/>
  <c r="EM137" i="8"/>
  <c r="EN137" i="8"/>
  <c r="EO137" i="8"/>
  <c r="EP137" i="8"/>
  <c r="EQ137" i="8"/>
  <c r="ER137" i="8"/>
  <c r="ES137" i="8"/>
  <c r="ET137" i="8"/>
  <c r="EU137" i="8"/>
  <c r="EV137" i="8"/>
  <c r="EW137" i="8"/>
  <c r="EX137" i="8"/>
  <c r="EY137" i="8"/>
  <c r="EZ137" i="8"/>
  <c r="FA137" i="8"/>
  <c r="FB137" i="8"/>
  <c r="FC137" i="8"/>
  <c r="FD137" i="8"/>
  <c r="FE137" i="8"/>
  <c r="FF137" i="8"/>
  <c r="FG137" i="8"/>
  <c r="FH137" i="8"/>
  <c r="FI137" i="8"/>
  <c r="FJ137" i="8"/>
  <c r="FK137" i="8"/>
  <c r="FL137" i="8"/>
  <c r="FM137" i="8"/>
  <c r="FN137" i="8"/>
  <c r="FO137" i="8"/>
  <c r="FP137" i="8"/>
  <c r="FQ137" i="8"/>
  <c r="FR137" i="8"/>
  <c r="FS137" i="8"/>
  <c r="FT137" i="8"/>
  <c r="FU137" i="8"/>
  <c r="FV137" i="8"/>
  <c r="FW137" i="8"/>
  <c r="FX137" i="8"/>
  <c r="FY137" i="8"/>
  <c r="FZ137" i="8"/>
  <c r="GA137" i="8"/>
  <c r="GB137" i="8"/>
  <c r="GC137" i="8"/>
  <c r="GD137" i="8"/>
  <c r="GE137" i="8"/>
  <c r="GF137" i="8"/>
  <c r="GG137" i="8"/>
  <c r="GH137" i="8"/>
  <c r="GI137" i="8"/>
  <c r="GJ137" i="8"/>
  <c r="GK137" i="8"/>
  <c r="GL137" i="8"/>
  <c r="GM137" i="8"/>
  <c r="GN137" i="8"/>
  <c r="GO137" i="8"/>
  <c r="GP137" i="8"/>
  <c r="GQ137" i="8"/>
  <c r="GR137" i="8"/>
  <c r="GS137" i="8"/>
  <c r="GT137" i="8"/>
  <c r="GU137" i="8"/>
  <c r="GV137" i="8"/>
  <c r="GW137" i="8"/>
  <c r="GX137" i="8"/>
  <c r="GY137" i="8"/>
  <c r="GZ137" i="8"/>
  <c r="HA137" i="8"/>
  <c r="HB137" i="8"/>
  <c r="HC137" i="8"/>
  <c r="HD137" i="8"/>
  <c r="HE137" i="8"/>
  <c r="HF137" i="8"/>
  <c r="HG137" i="8"/>
  <c r="HH137" i="8"/>
  <c r="HI137" i="8"/>
  <c r="HJ137" i="8"/>
  <c r="HK137" i="8"/>
  <c r="HL137" i="8"/>
  <c r="HM137" i="8"/>
  <c r="HN137" i="8"/>
  <c r="HO137" i="8"/>
  <c r="HP137" i="8"/>
  <c r="HQ137" i="8"/>
  <c r="HR137" i="8"/>
  <c r="HS137" i="8"/>
  <c r="HT137" i="8"/>
  <c r="HU137" i="8"/>
  <c r="HV137" i="8"/>
  <c r="HW137" i="8"/>
  <c r="HX137" i="8"/>
  <c r="HY137" i="8"/>
  <c r="HZ137" i="8"/>
  <c r="IA137" i="8"/>
  <c r="IB137" i="8"/>
  <c r="IC137" i="8"/>
  <c r="ID137" i="8"/>
  <c r="IE137" i="8"/>
  <c r="IF137" i="8"/>
  <c r="IG137" i="8"/>
  <c r="IH137" i="8"/>
  <c r="II137" i="8"/>
  <c r="IJ137" i="8"/>
  <c r="IK137" i="8"/>
  <c r="IL137" i="8"/>
  <c r="IM137" i="8"/>
  <c r="IN137" i="8"/>
  <c r="IO137" i="8"/>
  <c r="IP137" i="8"/>
  <c r="IQ137" i="8"/>
  <c r="IR137" i="8"/>
  <c r="IS137" i="8"/>
  <c r="IT137" i="8"/>
  <c r="IU137" i="8"/>
  <c r="IV137" i="8"/>
  <c r="F138" i="8"/>
  <c r="G138" i="8"/>
  <c r="H138" i="8"/>
  <c r="I138" i="8"/>
  <c r="J138" i="8"/>
  <c r="K138" i="8"/>
  <c r="L138" i="8"/>
  <c r="M138" i="8"/>
  <c r="N138" i="8"/>
  <c r="O138" i="8"/>
  <c r="P138" i="8"/>
  <c r="Q138" i="8"/>
  <c r="R138" i="8"/>
  <c r="S138" i="8"/>
  <c r="T138" i="8"/>
  <c r="U138" i="8"/>
  <c r="V138" i="8"/>
  <c r="W138" i="8"/>
  <c r="X138" i="8"/>
  <c r="Y138" i="8"/>
  <c r="Z138" i="8"/>
  <c r="AA138" i="8"/>
  <c r="AB138" i="8"/>
  <c r="AC138" i="8"/>
  <c r="AD138" i="8"/>
  <c r="AE138" i="8"/>
  <c r="AF138" i="8"/>
  <c r="AG138" i="8"/>
  <c r="AH138" i="8"/>
  <c r="AI138" i="8"/>
  <c r="AJ138" i="8"/>
  <c r="AK138" i="8"/>
  <c r="AL138" i="8"/>
  <c r="AM138" i="8"/>
  <c r="AN138" i="8"/>
  <c r="AO138" i="8"/>
  <c r="AP138" i="8"/>
  <c r="AQ138" i="8"/>
  <c r="AR138" i="8"/>
  <c r="AS138" i="8"/>
  <c r="AT138" i="8"/>
  <c r="AU138" i="8"/>
  <c r="AV138" i="8"/>
  <c r="AW138" i="8"/>
  <c r="AX138" i="8"/>
  <c r="AY138" i="8"/>
  <c r="AZ138" i="8"/>
  <c r="BA138" i="8"/>
  <c r="BB138" i="8"/>
  <c r="BC138" i="8"/>
  <c r="BD138" i="8"/>
  <c r="BE138" i="8"/>
  <c r="BF138" i="8"/>
  <c r="BG138" i="8"/>
  <c r="BH138" i="8"/>
  <c r="BI138" i="8"/>
  <c r="BJ138" i="8"/>
  <c r="BK138" i="8"/>
  <c r="BL138" i="8"/>
  <c r="BM138" i="8"/>
  <c r="BN138" i="8"/>
  <c r="BO138" i="8"/>
  <c r="BP138" i="8"/>
  <c r="BQ138" i="8"/>
  <c r="BR138" i="8"/>
  <c r="BS138" i="8"/>
  <c r="BT138" i="8"/>
  <c r="BU138" i="8"/>
  <c r="BV138" i="8"/>
  <c r="BW138" i="8"/>
  <c r="BX138" i="8"/>
  <c r="BY138" i="8"/>
  <c r="BZ138" i="8"/>
  <c r="CA138" i="8"/>
  <c r="CB138" i="8"/>
  <c r="CC138" i="8"/>
  <c r="CD138" i="8"/>
  <c r="CE138" i="8"/>
  <c r="CF138" i="8"/>
  <c r="CG138" i="8"/>
  <c r="CH138" i="8"/>
  <c r="CI138" i="8"/>
  <c r="CJ138" i="8"/>
  <c r="CK138" i="8"/>
  <c r="CL138" i="8"/>
  <c r="CM138" i="8"/>
  <c r="CN138" i="8"/>
  <c r="CO138" i="8"/>
  <c r="CP138" i="8"/>
  <c r="CQ138" i="8"/>
  <c r="CR138" i="8"/>
  <c r="CS138" i="8"/>
  <c r="CT138" i="8"/>
  <c r="CU138" i="8"/>
  <c r="CV138" i="8"/>
  <c r="CW138" i="8"/>
  <c r="CX138" i="8"/>
  <c r="CY138" i="8"/>
  <c r="CZ138" i="8"/>
  <c r="DA138" i="8"/>
  <c r="DB138" i="8"/>
  <c r="DC138" i="8"/>
  <c r="DD138" i="8"/>
  <c r="DE138" i="8"/>
  <c r="DF138" i="8"/>
  <c r="DG138" i="8"/>
  <c r="DH138" i="8"/>
  <c r="DI138" i="8"/>
  <c r="DJ138" i="8"/>
  <c r="DK138" i="8"/>
  <c r="DL138" i="8"/>
  <c r="DM138" i="8"/>
  <c r="DN138" i="8"/>
  <c r="DO138" i="8"/>
  <c r="DP138" i="8"/>
  <c r="DQ138" i="8"/>
  <c r="DR138" i="8"/>
  <c r="DS138" i="8"/>
  <c r="DT138" i="8"/>
  <c r="DU138" i="8"/>
  <c r="DV138" i="8"/>
  <c r="DW138" i="8"/>
  <c r="DY138" i="8"/>
  <c r="DZ138" i="8"/>
  <c r="EA138" i="8"/>
  <c r="EB138" i="8"/>
  <c r="EC138" i="8"/>
  <c r="ED138" i="8"/>
  <c r="EE138" i="8"/>
  <c r="EG138" i="8"/>
  <c r="EH138" i="8"/>
  <c r="EI138" i="8"/>
  <c r="EJ138" i="8"/>
  <c r="EK138" i="8"/>
  <c r="EL138" i="8"/>
  <c r="EM138" i="8"/>
  <c r="EN138" i="8"/>
  <c r="EO138" i="8"/>
  <c r="EP138" i="8"/>
  <c r="EQ138" i="8"/>
  <c r="ER138" i="8"/>
  <c r="ES138" i="8"/>
  <c r="ET138" i="8"/>
  <c r="EU138" i="8"/>
  <c r="EV138" i="8"/>
  <c r="EW138" i="8"/>
  <c r="EX138" i="8"/>
  <c r="EY138" i="8"/>
  <c r="EZ138" i="8"/>
  <c r="FA138" i="8"/>
  <c r="FB138" i="8"/>
  <c r="FC138" i="8"/>
  <c r="FD138" i="8"/>
  <c r="FE138" i="8"/>
  <c r="FF138" i="8"/>
  <c r="FG138" i="8"/>
  <c r="FH138" i="8"/>
  <c r="FI138" i="8"/>
  <c r="FJ138" i="8"/>
  <c r="FK138" i="8"/>
  <c r="FL138" i="8"/>
  <c r="FM138" i="8"/>
  <c r="FN138" i="8"/>
  <c r="FO138" i="8"/>
  <c r="FP138" i="8"/>
  <c r="FQ138" i="8"/>
  <c r="FR138" i="8"/>
  <c r="FS138" i="8"/>
  <c r="FT138" i="8"/>
  <c r="FU138" i="8"/>
  <c r="FV138" i="8"/>
  <c r="FW138" i="8"/>
  <c r="FX138" i="8"/>
  <c r="FY138" i="8"/>
  <c r="FZ138" i="8"/>
  <c r="GA138" i="8"/>
  <c r="GB138" i="8"/>
  <c r="GC138" i="8"/>
  <c r="GD138" i="8"/>
  <c r="GE138" i="8"/>
  <c r="GF138" i="8"/>
  <c r="GG138" i="8"/>
  <c r="GH138" i="8"/>
  <c r="GI138" i="8"/>
  <c r="GJ138" i="8"/>
  <c r="GK138" i="8"/>
  <c r="GL138" i="8"/>
  <c r="GM138" i="8"/>
  <c r="GN138" i="8"/>
  <c r="GO138" i="8"/>
  <c r="GP138" i="8"/>
  <c r="GQ138" i="8"/>
  <c r="GR138" i="8"/>
  <c r="GS138" i="8"/>
  <c r="GT138" i="8"/>
  <c r="GU138" i="8"/>
  <c r="GV138" i="8"/>
  <c r="GW138" i="8"/>
  <c r="GX138" i="8"/>
  <c r="GY138" i="8"/>
  <c r="GZ138" i="8"/>
  <c r="HA138" i="8"/>
  <c r="HB138" i="8"/>
  <c r="HC138" i="8"/>
  <c r="HD138" i="8"/>
  <c r="HE138" i="8"/>
  <c r="HF138" i="8"/>
  <c r="HG138" i="8"/>
  <c r="HH138" i="8"/>
  <c r="HI138" i="8"/>
  <c r="HJ138" i="8"/>
  <c r="HK138" i="8"/>
  <c r="HL138" i="8"/>
  <c r="HM138" i="8"/>
  <c r="HN138" i="8"/>
  <c r="HO138" i="8"/>
  <c r="HP138" i="8"/>
  <c r="HQ138" i="8"/>
  <c r="HR138" i="8"/>
  <c r="HS138" i="8"/>
  <c r="HT138" i="8"/>
  <c r="HU138" i="8"/>
  <c r="HV138" i="8"/>
  <c r="HW138" i="8"/>
  <c r="HX138" i="8"/>
  <c r="HY138" i="8"/>
  <c r="HZ138" i="8"/>
  <c r="IA138" i="8"/>
  <c r="IB138" i="8"/>
  <c r="IC138" i="8"/>
  <c r="ID138" i="8"/>
  <c r="IE138" i="8"/>
  <c r="IF138" i="8"/>
  <c r="IG138" i="8"/>
  <c r="IH138" i="8"/>
  <c r="II138" i="8"/>
  <c r="IJ138" i="8"/>
  <c r="IK138" i="8"/>
  <c r="IL138" i="8"/>
  <c r="IM138" i="8"/>
  <c r="IN138" i="8"/>
  <c r="IO138" i="8"/>
  <c r="IP138" i="8"/>
  <c r="IQ138" i="8"/>
  <c r="IR138" i="8"/>
  <c r="IS138" i="8"/>
  <c r="IT138" i="8"/>
  <c r="IU138" i="8"/>
  <c r="IV138" i="8"/>
  <c r="F139" i="8"/>
  <c r="G139" i="8"/>
  <c r="H139" i="8"/>
  <c r="I139" i="8"/>
  <c r="J139" i="8"/>
  <c r="K139" i="8"/>
  <c r="L139" i="8"/>
  <c r="M139" i="8"/>
  <c r="N139" i="8"/>
  <c r="O139" i="8"/>
  <c r="P139" i="8"/>
  <c r="Q139" i="8"/>
  <c r="R139" i="8"/>
  <c r="S139" i="8"/>
  <c r="T139" i="8"/>
  <c r="U139" i="8"/>
  <c r="V139" i="8"/>
  <c r="W139" i="8"/>
  <c r="X139" i="8"/>
  <c r="Y139" i="8"/>
  <c r="Z139" i="8"/>
  <c r="AA139" i="8"/>
  <c r="AB139" i="8"/>
  <c r="AC139" i="8"/>
  <c r="AD139" i="8"/>
  <c r="AE139" i="8"/>
  <c r="AF139" i="8"/>
  <c r="AG139" i="8"/>
  <c r="AH139" i="8"/>
  <c r="AI139" i="8"/>
  <c r="AJ139" i="8"/>
  <c r="AK139" i="8"/>
  <c r="AL139" i="8"/>
  <c r="AM139" i="8"/>
  <c r="AN139" i="8"/>
  <c r="AO139" i="8"/>
  <c r="AP139" i="8"/>
  <c r="AQ139" i="8"/>
  <c r="AR139" i="8"/>
  <c r="AS139" i="8"/>
  <c r="AT139" i="8"/>
  <c r="AU139" i="8"/>
  <c r="AV139" i="8"/>
  <c r="AW139" i="8"/>
  <c r="AX139" i="8"/>
  <c r="AY139" i="8"/>
  <c r="AZ139" i="8"/>
  <c r="BA139" i="8"/>
  <c r="BB139" i="8"/>
  <c r="BC139" i="8"/>
  <c r="BD139" i="8"/>
  <c r="BE139" i="8"/>
  <c r="BF139" i="8"/>
  <c r="BG139" i="8"/>
  <c r="BH139" i="8"/>
  <c r="BI139" i="8"/>
  <c r="BJ139" i="8"/>
  <c r="BK139" i="8"/>
  <c r="BL139" i="8"/>
  <c r="BM139" i="8"/>
  <c r="BN139" i="8"/>
  <c r="BO139" i="8"/>
  <c r="BP139" i="8"/>
  <c r="BQ139" i="8"/>
  <c r="BR139" i="8"/>
  <c r="BS139" i="8"/>
  <c r="BT139" i="8"/>
  <c r="BU139" i="8"/>
  <c r="BV139" i="8"/>
  <c r="BW139" i="8"/>
  <c r="BX139" i="8"/>
  <c r="BY139" i="8"/>
  <c r="BZ139" i="8"/>
  <c r="CA139" i="8"/>
  <c r="CB139" i="8"/>
  <c r="CC139" i="8"/>
  <c r="CD139" i="8"/>
  <c r="CE139" i="8"/>
  <c r="CF139" i="8"/>
  <c r="CG139" i="8"/>
  <c r="CH139" i="8"/>
  <c r="CI139" i="8"/>
  <c r="CJ139" i="8"/>
  <c r="CK139" i="8"/>
  <c r="CL139" i="8"/>
  <c r="CM139" i="8"/>
  <c r="CN139" i="8"/>
  <c r="CO139" i="8"/>
  <c r="CP139" i="8"/>
  <c r="CQ139" i="8"/>
  <c r="CR139" i="8"/>
  <c r="CS139" i="8"/>
  <c r="CT139" i="8"/>
  <c r="CU139" i="8"/>
  <c r="CV139" i="8"/>
  <c r="CW139" i="8"/>
  <c r="CX139" i="8"/>
  <c r="CY139" i="8"/>
  <c r="CZ139" i="8"/>
  <c r="DA139" i="8"/>
  <c r="DB139" i="8"/>
  <c r="DC139" i="8"/>
  <c r="DD139" i="8"/>
  <c r="DE139" i="8"/>
  <c r="DF139" i="8"/>
  <c r="DG139" i="8"/>
  <c r="DH139" i="8"/>
  <c r="DI139" i="8"/>
  <c r="DJ139" i="8"/>
  <c r="DK139" i="8"/>
  <c r="DL139" i="8"/>
  <c r="DM139" i="8"/>
  <c r="DN139" i="8"/>
  <c r="DO139" i="8"/>
  <c r="DP139" i="8"/>
  <c r="DQ139" i="8"/>
  <c r="DR139" i="8"/>
  <c r="DS139" i="8"/>
  <c r="DT139" i="8"/>
  <c r="DU139" i="8"/>
  <c r="DV139" i="8"/>
  <c r="DW139" i="8"/>
  <c r="DX139" i="8"/>
  <c r="DY139" i="8"/>
  <c r="DZ139" i="8"/>
  <c r="EA139" i="8"/>
  <c r="EB139" i="8"/>
  <c r="EC139" i="8"/>
  <c r="ED139" i="8"/>
  <c r="EE139" i="8"/>
  <c r="EF139" i="8"/>
  <c r="EG139" i="8"/>
  <c r="EH139" i="8"/>
  <c r="EI139" i="8"/>
  <c r="EJ139" i="8"/>
  <c r="EK139" i="8"/>
  <c r="EL139" i="8"/>
  <c r="EM139" i="8"/>
  <c r="EN139" i="8"/>
  <c r="EO139" i="8"/>
  <c r="EP139" i="8"/>
  <c r="EQ139" i="8"/>
  <c r="ER139" i="8"/>
  <c r="ES139" i="8"/>
  <c r="ET139" i="8"/>
  <c r="EU139" i="8"/>
  <c r="EV139" i="8"/>
  <c r="EW139" i="8"/>
  <c r="EX139" i="8"/>
  <c r="EY139" i="8"/>
  <c r="EZ139" i="8"/>
  <c r="FA139" i="8"/>
  <c r="FB139" i="8"/>
  <c r="FC139" i="8"/>
  <c r="FD139" i="8"/>
  <c r="FE139" i="8"/>
  <c r="FF139" i="8"/>
  <c r="FG139" i="8"/>
  <c r="FH139" i="8"/>
  <c r="FI139" i="8"/>
  <c r="FJ139" i="8"/>
  <c r="FK139" i="8"/>
  <c r="FL139" i="8"/>
  <c r="FM139" i="8"/>
  <c r="FN139" i="8"/>
  <c r="FO139" i="8"/>
  <c r="FP139" i="8"/>
  <c r="FQ139" i="8"/>
  <c r="FR139" i="8"/>
  <c r="FS139" i="8"/>
  <c r="FT139" i="8"/>
  <c r="FU139" i="8"/>
  <c r="FV139" i="8"/>
  <c r="FW139" i="8"/>
  <c r="FX139" i="8"/>
  <c r="FY139" i="8"/>
  <c r="FZ139" i="8"/>
  <c r="GA139" i="8"/>
  <c r="GB139" i="8"/>
  <c r="GC139" i="8"/>
  <c r="GD139" i="8"/>
  <c r="GE139" i="8"/>
  <c r="GF139" i="8"/>
  <c r="GG139" i="8"/>
  <c r="GH139" i="8"/>
  <c r="GI139" i="8"/>
  <c r="GJ139" i="8"/>
  <c r="GK139" i="8"/>
  <c r="GL139" i="8"/>
  <c r="GM139" i="8"/>
  <c r="GN139" i="8"/>
  <c r="GO139" i="8"/>
  <c r="GP139" i="8"/>
  <c r="GQ139" i="8"/>
  <c r="GR139" i="8"/>
  <c r="GS139" i="8"/>
  <c r="GT139" i="8"/>
  <c r="GU139" i="8"/>
  <c r="GV139" i="8"/>
  <c r="GW139" i="8"/>
  <c r="GX139" i="8"/>
  <c r="GY139" i="8"/>
  <c r="GZ139" i="8"/>
  <c r="HA139" i="8"/>
  <c r="HB139" i="8"/>
  <c r="HC139" i="8"/>
  <c r="HD139" i="8"/>
  <c r="HE139" i="8"/>
  <c r="HF139" i="8"/>
  <c r="HG139" i="8"/>
  <c r="HH139" i="8"/>
  <c r="HI139" i="8"/>
  <c r="HJ139" i="8"/>
  <c r="HK139" i="8"/>
  <c r="HL139" i="8"/>
  <c r="HM139" i="8"/>
  <c r="HN139" i="8"/>
  <c r="HO139" i="8"/>
  <c r="HP139" i="8"/>
  <c r="HQ139" i="8"/>
  <c r="HR139" i="8"/>
  <c r="HS139" i="8"/>
  <c r="HT139" i="8"/>
  <c r="HU139" i="8"/>
  <c r="HV139" i="8"/>
  <c r="HW139" i="8"/>
  <c r="HX139" i="8"/>
  <c r="HY139" i="8"/>
  <c r="HZ139" i="8"/>
  <c r="IA139" i="8"/>
  <c r="IB139" i="8"/>
  <c r="IC139" i="8"/>
  <c r="ID139" i="8"/>
  <c r="IE139" i="8"/>
  <c r="IF139" i="8"/>
  <c r="IG139" i="8"/>
  <c r="IH139" i="8"/>
  <c r="II139" i="8"/>
  <c r="IJ139" i="8"/>
  <c r="IK139" i="8"/>
  <c r="IL139" i="8"/>
  <c r="IM139" i="8"/>
  <c r="IN139" i="8"/>
  <c r="IO139" i="8"/>
  <c r="IP139" i="8"/>
  <c r="IQ139" i="8"/>
  <c r="IR139" i="8"/>
  <c r="IS139" i="8"/>
  <c r="IT139" i="8"/>
  <c r="IU139" i="8"/>
  <c r="IV139" i="8"/>
  <c r="F140" i="8"/>
  <c r="G140" i="8"/>
  <c r="H140" i="8"/>
  <c r="I140" i="8"/>
  <c r="J140" i="8"/>
  <c r="K140" i="8"/>
  <c r="L140" i="8"/>
  <c r="M140" i="8"/>
  <c r="N140" i="8"/>
  <c r="O140" i="8"/>
  <c r="P140" i="8"/>
  <c r="Q140" i="8"/>
  <c r="R140" i="8"/>
  <c r="S140" i="8"/>
  <c r="T140" i="8"/>
  <c r="U140" i="8"/>
  <c r="V140" i="8"/>
  <c r="W140" i="8"/>
  <c r="X140" i="8"/>
  <c r="Y140" i="8"/>
  <c r="Z140" i="8"/>
  <c r="AA140" i="8"/>
  <c r="AB140" i="8"/>
  <c r="AC140" i="8"/>
  <c r="AD140" i="8"/>
  <c r="AE140" i="8"/>
  <c r="AF140" i="8"/>
  <c r="AG140" i="8"/>
  <c r="AH140" i="8"/>
  <c r="AI140" i="8"/>
  <c r="AJ140" i="8"/>
  <c r="AK140" i="8"/>
  <c r="AL140" i="8"/>
  <c r="AM140" i="8"/>
  <c r="AN140" i="8"/>
  <c r="AO140" i="8"/>
  <c r="AP140" i="8"/>
  <c r="AQ140" i="8"/>
  <c r="AR140" i="8"/>
  <c r="AS140" i="8"/>
  <c r="AT140" i="8"/>
  <c r="AU140" i="8"/>
  <c r="AV140" i="8"/>
  <c r="AW140" i="8"/>
  <c r="AX140" i="8"/>
  <c r="AY140" i="8"/>
  <c r="AZ140" i="8"/>
  <c r="BA140" i="8"/>
  <c r="BB140" i="8"/>
  <c r="BC140" i="8"/>
  <c r="BD140" i="8"/>
  <c r="BE140" i="8"/>
  <c r="BF140" i="8"/>
  <c r="BG140" i="8"/>
  <c r="BH140" i="8"/>
  <c r="BI140" i="8"/>
  <c r="BJ140" i="8"/>
  <c r="BK140" i="8"/>
  <c r="BL140" i="8"/>
  <c r="BM140" i="8"/>
  <c r="BN140" i="8"/>
  <c r="BO140" i="8"/>
  <c r="BP140" i="8"/>
  <c r="BQ140" i="8"/>
  <c r="BR140" i="8"/>
  <c r="BS140" i="8"/>
  <c r="BT140" i="8"/>
  <c r="BU140" i="8"/>
  <c r="BV140" i="8"/>
  <c r="BW140" i="8"/>
  <c r="BX140" i="8"/>
  <c r="BY140" i="8"/>
  <c r="BZ140" i="8"/>
  <c r="CA140" i="8"/>
  <c r="CB140" i="8"/>
  <c r="CC140" i="8"/>
  <c r="CD140" i="8"/>
  <c r="CE140" i="8"/>
  <c r="CF140" i="8"/>
  <c r="CG140" i="8"/>
  <c r="CH140" i="8"/>
  <c r="CI140" i="8"/>
  <c r="CJ140" i="8"/>
  <c r="CK140" i="8"/>
  <c r="CL140" i="8"/>
  <c r="CM140" i="8"/>
  <c r="CN140" i="8"/>
  <c r="CO140" i="8"/>
  <c r="CP140" i="8"/>
  <c r="CQ140" i="8"/>
  <c r="CR140" i="8"/>
  <c r="CS140" i="8"/>
  <c r="CT140" i="8"/>
  <c r="CU140" i="8"/>
  <c r="CV140" i="8"/>
  <c r="CW140" i="8"/>
  <c r="CX140" i="8"/>
  <c r="CY140" i="8"/>
  <c r="CZ140" i="8"/>
  <c r="DA140" i="8"/>
  <c r="DB140" i="8"/>
  <c r="DC140" i="8"/>
  <c r="DD140" i="8"/>
  <c r="DE140" i="8"/>
  <c r="DF140" i="8"/>
  <c r="DG140" i="8"/>
  <c r="DH140" i="8"/>
  <c r="DI140" i="8"/>
  <c r="DJ140" i="8"/>
  <c r="DK140" i="8"/>
  <c r="DL140" i="8"/>
  <c r="DM140" i="8"/>
  <c r="DN140" i="8"/>
  <c r="DO140" i="8"/>
  <c r="DP140" i="8"/>
  <c r="DQ140" i="8"/>
  <c r="DR140" i="8"/>
  <c r="DS140" i="8"/>
  <c r="DT140" i="8"/>
  <c r="DU140" i="8"/>
  <c r="DV140" i="8"/>
  <c r="DW140" i="8"/>
  <c r="DX140" i="8"/>
  <c r="DY140" i="8"/>
  <c r="DZ140" i="8"/>
  <c r="EA140" i="8"/>
  <c r="EB140" i="8"/>
  <c r="EC140" i="8"/>
  <c r="ED140" i="8"/>
  <c r="EE140" i="8"/>
  <c r="EF140" i="8"/>
  <c r="EG140" i="8"/>
  <c r="EH140" i="8"/>
  <c r="EI140" i="8"/>
  <c r="EJ140" i="8"/>
  <c r="EK140" i="8"/>
  <c r="EL140" i="8"/>
  <c r="EM140" i="8"/>
  <c r="EN140" i="8"/>
  <c r="EO140" i="8"/>
  <c r="EP140" i="8"/>
  <c r="EQ140" i="8"/>
  <c r="ER140" i="8"/>
  <c r="ES140" i="8"/>
  <c r="ET140" i="8"/>
  <c r="EU140" i="8"/>
  <c r="EV140" i="8"/>
  <c r="EW140" i="8"/>
  <c r="EX140" i="8"/>
  <c r="EY140" i="8"/>
  <c r="EZ140" i="8"/>
  <c r="FA140" i="8"/>
  <c r="FB140" i="8"/>
  <c r="FC140" i="8"/>
  <c r="FD140" i="8"/>
  <c r="FE140" i="8"/>
  <c r="FF140" i="8"/>
  <c r="FG140" i="8"/>
  <c r="FH140" i="8"/>
  <c r="FI140" i="8"/>
  <c r="FJ140" i="8"/>
  <c r="FK140" i="8"/>
  <c r="FL140" i="8"/>
  <c r="FM140" i="8"/>
  <c r="FN140" i="8"/>
  <c r="FO140" i="8"/>
  <c r="FP140" i="8"/>
  <c r="FQ140" i="8"/>
  <c r="FR140" i="8"/>
  <c r="FS140" i="8"/>
  <c r="FT140" i="8"/>
  <c r="FU140" i="8"/>
  <c r="FV140" i="8"/>
  <c r="FW140" i="8"/>
  <c r="FX140" i="8"/>
  <c r="FY140" i="8"/>
  <c r="FZ140" i="8"/>
  <c r="GA140" i="8"/>
  <c r="GB140" i="8"/>
  <c r="GC140" i="8"/>
  <c r="GD140" i="8"/>
  <c r="GE140" i="8"/>
  <c r="GF140" i="8"/>
  <c r="GG140" i="8"/>
  <c r="GH140" i="8"/>
  <c r="GI140" i="8"/>
  <c r="GJ140" i="8"/>
  <c r="GK140" i="8"/>
  <c r="GL140" i="8"/>
  <c r="GM140" i="8"/>
  <c r="GN140" i="8"/>
  <c r="GO140" i="8"/>
  <c r="GP140" i="8"/>
  <c r="GQ140" i="8"/>
  <c r="GR140" i="8"/>
  <c r="GS140" i="8"/>
  <c r="GT140" i="8"/>
  <c r="GU140" i="8"/>
  <c r="GV140" i="8"/>
  <c r="GW140" i="8"/>
  <c r="GX140" i="8"/>
  <c r="GY140" i="8"/>
  <c r="GZ140" i="8"/>
  <c r="HA140" i="8"/>
  <c r="HB140" i="8"/>
  <c r="HC140" i="8"/>
  <c r="HD140" i="8"/>
  <c r="HE140" i="8"/>
  <c r="HF140" i="8"/>
  <c r="HG140" i="8"/>
  <c r="HH140" i="8"/>
  <c r="HI140" i="8"/>
  <c r="HJ140" i="8"/>
  <c r="HK140" i="8"/>
  <c r="HL140" i="8"/>
  <c r="HM140" i="8"/>
  <c r="HN140" i="8"/>
  <c r="HO140" i="8"/>
  <c r="HP140" i="8"/>
  <c r="HQ140" i="8"/>
  <c r="HR140" i="8"/>
  <c r="HS140" i="8"/>
  <c r="HT140" i="8"/>
  <c r="HU140" i="8"/>
  <c r="HV140" i="8"/>
  <c r="HW140" i="8"/>
  <c r="HX140" i="8"/>
  <c r="HY140" i="8"/>
  <c r="HZ140" i="8"/>
  <c r="IA140" i="8"/>
  <c r="IB140" i="8"/>
  <c r="IC140" i="8"/>
  <c r="ID140" i="8"/>
  <c r="IE140" i="8"/>
  <c r="IF140" i="8"/>
  <c r="IG140" i="8"/>
  <c r="IH140" i="8"/>
  <c r="II140" i="8"/>
  <c r="IJ140" i="8"/>
  <c r="IK140" i="8"/>
  <c r="IL140" i="8"/>
  <c r="IM140" i="8"/>
  <c r="IN140" i="8"/>
  <c r="IO140" i="8"/>
  <c r="IP140" i="8"/>
  <c r="IQ140" i="8"/>
  <c r="IR140" i="8"/>
  <c r="IS140" i="8"/>
  <c r="IT140" i="8"/>
  <c r="IU140" i="8"/>
  <c r="IV140" i="8"/>
  <c r="F141" i="8"/>
  <c r="G141" i="8"/>
  <c r="H141" i="8"/>
  <c r="I141" i="8"/>
  <c r="J141" i="8"/>
  <c r="K141" i="8"/>
  <c r="L141" i="8"/>
  <c r="M141" i="8"/>
  <c r="N141" i="8"/>
  <c r="O141" i="8"/>
  <c r="P141" i="8"/>
  <c r="Q141" i="8"/>
  <c r="R141" i="8"/>
  <c r="S141" i="8"/>
  <c r="T141" i="8"/>
  <c r="U141" i="8"/>
  <c r="V141" i="8"/>
  <c r="W141" i="8"/>
  <c r="X141" i="8"/>
  <c r="Y141" i="8"/>
  <c r="Z141" i="8"/>
  <c r="AA141" i="8"/>
  <c r="AB141" i="8"/>
  <c r="AC141" i="8"/>
  <c r="AD141" i="8"/>
  <c r="AE141" i="8"/>
  <c r="AF141" i="8"/>
  <c r="AG141" i="8"/>
  <c r="AH141" i="8"/>
  <c r="AI141" i="8"/>
  <c r="AJ141" i="8"/>
  <c r="AK141" i="8"/>
  <c r="AL141" i="8"/>
  <c r="AM141" i="8"/>
  <c r="AN141" i="8"/>
  <c r="AO141" i="8"/>
  <c r="AP141" i="8"/>
  <c r="AQ141" i="8"/>
  <c r="AR141" i="8"/>
  <c r="AS141" i="8"/>
  <c r="AT141" i="8"/>
  <c r="AU141" i="8"/>
  <c r="AV141" i="8"/>
  <c r="AW141" i="8"/>
  <c r="AX141" i="8"/>
  <c r="AY141" i="8"/>
  <c r="AZ141" i="8"/>
  <c r="BA141" i="8"/>
  <c r="BB141" i="8"/>
  <c r="BC141" i="8"/>
  <c r="BD141" i="8"/>
  <c r="BE141" i="8"/>
  <c r="BF141" i="8"/>
  <c r="BG141" i="8"/>
  <c r="BH141" i="8"/>
  <c r="BI141" i="8"/>
  <c r="BJ141" i="8"/>
  <c r="BK141" i="8"/>
  <c r="BL141" i="8"/>
  <c r="BM141" i="8"/>
  <c r="BN141" i="8"/>
  <c r="BO141" i="8"/>
  <c r="BP141" i="8"/>
  <c r="BQ141" i="8"/>
  <c r="BR141" i="8"/>
  <c r="BS141" i="8"/>
  <c r="BT141" i="8"/>
  <c r="BU141" i="8"/>
  <c r="BV141" i="8"/>
  <c r="BW141" i="8"/>
  <c r="BX141" i="8"/>
  <c r="BY141" i="8"/>
  <c r="BZ141" i="8"/>
  <c r="CA141" i="8"/>
  <c r="CB141" i="8"/>
  <c r="CC141" i="8"/>
  <c r="CD141" i="8"/>
  <c r="CE141" i="8"/>
  <c r="CF141" i="8"/>
  <c r="CG141" i="8"/>
  <c r="CH141" i="8"/>
  <c r="CI141" i="8"/>
  <c r="CJ141" i="8"/>
  <c r="CK141" i="8"/>
  <c r="CL141" i="8"/>
  <c r="CM141" i="8"/>
  <c r="CN141" i="8"/>
  <c r="CO141" i="8"/>
  <c r="CP141" i="8"/>
  <c r="CQ141" i="8"/>
  <c r="CR141" i="8"/>
  <c r="CS141" i="8"/>
  <c r="CT141" i="8"/>
  <c r="CU141" i="8"/>
  <c r="CV141" i="8"/>
  <c r="CW141" i="8"/>
  <c r="CX141" i="8"/>
  <c r="CY141" i="8"/>
  <c r="CZ141" i="8"/>
  <c r="DA141" i="8"/>
  <c r="DB141" i="8"/>
  <c r="DC141" i="8"/>
  <c r="DD141" i="8"/>
  <c r="DE141" i="8"/>
  <c r="DF141" i="8"/>
  <c r="DG141" i="8"/>
  <c r="DH141" i="8"/>
  <c r="DI141" i="8"/>
  <c r="DJ141" i="8"/>
  <c r="DK141" i="8"/>
  <c r="DL141" i="8"/>
  <c r="DM141" i="8"/>
  <c r="DN141" i="8"/>
  <c r="DO141" i="8"/>
  <c r="DP141" i="8"/>
  <c r="DQ141" i="8"/>
  <c r="DR141" i="8"/>
  <c r="DS141" i="8"/>
  <c r="DT141" i="8"/>
  <c r="DU141" i="8"/>
  <c r="DV141" i="8"/>
  <c r="DW141" i="8"/>
  <c r="DX141" i="8"/>
  <c r="DY141" i="8"/>
  <c r="DZ141" i="8"/>
  <c r="EA141" i="8"/>
  <c r="EB141" i="8"/>
  <c r="EC141" i="8"/>
  <c r="ED141" i="8"/>
  <c r="EE141" i="8"/>
  <c r="EF141" i="8"/>
  <c r="EG141" i="8"/>
  <c r="EH141" i="8"/>
  <c r="EI141" i="8"/>
  <c r="EJ141" i="8"/>
  <c r="EK141" i="8"/>
  <c r="EL141" i="8"/>
  <c r="EM141" i="8"/>
  <c r="EN141" i="8"/>
  <c r="EO141" i="8"/>
  <c r="EP141" i="8"/>
  <c r="EQ141" i="8"/>
  <c r="ER141" i="8"/>
  <c r="ES141" i="8"/>
  <c r="ET141" i="8"/>
  <c r="EU141" i="8"/>
  <c r="EV141" i="8"/>
  <c r="EW141" i="8"/>
  <c r="EX141" i="8"/>
  <c r="EY141" i="8"/>
  <c r="EZ141" i="8"/>
  <c r="FA141" i="8"/>
  <c r="FB141" i="8"/>
  <c r="FC141" i="8"/>
  <c r="FD141" i="8"/>
  <c r="FE141" i="8"/>
  <c r="FF141" i="8"/>
  <c r="FG141" i="8"/>
  <c r="FH141" i="8"/>
  <c r="FI141" i="8"/>
  <c r="FJ141" i="8"/>
  <c r="FK141" i="8"/>
  <c r="FL141" i="8"/>
  <c r="FM141" i="8"/>
  <c r="FN141" i="8"/>
  <c r="FO141" i="8"/>
  <c r="FP141" i="8"/>
  <c r="FQ141" i="8"/>
  <c r="FR141" i="8"/>
  <c r="FS141" i="8"/>
  <c r="FT141" i="8"/>
  <c r="FU141" i="8"/>
  <c r="FV141" i="8"/>
  <c r="FW141" i="8"/>
  <c r="FX141" i="8"/>
  <c r="FY141" i="8"/>
  <c r="FZ141" i="8"/>
  <c r="GA141" i="8"/>
  <c r="GB141" i="8"/>
  <c r="GC141" i="8"/>
  <c r="GD141" i="8"/>
  <c r="GE141" i="8"/>
  <c r="GF141" i="8"/>
  <c r="GG141" i="8"/>
  <c r="GH141" i="8"/>
  <c r="GI141" i="8"/>
  <c r="GJ141" i="8"/>
  <c r="GK141" i="8"/>
  <c r="GL141" i="8"/>
  <c r="GM141" i="8"/>
  <c r="GN141" i="8"/>
  <c r="GO141" i="8"/>
  <c r="GP141" i="8"/>
  <c r="GQ141" i="8"/>
  <c r="GR141" i="8"/>
  <c r="GS141" i="8"/>
  <c r="GT141" i="8"/>
  <c r="GU141" i="8"/>
  <c r="GV141" i="8"/>
  <c r="GW141" i="8"/>
  <c r="GX141" i="8"/>
  <c r="GY141" i="8"/>
  <c r="GZ141" i="8"/>
  <c r="HA141" i="8"/>
  <c r="HB141" i="8"/>
  <c r="HC141" i="8"/>
  <c r="HD141" i="8"/>
  <c r="HE141" i="8"/>
  <c r="HF141" i="8"/>
  <c r="HG141" i="8"/>
  <c r="HH141" i="8"/>
  <c r="HI141" i="8"/>
  <c r="HJ141" i="8"/>
  <c r="HK141" i="8"/>
  <c r="HL141" i="8"/>
  <c r="HM141" i="8"/>
  <c r="HN141" i="8"/>
  <c r="HO141" i="8"/>
  <c r="HP141" i="8"/>
  <c r="HQ141" i="8"/>
  <c r="HR141" i="8"/>
  <c r="HS141" i="8"/>
  <c r="HT141" i="8"/>
  <c r="HU141" i="8"/>
  <c r="HV141" i="8"/>
  <c r="HW141" i="8"/>
  <c r="HX141" i="8"/>
  <c r="HY141" i="8"/>
  <c r="HZ141" i="8"/>
  <c r="IA141" i="8"/>
  <c r="IB141" i="8"/>
  <c r="IC141" i="8"/>
  <c r="ID141" i="8"/>
  <c r="IE141" i="8"/>
  <c r="IF141" i="8"/>
  <c r="IG141" i="8"/>
  <c r="IH141" i="8"/>
  <c r="II141" i="8"/>
  <c r="IJ141" i="8"/>
  <c r="IK141" i="8"/>
  <c r="IL141" i="8"/>
  <c r="IM141" i="8"/>
  <c r="IN141" i="8"/>
  <c r="IO141" i="8"/>
  <c r="IP141" i="8"/>
  <c r="IQ141" i="8"/>
  <c r="IR141" i="8"/>
  <c r="IS141" i="8"/>
  <c r="IT141" i="8"/>
  <c r="IU141" i="8"/>
  <c r="IV141" i="8"/>
  <c r="F142" i="8"/>
  <c r="G142" i="8"/>
  <c r="H142" i="8"/>
  <c r="I142" i="8"/>
  <c r="J142" i="8"/>
  <c r="K142" i="8"/>
  <c r="L142" i="8"/>
  <c r="M142" i="8"/>
  <c r="N142" i="8"/>
  <c r="O142" i="8"/>
  <c r="P142" i="8"/>
  <c r="Q142" i="8"/>
  <c r="R142" i="8"/>
  <c r="S142" i="8"/>
  <c r="T142" i="8"/>
  <c r="U142" i="8"/>
  <c r="V142" i="8"/>
  <c r="W142" i="8"/>
  <c r="X142" i="8"/>
  <c r="Y142" i="8"/>
  <c r="Z142" i="8"/>
  <c r="AA142" i="8"/>
  <c r="AB142" i="8"/>
  <c r="AC142" i="8"/>
  <c r="AD142" i="8"/>
  <c r="AE142" i="8"/>
  <c r="AF142" i="8"/>
  <c r="AG142" i="8"/>
  <c r="AH142" i="8"/>
  <c r="AI142" i="8"/>
  <c r="AJ142" i="8"/>
  <c r="AK142" i="8"/>
  <c r="AL142" i="8"/>
  <c r="AM142" i="8"/>
  <c r="AN142" i="8"/>
  <c r="AO142" i="8"/>
  <c r="AP142" i="8"/>
  <c r="AQ142" i="8"/>
  <c r="AR142" i="8"/>
  <c r="AS142" i="8"/>
  <c r="AT142" i="8"/>
  <c r="AU142" i="8"/>
  <c r="AV142" i="8"/>
  <c r="AW142" i="8"/>
  <c r="AX142" i="8"/>
  <c r="AY142" i="8"/>
  <c r="AZ142" i="8"/>
  <c r="BA142" i="8"/>
  <c r="BB142" i="8"/>
  <c r="BC142" i="8"/>
  <c r="BD142" i="8"/>
  <c r="BE142" i="8"/>
  <c r="BF142" i="8"/>
  <c r="BG142" i="8"/>
  <c r="BH142" i="8"/>
  <c r="BI142" i="8"/>
  <c r="BJ142" i="8"/>
  <c r="BK142" i="8"/>
  <c r="BL142" i="8"/>
  <c r="BM142" i="8"/>
  <c r="BN142" i="8"/>
  <c r="BO142" i="8"/>
  <c r="BP142" i="8"/>
  <c r="BQ142" i="8"/>
  <c r="BR142" i="8"/>
  <c r="BS142" i="8"/>
  <c r="BT142" i="8"/>
  <c r="BU142" i="8"/>
  <c r="BV142" i="8"/>
  <c r="BW142" i="8"/>
  <c r="BX142" i="8"/>
  <c r="BY142" i="8"/>
  <c r="BZ142" i="8"/>
  <c r="CA142" i="8"/>
  <c r="CB142" i="8"/>
  <c r="CC142" i="8"/>
  <c r="CD142" i="8"/>
  <c r="CE142" i="8"/>
  <c r="CF142" i="8"/>
  <c r="CG142" i="8"/>
  <c r="CH142" i="8"/>
  <c r="CI142" i="8"/>
  <c r="CJ142" i="8"/>
  <c r="CK142" i="8"/>
  <c r="CL142" i="8"/>
  <c r="CM142" i="8"/>
  <c r="CN142" i="8"/>
  <c r="CO142" i="8"/>
  <c r="CP142" i="8"/>
  <c r="CQ142" i="8"/>
  <c r="CR142" i="8"/>
  <c r="CS142" i="8"/>
  <c r="CT142" i="8"/>
  <c r="CU142" i="8"/>
  <c r="CV142" i="8"/>
  <c r="CW142" i="8"/>
  <c r="CX142" i="8"/>
  <c r="CY142" i="8"/>
  <c r="CZ142" i="8"/>
  <c r="DA142" i="8"/>
  <c r="DB142" i="8"/>
  <c r="DC142" i="8"/>
  <c r="DD142" i="8"/>
  <c r="DE142" i="8"/>
  <c r="DF142" i="8"/>
  <c r="DG142" i="8"/>
  <c r="DH142" i="8"/>
  <c r="DI142" i="8"/>
  <c r="DJ142" i="8"/>
  <c r="DK142" i="8"/>
  <c r="DL142" i="8"/>
  <c r="DM142" i="8"/>
  <c r="DN142" i="8"/>
  <c r="DO142" i="8"/>
  <c r="DP142" i="8"/>
  <c r="DQ142" i="8"/>
  <c r="DR142" i="8"/>
  <c r="DS142" i="8"/>
  <c r="DT142" i="8"/>
  <c r="DU142" i="8"/>
  <c r="DV142" i="8"/>
  <c r="DW142" i="8"/>
  <c r="DX142" i="8"/>
  <c r="DY142" i="8"/>
  <c r="DZ142" i="8"/>
  <c r="EA142" i="8"/>
  <c r="EB142" i="8"/>
  <c r="EC142" i="8"/>
  <c r="ED142" i="8"/>
  <c r="EE142" i="8"/>
  <c r="EF142" i="8"/>
  <c r="EG142" i="8"/>
  <c r="EH142" i="8"/>
  <c r="EI142" i="8"/>
  <c r="EJ142" i="8"/>
  <c r="EK142" i="8"/>
  <c r="EL142" i="8"/>
  <c r="EM142" i="8"/>
  <c r="EN142" i="8"/>
  <c r="EO142" i="8"/>
  <c r="EP142" i="8"/>
  <c r="EQ142" i="8"/>
  <c r="ER142" i="8"/>
  <c r="ES142" i="8"/>
  <c r="ET142" i="8"/>
  <c r="EU142" i="8"/>
  <c r="EV142" i="8"/>
  <c r="EW142" i="8"/>
  <c r="EZ142" i="8"/>
  <c r="FA142" i="8"/>
  <c r="FB142" i="8"/>
  <c r="FC142" i="8"/>
  <c r="FD142" i="8"/>
  <c r="FE142" i="8"/>
  <c r="FF142" i="8"/>
  <c r="FG142" i="8"/>
  <c r="FH142" i="8"/>
  <c r="FI142" i="8"/>
  <c r="FJ142" i="8"/>
  <c r="FK142" i="8"/>
  <c r="FL142" i="8"/>
  <c r="FM142" i="8"/>
  <c r="FN142" i="8"/>
  <c r="FO142" i="8"/>
  <c r="FP142" i="8"/>
  <c r="FQ142" i="8"/>
  <c r="FR142" i="8"/>
  <c r="FS142" i="8"/>
  <c r="FT142" i="8"/>
  <c r="FU142" i="8"/>
  <c r="FV142" i="8"/>
  <c r="FW142" i="8"/>
  <c r="FX142" i="8"/>
  <c r="FY142" i="8"/>
  <c r="FZ142" i="8"/>
  <c r="GA142" i="8"/>
  <c r="GB142" i="8"/>
  <c r="GC142" i="8"/>
  <c r="GD142" i="8"/>
  <c r="GE142" i="8"/>
  <c r="GF142" i="8"/>
  <c r="GG142" i="8"/>
  <c r="GH142" i="8"/>
  <c r="GI142" i="8"/>
  <c r="GJ142" i="8"/>
  <c r="GK142" i="8"/>
  <c r="GL142" i="8"/>
  <c r="GM142" i="8"/>
  <c r="GN142" i="8"/>
  <c r="GO142" i="8"/>
  <c r="GP142" i="8"/>
  <c r="GQ142" i="8"/>
  <c r="GR142" i="8"/>
  <c r="GS142" i="8"/>
  <c r="GT142" i="8"/>
  <c r="GU142" i="8"/>
  <c r="GV142" i="8"/>
  <c r="GW142" i="8"/>
  <c r="GX142" i="8"/>
  <c r="GY142" i="8"/>
  <c r="GZ142" i="8"/>
  <c r="HA142" i="8"/>
  <c r="HB142" i="8"/>
  <c r="HC142" i="8"/>
  <c r="HD142" i="8"/>
  <c r="HE142" i="8"/>
  <c r="HF142" i="8"/>
  <c r="HG142" i="8"/>
  <c r="HH142" i="8"/>
  <c r="HI142" i="8"/>
  <c r="HJ142" i="8"/>
  <c r="HK142" i="8"/>
  <c r="HL142" i="8"/>
  <c r="HM142" i="8"/>
  <c r="HN142" i="8"/>
  <c r="HO142" i="8"/>
  <c r="HP142" i="8"/>
  <c r="HQ142" i="8"/>
  <c r="HR142" i="8"/>
  <c r="HS142" i="8"/>
  <c r="HT142" i="8"/>
  <c r="HU142" i="8"/>
  <c r="HV142" i="8"/>
  <c r="HW142" i="8"/>
  <c r="HX142" i="8"/>
  <c r="HY142" i="8"/>
  <c r="HZ142" i="8"/>
  <c r="IA142" i="8"/>
  <c r="IB142" i="8"/>
  <c r="IC142" i="8"/>
  <c r="ID142" i="8"/>
  <c r="IE142" i="8"/>
  <c r="IF142" i="8"/>
  <c r="IG142" i="8"/>
  <c r="IH142" i="8"/>
  <c r="II142" i="8"/>
  <c r="IJ142" i="8"/>
  <c r="IK142" i="8"/>
  <c r="IL142" i="8"/>
  <c r="IM142" i="8"/>
  <c r="IN142" i="8"/>
  <c r="IO142" i="8"/>
  <c r="IP142" i="8"/>
  <c r="IQ142" i="8"/>
  <c r="IR142" i="8"/>
  <c r="IS142" i="8"/>
  <c r="IT142" i="8"/>
  <c r="IU142" i="8"/>
  <c r="IV142" i="8"/>
  <c r="F143" i="8"/>
  <c r="G143" i="8"/>
  <c r="H143" i="8"/>
  <c r="I143" i="8"/>
  <c r="J143" i="8"/>
  <c r="K143" i="8"/>
  <c r="L143" i="8"/>
  <c r="M143" i="8"/>
  <c r="N143" i="8"/>
  <c r="O143" i="8"/>
  <c r="P143" i="8"/>
  <c r="Q143" i="8"/>
  <c r="R143" i="8"/>
  <c r="S143" i="8"/>
  <c r="T143" i="8"/>
  <c r="U143" i="8"/>
  <c r="V143" i="8"/>
  <c r="W143" i="8"/>
  <c r="X143" i="8"/>
  <c r="Y143" i="8"/>
  <c r="Z143" i="8"/>
  <c r="AA143" i="8"/>
  <c r="AB143" i="8"/>
  <c r="AC143" i="8"/>
  <c r="AD143" i="8"/>
  <c r="AE143" i="8"/>
  <c r="AF143" i="8"/>
  <c r="AG143" i="8"/>
  <c r="AH143" i="8"/>
  <c r="AI143" i="8"/>
  <c r="AJ143" i="8"/>
  <c r="AK143" i="8"/>
  <c r="AL143" i="8"/>
  <c r="AM143" i="8"/>
  <c r="AN143" i="8"/>
  <c r="AO143" i="8"/>
  <c r="AP143" i="8"/>
  <c r="AQ143" i="8"/>
  <c r="AR143" i="8"/>
  <c r="AS143" i="8"/>
  <c r="AT143" i="8"/>
  <c r="AU143" i="8"/>
  <c r="AV143" i="8"/>
  <c r="AW143" i="8"/>
  <c r="AX143" i="8"/>
  <c r="AY143" i="8"/>
  <c r="AZ143" i="8"/>
  <c r="BA143" i="8"/>
  <c r="BB143" i="8"/>
  <c r="BC143" i="8"/>
  <c r="BD143" i="8"/>
  <c r="BE143" i="8"/>
  <c r="BF143" i="8"/>
  <c r="BG143" i="8"/>
  <c r="BH143" i="8"/>
  <c r="BI143" i="8"/>
  <c r="BJ143" i="8"/>
  <c r="BK143" i="8"/>
  <c r="BL143" i="8"/>
  <c r="BM143" i="8"/>
  <c r="BN143" i="8"/>
  <c r="BO143" i="8"/>
  <c r="BP143" i="8"/>
  <c r="BQ143" i="8"/>
  <c r="BR143" i="8"/>
  <c r="BS143" i="8"/>
  <c r="BT143" i="8"/>
  <c r="BU143" i="8"/>
  <c r="BV143" i="8"/>
  <c r="BW143" i="8"/>
  <c r="BX143" i="8"/>
  <c r="BY143" i="8"/>
  <c r="BZ143" i="8"/>
  <c r="CA143" i="8"/>
  <c r="CB143" i="8"/>
  <c r="CC143" i="8"/>
  <c r="CD143" i="8"/>
  <c r="CE143" i="8"/>
  <c r="CF143" i="8"/>
  <c r="CG143" i="8"/>
  <c r="CH143" i="8"/>
  <c r="CI143" i="8"/>
  <c r="CJ143" i="8"/>
  <c r="CK143" i="8"/>
  <c r="CL143" i="8"/>
  <c r="CM143" i="8"/>
  <c r="CN143" i="8"/>
  <c r="CO143" i="8"/>
  <c r="CP143" i="8"/>
  <c r="CQ143" i="8"/>
  <c r="CR143" i="8"/>
  <c r="CS143" i="8"/>
  <c r="CT143" i="8"/>
  <c r="CU143" i="8"/>
  <c r="CV143" i="8"/>
  <c r="CW143" i="8"/>
  <c r="CX143" i="8"/>
  <c r="CY143" i="8"/>
  <c r="CZ143" i="8"/>
  <c r="DA143" i="8"/>
  <c r="DB143" i="8"/>
  <c r="DC143" i="8"/>
  <c r="DD143" i="8"/>
  <c r="DE143" i="8"/>
  <c r="DF143" i="8"/>
  <c r="DG143" i="8"/>
  <c r="DH143" i="8"/>
  <c r="DI143" i="8"/>
  <c r="DJ143" i="8"/>
  <c r="DK143" i="8"/>
  <c r="DL143" i="8"/>
  <c r="DM143" i="8"/>
  <c r="DN143" i="8"/>
  <c r="DO143" i="8"/>
  <c r="DP143" i="8"/>
  <c r="DQ143" i="8"/>
  <c r="DR143" i="8"/>
  <c r="DS143" i="8"/>
  <c r="DT143" i="8"/>
  <c r="DU143" i="8"/>
  <c r="DV143" i="8"/>
  <c r="DW143" i="8"/>
  <c r="DX143" i="8"/>
  <c r="DY143" i="8"/>
  <c r="DZ143" i="8"/>
  <c r="EA143" i="8"/>
  <c r="EB143" i="8"/>
  <c r="EC143" i="8"/>
  <c r="ED143" i="8"/>
  <c r="EE143" i="8"/>
  <c r="EF143" i="8"/>
  <c r="EG143" i="8"/>
  <c r="EH143" i="8"/>
  <c r="EI143" i="8"/>
  <c r="EJ143" i="8"/>
  <c r="EK143" i="8"/>
  <c r="EL143" i="8"/>
  <c r="EM143" i="8"/>
  <c r="EN143" i="8"/>
  <c r="EO143" i="8"/>
  <c r="EP143" i="8"/>
  <c r="EQ143" i="8"/>
  <c r="ER143" i="8"/>
  <c r="ES143" i="8"/>
  <c r="ET143" i="8"/>
  <c r="EU143" i="8"/>
  <c r="EV143" i="8"/>
  <c r="EW143" i="8"/>
  <c r="EX143" i="8"/>
  <c r="EY143" i="8"/>
  <c r="EZ143" i="8"/>
  <c r="FA143" i="8"/>
  <c r="FB143" i="8"/>
  <c r="FC143" i="8"/>
  <c r="FD143" i="8"/>
  <c r="FE143" i="8"/>
  <c r="FF143" i="8"/>
  <c r="FG143" i="8"/>
  <c r="FH143" i="8"/>
  <c r="FI143" i="8"/>
  <c r="FJ143" i="8"/>
  <c r="FK143" i="8"/>
  <c r="FL143" i="8"/>
  <c r="FM143" i="8"/>
  <c r="FN143" i="8"/>
  <c r="FO143" i="8"/>
  <c r="FP143" i="8"/>
  <c r="FQ143" i="8"/>
  <c r="FR143" i="8"/>
  <c r="FS143" i="8"/>
  <c r="FT143" i="8"/>
  <c r="FU143" i="8"/>
  <c r="FV143" i="8"/>
  <c r="FW143" i="8"/>
  <c r="FX143" i="8"/>
  <c r="FY143" i="8"/>
  <c r="FZ143" i="8"/>
  <c r="GA143" i="8"/>
  <c r="GB143" i="8"/>
  <c r="GC143" i="8"/>
  <c r="GD143" i="8"/>
  <c r="GE143" i="8"/>
  <c r="GF143" i="8"/>
  <c r="GG143" i="8"/>
  <c r="GH143" i="8"/>
  <c r="GI143" i="8"/>
  <c r="GJ143" i="8"/>
  <c r="GK143" i="8"/>
  <c r="GL143" i="8"/>
  <c r="GM143" i="8"/>
  <c r="GN143" i="8"/>
  <c r="GO143" i="8"/>
  <c r="GP143" i="8"/>
  <c r="GQ143" i="8"/>
  <c r="GR143" i="8"/>
  <c r="GS143" i="8"/>
  <c r="GT143" i="8"/>
  <c r="GU143" i="8"/>
  <c r="GV143" i="8"/>
  <c r="GW143" i="8"/>
  <c r="GX143" i="8"/>
  <c r="GY143" i="8"/>
  <c r="GZ143" i="8"/>
  <c r="HA143" i="8"/>
  <c r="HB143" i="8"/>
  <c r="HC143" i="8"/>
  <c r="HD143" i="8"/>
  <c r="HE143" i="8"/>
  <c r="HF143" i="8"/>
  <c r="HG143" i="8"/>
  <c r="HH143" i="8"/>
  <c r="HI143" i="8"/>
  <c r="HJ143" i="8"/>
  <c r="HK143" i="8"/>
  <c r="HL143" i="8"/>
  <c r="HM143" i="8"/>
  <c r="HN143" i="8"/>
  <c r="HO143" i="8"/>
  <c r="HP143" i="8"/>
  <c r="HQ143" i="8"/>
  <c r="HR143" i="8"/>
  <c r="HS143" i="8"/>
  <c r="HT143" i="8"/>
  <c r="HU143" i="8"/>
  <c r="HV143" i="8"/>
  <c r="HW143" i="8"/>
  <c r="HX143" i="8"/>
  <c r="HY143" i="8"/>
  <c r="HZ143" i="8"/>
  <c r="IA143" i="8"/>
  <c r="IB143" i="8"/>
  <c r="IC143" i="8"/>
  <c r="ID143" i="8"/>
  <c r="IE143" i="8"/>
  <c r="IF143" i="8"/>
  <c r="IG143" i="8"/>
  <c r="IH143" i="8"/>
  <c r="II143" i="8"/>
  <c r="IJ143" i="8"/>
  <c r="IK143" i="8"/>
  <c r="IL143" i="8"/>
  <c r="IM143" i="8"/>
  <c r="IN143" i="8"/>
  <c r="IO143" i="8"/>
  <c r="IP143" i="8"/>
  <c r="IQ143" i="8"/>
  <c r="IR143" i="8"/>
  <c r="IS143" i="8"/>
  <c r="IT143" i="8"/>
  <c r="IU143" i="8"/>
  <c r="IV143" i="8"/>
  <c r="F144" i="8"/>
  <c r="G144" i="8"/>
  <c r="H144" i="8"/>
  <c r="I144" i="8"/>
  <c r="J144" i="8"/>
  <c r="K144" i="8"/>
  <c r="L144" i="8"/>
  <c r="M144" i="8"/>
  <c r="N144" i="8"/>
  <c r="O144" i="8"/>
  <c r="P144" i="8"/>
  <c r="Q144" i="8"/>
  <c r="R144" i="8"/>
  <c r="S144" i="8"/>
  <c r="T144" i="8"/>
  <c r="U144" i="8"/>
  <c r="V144" i="8"/>
  <c r="W144" i="8"/>
  <c r="X144" i="8"/>
  <c r="Y144" i="8"/>
  <c r="Z144" i="8"/>
  <c r="AA144" i="8"/>
  <c r="AB144" i="8"/>
  <c r="AC144" i="8"/>
  <c r="AD144" i="8"/>
  <c r="AE144" i="8"/>
  <c r="AF144" i="8"/>
  <c r="AG144" i="8"/>
  <c r="AH144" i="8"/>
  <c r="AI144" i="8"/>
  <c r="AJ144" i="8"/>
  <c r="AK144" i="8"/>
  <c r="AL144" i="8"/>
  <c r="AM144" i="8"/>
  <c r="AN144" i="8"/>
  <c r="AO144" i="8"/>
  <c r="AP144" i="8"/>
  <c r="AQ144" i="8"/>
  <c r="AR144" i="8"/>
  <c r="AS144" i="8"/>
  <c r="AT144" i="8"/>
  <c r="AU144" i="8"/>
  <c r="AV144" i="8"/>
  <c r="AW144" i="8"/>
  <c r="AX144" i="8"/>
  <c r="AY144" i="8"/>
  <c r="AZ144" i="8"/>
  <c r="BA144" i="8"/>
  <c r="BB144" i="8"/>
  <c r="BC144" i="8"/>
  <c r="BD144" i="8"/>
  <c r="BE144" i="8"/>
  <c r="BF144" i="8"/>
  <c r="BG144" i="8"/>
  <c r="BH144" i="8"/>
  <c r="BI144" i="8"/>
  <c r="BJ144" i="8"/>
  <c r="BK144" i="8"/>
  <c r="BL144" i="8"/>
  <c r="BM144" i="8"/>
  <c r="BN144" i="8"/>
  <c r="BO144" i="8"/>
  <c r="BP144" i="8"/>
  <c r="BQ144" i="8"/>
  <c r="BR144" i="8"/>
  <c r="BS144" i="8"/>
  <c r="BT144" i="8"/>
  <c r="BU144" i="8"/>
  <c r="BV144" i="8"/>
  <c r="BW144" i="8"/>
  <c r="BX144" i="8"/>
  <c r="BY144" i="8"/>
  <c r="BZ144" i="8"/>
  <c r="CA144" i="8"/>
  <c r="CB144" i="8"/>
  <c r="CC144" i="8"/>
  <c r="CD144" i="8"/>
  <c r="CE144" i="8"/>
  <c r="CF144" i="8"/>
  <c r="CG144" i="8"/>
  <c r="CH144" i="8"/>
  <c r="CI144" i="8"/>
  <c r="CJ144" i="8"/>
  <c r="CK144" i="8"/>
  <c r="CL144" i="8"/>
  <c r="CM144" i="8"/>
  <c r="CN144" i="8"/>
  <c r="CO144" i="8"/>
  <c r="CP144" i="8"/>
  <c r="CQ144" i="8"/>
  <c r="CR144" i="8"/>
  <c r="CS144" i="8"/>
  <c r="CT144" i="8"/>
  <c r="CU144" i="8"/>
  <c r="CV144" i="8"/>
  <c r="CW144" i="8"/>
  <c r="CX144" i="8"/>
  <c r="CY144" i="8"/>
  <c r="CZ144" i="8"/>
  <c r="DA144" i="8"/>
  <c r="DB144" i="8"/>
  <c r="DC144" i="8"/>
  <c r="DD144" i="8"/>
  <c r="DE144" i="8"/>
  <c r="DF144" i="8"/>
  <c r="DG144" i="8"/>
  <c r="DH144" i="8"/>
  <c r="DI144" i="8"/>
  <c r="DJ144" i="8"/>
  <c r="DK144" i="8"/>
  <c r="DL144" i="8"/>
  <c r="DM144" i="8"/>
  <c r="DN144" i="8"/>
  <c r="DO144" i="8"/>
  <c r="DP144" i="8"/>
  <c r="DQ144" i="8"/>
  <c r="DR144" i="8"/>
  <c r="DS144" i="8"/>
  <c r="DT144" i="8"/>
  <c r="DU144" i="8"/>
  <c r="DV144" i="8"/>
  <c r="DW144" i="8"/>
  <c r="DX144" i="8"/>
  <c r="DY144" i="8"/>
  <c r="DZ144" i="8"/>
  <c r="EA144" i="8"/>
  <c r="EB144" i="8"/>
  <c r="EC144" i="8"/>
  <c r="ED144" i="8"/>
  <c r="EE144" i="8"/>
  <c r="EF144" i="8"/>
  <c r="EG144" i="8"/>
  <c r="EH144" i="8"/>
  <c r="EI144" i="8"/>
  <c r="EJ144" i="8"/>
  <c r="EK144" i="8"/>
  <c r="EL144" i="8"/>
  <c r="EM144" i="8"/>
  <c r="EN144" i="8"/>
  <c r="EO144" i="8"/>
  <c r="EP144" i="8"/>
  <c r="EQ144" i="8"/>
  <c r="ER144" i="8"/>
  <c r="ES144" i="8"/>
  <c r="ET144" i="8"/>
  <c r="EU144" i="8"/>
  <c r="EV144" i="8"/>
  <c r="EW144" i="8"/>
  <c r="EX144" i="8"/>
  <c r="EY144" i="8"/>
  <c r="EZ144" i="8"/>
  <c r="FA144" i="8"/>
  <c r="FB144" i="8"/>
  <c r="FC144" i="8"/>
  <c r="FD144" i="8"/>
  <c r="FE144" i="8"/>
  <c r="FF144" i="8"/>
  <c r="FG144" i="8"/>
  <c r="FH144" i="8"/>
  <c r="FI144" i="8"/>
  <c r="FJ144" i="8"/>
  <c r="FK144" i="8"/>
  <c r="FL144" i="8"/>
  <c r="FM144" i="8"/>
  <c r="FN144" i="8"/>
  <c r="FO144" i="8"/>
  <c r="FP144" i="8"/>
  <c r="FQ144" i="8"/>
  <c r="FR144" i="8"/>
  <c r="FS144" i="8"/>
  <c r="FT144" i="8"/>
  <c r="FU144" i="8"/>
  <c r="FV144" i="8"/>
  <c r="FW144" i="8"/>
  <c r="FX144" i="8"/>
  <c r="FY144" i="8"/>
  <c r="FZ144" i="8"/>
  <c r="GA144" i="8"/>
  <c r="GB144" i="8"/>
  <c r="GC144" i="8"/>
  <c r="GD144" i="8"/>
  <c r="GE144" i="8"/>
  <c r="GF144" i="8"/>
  <c r="GG144" i="8"/>
  <c r="GH144" i="8"/>
  <c r="GI144" i="8"/>
  <c r="GJ144" i="8"/>
  <c r="GK144" i="8"/>
  <c r="GL144" i="8"/>
  <c r="GM144" i="8"/>
  <c r="GN144" i="8"/>
  <c r="GO144" i="8"/>
  <c r="GP144" i="8"/>
  <c r="GQ144" i="8"/>
  <c r="GR144" i="8"/>
  <c r="GS144" i="8"/>
  <c r="GT144" i="8"/>
  <c r="GU144" i="8"/>
  <c r="GV144" i="8"/>
  <c r="GW144" i="8"/>
  <c r="GX144" i="8"/>
  <c r="GY144" i="8"/>
  <c r="GZ144" i="8"/>
  <c r="HA144" i="8"/>
  <c r="HB144" i="8"/>
  <c r="HC144" i="8"/>
  <c r="HD144" i="8"/>
  <c r="HE144" i="8"/>
  <c r="HF144" i="8"/>
  <c r="HG144" i="8"/>
  <c r="HH144" i="8"/>
  <c r="HI144" i="8"/>
  <c r="HJ144" i="8"/>
  <c r="HK144" i="8"/>
  <c r="HL144" i="8"/>
  <c r="HM144" i="8"/>
  <c r="HN144" i="8"/>
  <c r="HO144" i="8"/>
  <c r="HP144" i="8"/>
  <c r="HQ144" i="8"/>
  <c r="HR144" i="8"/>
  <c r="HS144" i="8"/>
  <c r="HT144" i="8"/>
  <c r="HU144" i="8"/>
  <c r="HV144" i="8"/>
  <c r="HW144" i="8"/>
  <c r="HX144" i="8"/>
  <c r="HY144" i="8"/>
  <c r="HZ144" i="8"/>
  <c r="IA144" i="8"/>
  <c r="IB144" i="8"/>
  <c r="IC144" i="8"/>
  <c r="ID144" i="8"/>
  <c r="IE144" i="8"/>
  <c r="IF144" i="8"/>
  <c r="IG144" i="8"/>
  <c r="IH144" i="8"/>
  <c r="II144" i="8"/>
  <c r="IJ144" i="8"/>
  <c r="IK144" i="8"/>
  <c r="IL144" i="8"/>
  <c r="IM144" i="8"/>
  <c r="IN144" i="8"/>
  <c r="IO144" i="8"/>
  <c r="IP144" i="8"/>
  <c r="IQ144" i="8"/>
  <c r="IR144" i="8"/>
  <c r="IS144" i="8"/>
  <c r="IT144" i="8"/>
  <c r="IU144" i="8"/>
  <c r="IV144" i="8"/>
  <c r="F145" i="8"/>
  <c r="G145" i="8"/>
  <c r="H145" i="8"/>
  <c r="I145" i="8"/>
  <c r="J145" i="8"/>
  <c r="K145" i="8"/>
  <c r="L145" i="8"/>
  <c r="M145" i="8"/>
  <c r="N145" i="8"/>
  <c r="O145" i="8"/>
  <c r="P145" i="8"/>
  <c r="Q145" i="8"/>
  <c r="R145" i="8"/>
  <c r="S145" i="8"/>
  <c r="T145" i="8"/>
  <c r="U145" i="8"/>
  <c r="V145" i="8"/>
  <c r="W145" i="8"/>
  <c r="X145" i="8"/>
  <c r="Y145" i="8"/>
  <c r="Z145" i="8"/>
  <c r="AA145" i="8"/>
  <c r="AB145" i="8"/>
  <c r="AC145" i="8"/>
  <c r="AD145" i="8"/>
  <c r="AE145" i="8"/>
  <c r="AF145" i="8"/>
  <c r="AG145" i="8"/>
  <c r="AH145" i="8"/>
  <c r="AI145" i="8"/>
  <c r="AJ145" i="8"/>
  <c r="AK145" i="8"/>
  <c r="AL145" i="8"/>
  <c r="AM145" i="8"/>
  <c r="AN145" i="8"/>
  <c r="AO145" i="8"/>
  <c r="AP145" i="8"/>
  <c r="AQ145" i="8"/>
  <c r="AR145" i="8"/>
  <c r="AS145" i="8"/>
  <c r="AT145" i="8"/>
  <c r="AU145" i="8"/>
  <c r="AV145" i="8"/>
  <c r="AW145" i="8"/>
  <c r="AX145" i="8"/>
  <c r="AY145" i="8"/>
  <c r="AZ145" i="8"/>
  <c r="BA145" i="8"/>
  <c r="BB145" i="8"/>
  <c r="BC145" i="8"/>
  <c r="BD145" i="8"/>
  <c r="BE145" i="8"/>
  <c r="BF145" i="8"/>
  <c r="BG145" i="8"/>
  <c r="BH145" i="8"/>
  <c r="BI145" i="8"/>
  <c r="BJ145" i="8"/>
  <c r="BK145" i="8"/>
  <c r="BL145" i="8"/>
  <c r="BM145" i="8"/>
  <c r="BN145" i="8"/>
  <c r="BO145" i="8"/>
  <c r="BP145" i="8"/>
  <c r="BQ145" i="8"/>
  <c r="BR145" i="8"/>
  <c r="BS145" i="8"/>
  <c r="BT145" i="8"/>
  <c r="BU145" i="8"/>
  <c r="BV145" i="8"/>
  <c r="BW145" i="8"/>
  <c r="BX145" i="8"/>
  <c r="BY145" i="8"/>
  <c r="BZ145" i="8"/>
  <c r="CA145" i="8"/>
  <c r="CB145" i="8"/>
  <c r="CC145" i="8"/>
  <c r="CD145" i="8"/>
  <c r="CE145" i="8"/>
  <c r="CF145" i="8"/>
  <c r="CG145" i="8"/>
  <c r="CH145" i="8"/>
  <c r="CI145" i="8"/>
  <c r="CJ145" i="8"/>
  <c r="CK145" i="8"/>
  <c r="CL145" i="8"/>
  <c r="CM145" i="8"/>
  <c r="CN145" i="8"/>
  <c r="CO145" i="8"/>
  <c r="CP145" i="8"/>
  <c r="CQ145" i="8"/>
  <c r="CR145" i="8"/>
  <c r="CS145" i="8"/>
  <c r="CT145" i="8"/>
  <c r="CU145" i="8"/>
  <c r="CV145" i="8"/>
  <c r="CW145" i="8"/>
  <c r="CX145" i="8"/>
  <c r="CY145" i="8"/>
  <c r="CZ145" i="8"/>
  <c r="DA145" i="8"/>
  <c r="DB145" i="8"/>
  <c r="DC145" i="8"/>
  <c r="DD145" i="8"/>
  <c r="DE145" i="8"/>
  <c r="DF145" i="8"/>
  <c r="DG145" i="8"/>
  <c r="DH145" i="8"/>
  <c r="DI145" i="8"/>
  <c r="DJ145" i="8"/>
  <c r="DK145" i="8"/>
  <c r="DL145" i="8"/>
  <c r="DM145" i="8"/>
  <c r="DN145" i="8"/>
  <c r="DO145" i="8"/>
  <c r="DP145" i="8"/>
  <c r="DQ145" i="8"/>
  <c r="DR145" i="8"/>
  <c r="DS145" i="8"/>
  <c r="DT145" i="8"/>
  <c r="DU145" i="8"/>
  <c r="DV145" i="8"/>
  <c r="DW145" i="8"/>
  <c r="DX145" i="8"/>
  <c r="DY145" i="8"/>
  <c r="DZ145" i="8"/>
  <c r="EA145" i="8"/>
  <c r="EB145" i="8"/>
  <c r="EC145" i="8"/>
  <c r="ED145" i="8"/>
  <c r="EE145" i="8"/>
  <c r="EF145" i="8"/>
  <c r="EG145" i="8"/>
  <c r="EH145" i="8"/>
  <c r="EI145" i="8"/>
  <c r="EJ145" i="8"/>
  <c r="EK145" i="8"/>
  <c r="EL145" i="8"/>
  <c r="EM145" i="8"/>
  <c r="EN145" i="8"/>
  <c r="EO145" i="8"/>
  <c r="EP145" i="8"/>
  <c r="EQ145" i="8"/>
  <c r="ER145" i="8"/>
  <c r="ES145" i="8"/>
  <c r="ET145" i="8"/>
  <c r="EU145" i="8"/>
  <c r="EV145" i="8"/>
  <c r="EW145" i="8"/>
  <c r="EX145" i="8"/>
  <c r="EY145" i="8"/>
  <c r="EZ145" i="8"/>
  <c r="FA145" i="8"/>
  <c r="FB145" i="8"/>
  <c r="FC145" i="8"/>
  <c r="FD145" i="8"/>
  <c r="FE145" i="8"/>
  <c r="FF145" i="8"/>
  <c r="FG145" i="8"/>
  <c r="FH145" i="8"/>
  <c r="FI145" i="8"/>
  <c r="FJ145" i="8"/>
  <c r="FK145" i="8"/>
  <c r="FL145" i="8"/>
  <c r="FM145" i="8"/>
  <c r="FN145" i="8"/>
  <c r="FO145" i="8"/>
  <c r="FP145" i="8"/>
  <c r="FQ145" i="8"/>
  <c r="FR145" i="8"/>
  <c r="FS145" i="8"/>
  <c r="FT145" i="8"/>
  <c r="FU145" i="8"/>
  <c r="FV145" i="8"/>
  <c r="FW145" i="8"/>
  <c r="FX145" i="8"/>
  <c r="FY145" i="8"/>
  <c r="FZ145" i="8"/>
  <c r="GA145" i="8"/>
  <c r="GB145" i="8"/>
  <c r="GC145" i="8"/>
  <c r="GD145" i="8"/>
  <c r="GE145" i="8"/>
  <c r="GF145" i="8"/>
  <c r="GG145" i="8"/>
  <c r="GH145" i="8"/>
  <c r="GI145" i="8"/>
  <c r="GJ145" i="8"/>
  <c r="GK145" i="8"/>
  <c r="GL145" i="8"/>
  <c r="GM145" i="8"/>
  <c r="GN145" i="8"/>
  <c r="GO145" i="8"/>
  <c r="GP145" i="8"/>
  <c r="GQ145" i="8"/>
  <c r="GR145" i="8"/>
  <c r="GS145" i="8"/>
  <c r="GT145" i="8"/>
  <c r="GU145" i="8"/>
  <c r="GV145" i="8"/>
  <c r="GW145" i="8"/>
  <c r="GX145" i="8"/>
  <c r="GY145" i="8"/>
  <c r="GZ145" i="8"/>
  <c r="HA145" i="8"/>
  <c r="HB145" i="8"/>
  <c r="HC145" i="8"/>
  <c r="HD145" i="8"/>
  <c r="HE145" i="8"/>
  <c r="HF145" i="8"/>
  <c r="HG145" i="8"/>
  <c r="HH145" i="8"/>
  <c r="HI145" i="8"/>
  <c r="HJ145" i="8"/>
  <c r="HK145" i="8"/>
  <c r="HL145" i="8"/>
  <c r="HM145" i="8"/>
  <c r="HN145" i="8"/>
  <c r="HO145" i="8"/>
  <c r="HP145" i="8"/>
  <c r="HQ145" i="8"/>
  <c r="HR145" i="8"/>
  <c r="HS145" i="8"/>
  <c r="HT145" i="8"/>
  <c r="HU145" i="8"/>
  <c r="HV145" i="8"/>
  <c r="HW145" i="8"/>
  <c r="HX145" i="8"/>
  <c r="HY145" i="8"/>
  <c r="HZ145" i="8"/>
  <c r="IA145" i="8"/>
  <c r="IB145" i="8"/>
  <c r="IC145" i="8"/>
  <c r="ID145" i="8"/>
  <c r="IE145" i="8"/>
  <c r="IF145" i="8"/>
  <c r="IG145" i="8"/>
  <c r="IH145" i="8"/>
  <c r="II145" i="8"/>
  <c r="IJ145" i="8"/>
  <c r="IK145" i="8"/>
  <c r="IL145" i="8"/>
  <c r="IM145" i="8"/>
  <c r="IN145" i="8"/>
  <c r="IO145" i="8"/>
  <c r="IP145" i="8"/>
  <c r="IQ145" i="8"/>
  <c r="IR145" i="8"/>
  <c r="IS145" i="8"/>
  <c r="IT145" i="8"/>
  <c r="IU145" i="8"/>
  <c r="IV145" i="8"/>
  <c r="F146" i="8"/>
  <c r="G146" i="8"/>
  <c r="H146" i="8"/>
  <c r="I146" i="8"/>
  <c r="J146" i="8"/>
  <c r="K146" i="8"/>
  <c r="L146" i="8"/>
  <c r="M146" i="8"/>
  <c r="N146" i="8"/>
  <c r="O146" i="8"/>
  <c r="P146" i="8"/>
  <c r="Q146" i="8"/>
  <c r="R146" i="8"/>
  <c r="S146" i="8"/>
  <c r="T146" i="8"/>
  <c r="U146" i="8"/>
  <c r="V146" i="8"/>
  <c r="W146" i="8"/>
  <c r="X146" i="8"/>
  <c r="Y146" i="8"/>
  <c r="Z146" i="8"/>
  <c r="AA146" i="8"/>
  <c r="AB146" i="8"/>
  <c r="AC146" i="8"/>
  <c r="AD146" i="8"/>
  <c r="AE146" i="8"/>
  <c r="AF146" i="8"/>
  <c r="AG146" i="8"/>
  <c r="AH146" i="8"/>
  <c r="AI146" i="8"/>
  <c r="AJ146" i="8"/>
  <c r="AK146" i="8"/>
  <c r="AL146" i="8"/>
  <c r="AM146" i="8"/>
  <c r="AN146" i="8"/>
  <c r="AO146" i="8"/>
  <c r="AP146" i="8"/>
  <c r="AQ146" i="8"/>
  <c r="AR146" i="8"/>
  <c r="AS146" i="8"/>
  <c r="AT146" i="8"/>
  <c r="AU146" i="8"/>
  <c r="AV146" i="8"/>
  <c r="AW146" i="8"/>
  <c r="AX146" i="8"/>
  <c r="AY146" i="8"/>
  <c r="AZ146" i="8"/>
  <c r="BA146" i="8"/>
  <c r="BB146" i="8"/>
  <c r="BC146" i="8"/>
  <c r="BD146" i="8"/>
  <c r="BE146" i="8"/>
  <c r="BF146" i="8"/>
  <c r="BG146" i="8"/>
  <c r="BH146" i="8"/>
  <c r="BI146" i="8"/>
  <c r="BJ146" i="8"/>
  <c r="BK146" i="8"/>
  <c r="BL146" i="8"/>
  <c r="BM146" i="8"/>
  <c r="BN146" i="8"/>
  <c r="BO146" i="8"/>
  <c r="BP146" i="8"/>
  <c r="BQ146" i="8"/>
  <c r="BR146" i="8"/>
  <c r="BS146" i="8"/>
  <c r="BT146" i="8"/>
  <c r="BU146" i="8"/>
  <c r="BV146" i="8"/>
  <c r="BW146" i="8"/>
  <c r="BX146" i="8"/>
  <c r="BY146" i="8"/>
  <c r="BZ146" i="8"/>
  <c r="CA146" i="8"/>
  <c r="CB146" i="8"/>
  <c r="CC146" i="8"/>
  <c r="CD146" i="8"/>
  <c r="CE146" i="8"/>
  <c r="CF146" i="8"/>
  <c r="CG146" i="8"/>
  <c r="CH146" i="8"/>
  <c r="CI146" i="8"/>
  <c r="CJ146" i="8"/>
  <c r="CK146" i="8"/>
  <c r="CL146" i="8"/>
  <c r="CM146" i="8"/>
  <c r="CN146" i="8"/>
  <c r="CO146" i="8"/>
  <c r="CP146" i="8"/>
  <c r="CQ146" i="8"/>
  <c r="CR146" i="8"/>
  <c r="CS146" i="8"/>
  <c r="CT146" i="8"/>
  <c r="CU146" i="8"/>
  <c r="CV146" i="8"/>
  <c r="CW146" i="8"/>
  <c r="CX146" i="8"/>
  <c r="CY146" i="8"/>
  <c r="CZ146" i="8"/>
  <c r="DA146" i="8"/>
  <c r="DB146" i="8"/>
  <c r="DC146" i="8"/>
  <c r="DD146" i="8"/>
  <c r="DE146" i="8"/>
  <c r="DF146" i="8"/>
  <c r="DG146" i="8"/>
  <c r="DH146" i="8"/>
  <c r="DI146" i="8"/>
  <c r="DJ146" i="8"/>
  <c r="DK146" i="8"/>
  <c r="DL146" i="8"/>
  <c r="DM146" i="8"/>
  <c r="DN146" i="8"/>
  <c r="DO146" i="8"/>
  <c r="DP146" i="8"/>
  <c r="DQ146" i="8"/>
  <c r="DR146" i="8"/>
  <c r="DS146" i="8"/>
  <c r="DT146" i="8"/>
  <c r="DU146" i="8"/>
  <c r="DV146" i="8"/>
  <c r="DW146" i="8"/>
  <c r="DX146" i="8"/>
  <c r="DY146" i="8"/>
  <c r="DZ146" i="8"/>
  <c r="EA146" i="8"/>
  <c r="EB146" i="8"/>
  <c r="EC146" i="8"/>
  <c r="ED146" i="8"/>
  <c r="EE146" i="8"/>
  <c r="EF146" i="8"/>
  <c r="EG146" i="8"/>
  <c r="EH146" i="8"/>
  <c r="EI146" i="8"/>
  <c r="EJ146" i="8"/>
  <c r="EK146" i="8"/>
  <c r="EL146" i="8"/>
  <c r="EM146" i="8"/>
  <c r="EN146" i="8"/>
  <c r="EO146" i="8"/>
  <c r="EP146" i="8"/>
  <c r="EQ146" i="8"/>
  <c r="ER146" i="8"/>
  <c r="ES146" i="8"/>
  <c r="ET146" i="8"/>
  <c r="EU146" i="8"/>
  <c r="EV146" i="8"/>
  <c r="EW146" i="8"/>
  <c r="EX146" i="8"/>
  <c r="EY146" i="8"/>
  <c r="EZ146" i="8"/>
  <c r="FA146" i="8"/>
  <c r="FB146" i="8"/>
  <c r="FC146" i="8"/>
  <c r="FD146" i="8"/>
  <c r="FE146" i="8"/>
  <c r="FF146" i="8"/>
  <c r="FG146" i="8"/>
  <c r="FH146" i="8"/>
  <c r="FI146" i="8"/>
  <c r="FJ146" i="8"/>
  <c r="FK146" i="8"/>
  <c r="FL146" i="8"/>
  <c r="FM146" i="8"/>
  <c r="FN146" i="8"/>
  <c r="FO146" i="8"/>
  <c r="FP146" i="8"/>
  <c r="FQ146" i="8"/>
  <c r="FR146" i="8"/>
  <c r="FS146" i="8"/>
  <c r="FT146" i="8"/>
  <c r="FU146" i="8"/>
  <c r="FV146" i="8"/>
  <c r="FW146" i="8"/>
  <c r="FX146" i="8"/>
  <c r="FY146" i="8"/>
  <c r="FZ146" i="8"/>
  <c r="GA146" i="8"/>
  <c r="GB146" i="8"/>
  <c r="GC146" i="8"/>
  <c r="GD146" i="8"/>
  <c r="GE146" i="8"/>
  <c r="GF146" i="8"/>
  <c r="GG146" i="8"/>
  <c r="GH146" i="8"/>
  <c r="GI146" i="8"/>
  <c r="GJ146" i="8"/>
  <c r="GK146" i="8"/>
  <c r="GL146" i="8"/>
  <c r="GM146" i="8"/>
  <c r="GN146" i="8"/>
  <c r="GO146" i="8"/>
  <c r="GP146" i="8"/>
  <c r="GQ146" i="8"/>
  <c r="GR146" i="8"/>
  <c r="GS146" i="8"/>
  <c r="GT146" i="8"/>
  <c r="GU146" i="8"/>
  <c r="GV146" i="8"/>
  <c r="GW146" i="8"/>
  <c r="GX146" i="8"/>
  <c r="GY146" i="8"/>
  <c r="GZ146" i="8"/>
  <c r="HA146" i="8"/>
  <c r="HB146" i="8"/>
  <c r="HC146" i="8"/>
  <c r="HD146" i="8"/>
  <c r="HE146" i="8"/>
  <c r="HF146" i="8"/>
  <c r="HG146" i="8"/>
  <c r="HH146" i="8"/>
  <c r="HI146" i="8"/>
  <c r="HJ146" i="8"/>
  <c r="HK146" i="8"/>
  <c r="HL146" i="8"/>
  <c r="HM146" i="8"/>
  <c r="HN146" i="8"/>
  <c r="HO146" i="8"/>
  <c r="HP146" i="8"/>
  <c r="HQ146" i="8"/>
  <c r="HR146" i="8"/>
  <c r="HS146" i="8"/>
  <c r="HT146" i="8"/>
  <c r="HU146" i="8"/>
  <c r="HV146" i="8"/>
  <c r="HW146" i="8"/>
  <c r="HX146" i="8"/>
  <c r="HY146" i="8"/>
  <c r="HZ146" i="8"/>
  <c r="IA146" i="8"/>
  <c r="IB146" i="8"/>
  <c r="IC146" i="8"/>
  <c r="ID146" i="8"/>
  <c r="IE146" i="8"/>
  <c r="IF146" i="8"/>
  <c r="IG146" i="8"/>
  <c r="IH146" i="8"/>
  <c r="II146" i="8"/>
  <c r="IJ146" i="8"/>
  <c r="IK146" i="8"/>
  <c r="IL146" i="8"/>
  <c r="IM146" i="8"/>
  <c r="IN146" i="8"/>
  <c r="IO146" i="8"/>
  <c r="IP146" i="8"/>
  <c r="IQ146" i="8"/>
  <c r="IR146" i="8"/>
  <c r="IS146" i="8"/>
  <c r="IT146" i="8"/>
  <c r="IU146" i="8"/>
  <c r="IV146" i="8"/>
  <c r="F147" i="8"/>
  <c r="G147" i="8"/>
  <c r="H147" i="8"/>
  <c r="I147" i="8"/>
  <c r="J147" i="8"/>
  <c r="K147" i="8"/>
  <c r="L147" i="8"/>
  <c r="M147" i="8"/>
  <c r="N147" i="8"/>
  <c r="O147" i="8"/>
  <c r="P147" i="8"/>
  <c r="Q147" i="8"/>
  <c r="R147" i="8"/>
  <c r="S147" i="8"/>
  <c r="T147" i="8"/>
  <c r="U147" i="8"/>
  <c r="V147" i="8"/>
  <c r="W147" i="8"/>
  <c r="X147" i="8"/>
  <c r="Y147" i="8"/>
  <c r="Z147" i="8"/>
  <c r="AA147" i="8"/>
  <c r="AB147" i="8"/>
  <c r="AC147" i="8"/>
  <c r="AD147" i="8"/>
  <c r="AE147" i="8"/>
  <c r="AF147" i="8"/>
  <c r="AG147" i="8"/>
  <c r="AH147" i="8"/>
  <c r="AI147" i="8"/>
  <c r="AJ147" i="8"/>
  <c r="AK147" i="8"/>
  <c r="AL147" i="8"/>
  <c r="AM147" i="8"/>
  <c r="AN147" i="8"/>
  <c r="AO147" i="8"/>
  <c r="AP147" i="8"/>
  <c r="AQ147" i="8"/>
  <c r="AR147" i="8"/>
  <c r="AS147" i="8"/>
  <c r="AT147" i="8"/>
  <c r="AU147" i="8"/>
  <c r="AV147" i="8"/>
  <c r="AW147" i="8"/>
  <c r="AX147" i="8"/>
  <c r="AY147" i="8"/>
  <c r="AZ147" i="8"/>
  <c r="BA147" i="8"/>
  <c r="BB147" i="8"/>
  <c r="BC147" i="8"/>
  <c r="BD147" i="8"/>
  <c r="BE147" i="8"/>
  <c r="BF147" i="8"/>
  <c r="BG147" i="8"/>
  <c r="BH147" i="8"/>
  <c r="BI147" i="8"/>
  <c r="BJ147" i="8"/>
  <c r="BK147" i="8"/>
  <c r="BL147" i="8"/>
  <c r="BM147" i="8"/>
  <c r="BN147" i="8"/>
  <c r="BO147" i="8"/>
  <c r="BP147" i="8"/>
  <c r="BQ147" i="8"/>
  <c r="BR147" i="8"/>
  <c r="BS147" i="8"/>
  <c r="BT147" i="8"/>
  <c r="BU147" i="8"/>
  <c r="BV147" i="8"/>
  <c r="BW147" i="8"/>
  <c r="BX147" i="8"/>
  <c r="BY147" i="8"/>
  <c r="BZ147" i="8"/>
  <c r="CA147" i="8"/>
  <c r="CB147" i="8"/>
  <c r="CC147" i="8"/>
  <c r="CD147" i="8"/>
  <c r="CE147" i="8"/>
  <c r="CF147" i="8"/>
  <c r="CG147" i="8"/>
  <c r="CH147" i="8"/>
  <c r="CI147" i="8"/>
  <c r="CJ147" i="8"/>
  <c r="CK147" i="8"/>
  <c r="CL147" i="8"/>
  <c r="CM147" i="8"/>
  <c r="CN147" i="8"/>
  <c r="CO147" i="8"/>
  <c r="CP147" i="8"/>
  <c r="CQ147" i="8"/>
  <c r="CR147" i="8"/>
  <c r="CS147" i="8"/>
  <c r="CT147" i="8"/>
  <c r="CU147" i="8"/>
  <c r="CV147" i="8"/>
  <c r="CW147" i="8"/>
  <c r="CX147" i="8"/>
  <c r="CY147" i="8"/>
  <c r="CZ147" i="8"/>
  <c r="DA147" i="8"/>
  <c r="DB147" i="8"/>
  <c r="DC147" i="8"/>
  <c r="DD147" i="8"/>
  <c r="DE147" i="8"/>
  <c r="DF147" i="8"/>
  <c r="DG147" i="8"/>
  <c r="DH147" i="8"/>
  <c r="DI147" i="8"/>
  <c r="DJ147" i="8"/>
  <c r="DK147" i="8"/>
  <c r="DL147" i="8"/>
  <c r="DM147" i="8"/>
  <c r="DN147" i="8"/>
  <c r="DO147" i="8"/>
  <c r="DP147" i="8"/>
  <c r="DQ147" i="8"/>
  <c r="DR147" i="8"/>
  <c r="DS147" i="8"/>
  <c r="DT147" i="8"/>
  <c r="DU147" i="8"/>
  <c r="DV147" i="8"/>
  <c r="DW147" i="8"/>
  <c r="DX147" i="8"/>
  <c r="DY147" i="8"/>
  <c r="DZ147" i="8"/>
  <c r="EA147" i="8"/>
  <c r="EB147" i="8"/>
  <c r="EC147" i="8"/>
  <c r="ED147" i="8"/>
  <c r="EE147" i="8"/>
  <c r="EF147" i="8"/>
  <c r="EG147" i="8"/>
  <c r="EH147" i="8"/>
  <c r="EI147" i="8"/>
  <c r="EJ147" i="8"/>
  <c r="EK147" i="8"/>
  <c r="EL147" i="8"/>
  <c r="EM147" i="8"/>
  <c r="EN147" i="8"/>
  <c r="EO147" i="8"/>
  <c r="EP147" i="8"/>
  <c r="EQ147" i="8"/>
  <c r="ER147" i="8"/>
  <c r="ES147" i="8"/>
  <c r="ET147" i="8"/>
  <c r="EU147" i="8"/>
  <c r="EV147" i="8"/>
  <c r="EW147" i="8"/>
  <c r="EX147" i="8"/>
  <c r="EY147" i="8"/>
  <c r="EZ147" i="8"/>
  <c r="FA147" i="8"/>
  <c r="FB147" i="8"/>
  <c r="FC147" i="8"/>
  <c r="FD147" i="8"/>
  <c r="FE147" i="8"/>
  <c r="FF147" i="8"/>
  <c r="FG147" i="8"/>
  <c r="FH147" i="8"/>
  <c r="FI147" i="8"/>
  <c r="FJ147" i="8"/>
  <c r="FK147" i="8"/>
  <c r="FL147" i="8"/>
  <c r="FM147" i="8"/>
  <c r="FN147" i="8"/>
  <c r="FO147" i="8"/>
  <c r="FP147" i="8"/>
  <c r="FQ147" i="8"/>
  <c r="FR147" i="8"/>
  <c r="FS147" i="8"/>
  <c r="FT147" i="8"/>
  <c r="FU147" i="8"/>
  <c r="FV147" i="8"/>
  <c r="FW147" i="8"/>
  <c r="FX147" i="8"/>
  <c r="FY147" i="8"/>
  <c r="FZ147" i="8"/>
  <c r="GA147" i="8"/>
  <c r="GB147" i="8"/>
  <c r="GC147" i="8"/>
  <c r="GD147" i="8"/>
  <c r="GE147" i="8"/>
  <c r="GF147" i="8"/>
  <c r="GG147" i="8"/>
  <c r="GH147" i="8"/>
  <c r="GI147" i="8"/>
  <c r="GJ147" i="8"/>
  <c r="GK147" i="8"/>
  <c r="GL147" i="8"/>
  <c r="GM147" i="8"/>
  <c r="GN147" i="8"/>
  <c r="GO147" i="8"/>
  <c r="GP147" i="8"/>
  <c r="GQ147" i="8"/>
  <c r="GR147" i="8"/>
  <c r="GS147" i="8"/>
  <c r="GT147" i="8"/>
  <c r="GU147" i="8"/>
  <c r="GV147" i="8"/>
  <c r="GW147" i="8"/>
  <c r="GX147" i="8"/>
  <c r="GY147" i="8"/>
  <c r="GZ147" i="8"/>
  <c r="HA147" i="8"/>
  <c r="HB147" i="8"/>
  <c r="HC147" i="8"/>
  <c r="HD147" i="8"/>
  <c r="HE147" i="8"/>
  <c r="HF147" i="8"/>
  <c r="HG147" i="8"/>
  <c r="HH147" i="8"/>
  <c r="HI147" i="8"/>
  <c r="HJ147" i="8"/>
  <c r="HK147" i="8"/>
  <c r="HL147" i="8"/>
  <c r="HM147" i="8"/>
  <c r="HN147" i="8"/>
  <c r="HO147" i="8"/>
  <c r="HP147" i="8"/>
  <c r="HQ147" i="8"/>
  <c r="HR147" i="8"/>
  <c r="HS147" i="8"/>
  <c r="HT147" i="8"/>
  <c r="HU147" i="8"/>
  <c r="HV147" i="8"/>
  <c r="HW147" i="8"/>
  <c r="HX147" i="8"/>
  <c r="HY147" i="8"/>
  <c r="HZ147" i="8"/>
  <c r="IA147" i="8"/>
  <c r="IB147" i="8"/>
  <c r="IC147" i="8"/>
  <c r="ID147" i="8"/>
  <c r="IE147" i="8"/>
  <c r="IF147" i="8"/>
  <c r="IG147" i="8"/>
  <c r="IH147" i="8"/>
  <c r="II147" i="8"/>
  <c r="IJ147" i="8"/>
  <c r="IK147" i="8"/>
  <c r="IL147" i="8"/>
  <c r="IM147" i="8"/>
  <c r="IN147" i="8"/>
  <c r="IO147" i="8"/>
  <c r="IP147" i="8"/>
  <c r="IQ147" i="8"/>
  <c r="IR147" i="8"/>
  <c r="IS147" i="8"/>
  <c r="IT147" i="8"/>
  <c r="IU147" i="8"/>
  <c r="IV147" i="8"/>
  <c r="F148" i="8"/>
  <c r="G148" i="8"/>
  <c r="H148" i="8"/>
  <c r="I148" i="8"/>
  <c r="J148" i="8"/>
  <c r="K148" i="8"/>
  <c r="L148" i="8"/>
  <c r="M148" i="8"/>
  <c r="N148" i="8"/>
  <c r="O148" i="8"/>
  <c r="P148" i="8"/>
  <c r="Q148" i="8"/>
  <c r="R148" i="8"/>
  <c r="S148" i="8"/>
  <c r="T148" i="8"/>
  <c r="U148" i="8"/>
  <c r="V148" i="8"/>
  <c r="W148" i="8"/>
  <c r="X148" i="8"/>
  <c r="Y148" i="8"/>
  <c r="Z148" i="8"/>
  <c r="AA148" i="8"/>
  <c r="AB148" i="8"/>
  <c r="AC148" i="8"/>
  <c r="AD148" i="8"/>
  <c r="AE148" i="8"/>
  <c r="AF148" i="8"/>
  <c r="AG148" i="8"/>
  <c r="AH148" i="8"/>
  <c r="AI148" i="8"/>
  <c r="AJ148" i="8"/>
  <c r="AK148" i="8"/>
  <c r="AL148" i="8"/>
  <c r="AM148" i="8"/>
  <c r="AN148" i="8"/>
  <c r="AO148" i="8"/>
  <c r="AP148" i="8"/>
  <c r="AQ148" i="8"/>
  <c r="AR148" i="8"/>
  <c r="AS148" i="8"/>
  <c r="AT148" i="8"/>
  <c r="AU148" i="8"/>
  <c r="AV148" i="8"/>
  <c r="AW148" i="8"/>
  <c r="AX148" i="8"/>
  <c r="AY148" i="8"/>
  <c r="AZ148" i="8"/>
  <c r="BA148" i="8"/>
  <c r="BB148" i="8"/>
  <c r="BC148" i="8"/>
  <c r="BD148" i="8"/>
  <c r="BE148" i="8"/>
  <c r="BF148" i="8"/>
  <c r="BG148" i="8"/>
  <c r="BH148" i="8"/>
  <c r="BI148" i="8"/>
  <c r="BJ148" i="8"/>
  <c r="BK148" i="8"/>
  <c r="BL148" i="8"/>
  <c r="BM148" i="8"/>
  <c r="BN148" i="8"/>
  <c r="BO148" i="8"/>
  <c r="BP148" i="8"/>
  <c r="BQ148" i="8"/>
  <c r="BR148" i="8"/>
  <c r="BS148" i="8"/>
  <c r="BT148" i="8"/>
  <c r="BU148" i="8"/>
  <c r="BV148" i="8"/>
  <c r="BW148" i="8"/>
  <c r="BX148" i="8"/>
  <c r="BY148" i="8"/>
  <c r="BZ148" i="8"/>
  <c r="CA148" i="8"/>
  <c r="CB148" i="8"/>
  <c r="CC148" i="8"/>
  <c r="CD148" i="8"/>
  <c r="CE148" i="8"/>
  <c r="CF148" i="8"/>
  <c r="CG148" i="8"/>
  <c r="CH148" i="8"/>
  <c r="CI148" i="8"/>
  <c r="CJ148" i="8"/>
  <c r="CK148" i="8"/>
  <c r="CL148" i="8"/>
  <c r="CM148" i="8"/>
  <c r="CN148" i="8"/>
  <c r="CO148" i="8"/>
  <c r="CP148" i="8"/>
  <c r="CQ148" i="8"/>
  <c r="CR148" i="8"/>
  <c r="CS148" i="8"/>
  <c r="CT148" i="8"/>
  <c r="CU148" i="8"/>
  <c r="CV148" i="8"/>
  <c r="CW148" i="8"/>
  <c r="CX148" i="8"/>
  <c r="CY148" i="8"/>
  <c r="CZ148" i="8"/>
  <c r="DA148" i="8"/>
  <c r="DB148" i="8"/>
  <c r="DC148" i="8"/>
  <c r="DD148" i="8"/>
  <c r="DE148" i="8"/>
  <c r="DF148" i="8"/>
  <c r="DG148" i="8"/>
  <c r="DH148" i="8"/>
  <c r="DI148" i="8"/>
  <c r="DJ148" i="8"/>
  <c r="DK148" i="8"/>
  <c r="DL148" i="8"/>
  <c r="DM148" i="8"/>
  <c r="DN148" i="8"/>
  <c r="DO148" i="8"/>
  <c r="DP148" i="8"/>
  <c r="DQ148" i="8"/>
  <c r="DR148" i="8"/>
  <c r="DS148" i="8"/>
  <c r="DT148" i="8"/>
  <c r="DU148" i="8"/>
  <c r="DV148" i="8"/>
  <c r="DW148" i="8"/>
  <c r="DX148" i="8"/>
  <c r="DY148" i="8"/>
  <c r="DZ148" i="8"/>
  <c r="EA148" i="8"/>
  <c r="EB148" i="8"/>
  <c r="EC148" i="8"/>
  <c r="ED148" i="8"/>
  <c r="EE148" i="8"/>
  <c r="EF148" i="8"/>
  <c r="EG148" i="8"/>
  <c r="EH148" i="8"/>
  <c r="EI148" i="8"/>
  <c r="EJ148" i="8"/>
  <c r="EK148" i="8"/>
  <c r="EL148" i="8"/>
  <c r="EM148" i="8"/>
  <c r="EN148" i="8"/>
  <c r="EO148" i="8"/>
  <c r="EP148" i="8"/>
  <c r="EQ148" i="8"/>
  <c r="ER148" i="8"/>
  <c r="ES148" i="8"/>
  <c r="ET148" i="8"/>
  <c r="EU148" i="8"/>
  <c r="EV148" i="8"/>
  <c r="EW148" i="8"/>
  <c r="EX148" i="8"/>
  <c r="EY148" i="8"/>
  <c r="EZ148" i="8"/>
  <c r="FA148" i="8"/>
  <c r="FB148" i="8"/>
  <c r="FC148" i="8"/>
  <c r="FD148" i="8"/>
  <c r="FE148" i="8"/>
  <c r="FF148" i="8"/>
  <c r="FG148" i="8"/>
  <c r="FH148" i="8"/>
  <c r="FI148" i="8"/>
  <c r="FJ148" i="8"/>
  <c r="FK148" i="8"/>
  <c r="FL148" i="8"/>
  <c r="FM148" i="8"/>
  <c r="FN148" i="8"/>
  <c r="FO148" i="8"/>
  <c r="FP148" i="8"/>
  <c r="FQ148" i="8"/>
  <c r="FR148" i="8"/>
  <c r="FS148" i="8"/>
  <c r="FT148" i="8"/>
  <c r="FU148" i="8"/>
  <c r="FV148" i="8"/>
  <c r="FW148" i="8"/>
  <c r="FX148" i="8"/>
  <c r="FY148" i="8"/>
  <c r="FZ148" i="8"/>
  <c r="GA148" i="8"/>
  <c r="GB148" i="8"/>
  <c r="GC148" i="8"/>
  <c r="GD148" i="8"/>
  <c r="GE148" i="8"/>
  <c r="GF148" i="8"/>
  <c r="GG148" i="8"/>
  <c r="GH148" i="8"/>
  <c r="GI148" i="8"/>
  <c r="GJ148" i="8"/>
  <c r="GK148" i="8"/>
  <c r="GL148" i="8"/>
  <c r="GM148" i="8"/>
  <c r="GN148" i="8"/>
  <c r="GO148" i="8"/>
  <c r="GP148" i="8"/>
  <c r="GQ148" i="8"/>
  <c r="GR148" i="8"/>
  <c r="GS148" i="8"/>
  <c r="GT148" i="8"/>
  <c r="GU148" i="8"/>
  <c r="GV148" i="8"/>
  <c r="GW148" i="8"/>
  <c r="GX148" i="8"/>
  <c r="GY148" i="8"/>
  <c r="GZ148" i="8"/>
  <c r="HA148" i="8"/>
  <c r="HB148" i="8"/>
  <c r="HC148" i="8"/>
  <c r="HD148" i="8"/>
  <c r="HE148" i="8"/>
  <c r="HF148" i="8"/>
  <c r="HG148" i="8"/>
  <c r="HH148" i="8"/>
  <c r="HI148" i="8"/>
  <c r="HJ148" i="8"/>
  <c r="HK148" i="8"/>
  <c r="HL148" i="8"/>
  <c r="HM148" i="8"/>
  <c r="HN148" i="8"/>
  <c r="HO148" i="8"/>
  <c r="HP148" i="8"/>
  <c r="HQ148" i="8"/>
  <c r="HR148" i="8"/>
  <c r="HS148" i="8"/>
  <c r="HT148" i="8"/>
  <c r="HU148" i="8"/>
  <c r="HV148" i="8"/>
  <c r="HW148" i="8"/>
  <c r="HX148" i="8"/>
  <c r="HY148" i="8"/>
  <c r="HZ148" i="8"/>
  <c r="IA148" i="8"/>
  <c r="IB148" i="8"/>
  <c r="IC148" i="8"/>
  <c r="ID148" i="8"/>
  <c r="IE148" i="8"/>
  <c r="IF148" i="8"/>
  <c r="IG148" i="8"/>
  <c r="IH148" i="8"/>
  <c r="II148" i="8"/>
  <c r="IJ148" i="8"/>
  <c r="IK148" i="8"/>
  <c r="IL148" i="8"/>
  <c r="IM148" i="8"/>
  <c r="IN148" i="8"/>
  <c r="IO148" i="8"/>
  <c r="IP148" i="8"/>
  <c r="IQ148" i="8"/>
  <c r="IR148" i="8"/>
  <c r="IS148" i="8"/>
  <c r="IT148" i="8"/>
  <c r="IU148" i="8"/>
  <c r="IV148" i="8"/>
  <c r="F149" i="8"/>
  <c r="G149" i="8"/>
  <c r="H149" i="8"/>
  <c r="I149" i="8"/>
  <c r="J149" i="8"/>
  <c r="K149" i="8"/>
  <c r="L149" i="8"/>
  <c r="M149" i="8"/>
  <c r="N149" i="8"/>
  <c r="O149" i="8"/>
  <c r="P149" i="8"/>
  <c r="Q149" i="8"/>
  <c r="R149" i="8"/>
  <c r="S149" i="8"/>
  <c r="T149" i="8"/>
  <c r="U149" i="8"/>
  <c r="V149" i="8"/>
  <c r="W149" i="8"/>
  <c r="X149" i="8"/>
  <c r="Y149" i="8"/>
  <c r="Z149" i="8"/>
  <c r="AA149" i="8"/>
  <c r="AB149" i="8"/>
  <c r="AC149" i="8"/>
  <c r="AD149" i="8"/>
  <c r="AE149" i="8"/>
  <c r="AF149" i="8"/>
  <c r="AG149" i="8"/>
  <c r="AH149" i="8"/>
  <c r="AI149" i="8"/>
  <c r="AJ149" i="8"/>
  <c r="AK149" i="8"/>
  <c r="AL149" i="8"/>
  <c r="AM149" i="8"/>
  <c r="AN149" i="8"/>
  <c r="AO149" i="8"/>
  <c r="AP149" i="8"/>
  <c r="AQ149" i="8"/>
  <c r="AR149" i="8"/>
  <c r="AS149" i="8"/>
  <c r="AT149" i="8"/>
  <c r="AU149" i="8"/>
  <c r="AV149" i="8"/>
  <c r="AW149" i="8"/>
  <c r="AX149" i="8"/>
  <c r="AY149" i="8"/>
  <c r="AZ149" i="8"/>
  <c r="BA149" i="8"/>
  <c r="BB149" i="8"/>
  <c r="BC149" i="8"/>
  <c r="BD149" i="8"/>
  <c r="BE149" i="8"/>
  <c r="BF149" i="8"/>
  <c r="BG149" i="8"/>
  <c r="BH149" i="8"/>
  <c r="BI149" i="8"/>
  <c r="BJ149" i="8"/>
  <c r="BK149" i="8"/>
  <c r="BL149" i="8"/>
  <c r="BM149" i="8"/>
  <c r="BN149" i="8"/>
  <c r="BO149" i="8"/>
  <c r="BP149" i="8"/>
  <c r="BQ149" i="8"/>
  <c r="BR149" i="8"/>
  <c r="BS149" i="8"/>
  <c r="BT149" i="8"/>
  <c r="BU149" i="8"/>
  <c r="BV149" i="8"/>
  <c r="BW149" i="8"/>
  <c r="BX149" i="8"/>
  <c r="BY149" i="8"/>
  <c r="BZ149" i="8"/>
  <c r="CA149" i="8"/>
  <c r="CB149" i="8"/>
  <c r="CC149" i="8"/>
  <c r="CD149" i="8"/>
  <c r="CE149" i="8"/>
  <c r="CF149" i="8"/>
  <c r="CG149" i="8"/>
  <c r="CH149" i="8"/>
  <c r="CI149" i="8"/>
  <c r="CJ149" i="8"/>
  <c r="CK149" i="8"/>
  <c r="CL149" i="8"/>
  <c r="CM149" i="8"/>
  <c r="CN149" i="8"/>
  <c r="CO149" i="8"/>
  <c r="CP149" i="8"/>
  <c r="CQ149" i="8"/>
  <c r="CR149" i="8"/>
  <c r="CS149" i="8"/>
  <c r="CT149" i="8"/>
  <c r="CU149" i="8"/>
  <c r="CV149" i="8"/>
  <c r="CW149" i="8"/>
  <c r="CX149" i="8"/>
  <c r="CY149" i="8"/>
  <c r="CZ149" i="8"/>
  <c r="DA149" i="8"/>
  <c r="DB149" i="8"/>
  <c r="DC149" i="8"/>
  <c r="DD149" i="8"/>
  <c r="DE149" i="8"/>
  <c r="DF149" i="8"/>
  <c r="DG149" i="8"/>
  <c r="DH149" i="8"/>
  <c r="DI149" i="8"/>
  <c r="DJ149" i="8"/>
  <c r="DK149" i="8"/>
  <c r="DL149" i="8"/>
  <c r="DM149" i="8"/>
  <c r="DN149" i="8"/>
  <c r="DO149" i="8"/>
  <c r="DP149" i="8"/>
  <c r="DQ149" i="8"/>
  <c r="DR149" i="8"/>
  <c r="DS149" i="8"/>
  <c r="DT149" i="8"/>
  <c r="DU149" i="8"/>
  <c r="DV149" i="8"/>
  <c r="DW149" i="8"/>
  <c r="DX149" i="8"/>
  <c r="DY149" i="8"/>
  <c r="DZ149" i="8"/>
  <c r="EA149" i="8"/>
  <c r="EB149" i="8"/>
  <c r="EC149" i="8"/>
  <c r="ED149" i="8"/>
  <c r="EE149" i="8"/>
  <c r="EF149" i="8"/>
  <c r="EG149" i="8"/>
  <c r="EH149" i="8"/>
  <c r="EI149" i="8"/>
  <c r="EJ149" i="8"/>
  <c r="EK149" i="8"/>
  <c r="EL149" i="8"/>
  <c r="EM149" i="8"/>
  <c r="EN149" i="8"/>
  <c r="EO149" i="8"/>
  <c r="EP149" i="8"/>
  <c r="EQ149" i="8"/>
  <c r="ER149" i="8"/>
  <c r="ES149" i="8"/>
  <c r="ET149" i="8"/>
  <c r="EU149" i="8"/>
  <c r="EV149" i="8"/>
  <c r="EW149" i="8"/>
  <c r="EX149" i="8"/>
  <c r="EY149" i="8"/>
  <c r="EZ149" i="8"/>
  <c r="FA149" i="8"/>
  <c r="FB149" i="8"/>
  <c r="FC149" i="8"/>
  <c r="FD149" i="8"/>
  <c r="FE149" i="8"/>
  <c r="FF149" i="8"/>
  <c r="FG149" i="8"/>
  <c r="FH149" i="8"/>
  <c r="FI149" i="8"/>
  <c r="FJ149" i="8"/>
  <c r="FK149" i="8"/>
  <c r="FL149" i="8"/>
  <c r="FM149" i="8"/>
  <c r="FN149" i="8"/>
  <c r="FO149" i="8"/>
  <c r="FP149" i="8"/>
  <c r="FQ149" i="8"/>
  <c r="FR149" i="8"/>
  <c r="FS149" i="8"/>
  <c r="FT149" i="8"/>
  <c r="FU149" i="8"/>
  <c r="FV149" i="8"/>
  <c r="FW149" i="8"/>
  <c r="FX149" i="8"/>
  <c r="FY149" i="8"/>
  <c r="FZ149" i="8"/>
  <c r="GA149" i="8"/>
  <c r="GB149" i="8"/>
  <c r="GC149" i="8"/>
  <c r="GD149" i="8"/>
  <c r="GE149" i="8"/>
  <c r="GF149" i="8"/>
  <c r="GG149" i="8"/>
  <c r="GH149" i="8"/>
  <c r="GI149" i="8"/>
  <c r="GJ149" i="8"/>
  <c r="GK149" i="8"/>
  <c r="GL149" i="8"/>
  <c r="GM149" i="8"/>
  <c r="GN149" i="8"/>
  <c r="GO149" i="8"/>
  <c r="GP149" i="8"/>
  <c r="GQ149" i="8"/>
  <c r="GR149" i="8"/>
  <c r="GS149" i="8"/>
  <c r="GT149" i="8"/>
  <c r="GU149" i="8"/>
  <c r="GV149" i="8"/>
  <c r="GW149" i="8"/>
  <c r="GX149" i="8"/>
  <c r="GY149" i="8"/>
  <c r="GZ149" i="8"/>
  <c r="HA149" i="8"/>
  <c r="HB149" i="8"/>
  <c r="HC149" i="8"/>
  <c r="HD149" i="8"/>
  <c r="HE149" i="8"/>
  <c r="HF149" i="8"/>
  <c r="HG149" i="8"/>
  <c r="HH149" i="8"/>
  <c r="HI149" i="8"/>
  <c r="HJ149" i="8"/>
  <c r="HK149" i="8"/>
  <c r="HL149" i="8"/>
  <c r="HM149" i="8"/>
  <c r="HN149" i="8"/>
  <c r="HO149" i="8"/>
  <c r="HP149" i="8"/>
  <c r="HQ149" i="8"/>
  <c r="HR149" i="8"/>
  <c r="HS149" i="8"/>
  <c r="HT149" i="8"/>
  <c r="HU149" i="8"/>
  <c r="HV149" i="8"/>
  <c r="HW149" i="8"/>
  <c r="HX149" i="8"/>
  <c r="HY149" i="8"/>
  <c r="HZ149" i="8"/>
  <c r="IA149" i="8"/>
  <c r="IB149" i="8"/>
  <c r="IC149" i="8"/>
  <c r="ID149" i="8"/>
  <c r="IE149" i="8"/>
  <c r="IF149" i="8"/>
  <c r="IG149" i="8"/>
  <c r="IH149" i="8"/>
  <c r="II149" i="8"/>
  <c r="IJ149" i="8"/>
  <c r="IK149" i="8"/>
  <c r="IL149" i="8"/>
  <c r="IM149" i="8"/>
  <c r="IN149" i="8"/>
  <c r="IO149" i="8"/>
  <c r="IP149" i="8"/>
  <c r="IQ149" i="8"/>
  <c r="IR149" i="8"/>
  <c r="IS149" i="8"/>
  <c r="IT149" i="8"/>
  <c r="IU149" i="8"/>
  <c r="IV149" i="8"/>
  <c r="F150" i="8"/>
  <c r="G150" i="8"/>
  <c r="H150" i="8"/>
  <c r="I150" i="8"/>
  <c r="J150" i="8"/>
  <c r="K150" i="8"/>
  <c r="L150" i="8"/>
  <c r="M150" i="8"/>
  <c r="N150" i="8"/>
  <c r="O150" i="8"/>
  <c r="P150" i="8"/>
  <c r="Q150" i="8"/>
  <c r="R150" i="8"/>
  <c r="S150" i="8"/>
  <c r="T150" i="8"/>
  <c r="U150" i="8"/>
  <c r="V150" i="8"/>
  <c r="W150" i="8"/>
  <c r="X150" i="8"/>
  <c r="Y150" i="8"/>
  <c r="Z150" i="8"/>
  <c r="AA150" i="8"/>
  <c r="AB150" i="8"/>
  <c r="AC150" i="8"/>
  <c r="AD150" i="8"/>
  <c r="AE150" i="8"/>
  <c r="AF150" i="8"/>
  <c r="AG150" i="8"/>
  <c r="AH150" i="8"/>
  <c r="AI150" i="8"/>
  <c r="AJ150" i="8"/>
  <c r="AK150" i="8"/>
  <c r="AL150" i="8"/>
  <c r="AM150" i="8"/>
  <c r="AN150" i="8"/>
  <c r="AO150" i="8"/>
  <c r="AP150" i="8"/>
  <c r="AQ150" i="8"/>
  <c r="AR150" i="8"/>
  <c r="AS150" i="8"/>
  <c r="AT150" i="8"/>
  <c r="AU150" i="8"/>
  <c r="AV150" i="8"/>
  <c r="AW150" i="8"/>
  <c r="AX150" i="8"/>
  <c r="AY150" i="8"/>
  <c r="AZ150" i="8"/>
  <c r="BA150" i="8"/>
  <c r="BB150" i="8"/>
  <c r="BC150" i="8"/>
  <c r="BD150" i="8"/>
  <c r="BE150" i="8"/>
  <c r="BF150" i="8"/>
  <c r="BG150" i="8"/>
  <c r="BH150" i="8"/>
  <c r="BI150" i="8"/>
  <c r="BJ150" i="8"/>
  <c r="BK150" i="8"/>
  <c r="BL150" i="8"/>
  <c r="BM150" i="8"/>
  <c r="BN150" i="8"/>
  <c r="BO150" i="8"/>
  <c r="BP150" i="8"/>
  <c r="BQ150" i="8"/>
  <c r="BR150" i="8"/>
  <c r="BS150" i="8"/>
  <c r="BT150" i="8"/>
  <c r="BU150" i="8"/>
  <c r="BV150" i="8"/>
  <c r="BW150" i="8"/>
  <c r="BX150" i="8"/>
  <c r="BY150" i="8"/>
  <c r="BZ150" i="8"/>
  <c r="CA150" i="8"/>
  <c r="CB150" i="8"/>
  <c r="CC150" i="8"/>
  <c r="CD150" i="8"/>
  <c r="CE150" i="8"/>
  <c r="CF150" i="8"/>
  <c r="CG150" i="8"/>
  <c r="CH150" i="8"/>
  <c r="CI150" i="8"/>
  <c r="CJ150" i="8"/>
  <c r="CK150" i="8"/>
  <c r="CL150" i="8"/>
  <c r="CM150" i="8"/>
  <c r="CN150" i="8"/>
  <c r="CO150" i="8"/>
  <c r="CP150" i="8"/>
  <c r="CQ150" i="8"/>
  <c r="CR150" i="8"/>
  <c r="CS150" i="8"/>
  <c r="CT150" i="8"/>
  <c r="CU150" i="8"/>
  <c r="CV150" i="8"/>
  <c r="CW150" i="8"/>
  <c r="CX150" i="8"/>
  <c r="CY150" i="8"/>
  <c r="CZ150" i="8"/>
  <c r="DA150" i="8"/>
  <c r="DB150" i="8"/>
  <c r="DC150" i="8"/>
  <c r="DD150" i="8"/>
  <c r="DE150" i="8"/>
  <c r="DF150" i="8"/>
  <c r="DG150" i="8"/>
  <c r="DH150" i="8"/>
  <c r="DI150" i="8"/>
  <c r="DJ150" i="8"/>
  <c r="DK150" i="8"/>
  <c r="DL150" i="8"/>
  <c r="DM150" i="8"/>
  <c r="DN150" i="8"/>
  <c r="DO150" i="8"/>
  <c r="DP150" i="8"/>
  <c r="DQ150" i="8"/>
  <c r="DR150" i="8"/>
  <c r="DS150" i="8"/>
  <c r="DT150" i="8"/>
  <c r="DU150" i="8"/>
  <c r="DV150" i="8"/>
  <c r="DW150" i="8"/>
  <c r="DX150" i="8"/>
  <c r="DY150" i="8"/>
  <c r="DZ150" i="8"/>
  <c r="EA150" i="8"/>
  <c r="EB150" i="8"/>
  <c r="EC150" i="8"/>
  <c r="ED150" i="8"/>
  <c r="EE150" i="8"/>
  <c r="EF150" i="8"/>
  <c r="EG150" i="8"/>
  <c r="EH150" i="8"/>
  <c r="EI150" i="8"/>
  <c r="EJ150" i="8"/>
  <c r="EK150" i="8"/>
  <c r="EL150" i="8"/>
  <c r="EM150" i="8"/>
  <c r="EN150" i="8"/>
  <c r="EO150" i="8"/>
  <c r="EP150" i="8"/>
  <c r="EQ150" i="8"/>
  <c r="ER150" i="8"/>
  <c r="ES150" i="8"/>
  <c r="ET150" i="8"/>
  <c r="EU150" i="8"/>
  <c r="EV150" i="8"/>
  <c r="EW150" i="8"/>
  <c r="EX150" i="8"/>
  <c r="EY150" i="8"/>
  <c r="EZ150" i="8"/>
  <c r="FA150" i="8"/>
  <c r="FB150" i="8"/>
  <c r="FC150" i="8"/>
  <c r="FD150" i="8"/>
  <c r="FE150" i="8"/>
  <c r="FF150" i="8"/>
  <c r="FG150" i="8"/>
  <c r="FH150" i="8"/>
  <c r="FI150" i="8"/>
  <c r="FJ150" i="8"/>
  <c r="FK150" i="8"/>
  <c r="FL150" i="8"/>
  <c r="FM150" i="8"/>
  <c r="FN150" i="8"/>
  <c r="FO150" i="8"/>
  <c r="FP150" i="8"/>
  <c r="FQ150" i="8"/>
  <c r="FR150" i="8"/>
  <c r="FS150" i="8"/>
  <c r="FT150" i="8"/>
  <c r="FU150" i="8"/>
  <c r="FV150" i="8"/>
  <c r="FW150" i="8"/>
  <c r="FX150" i="8"/>
  <c r="FY150" i="8"/>
  <c r="FZ150" i="8"/>
  <c r="GA150" i="8"/>
  <c r="GB150" i="8"/>
  <c r="GC150" i="8"/>
  <c r="GD150" i="8"/>
  <c r="GE150" i="8"/>
  <c r="GF150" i="8"/>
  <c r="GG150" i="8"/>
  <c r="GH150" i="8"/>
  <c r="GI150" i="8"/>
  <c r="GJ150" i="8"/>
  <c r="GK150" i="8"/>
  <c r="GL150" i="8"/>
  <c r="GM150" i="8"/>
  <c r="GN150" i="8"/>
  <c r="GO150" i="8"/>
  <c r="GP150" i="8"/>
  <c r="GQ150" i="8"/>
  <c r="GR150" i="8"/>
  <c r="GS150" i="8"/>
  <c r="GT150" i="8"/>
  <c r="GU150" i="8"/>
  <c r="GV150" i="8"/>
  <c r="GW150" i="8"/>
  <c r="GX150" i="8"/>
  <c r="GY150" i="8"/>
  <c r="GZ150" i="8"/>
  <c r="HA150" i="8"/>
  <c r="HB150" i="8"/>
  <c r="HC150" i="8"/>
  <c r="HD150" i="8"/>
  <c r="HE150" i="8"/>
  <c r="HF150" i="8"/>
  <c r="HG150" i="8"/>
  <c r="HH150" i="8"/>
  <c r="HI150" i="8"/>
  <c r="HJ150" i="8"/>
  <c r="HK150" i="8"/>
  <c r="HL150" i="8"/>
  <c r="HM150" i="8"/>
  <c r="HN150" i="8"/>
  <c r="HO150" i="8"/>
  <c r="HP150" i="8"/>
  <c r="HQ150" i="8"/>
  <c r="HR150" i="8"/>
  <c r="HS150" i="8"/>
  <c r="HT150" i="8"/>
  <c r="HU150" i="8"/>
  <c r="HV150" i="8"/>
  <c r="HW150" i="8"/>
  <c r="HX150" i="8"/>
  <c r="HY150" i="8"/>
  <c r="HZ150" i="8"/>
  <c r="IA150" i="8"/>
  <c r="IB150" i="8"/>
  <c r="IC150" i="8"/>
  <c r="ID150" i="8"/>
  <c r="IE150" i="8"/>
  <c r="IF150" i="8"/>
  <c r="IG150" i="8"/>
  <c r="IH150" i="8"/>
  <c r="II150" i="8"/>
  <c r="IJ150" i="8"/>
  <c r="IK150" i="8"/>
  <c r="IL150" i="8"/>
  <c r="IM150" i="8"/>
  <c r="IN150" i="8"/>
  <c r="IO150" i="8"/>
  <c r="IP150" i="8"/>
  <c r="IQ150" i="8"/>
  <c r="IR150" i="8"/>
  <c r="IS150" i="8"/>
  <c r="IT150" i="8"/>
  <c r="IU150" i="8"/>
  <c r="IV150" i="8"/>
  <c r="F151" i="8"/>
  <c r="G151" i="8"/>
  <c r="H151" i="8"/>
  <c r="I151" i="8"/>
  <c r="J151" i="8"/>
  <c r="K151" i="8"/>
  <c r="L151" i="8"/>
  <c r="M151" i="8"/>
  <c r="N151" i="8"/>
  <c r="O151" i="8"/>
  <c r="P151" i="8"/>
  <c r="Q151" i="8"/>
  <c r="R151" i="8"/>
  <c r="S151" i="8"/>
  <c r="T151" i="8"/>
  <c r="U151" i="8"/>
  <c r="V151" i="8"/>
  <c r="W151" i="8"/>
  <c r="X151" i="8"/>
  <c r="Y151" i="8"/>
  <c r="Z151" i="8"/>
  <c r="AA151" i="8"/>
  <c r="AB151" i="8"/>
  <c r="AC151" i="8"/>
  <c r="AD151" i="8"/>
  <c r="AE151" i="8"/>
  <c r="AF151" i="8"/>
  <c r="AG151" i="8"/>
  <c r="AH151" i="8"/>
  <c r="AI151" i="8"/>
  <c r="AJ151" i="8"/>
  <c r="AK151" i="8"/>
  <c r="AL151" i="8"/>
  <c r="AM151" i="8"/>
  <c r="AN151" i="8"/>
  <c r="AO151" i="8"/>
  <c r="AP151" i="8"/>
  <c r="AQ151" i="8"/>
  <c r="AR151" i="8"/>
  <c r="AS151" i="8"/>
  <c r="AT151" i="8"/>
  <c r="AU151" i="8"/>
  <c r="AV151" i="8"/>
  <c r="AW151" i="8"/>
  <c r="AX151" i="8"/>
  <c r="AY151" i="8"/>
  <c r="AZ151" i="8"/>
  <c r="BA151" i="8"/>
  <c r="BB151" i="8"/>
  <c r="BC151" i="8"/>
  <c r="BD151" i="8"/>
  <c r="BE151" i="8"/>
  <c r="BF151" i="8"/>
  <c r="BG151" i="8"/>
  <c r="BH151" i="8"/>
  <c r="BI151" i="8"/>
  <c r="BJ151" i="8"/>
  <c r="BK151" i="8"/>
  <c r="BL151" i="8"/>
  <c r="BM151" i="8"/>
  <c r="BN151" i="8"/>
  <c r="BO151" i="8"/>
  <c r="BP151" i="8"/>
  <c r="BQ151" i="8"/>
  <c r="BR151" i="8"/>
  <c r="BS151" i="8"/>
  <c r="BT151" i="8"/>
  <c r="BU151" i="8"/>
  <c r="BV151" i="8"/>
  <c r="BW151" i="8"/>
  <c r="BX151" i="8"/>
  <c r="BY151" i="8"/>
  <c r="BZ151" i="8"/>
  <c r="CA151" i="8"/>
  <c r="CB151" i="8"/>
  <c r="CC151" i="8"/>
  <c r="CD151" i="8"/>
  <c r="CE151" i="8"/>
  <c r="CF151" i="8"/>
  <c r="CG151" i="8"/>
  <c r="CH151" i="8"/>
  <c r="CI151" i="8"/>
  <c r="CJ151" i="8"/>
  <c r="CK151" i="8"/>
  <c r="CL151" i="8"/>
  <c r="CM151" i="8"/>
  <c r="CN151" i="8"/>
  <c r="CO151" i="8"/>
  <c r="CP151" i="8"/>
  <c r="CQ151" i="8"/>
  <c r="CR151" i="8"/>
  <c r="CS151" i="8"/>
  <c r="CT151" i="8"/>
  <c r="CU151" i="8"/>
  <c r="CV151" i="8"/>
  <c r="CW151" i="8"/>
  <c r="CX151" i="8"/>
  <c r="CY151" i="8"/>
  <c r="CZ151" i="8"/>
  <c r="DA151" i="8"/>
  <c r="DB151" i="8"/>
  <c r="DC151" i="8"/>
  <c r="DD151" i="8"/>
  <c r="DE151" i="8"/>
  <c r="DF151" i="8"/>
  <c r="DG151" i="8"/>
  <c r="DH151" i="8"/>
  <c r="DI151" i="8"/>
  <c r="DJ151" i="8"/>
  <c r="DK151" i="8"/>
  <c r="DL151" i="8"/>
  <c r="DM151" i="8"/>
  <c r="DN151" i="8"/>
  <c r="DO151" i="8"/>
  <c r="DP151" i="8"/>
  <c r="DQ151" i="8"/>
  <c r="DR151" i="8"/>
  <c r="DS151" i="8"/>
  <c r="DT151" i="8"/>
  <c r="DU151" i="8"/>
  <c r="DV151" i="8"/>
  <c r="DW151" i="8"/>
  <c r="DX151" i="8"/>
  <c r="DY151" i="8"/>
  <c r="DZ151" i="8"/>
  <c r="EA151" i="8"/>
  <c r="EB151" i="8"/>
  <c r="EC151" i="8"/>
  <c r="ED151" i="8"/>
  <c r="EE151" i="8"/>
  <c r="EF151" i="8"/>
  <c r="EG151" i="8"/>
  <c r="EH151" i="8"/>
  <c r="EI151" i="8"/>
  <c r="EJ151" i="8"/>
  <c r="EK151" i="8"/>
  <c r="EL151" i="8"/>
  <c r="EM151" i="8"/>
  <c r="EN151" i="8"/>
  <c r="EO151" i="8"/>
  <c r="EP151" i="8"/>
  <c r="EQ151" i="8"/>
  <c r="ER151" i="8"/>
  <c r="ES151" i="8"/>
  <c r="ET151" i="8"/>
  <c r="EU151" i="8"/>
  <c r="EV151" i="8"/>
  <c r="EW151" i="8"/>
  <c r="EX151" i="8"/>
  <c r="EY151" i="8"/>
  <c r="EZ151" i="8"/>
  <c r="FA151" i="8"/>
  <c r="FB151" i="8"/>
  <c r="FC151" i="8"/>
  <c r="FD151" i="8"/>
  <c r="FE151" i="8"/>
  <c r="FF151" i="8"/>
  <c r="FG151" i="8"/>
  <c r="FH151" i="8"/>
  <c r="FI151" i="8"/>
  <c r="FJ151" i="8"/>
  <c r="FK151" i="8"/>
  <c r="FL151" i="8"/>
  <c r="FM151" i="8"/>
  <c r="FN151" i="8"/>
  <c r="FO151" i="8"/>
  <c r="FP151" i="8"/>
  <c r="FQ151" i="8"/>
  <c r="FR151" i="8"/>
  <c r="FS151" i="8"/>
  <c r="FT151" i="8"/>
  <c r="FU151" i="8"/>
  <c r="FV151" i="8"/>
  <c r="FW151" i="8"/>
  <c r="FX151" i="8"/>
  <c r="FY151" i="8"/>
  <c r="FZ151" i="8"/>
  <c r="GA151" i="8"/>
  <c r="GB151" i="8"/>
  <c r="GC151" i="8"/>
  <c r="GD151" i="8"/>
  <c r="GE151" i="8"/>
  <c r="GF151" i="8"/>
  <c r="GG151" i="8"/>
  <c r="GH151" i="8"/>
  <c r="GI151" i="8"/>
  <c r="GJ151" i="8"/>
  <c r="GK151" i="8"/>
  <c r="GL151" i="8"/>
  <c r="GM151" i="8"/>
  <c r="GN151" i="8"/>
  <c r="GO151" i="8"/>
  <c r="GP151" i="8"/>
  <c r="GQ151" i="8"/>
  <c r="GR151" i="8"/>
  <c r="GS151" i="8"/>
  <c r="GT151" i="8"/>
  <c r="GU151" i="8"/>
  <c r="GV151" i="8"/>
  <c r="GW151" i="8"/>
  <c r="GX151" i="8"/>
  <c r="GY151" i="8"/>
  <c r="GZ151" i="8"/>
  <c r="HA151" i="8"/>
  <c r="HB151" i="8"/>
  <c r="HC151" i="8"/>
  <c r="HD151" i="8"/>
  <c r="HE151" i="8"/>
  <c r="HF151" i="8"/>
  <c r="HG151" i="8"/>
  <c r="HH151" i="8"/>
  <c r="HI151" i="8"/>
  <c r="HJ151" i="8"/>
  <c r="HK151" i="8"/>
  <c r="HL151" i="8"/>
  <c r="HM151" i="8"/>
  <c r="HN151" i="8"/>
  <c r="HO151" i="8"/>
  <c r="HP151" i="8"/>
  <c r="HQ151" i="8"/>
  <c r="HR151" i="8"/>
  <c r="HS151" i="8"/>
  <c r="HT151" i="8"/>
  <c r="HU151" i="8"/>
  <c r="HV151" i="8"/>
  <c r="HW151" i="8"/>
  <c r="HX151" i="8"/>
  <c r="HY151" i="8"/>
  <c r="HZ151" i="8"/>
  <c r="IA151" i="8"/>
  <c r="IB151" i="8"/>
  <c r="IC151" i="8"/>
  <c r="ID151" i="8"/>
  <c r="IE151" i="8"/>
  <c r="IF151" i="8"/>
  <c r="IG151" i="8"/>
  <c r="IH151" i="8"/>
  <c r="II151" i="8"/>
  <c r="IJ151" i="8"/>
  <c r="IK151" i="8"/>
  <c r="IL151" i="8"/>
  <c r="IM151" i="8"/>
  <c r="IN151" i="8"/>
  <c r="IO151" i="8"/>
  <c r="IP151" i="8"/>
  <c r="IQ151" i="8"/>
  <c r="IR151" i="8"/>
  <c r="IS151" i="8"/>
  <c r="IT151" i="8"/>
  <c r="IU151" i="8"/>
  <c r="IV151" i="8"/>
  <c r="F152" i="8"/>
  <c r="G152" i="8"/>
  <c r="H152" i="8"/>
  <c r="I152" i="8"/>
  <c r="J152" i="8"/>
  <c r="K152" i="8"/>
  <c r="L152" i="8"/>
  <c r="M152" i="8"/>
  <c r="N152" i="8"/>
  <c r="O152" i="8"/>
  <c r="P152" i="8"/>
  <c r="Q152" i="8"/>
  <c r="R152" i="8"/>
  <c r="S152" i="8"/>
  <c r="T152" i="8"/>
  <c r="U152" i="8"/>
  <c r="V152" i="8"/>
  <c r="W152" i="8"/>
  <c r="X152" i="8"/>
  <c r="Y152" i="8"/>
  <c r="Z152" i="8"/>
  <c r="AA152" i="8"/>
  <c r="AB152" i="8"/>
  <c r="AC152" i="8"/>
  <c r="AD152" i="8"/>
  <c r="AE152" i="8"/>
  <c r="AF152" i="8"/>
  <c r="AG152" i="8"/>
  <c r="AH152" i="8"/>
  <c r="AI152" i="8"/>
  <c r="AJ152" i="8"/>
  <c r="AK152" i="8"/>
  <c r="AL152" i="8"/>
  <c r="AM152" i="8"/>
  <c r="AN152" i="8"/>
  <c r="AO152" i="8"/>
  <c r="AP152" i="8"/>
  <c r="AQ152" i="8"/>
  <c r="AR152" i="8"/>
  <c r="AS152" i="8"/>
  <c r="AT152" i="8"/>
  <c r="AU152" i="8"/>
  <c r="AV152" i="8"/>
  <c r="AW152" i="8"/>
  <c r="AX152" i="8"/>
  <c r="AY152" i="8"/>
  <c r="AZ152" i="8"/>
  <c r="BA152" i="8"/>
  <c r="BB152" i="8"/>
  <c r="BC152" i="8"/>
  <c r="BD152" i="8"/>
  <c r="BE152" i="8"/>
  <c r="BF152" i="8"/>
  <c r="BG152" i="8"/>
  <c r="BH152" i="8"/>
  <c r="BI152" i="8"/>
  <c r="BJ152" i="8"/>
  <c r="BK152" i="8"/>
  <c r="BL152" i="8"/>
  <c r="BM152" i="8"/>
  <c r="BN152" i="8"/>
  <c r="BO152" i="8"/>
  <c r="BP152" i="8"/>
  <c r="BQ152" i="8"/>
  <c r="BR152" i="8"/>
  <c r="BS152" i="8"/>
  <c r="BT152" i="8"/>
  <c r="BU152" i="8"/>
  <c r="BV152" i="8"/>
  <c r="BW152" i="8"/>
  <c r="BX152" i="8"/>
  <c r="BY152" i="8"/>
  <c r="BZ152" i="8"/>
  <c r="CA152" i="8"/>
  <c r="CB152" i="8"/>
  <c r="CC152" i="8"/>
  <c r="CD152" i="8"/>
  <c r="CE152" i="8"/>
  <c r="CF152" i="8"/>
  <c r="CG152" i="8"/>
  <c r="CH152" i="8"/>
  <c r="CI152" i="8"/>
  <c r="CJ152" i="8"/>
  <c r="CK152" i="8"/>
  <c r="CL152" i="8"/>
  <c r="CM152" i="8"/>
  <c r="CN152" i="8"/>
  <c r="CO152" i="8"/>
  <c r="CP152" i="8"/>
  <c r="CQ152" i="8"/>
  <c r="CR152" i="8"/>
  <c r="CS152" i="8"/>
  <c r="CT152" i="8"/>
  <c r="CU152" i="8"/>
  <c r="CV152" i="8"/>
  <c r="CW152" i="8"/>
  <c r="CX152" i="8"/>
  <c r="CY152" i="8"/>
  <c r="CZ152" i="8"/>
  <c r="DA152" i="8"/>
  <c r="DB152" i="8"/>
  <c r="DC152" i="8"/>
  <c r="DD152" i="8"/>
  <c r="DE152" i="8"/>
  <c r="DF152" i="8"/>
  <c r="DG152" i="8"/>
  <c r="DH152" i="8"/>
  <c r="DI152" i="8"/>
  <c r="DJ152" i="8"/>
  <c r="DK152" i="8"/>
  <c r="DL152" i="8"/>
  <c r="DM152" i="8"/>
  <c r="DN152" i="8"/>
  <c r="DO152" i="8"/>
  <c r="DP152" i="8"/>
  <c r="DQ152" i="8"/>
  <c r="DR152" i="8"/>
  <c r="DS152" i="8"/>
  <c r="DT152" i="8"/>
  <c r="DU152" i="8"/>
  <c r="DV152" i="8"/>
  <c r="DW152" i="8"/>
  <c r="DX152" i="8"/>
  <c r="DY152" i="8"/>
  <c r="DZ152" i="8"/>
  <c r="EA152" i="8"/>
  <c r="EB152" i="8"/>
  <c r="EC152" i="8"/>
  <c r="ED152" i="8"/>
  <c r="EE152" i="8"/>
  <c r="EF152" i="8"/>
  <c r="EG152" i="8"/>
  <c r="EH152" i="8"/>
  <c r="EI152" i="8"/>
  <c r="EJ152" i="8"/>
  <c r="EK152" i="8"/>
  <c r="EL152" i="8"/>
  <c r="EM152" i="8"/>
  <c r="EN152" i="8"/>
  <c r="EO152" i="8"/>
  <c r="EP152" i="8"/>
  <c r="EQ152" i="8"/>
  <c r="ER152" i="8"/>
  <c r="ES152" i="8"/>
  <c r="ET152" i="8"/>
  <c r="EU152" i="8"/>
  <c r="EV152" i="8"/>
  <c r="EW152" i="8"/>
  <c r="EX152" i="8"/>
  <c r="EY152" i="8"/>
  <c r="EZ152" i="8"/>
  <c r="FA152" i="8"/>
  <c r="FB152" i="8"/>
  <c r="FC152" i="8"/>
  <c r="FD152" i="8"/>
  <c r="FE152" i="8"/>
  <c r="FF152" i="8"/>
  <c r="FG152" i="8"/>
  <c r="FH152" i="8"/>
  <c r="FI152" i="8"/>
  <c r="FJ152" i="8"/>
  <c r="FK152" i="8"/>
  <c r="FL152" i="8"/>
  <c r="FM152" i="8"/>
  <c r="FN152" i="8"/>
  <c r="FO152" i="8"/>
  <c r="FP152" i="8"/>
  <c r="FQ152" i="8"/>
  <c r="FR152" i="8"/>
  <c r="FS152" i="8"/>
  <c r="FT152" i="8"/>
  <c r="FU152" i="8"/>
  <c r="FV152" i="8"/>
  <c r="FW152" i="8"/>
  <c r="FX152" i="8"/>
  <c r="FY152" i="8"/>
  <c r="FZ152" i="8"/>
  <c r="GA152" i="8"/>
  <c r="GB152" i="8"/>
  <c r="GC152" i="8"/>
  <c r="GD152" i="8"/>
  <c r="GE152" i="8"/>
  <c r="GF152" i="8"/>
  <c r="GG152" i="8"/>
  <c r="GH152" i="8"/>
  <c r="GI152" i="8"/>
  <c r="GJ152" i="8"/>
  <c r="GK152" i="8"/>
  <c r="GL152" i="8"/>
  <c r="GM152" i="8"/>
  <c r="GN152" i="8"/>
  <c r="GO152" i="8"/>
  <c r="GP152" i="8"/>
  <c r="GQ152" i="8"/>
  <c r="GR152" i="8"/>
  <c r="GS152" i="8"/>
  <c r="GT152" i="8"/>
  <c r="GU152" i="8"/>
  <c r="GV152" i="8"/>
  <c r="GW152" i="8"/>
  <c r="GX152" i="8"/>
  <c r="GY152" i="8"/>
  <c r="GZ152" i="8"/>
  <c r="HA152" i="8"/>
  <c r="HB152" i="8"/>
  <c r="HC152" i="8"/>
  <c r="HD152" i="8"/>
  <c r="HE152" i="8"/>
  <c r="HF152" i="8"/>
  <c r="HG152" i="8"/>
  <c r="HH152" i="8"/>
  <c r="HI152" i="8"/>
  <c r="HJ152" i="8"/>
  <c r="HK152" i="8"/>
  <c r="HL152" i="8"/>
  <c r="HM152" i="8"/>
  <c r="HN152" i="8"/>
  <c r="HO152" i="8"/>
  <c r="HP152" i="8"/>
  <c r="HQ152" i="8"/>
  <c r="HR152" i="8"/>
  <c r="HS152" i="8"/>
  <c r="HT152" i="8"/>
  <c r="HU152" i="8"/>
  <c r="HV152" i="8"/>
  <c r="HW152" i="8"/>
  <c r="HX152" i="8"/>
  <c r="HY152" i="8"/>
  <c r="HZ152" i="8"/>
  <c r="IA152" i="8"/>
  <c r="IB152" i="8"/>
  <c r="IC152" i="8"/>
  <c r="ID152" i="8"/>
  <c r="IE152" i="8"/>
  <c r="IF152" i="8"/>
  <c r="IG152" i="8"/>
  <c r="IH152" i="8"/>
  <c r="II152" i="8"/>
  <c r="IJ152" i="8"/>
  <c r="IK152" i="8"/>
  <c r="IL152" i="8"/>
  <c r="IM152" i="8"/>
  <c r="IN152" i="8"/>
  <c r="IO152" i="8"/>
  <c r="IP152" i="8"/>
  <c r="IQ152" i="8"/>
  <c r="IR152" i="8"/>
  <c r="IS152" i="8"/>
  <c r="IT152" i="8"/>
  <c r="IU152" i="8"/>
  <c r="IV152" i="8"/>
  <c r="F153" i="8"/>
  <c r="G153" i="8"/>
  <c r="H153" i="8"/>
  <c r="I153" i="8"/>
  <c r="J153" i="8"/>
  <c r="K153" i="8"/>
  <c r="L153" i="8"/>
  <c r="M153" i="8"/>
  <c r="N153" i="8"/>
  <c r="O153" i="8"/>
  <c r="P153" i="8"/>
  <c r="Q153" i="8"/>
  <c r="R153" i="8"/>
  <c r="S153" i="8"/>
  <c r="T153" i="8"/>
  <c r="U153" i="8"/>
  <c r="V153" i="8"/>
  <c r="W153" i="8"/>
  <c r="X153" i="8"/>
  <c r="Y153" i="8"/>
  <c r="Z153" i="8"/>
  <c r="AA153" i="8"/>
  <c r="AB153" i="8"/>
  <c r="AC153" i="8"/>
  <c r="AD153" i="8"/>
  <c r="AE153" i="8"/>
  <c r="AF153" i="8"/>
  <c r="AG153" i="8"/>
  <c r="AH153" i="8"/>
  <c r="AI153" i="8"/>
  <c r="AJ153" i="8"/>
  <c r="AK153" i="8"/>
  <c r="AL153" i="8"/>
  <c r="AM153" i="8"/>
  <c r="AN153" i="8"/>
  <c r="AO153" i="8"/>
  <c r="AP153" i="8"/>
  <c r="AQ153" i="8"/>
  <c r="AR153" i="8"/>
  <c r="AS153" i="8"/>
  <c r="AT153" i="8"/>
  <c r="AU153" i="8"/>
  <c r="AV153" i="8"/>
  <c r="AW153" i="8"/>
  <c r="AX153" i="8"/>
  <c r="AY153" i="8"/>
  <c r="AZ153" i="8"/>
  <c r="BA153" i="8"/>
  <c r="BB153" i="8"/>
  <c r="BC153" i="8"/>
  <c r="BD153" i="8"/>
  <c r="BE153" i="8"/>
  <c r="BF153" i="8"/>
  <c r="BG153" i="8"/>
  <c r="BH153" i="8"/>
  <c r="BI153" i="8"/>
  <c r="BJ153" i="8"/>
  <c r="BK153" i="8"/>
  <c r="BL153" i="8"/>
  <c r="BM153" i="8"/>
  <c r="BN153" i="8"/>
  <c r="BO153" i="8"/>
  <c r="BP153" i="8"/>
  <c r="BQ153" i="8"/>
  <c r="BR153" i="8"/>
  <c r="BS153" i="8"/>
  <c r="BT153" i="8"/>
  <c r="BU153" i="8"/>
  <c r="BV153" i="8"/>
  <c r="BW153" i="8"/>
  <c r="BX153" i="8"/>
  <c r="BY153" i="8"/>
  <c r="BZ153" i="8"/>
  <c r="CA153" i="8"/>
  <c r="CB153" i="8"/>
  <c r="CC153" i="8"/>
  <c r="CD153" i="8"/>
  <c r="CE153" i="8"/>
  <c r="CF153" i="8"/>
  <c r="CG153" i="8"/>
  <c r="CH153" i="8"/>
  <c r="CI153" i="8"/>
  <c r="CJ153" i="8"/>
  <c r="CK153" i="8"/>
  <c r="CL153" i="8"/>
  <c r="CM153" i="8"/>
  <c r="CN153" i="8"/>
  <c r="CO153" i="8"/>
  <c r="CP153" i="8"/>
  <c r="CQ153" i="8"/>
  <c r="CR153" i="8"/>
  <c r="CS153" i="8"/>
  <c r="CT153" i="8"/>
  <c r="CU153" i="8"/>
  <c r="CV153" i="8"/>
  <c r="CW153" i="8"/>
  <c r="CX153" i="8"/>
  <c r="CY153" i="8"/>
  <c r="CZ153" i="8"/>
  <c r="DA153" i="8"/>
  <c r="DB153" i="8"/>
  <c r="DC153" i="8"/>
  <c r="DD153" i="8"/>
  <c r="DE153" i="8"/>
  <c r="DF153" i="8"/>
  <c r="DG153" i="8"/>
  <c r="DH153" i="8"/>
  <c r="DI153" i="8"/>
  <c r="DJ153" i="8"/>
  <c r="DK153" i="8"/>
  <c r="DL153" i="8"/>
  <c r="DM153" i="8"/>
  <c r="DN153" i="8"/>
  <c r="DO153" i="8"/>
  <c r="DP153" i="8"/>
  <c r="DQ153" i="8"/>
  <c r="DR153" i="8"/>
  <c r="DS153" i="8"/>
  <c r="DT153" i="8"/>
  <c r="DU153" i="8"/>
  <c r="DV153" i="8"/>
  <c r="DW153" i="8"/>
  <c r="DX153" i="8"/>
  <c r="DY153" i="8"/>
  <c r="DZ153" i="8"/>
  <c r="EA153" i="8"/>
  <c r="EB153" i="8"/>
  <c r="EC153" i="8"/>
  <c r="ED153" i="8"/>
  <c r="EE153" i="8"/>
  <c r="EF153" i="8"/>
  <c r="EG153" i="8"/>
  <c r="EH153" i="8"/>
  <c r="EI153" i="8"/>
  <c r="EJ153" i="8"/>
  <c r="EK153" i="8"/>
  <c r="EL153" i="8"/>
  <c r="EM153" i="8"/>
  <c r="EN153" i="8"/>
  <c r="EO153" i="8"/>
  <c r="EP153" i="8"/>
  <c r="EQ153" i="8"/>
  <c r="ER153" i="8"/>
  <c r="ES153" i="8"/>
  <c r="ET153" i="8"/>
  <c r="EU153" i="8"/>
  <c r="EV153" i="8"/>
  <c r="EW153" i="8"/>
  <c r="EX153" i="8"/>
  <c r="EY153" i="8"/>
  <c r="EZ153" i="8"/>
  <c r="FA153" i="8"/>
  <c r="FB153" i="8"/>
  <c r="FC153" i="8"/>
  <c r="FD153" i="8"/>
  <c r="FE153" i="8"/>
  <c r="FF153" i="8"/>
  <c r="FG153" i="8"/>
  <c r="FH153" i="8"/>
  <c r="FI153" i="8"/>
  <c r="FJ153" i="8"/>
  <c r="FK153" i="8"/>
  <c r="FL153" i="8"/>
  <c r="FM153" i="8"/>
  <c r="FN153" i="8"/>
  <c r="FO153" i="8"/>
  <c r="FP153" i="8"/>
  <c r="FQ153" i="8"/>
  <c r="FR153" i="8"/>
  <c r="FS153" i="8"/>
  <c r="FT153" i="8"/>
  <c r="FU153" i="8"/>
  <c r="FV153" i="8"/>
  <c r="FW153" i="8"/>
  <c r="FX153" i="8"/>
  <c r="FY153" i="8"/>
  <c r="FZ153" i="8"/>
  <c r="GA153" i="8"/>
  <c r="GB153" i="8"/>
  <c r="GC153" i="8"/>
  <c r="GD153" i="8"/>
  <c r="GE153" i="8"/>
  <c r="GF153" i="8"/>
  <c r="GG153" i="8"/>
  <c r="GH153" i="8"/>
  <c r="GI153" i="8"/>
  <c r="GJ153" i="8"/>
  <c r="GK153" i="8"/>
  <c r="GL153" i="8"/>
  <c r="GM153" i="8"/>
  <c r="GN153" i="8"/>
  <c r="GO153" i="8"/>
  <c r="GP153" i="8"/>
  <c r="GQ153" i="8"/>
  <c r="GR153" i="8"/>
  <c r="GS153" i="8"/>
  <c r="GT153" i="8"/>
  <c r="GU153" i="8"/>
  <c r="GV153" i="8"/>
  <c r="GW153" i="8"/>
  <c r="GX153" i="8"/>
  <c r="GY153" i="8"/>
  <c r="GZ153" i="8"/>
  <c r="HA153" i="8"/>
  <c r="HB153" i="8"/>
  <c r="HC153" i="8"/>
  <c r="HD153" i="8"/>
  <c r="HE153" i="8"/>
  <c r="HF153" i="8"/>
  <c r="HG153" i="8"/>
  <c r="HH153" i="8"/>
  <c r="HI153" i="8"/>
  <c r="HJ153" i="8"/>
  <c r="HK153" i="8"/>
  <c r="HL153" i="8"/>
  <c r="HM153" i="8"/>
  <c r="HN153" i="8"/>
  <c r="HO153" i="8"/>
  <c r="HP153" i="8"/>
  <c r="HQ153" i="8"/>
  <c r="HR153" i="8"/>
  <c r="HS153" i="8"/>
  <c r="HT153" i="8"/>
  <c r="HU153" i="8"/>
  <c r="HV153" i="8"/>
  <c r="HW153" i="8"/>
  <c r="HX153" i="8"/>
  <c r="HY153" i="8"/>
  <c r="HZ153" i="8"/>
  <c r="IA153" i="8"/>
  <c r="IB153" i="8"/>
  <c r="IC153" i="8"/>
  <c r="ID153" i="8"/>
  <c r="IE153" i="8"/>
  <c r="IF153" i="8"/>
  <c r="IG153" i="8"/>
  <c r="IH153" i="8"/>
  <c r="II153" i="8"/>
  <c r="IJ153" i="8"/>
  <c r="IK153" i="8"/>
  <c r="IL153" i="8"/>
  <c r="IM153" i="8"/>
  <c r="IN153" i="8"/>
  <c r="IO153" i="8"/>
  <c r="IP153" i="8"/>
  <c r="IQ153" i="8"/>
  <c r="IR153" i="8"/>
  <c r="IS153" i="8"/>
  <c r="IT153" i="8"/>
  <c r="IU153" i="8"/>
  <c r="IV153" i="8"/>
  <c r="F154" i="8"/>
  <c r="G154" i="8"/>
  <c r="H154" i="8"/>
  <c r="I154" i="8"/>
  <c r="J154" i="8"/>
  <c r="K154" i="8"/>
  <c r="L154" i="8"/>
  <c r="M154" i="8"/>
  <c r="N154" i="8"/>
  <c r="O154" i="8"/>
  <c r="P154" i="8"/>
  <c r="Q154" i="8"/>
  <c r="R154" i="8"/>
  <c r="S154" i="8"/>
  <c r="T154" i="8"/>
  <c r="U154" i="8"/>
  <c r="V154" i="8"/>
  <c r="W154" i="8"/>
  <c r="X154" i="8"/>
  <c r="Y154" i="8"/>
  <c r="Z154" i="8"/>
  <c r="AA154" i="8"/>
  <c r="AB154" i="8"/>
  <c r="AC154" i="8"/>
  <c r="AD154" i="8"/>
  <c r="AE154" i="8"/>
  <c r="AF154" i="8"/>
  <c r="AG154" i="8"/>
  <c r="AH154" i="8"/>
  <c r="AI154" i="8"/>
  <c r="AJ154" i="8"/>
  <c r="AK154" i="8"/>
  <c r="AL154" i="8"/>
  <c r="AM154" i="8"/>
  <c r="AN154" i="8"/>
  <c r="AO154" i="8"/>
  <c r="AP154" i="8"/>
  <c r="AQ154" i="8"/>
  <c r="AR154" i="8"/>
  <c r="AS154" i="8"/>
  <c r="AT154" i="8"/>
  <c r="AU154" i="8"/>
  <c r="AV154" i="8"/>
  <c r="AW154" i="8"/>
  <c r="AX154" i="8"/>
  <c r="AY154" i="8"/>
  <c r="AZ154" i="8"/>
  <c r="BA154" i="8"/>
  <c r="BB154" i="8"/>
  <c r="BC154" i="8"/>
  <c r="BD154" i="8"/>
  <c r="BE154" i="8"/>
  <c r="BF154" i="8"/>
  <c r="BG154" i="8"/>
  <c r="BH154" i="8"/>
  <c r="BI154" i="8"/>
  <c r="BJ154" i="8"/>
  <c r="BK154" i="8"/>
  <c r="BL154" i="8"/>
  <c r="BM154" i="8"/>
  <c r="BN154" i="8"/>
  <c r="BO154" i="8"/>
  <c r="BP154" i="8"/>
  <c r="BQ154" i="8"/>
  <c r="BR154" i="8"/>
  <c r="BS154" i="8"/>
  <c r="BT154" i="8"/>
  <c r="BU154" i="8"/>
  <c r="BV154" i="8"/>
  <c r="BW154" i="8"/>
  <c r="BX154" i="8"/>
  <c r="BY154" i="8"/>
  <c r="BZ154" i="8"/>
  <c r="CA154" i="8"/>
  <c r="CB154" i="8"/>
  <c r="CC154" i="8"/>
  <c r="CD154" i="8"/>
  <c r="CE154" i="8"/>
  <c r="CF154" i="8"/>
  <c r="CG154" i="8"/>
  <c r="CH154" i="8"/>
  <c r="CI154" i="8"/>
  <c r="CJ154" i="8"/>
  <c r="CK154" i="8"/>
  <c r="CL154" i="8"/>
  <c r="CM154" i="8"/>
  <c r="CN154" i="8"/>
  <c r="CO154" i="8"/>
  <c r="CP154" i="8"/>
  <c r="CQ154" i="8"/>
  <c r="CR154" i="8"/>
  <c r="CS154" i="8"/>
  <c r="CT154" i="8"/>
  <c r="CU154" i="8"/>
  <c r="CV154" i="8"/>
  <c r="CW154" i="8"/>
  <c r="CX154" i="8"/>
  <c r="CY154" i="8"/>
  <c r="CZ154" i="8"/>
  <c r="DA154" i="8"/>
  <c r="DB154" i="8"/>
  <c r="DC154" i="8"/>
  <c r="DD154" i="8"/>
  <c r="DE154" i="8"/>
  <c r="DF154" i="8"/>
  <c r="DG154" i="8"/>
  <c r="DH154" i="8"/>
  <c r="DI154" i="8"/>
  <c r="DJ154" i="8"/>
  <c r="DK154" i="8"/>
  <c r="DL154" i="8"/>
  <c r="DM154" i="8"/>
  <c r="DN154" i="8"/>
  <c r="DO154" i="8"/>
  <c r="DP154" i="8"/>
  <c r="DQ154" i="8"/>
  <c r="DR154" i="8"/>
  <c r="DS154" i="8"/>
  <c r="DT154" i="8"/>
  <c r="DU154" i="8"/>
  <c r="DV154" i="8"/>
  <c r="DW154" i="8"/>
  <c r="DX154" i="8"/>
  <c r="DY154" i="8"/>
  <c r="DZ154" i="8"/>
  <c r="EA154" i="8"/>
  <c r="EB154" i="8"/>
  <c r="EC154" i="8"/>
  <c r="ED154" i="8"/>
  <c r="EE154" i="8"/>
  <c r="EF154" i="8"/>
  <c r="EG154" i="8"/>
  <c r="EH154" i="8"/>
  <c r="EI154" i="8"/>
  <c r="EJ154" i="8"/>
  <c r="EK154" i="8"/>
  <c r="EL154" i="8"/>
  <c r="EM154" i="8"/>
  <c r="EN154" i="8"/>
  <c r="EO154" i="8"/>
  <c r="EP154" i="8"/>
  <c r="EQ154" i="8"/>
  <c r="ER154" i="8"/>
  <c r="ES154" i="8"/>
  <c r="ET154" i="8"/>
  <c r="EU154" i="8"/>
  <c r="EV154" i="8"/>
  <c r="EW154" i="8"/>
  <c r="EX154" i="8"/>
  <c r="EY154" i="8"/>
  <c r="EZ154" i="8"/>
  <c r="FA154" i="8"/>
  <c r="FB154" i="8"/>
  <c r="FC154" i="8"/>
  <c r="FD154" i="8"/>
  <c r="FE154" i="8"/>
  <c r="FF154" i="8"/>
  <c r="FG154" i="8"/>
  <c r="FH154" i="8"/>
  <c r="FI154" i="8"/>
  <c r="FJ154" i="8"/>
  <c r="FK154" i="8"/>
  <c r="FL154" i="8"/>
  <c r="FM154" i="8"/>
  <c r="FN154" i="8"/>
  <c r="FO154" i="8"/>
  <c r="FP154" i="8"/>
  <c r="FQ154" i="8"/>
  <c r="FR154" i="8"/>
  <c r="FS154" i="8"/>
  <c r="FT154" i="8"/>
  <c r="FU154" i="8"/>
  <c r="FV154" i="8"/>
  <c r="FW154" i="8"/>
  <c r="FX154" i="8"/>
  <c r="FY154" i="8"/>
  <c r="FZ154" i="8"/>
  <c r="GA154" i="8"/>
  <c r="GB154" i="8"/>
  <c r="GC154" i="8"/>
  <c r="GD154" i="8"/>
  <c r="GE154" i="8"/>
  <c r="GF154" i="8"/>
  <c r="GG154" i="8"/>
  <c r="GH154" i="8"/>
  <c r="GI154" i="8"/>
  <c r="GJ154" i="8"/>
  <c r="GK154" i="8"/>
  <c r="GL154" i="8"/>
  <c r="GM154" i="8"/>
  <c r="GN154" i="8"/>
  <c r="GO154" i="8"/>
  <c r="GP154" i="8"/>
  <c r="GQ154" i="8"/>
  <c r="GR154" i="8"/>
  <c r="GS154" i="8"/>
  <c r="GT154" i="8"/>
  <c r="GU154" i="8"/>
  <c r="GV154" i="8"/>
  <c r="GW154" i="8"/>
  <c r="GX154" i="8"/>
  <c r="GY154" i="8"/>
  <c r="GZ154" i="8"/>
  <c r="HA154" i="8"/>
  <c r="HB154" i="8"/>
  <c r="HC154" i="8"/>
  <c r="HD154" i="8"/>
  <c r="HE154" i="8"/>
  <c r="HF154" i="8"/>
  <c r="HG154" i="8"/>
  <c r="HH154" i="8"/>
  <c r="HI154" i="8"/>
  <c r="HJ154" i="8"/>
  <c r="HK154" i="8"/>
  <c r="HL154" i="8"/>
  <c r="HM154" i="8"/>
  <c r="HN154" i="8"/>
  <c r="HO154" i="8"/>
  <c r="HP154" i="8"/>
  <c r="HQ154" i="8"/>
  <c r="HR154" i="8"/>
  <c r="HS154" i="8"/>
  <c r="HT154" i="8"/>
  <c r="HU154" i="8"/>
  <c r="HV154" i="8"/>
  <c r="HW154" i="8"/>
  <c r="HX154" i="8"/>
  <c r="HY154" i="8"/>
  <c r="HZ154" i="8"/>
  <c r="IA154" i="8"/>
  <c r="IB154" i="8"/>
  <c r="IC154" i="8"/>
  <c r="ID154" i="8"/>
  <c r="IE154" i="8"/>
  <c r="IF154" i="8"/>
  <c r="IG154" i="8"/>
  <c r="IH154" i="8"/>
  <c r="II154" i="8"/>
  <c r="IJ154" i="8"/>
  <c r="IK154" i="8"/>
  <c r="IL154" i="8"/>
  <c r="IM154" i="8"/>
  <c r="IN154" i="8"/>
  <c r="IO154" i="8"/>
  <c r="IP154" i="8"/>
  <c r="IQ154" i="8"/>
  <c r="IR154" i="8"/>
  <c r="IS154" i="8"/>
  <c r="IT154" i="8"/>
  <c r="IU154" i="8"/>
  <c r="IV154" i="8"/>
  <c r="F155" i="8"/>
  <c r="G155" i="8"/>
  <c r="H155" i="8"/>
  <c r="I155" i="8"/>
  <c r="J155" i="8"/>
  <c r="K155" i="8"/>
  <c r="L155" i="8"/>
  <c r="M155" i="8"/>
  <c r="N155" i="8"/>
  <c r="O155" i="8"/>
  <c r="P155" i="8"/>
  <c r="Q155" i="8"/>
  <c r="R155" i="8"/>
  <c r="S155" i="8"/>
  <c r="T155" i="8"/>
  <c r="U155" i="8"/>
  <c r="V155" i="8"/>
  <c r="W155" i="8"/>
  <c r="X155" i="8"/>
  <c r="Y155" i="8"/>
  <c r="Z155" i="8"/>
  <c r="AA155" i="8"/>
  <c r="AB155" i="8"/>
  <c r="AC155" i="8"/>
  <c r="AD155" i="8"/>
  <c r="AE155" i="8"/>
  <c r="AF155" i="8"/>
  <c r="AG155" i="8"/>
  <c r="AH155" i="8"/>
  <c r="AI155" i="8"/>
  <c r="AJ155" i="8"/>
  <c r="AK155" i="8"/>
  <c r="AL155" i="8"/>
  <c r="AM155" i="8"/>
  <c r="AN155" i="8"/>
  <c r="AO155" i="8"/>
  <c r="AP155" i="8"/>
  <c r="AQ155" i="8"/>
  <c r="AR155" i="8"/>
  <c r="AS155" i="8"/>
  <c r="AT155" i="8"/>
  <c r="AU155" i="8"/>
  <c r="AV155" i="8"/>
  <c r="AW155" i="8"/>
  <c r="AX155" i="8"/>
  <c r="AY155" i="8"/>
  <c r="AZ155" i="8"/>
  <c r="BA155" i="8"/>
  <c r="BB155" i="8"/>
  <c r="BC155" i="8"/>
  <c r="BD155" i="8"/>
  <c r="BE155" i="8"/>
  <c r="BF155" i="8"/>
  <c r="BG155" i="8"/>
  <c r="BH155" i="8"/>
  <c r="BI155" i="8"/>
  <c r="BJ155" i="8"/>
  <c r="BK155" i="8"/>
  <c r="BL155" i="8"/>
  <c r="BM155" i="8"/>
  <c r="BN155" i="8"/>
  <c r="BO155" i="8"/>
  <c r="BP155" i="8"/>
  <c r="BQ155" i="8"/>
  <c r="BR155" i="8"/>
  <c r="BS155" i="8"/>
  <c r="BT155" i="8"/>
  <c r="BU155" i="8"/>
  <c r="BV155" i="8"/>
  <c r="BW155" i="8"/>
  <c r="BX155" i="8"/>
  <c r="BY155" i="8"/>
  <c r="BZ155" i="8"/>
  <c r="CA155" i="8"/>
  <c r="CB155" i="8"/>
  <c r="CC155" i="8"/>
  <c r="CD155" i="8"/>
  <c r="CE155" i="8"/>
  <c r="CF155" i="8"/>
  <c r="CG155" i="8"/>
  <c r="CH155" i="8"/>
  <c r="CI155" i="8"/>
  <c r="CJ155" i="8"/>
  <c r="CK155" i="8"/>
  <c r="CL155" i="8"/>
  <c r="CM155" i="8"/>
  <c r="CN155" i="8"/>
  <c r="CO155" i="8"/>
  <c r="CP155" i="8"/>
  <c r="CQ155" i="8"/>
  <c r="CR155" i="8"/>
  <c r="CS155" i="8"/>
  <c r="CT155" i="8"/>
  <c r="CU155" i="8"/>
  <c r="CV155" i="8"/>
  <c r="CW155" i="8"/>
  <c r="CX155" i="8"/>
  <c r="CY155" i="8"/>
  <c r="CZ155" i="8"/>
  <c r="DA155" i="8"/>
  <c r="DB155" i="8"/>
  <c r="DC155" i="8"/>
  <c r="DD155" i="8"/>
  <c r="DE155" i="8"/>
  <c r="DF155" i="8"/>
  <c r="DG155" i="8"/>
  <c r="DH155" i="8"/>
  <c r="DI155" i="8"/>
  <c r="DJ155" i="8"/>
  <c r="DK155" i="8"/>
  <c r="DL155" i="8"/>
  <c r="DM155" i="8"/>
  <c r="DN155" i="8"/>
  <c r="DO155" i="8"/>
  <c r="DP155" i="8"/>
  <c r="DQ155" i="8"/>
  <c r="DR155" i="8"/>
  <c r="DS155" i="8"/>
  <c r="DT155" i="8"/>
  <c r="DU155" i="8"/>
  <c r="DV155" i="8"/>
  <c r="DW155" i="8"/>
  <c r="DX155" i="8"/>
  <c r="DY155" i="8"/>
  <c r="DZ155" i="8"/>
  <c r="EA155" i="8"/>
  <c r="EB155" i="8"/>
  <c r="EC155" i="8"/>
  <c r="ED155" i="8"/>
  <c r="EE155" i="8"/>
  <c r="EF155" i="8"/>
  <c r="EG155" i="8"/>
  <c r="EH155" i="8"/>
  <c r="EI155" i="8"/>
  <c r="EJ155" i="8"/>
  <c r="EK155" i="8"/>
  <c r="EL155" i="8"/>
  <c r="EM155" i="8"/>
  <c r="EN155" i="8"/>
  <c r="EO155" i="8"/>
  <c r="EP155" i="8"/>
  <c r="EQ155" i="8"/>
  <c r="ER155" i="8"/>
  <c r="ES155" i="8"/>
  <c r="ET155" i="8"/>
  <c r="EU155" i="8"/>
  <c r="EV155" i="8"/>
  <c r="EW155" i="8"/>
  <c r="EX155" i="8"/>
  <c r="EY155" i="8"/>
  <c r="EZ155" i="8"/>
  <c r="FA155" i="8"/>
  <c r="FB155" i="8"/>
  <c r="FC155" i="8"/>
  <c r="FD155" i="8"/>
  <c r="FE155" i="8"/>
  <c r="FF155" i="8"/>
  <c r="FG155" i="8"/>
  <c r="FH155" i="8"/>
  <c r="FI155" i="8"/>
  <c r="FJ155" i="8"/>
  <c r="FK155" i="8"/>
  <c r="FL155" i="8"/>
  <c r="FM155" i="8"/>
  <c r="FN155" i="8"/>
  <c r="FO155" i="8"/>
  <c r="FP155" i="8"/>
  <c r="FQ155" i="8"/>
  <c r="FR155" i="8"/>
  <c r="FS155" i="8"/>
  <c r="FT155" i="8"/>
  <c r="FU155" i="8"/>
  <c r="FV155" i="8"/>
  <c r="FW155" i="8"/>
  <c r="FX155" i="8"/>
  <c r="FY155" i="8"/>
  <c r="FZ155" i="8"/>
  <c r="GA155" i="8"/>
  <c r="GB155" i="8"/>
  <c r="GC155" i="8"/>
  <c r="GD155" i="8"/>
  <c r="GE155" i="8"/>
  <c r="GF155" i="8"/>
  <c r="GG155" i="8"/>
  <c r="GH155" i="8"/>
  <c r="GI155" i="8"/>
  <c r="GJ155" i="8"/>
  <c r="GK155" i="8"/>
  <c r="GL155" i="8"/>
  <c r="GM155" i="8"/>
  <c r="GN155" i="8"/>
  <c r="GO155" i="8"/>
  <c r="GP155" i="8"/>
  <c r="GQ155" i="8"/>
  <c r="GR155" i="8"/>
  <c r="GS155" i="8"/>
  <c r="GT155" i="8"/>
  <c r="GU155" i="8"/>
  <c r="GV155" i="8"/>
  <c r="GW155" i="8"/>
  <c r="GX155" i="8"/>
  <c r="GY155" i="8"/>
  <c r="GZ155" i="8"/>
  <c r="HA155" i="8"/>
  <c r="HB155" i="8"/>
  <c r="HC155" i="8"/>
  <c r="HD155" i="8"/>
  <c r="HE155" i="8"/>
  <c r="HF155" i="8"/>
  <c r="HG155" i="8"/>
  <c r="HH155" i="8"/>
  <c r="HI155" i="8"/>
  <c r="HJ155" i="8"/>
  <c r="HK155" i="8"/>
  <c r="HL155" i="8"/>
  <c r="HM155" i="8"/>
  <c r="HN155" i="8"/>
  <c r="HO155" i="8"/>
  <c r="HP155" i="8"/>
  <c r="HQ155" i="8"/>
  <c r="HR155" i="8"/>
  <c r="HS155" i="8"/>
  <c r="HT155" i="8"/>
  <c r="HU155" i="8"/>
  <c r="HV155" i="8"/>
  <c r="HW155" i="8"/>
  <c r="HX155" i="8"/>
  <c r="HY155" i="8"/>
  <c r="HZ155" i="8"/>
  <c r="IA155" i="8"/>
  <c r="IB155" i="8"/>
  <c r="IC155" i="8"/>
  <c r="ID155" i="8"/>
  <c r="IE155" i="8"/>
  <c r="IF155" i="8"/>
  <c r="IG155" i="8"/>
  <c r="IH155" i="8"/>
  <c r="II155" i="8"/>
  <c r="IJ155" i="8"/>
  <c r="IK155" i="8"/>
  <c r="IL155" i="8"/>
  <c r="IM155" i="8"/>
  <c r="IN155" i="8"/>
  <c r="IO155" i="8"/>
  <c r="IP155" i="8"/>
  <c r="IQ155" i="8"/>
  <c r="IR155" i="8"/>
  <c r="IS155" i="8"/>
  <c r="IT155" i="8"/>
  <c r="IU155" i="8"/>
  <c r="IV155" i="8"/>
  <c r="F156" i="8"/>
  <c r="G156" i="8"/>
  <c r="H156" i="8"/>
  <c r="I156" i="8"/>
  <c r="J156" i="8"/>
  <c r="K156" i="8"/>
  <c r="L156" i="8"/>
  <c r="M156" i="8"/>
  <c r="N156" i="8"/>
  <c r="O156" i="8"/>
  <c r="P156" i="8"/>
  <c r="Q156" i="8"/>
  <c r="R156" i="8"/>
  <c r="S156" i="8"/>
  <c r="T156" i="8"/>
  <c r="U156" i="8"/>
  <c r="V156" i="8"/>
  <c r="W156" i="8"/>
  <c r="X156" i="8"/>
  <c r="Y156" i="8"/>
  <c r="Z156" i="8"/>
  <c r="AA156" i="8"/>
  <c r="AB156" i="8"/>
  <c r="AC156" i="8"/>
  <c r="AD156" i="8"/>
  <c r="AE156" i="8"/>
  <c r="AF156" i="8"/>
  <c r="AG156" i="8"/>
  <c r="AH156" i="8"/>
  <c r="AI156" i="8"/>
  <c r="AJ156" i="8"/>
  <c r="AK156" i="8"/>
  <c r="AL156" i="8"/>
  <c r="AM156" i="8"/>
  <c r="AN156" i="8"/>
  <c r="AO156" i="8"/>
  <c r="AP156" i="8"/>
  <c r="AQ156" i="8"/>
  <c r="AR156" i="8"/>
  <c r="AS156" i="8"/>
  <c r="AT156" i="8"/>
  <c r="AU156" i="8"/>
  <c r="AV156" i="8"/>
  <c r="AW156" i="8"/>
  <c r="AX156" i="8"/>
  <c r="AY156" i="8"/>
  <c r="AZ156" i="8"/>
  <c r="BA156" i="8"/>
  <c r="BB156" i="8"/>
  <c r="BC156" i="8"/>
  <c r="BD156" i="8"/>
  <c r="BE156" i="8"/>
  <c r="BF156" i="8"/>
  <c r="BG156" i="8"/>
  <c r="BH156" i="8"/>
  <c r="BI156" i="8"/>
  <c r="BJ156" i="8"/>
  <c r="BK156" i="8"/>
  <c r="BL156" i="8"/>
  <c r="BM156" i="8"/>
  <c r="BN156" i="8"/>
  <c r="BO156" i="8"/>
  <c r="BP156" i="8"/>
  <c r="BQ156" i="8"/>
  <c r="BR156" i="8"/>
  <c r="BS156" i="8"/>
  <c r="BT156" i="8"/>
  <c r="BU156" i="8"/>
  <c r="BV156" i="8"/>
  <c r="BW156" i="8"/>
  <c r="BX156" i="8"/>
  <c r="BY156" i="8"/>
  <c r="BZ156" i="8"/>
  <c r="CA156" i="8"/>
  <c r="CB156" i="8"/>
  <c r="CC156" i="8"/>
  <c r="CD156" i="8"/>
  <c r="CE156" i="8"/>
  <c r="CF156" i="8"/>
  <c r="CG156" i="8"/>
  <c r="CH156" i="8"/>
  <c r="CI156" i="8"/>
  <c r="CJ156" i="8"/>
  <c r="CK156" i="8"/>
  <c r="CL156" i="8"/>
  <c r="CM156" i="8"/>
  <c r="CN156" i="8"/>
  <c r="CO156" i="8"/>
  <c r="CP156" i="8"/>
  <c r="CQ156" i="8"/>
  <c r="CR156" i="8"/>
  <c r="CS156" i="8"/>
  <c r="CT156" i="8"/>
  <c r="CU156" i="8"/>
  <c r="CV156" i="8"/>
  <c r="CW156" i="8"/>
  <c r="CX156" i="8"/>
  <c r="CY156" i="8"/>
  <c r="CZ156" i="8"/>
  <c r="DA156" i="8"/>
  <c r="DB156" i="8"/>
  <c r="DC156" i="8"/>
  <c r="DD156" i="8"/>
  <c r="DE156" i="8"/>
  <c r="DF156" i="8"/>
  <c r="DG156" i="8"/>
  <c r="DH156" i="8"/>
  <c r="DI156" i="8"/>
  <c r="DJ156" i="8"/>
  <c r="DK156" i="8"/>
  <c r="DL156" i="8"/>
  <c r="DM156" i="8"/>
  <c r="DN156" i="8"/>
  <c r="DO156" i="8"/>
  <c r="DP156" i="8"/>
  <c r="DQ156" i="8"/>
  <c r="DR156" i="8"/>
  <c r="DS156" i="8"/>
  <c r="DT156" i="8"/>
  <c r="DU156" i="8"/>
  <c r="DV156" i="8"/>
  <c r="DW156" i="8"/>
  <c r="DX156" i="8"/>
  <c r="DY156" i="8"/>
  <c r="DZ156" i="8"/>
  <c r="EA156" i="8"/>
  <c r="EB156" i="8"/>
  <c r="EC156" i="8"/>
  <c r="ED156" i="8"/>
  <c r="EE156" i="8"/>
  <c r="EF156" i="8"/>
  <c r="EG156" i="8"/>
  <c r="EH156" i="8"/>
  <c r="EI156" i="8"/>
  <c r="EJ156" i="8"/>
  <c r="EK156" i="8"/>
  <c r="EL156" i="8"/>
  <c r="EM156" i="8"/>
  <c r="EN156" i="8"/>
  <c r="EO156" i="8"/>
  <c r="EP156" i="8"/>
  <c r="EQ156" i="8"/>
  <c r="ER156" i="8"/>
  <c r="ES156" i="8"/>
  <c r="ET156" i="8"/>
  <c r="EU156" i="8"/>
  <c r="EV156" i="8"/>
  <c r="EW156" i="8"/>
  <c r="EX156" i="8"/>
  <c r="EY156" i="8"/>
  <c r="EZ156" i="8"/>
  <c r="FA156" i="8"/>
  <c r="FB156" i="8"/>
  <c r="FC156" i="8"/>
  <c r="FD156" i="8"/>
  <c r="FE156" i="8"/>
  <c r="FF156" i="8"/>
  <c r="FG156" i="8"/>
  <c r="FH156" i="8"/>
  <c r="FI156" i="8"/>
  <c r="FJ156" i="8"/>
  <c r="FK156" i="8"/>
  <c r="FL156" i="8"/>
  <c r="FM156" i="8"/>
  <c r="FN156" i="8"/>
  <c r="FO156" i="8"/>
  <c r="FP156" i="8"/>
  <c r="FQ156" i="8"/>
  <c r="FR156" i="8"/>
  <c r="FS156" i="8"/>
  <c r="FT156" i="8"/>
  <c r="FU156" i="8"/>
  <c r="FV156" i="8"/>
  <c r="FW156" i="8"/>
  <c r="FX156" i="8"/>
  <c r="FY156" i="8"/>
  <c r="FZ156" i="8"/>
  <c r="GA156" i="8"/>
  <c r="GB156" i="8"/>
  <c r="GC156" i="8"/>
  <c r="GD156" i="8"/>
  <c r="GE156" i="8"/>
  <c r="GF156" i="8"/>
  <c r="GG156" i="8"/>
  <c r="GH156" i="8"/>
  <c r="GI156" i="8"/>
  <c r="GJ156" i="8"/>
  <c r="GK156" i="8"/>
  <c r="GL156" i="8"/>
  <c r="GM156" i="8"/>
  <c r="GN156" i="8"/>
  <c r="GO156" i="8"/>
  <c r="GP156" i="8"/>
  <c r="GQ156" i="8"/>
  <c r="GR156" i="8"/>
  <c r="GS156" i="8"/>
  <c r="GT156" i="8"/>
  <c r="GU156" i="8"/>
  <c r="GV156" i="8"/>
  <c r="GW156" i="8"/>
  <c r="GX156" i="8"/>
  <c r="GY156" i="8"/>
  <c r="GZ156" i="8"/>
  <c r="HA156" i="8"/>
  <c r="HB156" i="8"/>
  <c r="HC156" i="8"/>
  <c r="HD156" i="8"/>
  <c r="HE156" i="8"/>
  <c r="HF156" i="8"/>
  <c r="HG156" i="8"/>
  <c r="HH156" i="8"/>
  <c r="HI156" i="8"/>
  <c r="HJ156" i="8"/>
  <c r="HK156" i="8"/>
  <c r="HL156" i="8"/>
  <c r="HM156" i="8"/>
  <c r="HN156" i="8"/>
  <c r="HO156" i="8"/>
  <c r="HP156" i="8"/>
  <c r="HQ156" i="8"/>
  <c r="HR156" i="8"/>
  <c r="HS156" i="8"/>
  <c r="HT156" i="8"/>
  <c r="HU156" i="8"/>
  <c r="HV156" i="8"/>
  <c r="HW156" i="8"/>
  <c r="HX156" i="8"/>
  <c r="HY156" i="8"/>
  <c r="HZ156" i="8"/>
  <c r="IA156" i="8"/>
  <c r="IB156" i="8"/>
  <c r="IC156" i="8"/>
  <c r="ID156" i="8"/>
  <c r="IE156" i="8"/>
  <c r="IF156" i="8"/>
  <c r="IG156" i="8"/>
  <c r="IH156" i="8"/>
  <c r="II156" i="8"/>
  <c r="IJ156" i="8"/>
  <c r="IK156" i="8"/>
  <c r="IL156" i="8"/>
  <c r="IM156" i="8"/>
  <c r="IN156" i="8"/>
  <c r="IO156" i="8"/>
  <c r="IP156" i="8"/>
  <c r="IQ156" i="8"/>
  <c r="IR156" i="8"/>
  <c r="IS156" i="8"/>
  <c r="IT156" i="8"/>
  <c r="IU156" i="8"/>
  <c r="IV156" i="8"/>
  <c r="F157" i="8"/>
  <c r="G157" i="8"/>
  <c r="H157" i="8"/>
  <c r="I157" i="8"/>
  <c r="J157" i="8"/>
  <c r="K157" i="8"/>
  <c r="L157" i="8"/>
  <c r="M157" i="8"/>
  <c r="N157" i="8"/>
  <c r="O157" i="8"/>
  <c r="P157" i="8"/>
  <c r="Q157" i="8"/>
  <c r="R157" i="8"/>
  <c r="S157" i="8"/>
  <c r="T157" i="8"/>
  <c r="U157" i="8"/>
  <c r="V157" i="8"/>
  <c r="W157" i="8"/>
  <c r="X157" i="8"/>
  <c r="Y157" i="8"/>
  <c r="Z157" i="8"/>
  <c r="AA157" i="8"/>
  <c r="AB157" i="8"/>
  <c r="AC157" i="8"/>
  <c r="AD157" i="8"/>
  <c r="AE157" i="8"/>
  <c r="AF157" i="8"/>
  <c r="AG157" i="8"/>
  <c r="AH157" i="8"/>
  <c r="AI157" i="8"/>
  <c r="AJ157" i="8"/>
  <c r="AK157" i="8"/>
  <c r="AL157" i="8"/>
  <c r="AM157" i="8"/>
  <c r="AN157" i="8"/>
  <c r="AO157" i="8"/>
  <c r="AP157" i="8"/>
  <c r="AQ157" i="8"/>
  <c r="AR157" i="8"/>
  <c r="AS157" i="8"/>
  <c r="AT157" i="8"/>
  <c r="AU157" i="8"/>
  <c r="AV157" i="8"/>
  <c r="AW157" i="8"/>
  <c r="AX157" i="8"/>
  <c r="AY157" i="8"/>
  <c r="AZ157" i="8"/>
  <c r="BA157" i="8"/>
  <c r="BB157" i="8"/>
  <c r="BC157" i="8"/>
  <c r="BD157" i="8"/>
  <c r="BE157" i="8"/>
  <c r="BF157" i="8"/>
  <c r="BG157" i="8"/>
  <c r="BH157" i="8"/>
  <c r="BI157" i="8"/>
  <c r="BJ157" i="8"/>
  <c r="BK157" i="8"/>
  <c r="BL157" i="8"/>
  <c r="BM157" i="8"/>
  <c r="BN157" i="8"/>
  <c r="BO157" i="8"/>
  <c r="BP157" i="8"/>
  <c r="BQ157" i="8"/>
  <c r="BR157" i="8"/>
  <c r="BS157" i="8"/>
  <c r="BT157" i="8"/>
  <c r="BU157" i="8"/>
  <c r="BV157" i="8"/>
  <c r="BW157" i="8"/>
  <c r="BX157" i="8"/>
  <c r="BY157" i="8"/>
  <c r="BZ157" i="8"/>
  <c r="CA157" i="8"/>
  <c r="CB157" i="8"/>
  <c r="CC157" i="8"/>
  <c r="CD157" i="8"/>
  <c r="CE157" i="8"/>
  <c r="CF157" i="8"/>
  <c r="CG157" i="8"/>
  <c r="CH157" i="8"/>
  <c r="CI157" i="8"/>
  <c r="CJ157" i="8"/>
  <c r="CK157" i="8"/>
  <c r="CL157" i="8"/>
  <c r="CM157" i="8"/>
  <c r="CN157" i="8"/>
  <c r="CO157" i="8"/>
  <c r="CP157" i="8"/>
  <c r="CQ157" i="8"/>
  <c r="CR157" i="8"/>
  <c r="CS157" i="8"/>
  <c r="CT157" i="8"/>
  <c r="CU157" i="8"/>
  <c r="CV157" i="8"/>
  <c r="CW157" i="8"/>
  <c r="CX157" i="8"/>
  <c r="CY157" i="8"/>
  <c r="CZ157" i="8"/>
  <c r="DA157" i="8"/>
  <c r="DB157" i="8"/>
  <c r="DC157" i="8"/>
  <c r="DD157" i="8"/>
  <c r="DE157" i="8"/>
  <c r="DF157" i="8"/>
  <c r="DG157" i="8"/>
  <c r="DH157" i="8"/>
  <c r="DI157" i="8"/>
  <c r="DJ157" i="8"/>
  <c r="DK157" i="8"/>
  <c r="DL157" i="8"/>
  <c r="DM157" i="8"/>
  <c r="DN157" i="8"/>
  <c r="DO157" i="8"/>
  <c r="DP157" i="8"/>
  <c r="DQ157" i="8"/>
  <c r="DR157" i="8"/>
  <c r="DS157" i="8"/>
  <c r="DT157" i="8"/>
  <c r="DU157" i="8"/>
  <c r="DV157" i="8"/>
  <c r="DW157" i="8"/>
  <c r="DX157" i="8"/>
  <c r="DY157" i="8"/>
  <c r="DZ157" i="8"/>
  <c r="EA157" i="8"/>
  <c r="EB157" i="8"/>
  <c r="EC157" i="8"/>
  <c r="ED157" i="8"/>
  <c r="EE157" i="8"/>
  <c r="EF157" i="8"/>
  <c r="EG157" i="8"/>
  <c r="EH157" i="8"/>
  <c r="EI157" i="8"/>
  <c r="EJ157" i="8"/>
  <c r="EK157" i="8"/>
  <c r="EL157" i="8"/>
  <c r="EM157" i="8"/>
  <c r="EN157" i="8"/>
  <c r="EO157" i="8"/>
  <c r="EP157" i="8"/>
  <c r="EQ157" i="8"/>
  <c r="ER157" i="8"/>
  <c r="ES157" i="8"/>
  <c r="ET157" i="8"/>
  <c r="EU157" i="8"/>
  <c r="EV157" i="8"/>
  <c r="EW157" i="8"/>
  <c r="EX157" i="8"/>
  <c r="EY157" i="8"/>
  <c r="EZ157" i="8"/>
  <c r="FA157" i="8"/>
  <c r="FB157" i="8"/>
  <c r="FC157" i="8"/>
  <c r="FD157" i="8"/>
  <c r="FE157" i="8"/>
  <c r="FF157" i="8"/>
  <c r="FG157" i="8"/>
  <c r="FH157" i="8"/>
  <c r="FI157" i="8"/>
  <c r="FJ157" i="8"/>
  <c r="FK157" i="8"/>
  <c r="FL157" i="8"/>
  <c r="FM157" i="8"/>
  <c r="FN157" i="8"/>
  <c r="FO157" i="8"/>
  <c r="FP157" i="8"/>
  <c r="FQ157" i="8"/>
  <c r="FR157" i="8"/>
  <c r="FS157" i="8"/>
  <c r="FT157" i="8"/>
  <c r="FU157" i="8"/>
  <c r="FV157" i="8"/>
  <c r="FW157" i="8"/>
  <c r="FX157" i="8"/>
  <c r="FY157" i="8"/>
  <c r="FZ157" i="8"/>
  <c r="GA157" i="8"/>
  <c r="GB157" i="8"/>
  <c r="GC157" i="8"/>
  <c r="GD157" i="8"/>
  <c r="GE157" i="8"/>
  <c r="GF157" i="8"/>
  <c r="GG157" i="8"/>
  <c r="GH157" i="8"/>
  <c r="GI157" i="8"/>
  <c r="GJ157" i="8"/>
  <c r="GK157" i="8"/>
  <c r="GL157" i="8"/>
  <c r="GM157" i="8"/>
  <c r="GN157" i="8"/>
  <c r="GO157" i="8"/>
  <c r="GP157" i="8"/>
  <c r="GQ157" i="8"/>
  <c r="GR157" i="8"/>
  <c r="GS157" i="8"/>
  <c r="GT157" i="8"/>
  <c r="GU157" i="8"/>
  <c r="GV157" i="8"/>
  <c r="GW157" i="8"/>
  <c r="GX157" i="8"/>
  <c r="GY157" i="8"/>
  <c r="GZ157" i="8"/>
  <c r="HA157" i="8"/>
  <c r="HB157" i="8"/>
  <c r="HC157" i="8"/>
  <c r="HD157" i="8"/>
  <c r="HE157" i="8"/>
  <c r="HF157" i="8"/>
  <c r="HG157" i="8"/>
  <c r="HH157" i="8"/>
  <c r="HI157" i="8"/>
  <c r="HJ157" i="8"/>
  <c r="HK157" i="8"/>
  <c r="HL157" i="8"/>
  <c r="HM157" i="8"/>
  <c r="HN157" i="8"/>
  <c r="HO157" i="8"/>
  <c r="HP157" i="8"/>
  <c r="HQ157" i="8"/>
  <c r="HR157" i="8"/>
  <c r="HS157" i="8"/>
  <c r="HT157" i="8"/>
  <c r="HU157" i="8"/>
  <c r="HV157" i="8"/>
  <c r="HW157" i="8"/>
  <c r="HX157" i="8"/>
  <c r="HY157" i="8"/>
  <c r="HZ157" i="8"/>
  <c r="IA157" i="8"/>
  <c r="IB157" i="8"/>
  <c r="IC157" i="8"/>
  <c r="ID157" i="8"/>
  <c r="IE157" i="8"/>
  <c r="IF157" i="8"/>
  <c r="IG157" i="8"/>
  <c r="IH157" i="8"/>
  <c r="II157" i="8"/>
  <c r="IJ157" i="8"/>
  <c r="IK157" i="8"/>
  <c r="IL157" i="8"/>
  <c r="IM157" i="8"/>
  <c r="IN157" i="8"/>
  <c r="IO157" i="8"/>
  <c r="IP157" i="8"/>
  <c r="IQ157" i="8"/>
  <c r="IR157" i="8"/>
  <c r="IS157" i="8"/>
  <c r="IT157" i="8"/>
  <c r="IU157" i="8"/>
  <c r="IV157" i="8"/>
  <c r="F158" i="8"/>
  <c r="G158" i="8"/>
  <c r="H158" i="8"/>
  <c r="I158" i="8"/>
  <c r="J158" i="8"/>
  <c r="K158" i="8"/>
  <c r="L158" i="8"/>
  <c r="M158" i="8"/>
  <c r="N158" i="8"/>
  <c r="O158" i="8"/>
  <c r="P158" i="8"/>
  <c r="Q158" i="8"/>
  <c r="R158" i="8"/>
  <c r="S158" i="8"/>
  <c r="T158" i="8"/>
  <c r="U158" i="8"/>
  <c r="V158" i="8"/>
  <c r="W158" i="8"/>
  <c r="X158" i="8"/>
  <c r="Y158" i="8"/>
  <c r="Z158" i="8"/>
  <c r="AA158" i="8"/>
  <c r="AB158" i="8"/>
  <c r="AC158" i="8"/>
  <c r="AD158" i="8"/>
  <c r="AE158" i="8"/>
  <c r="AF158" i="8"/>
  <c r="AG158" i="8"/>
  <c r="AH158" i="8"/>
  <c r="AI158" i="8"/>
  <c r="AJ158" i="8"/>
  <c r="AK158" i="8"/>
  <c r="AL158" i="8"/>
  <c r="AM158" i="8"/>
  <c r="AN158" i="8"/>
  <c r="AO158" i="8"/>
  <c r="AP158" i="8"/>
  <c r="AQ158" i="8"/>
  <c r="AR158" i="8"/>
  <c r="AS158" i="8"/>
  <c r="AT158" i="8"/>
  <c r="AU158" i="8"/>
  <c r="AV158" i="8"/>
  <c r="AW158" i="8"/>
  <c r="AX158" i="8"/>
  <c r="AY158" i="8"/>
  <c r="AZ158" i="8"/>
  <c r="BA158" i="8"/>
  <c r="BB158" i="8"/>
  <c r="BC158" i="8"/>
  <c r="BD158" i="8"/>
  <c r="BE158" i="8"/>
  <c r="BF158" i="8"/>
  <c r="BG158" i="8"/>
  <c r="BH158" i="8"/>
  <c r="BI158" i="8"/>
  <c r="BJ158" i="8"/>
  <c r="BK158" i="8"/>
  <c r="BL158" i="8"/>
  <c r="BM158" i="8"/>
  <c r="BN158" i="8"/>
  <c r="BO158" i="8"/>
  <c r="BP158" i="8"/>
  <c r="BQ158" i="8"/>
  <c r="BR158" i="8"/>
  <c r="BS158" i="8"/>
  <c r="BT158" i="8"/>
  <c r="BU158" i="8"/>
  <c r="BV158" i="8"/>
  <c r="BW158" i="8"/>
  <c r="BX158" i="8"/>
  <c r="BY158" i="8"/>
  <c r="BZ158" i="8"/>
  <c r="CA158" i="8"/>
  <c r="CB158" i="8"/>
  <c r="CC158" i="8"/>
  <c r="CD158" i="8"/>
  <c r="CE158" i="8"/>
  <c r="CF158" i="8"/>
  <c r="CG158" i="8"/>
  <c r="CH158" i="8"/>
  <c r="CI158" i="8"/>
  <c r="CJ158" i="8"/>
  <c r="CK158" i="8"/>
  <c r="CL158" i="8"/>
  <c r="CM158" i="8"/>
  <c r="CN158" i="8"/>
  <c r="CO158" i="8"/>
  <c r="CP158" i="8"/>
  <c r="CQ158" i="8"/>
  <c r="CR158" i="8"/>
  <c r="CS158" i="8"/>
  <c r="CT158" i="8"/>
  <c r="CU158" i="8"/>
  <c r="CV158" i="8"/>
  <c r="CW158" i="8"/>
  <c r="CX158" i="8"/>
  <c r="CY158" i="8"/>
  <c r="CZ158" i="8"/>
  <c r="DA158" i="8"/>
  <c r="DB158" i="8"/>
  <c r="DC158" i="8"/>
  <c r="DD158" i="8"/>
  <c r="DE158" i="8"/>
  <c r="DF158" i="8"/>
  <c r="DG158" i="8"/>
  <c r="DH158" i="8"/>
  <c r="DI158" i="8"/>
  <c r="DJ158" i="8"/>
  <c r="DK158" i="8"/>
  <c r="DL158" i="8"/>
  <c r="DM158" i="8"/>
  <c r="DN158" i="8"/>
  <c r="DO158" i="8"/>
  <c r="DP158" i="8"/>
  <c r="DQ158" i="8"/>
  <c r="DR158" i="8"/>
  <c r="DS158" i="8"/>
  <c r="DT158" i="8"/>
  <c r="DU158" i="8"/>
  <c r="DV158" i="8"/>
  <c r="DW158" i="8"/>
  <c r="DX158" i="8"/>
  <c r="DY158" i="8"/>
  <c r="DZ158" i="8"/>
  <c r="EA158" i="8"/>
  <c r="EB158" i="8"/>
  <c r="EC158" i="8"/>
  <c r="ED158" i="8"/>
  <c r="EE158" i="8"/>
  <c r="EF158" i="8"/>
  <c r="EG158" i="8"/>
  <c r="EH158" i="8"/>
  <c r="EI158" i="8"/>
  <c r="EJ158" i="8"/>
  <c r="EK158" i="8"/>
  <c r="EL158" i="8"/>
  <c r="EM158" i="8"/>
  <c r="EN158" i="8"/>
  <c r="EO158" i="8"/>
  <c r="EP158" i="8"/>
  <c r="EQ158" i="8"/>
  <c r="ER158" i="8"/>
  <c r="ES158" i="8"/>
  <c r="ET158" i="8"/>
  <c r="EU158" i="8"/>
  <c r="EV158" i="8"/>
  <c r="EW158" i="8"/>
  <c r="EX158" i="8"/>
  <c r="EY158" i="8"/>
  <c r="EZ158" i="8"/>
  <c r="FA158" i="8"/>
  <c r="FB158" i="8"/>
  <c r="FC158" i="8"/>
  <c r="FD158" i="8"/>
  <c r="FE158" i="8"/>
  <c r="FF158" i="8"/>
  <c r="FG158" i="8"/>
  <c r="FH158" i="8"/>
  <c r="FI158" i="8"/>
  <c r="FJ158" i="8"/>
  <c r="FK158" i="8"/>
  <c r="FL158" i="8"/>
  <c r="FM158" i="8"/>
  <c r="FN158" i="8"/>
  <c r="FO158" i="8"/>
  <c r="FP158" i="8"/>
  <c r="FQ158" i="8"/>
  <c r="FR158" i="8"/>
  <c r="FS158" i="8"/>
  <c r="FT158" i="8"/>
  <c r="FU158" i="8"/>
  <c r="FV158" i="8"/>
  <c r="FW158" i="8"/>
  <c r="FX158" i="8"/>
  <c r="FY158" i="8"/>
  <c r="FZ158" i="8"/>
  <c r="GA158" i="8"/>
  <c r="GB158" i="8"/>
  <c r="GC158" i="8"/>
  <c r="GD158" i="8"/>
  <c r="GE158" i="8"/>
  <c r="GF158" i="8"/>
  <c r="GG158" i="8"/>
  <c r="GH158" i="8"/>
  <c r="GI158" i="8"/>
  <c r="GJ158" i="8"/>
  <c r="GK158" i="8"/>
  <c r="GL158" i="8"/>
  <c r="GM158" i="8"/>
  <c r="GN158" i="8"/>
  <c r="GO158" i="8"/>
  <c r="GP158" i="8"/>
  <c r="GQ158" i="8"/>
  <c r="GR158" i="8"/>
  <c r="GS158" i="8"/>
  <c r="GT158" i="8"/>
  <c r="GU158" i="8"/>
  <c r="GV158" i="8"/>
  <c r="GW158" i="8"/>
  <c r="GX158" i="8"/>
  <c r="GY158" i="8"/>
  <c r="GZ158" i="8"/>
  <c r="HA158" i="8"/>
  <c r="HB158" i="8"/>
  <c r="HC158" i="8"/>
  <c r="HD158" i="8"/>
  <c r="HE158" i="8"/>
  <c r="HF158" i="8"/>
  <c r="HG158" i="8"/>
  <c r="HH158" i="8"/>
  <c r="HI158" i="8"/>
  <c r="HJ158" i="8"/>
  <c r="HK158" i="8"/>
  <c r="HL158" i="8"/>
  <c r="HM158" i="8"/>
  <c r="HN158" i="8"/>
  <c r="HO158" i="8"/>
  <c r="HP158" i="8"/>
  <c r="HQ158" i="8"/>
  <c r="HR158" i="8"/>
  <c r="HS158" i="8"/>
  <c r="HT158" i="8"/>
  <c r="HU158" i="8"/>
  <c r="HV158" i="8"/>
  <c r="HW158" i="8"/>
  <c r="HX158" i="8"/>
  <c r="HY158" i="8"/>
  <c r="HZ158" i="8"/>
  <c r="IA158" i="8"/>
  <c r="IB158" i="8"/>
  <c r="IC158" i="8"/>
  <c r="ID158" i="8"/>
  <c r="IE158" i="8"/>
  <c r="IF158" i="8"/>
  <c r="IG158" i="8"/>
  <c r="IH158" i="8"/>
  <c r="II158" i="8"/>
  <c r="IJ158" i="8"/>
  <c r="IK158" i="8"/>
  <c r="IL158" i="8"/>
  <c r="IM158" i="8"/>
  <c r="IN158" i="8"/>
  <c r="IO158" i="8"/>
  <c r="IP158" i="8"/>
  <c r="IQ158" i="8"/>
  <c r="IR158" i="8"/>
  <c r="IS158" i="8"/>
  <c r="IT158" i="8"/>
  <c r="IU158" i="8"/>
  <c r="IV158" i="8"/>
  <c r="F159" i="8"/>
  <c r="G159" i="8"/>
  <c r="H159" i="8"/>
  <c r="I159" i="8"/>
  <c r="J159" i="8"/>
  <c r="K159" i="8"/>
  <c r="L159" i="8"/>
  <c r="M159" i="8"/>
  <c r="N159" i="8"/>
  <c r="O159" i="8"/>
  <c r="P159" i="8"/>
  <c r="Q159" i="8"/>
  <c r="R159" i="8"/>
  <c r="S159" i="8"/>
  <c r="T159" i="8"/>
  <c r="U159" i="8"/>
  <c r="V159" i="8"/>
  <c r="W159" i="8"/>
  <c r="X159" i="8"/>
  <c r="Y159" i="8"/>
  <c r="Z159" i="8"/>
  <c r="AA159" i="8"/>
  <c r="AB159" i="8"/>
  <c r="AC159" i="8"/>
  <c r="AD159" i="8"/>
  <c r="AE159" i="8"/>
  <c r="AF159" i="8"/>
  <c r="AG159" i="8"/>
  <c r="AH159" i="8"/>
  <c r="AI159" i="8"/>
  <c r="AJ159" i="8"/>
  <c r="AK159" i="8"/>
  <c r="AL159" i="8"/>
  <c r="AM159" i="8"/>
  <c r="AN159" i="8"/>
  <c r="AO159" i="8"/>
  <c r="AP159" i="8"/>
  <c r="AQ159" i="8"/>
  <c r="AR159" i="8"/>
  <c r="AS159" i="8"/>
  <c r="AT159" i="8"/>
  <c r="AU159" i="8"/>
  <c r="AV159" i="8"/>
  <c r="AW159" i="8"/>
  <c r="AX159" i="8"/>
  <c r="AY159" i="8"/>
  <c r="AZ159" i="8"/>
  <c r="BA159" i="8"/>
  <c r="BB159" i="8"/>
  <c r="BC159" i="8"/>
  <c r="BD159" i="8"/>
  <c r="BE159" i="8"/>
  <c r="BF159" i="8"/>
  <c r="BG159" i="8"/>
  <c r="BH159" i="8"/>
  <c r="BI159" i="8"/>
  <c r="BJ159" i="8"/>
  <c r="BK159" i="8"/>
  <c r="BL159" i="8"/>
  <c r="BM159" i="8"/>
  <c r="BN159" i="8"/>
  <c r="BO159" i="8"/>
  <c r="BP159" i="8"/>
  <c r="BQ159" i="8"/>
  <c r="BR159" i="8"/>
  <c r="BS159" i="8"/>
  <c r="BT159" i="8"/>
  <c r="BU159" i="8"/>
  <c r="BV159" i="8"/>
  <c r="BW159" i="8"/>
  <c r="BX159" i="8"/>
  <c r="BY159" i="8"/>
  <c r="BZ159" i="8"/>
  <c r="CA159" i="8"/>
  <c r="CB159" i="8"/>
  <c r="CC159" i="8"/>
  <c r="CD159" i="8"/>
  <c r="CE159" i="8"/>
  <c r="CF159" i="8"/>
  <c r="CG159" i="8"/>
  <c r="CH159" i="8"/>
  <c r="CI159" i="8"/>
  <c r="CJ159" i="8"/>
  <c r="CK159" i="8"/>
  <c r="CL159" i="8"/>
  <c r="CM159" i="8"/>
  <c r="CN159" i="8"/>
  <c r="CO159" i="8"/>
  <c r="CP159" i="8"/>
  <c r="CQ159" i="8"/>
  <c r="CR159" i="8"/>
  <c r="CS159" i="8"/>
  <c r="CT159" i="8"/>
  <c r="CU159" i="8"/>
  <c r="CV159" i="8"/>
  <c r="CW159" i="8"/>
  <c r="CX159" i="8"/>
  <c r="CY159" i="8"/>
  <c r="CZ159" i="8"/>
  <c r="DA159" i="8"/>
  <c r="DB159" i="8"/>
  <c r="DC159" i="8"/>
  <c r="DD159" i="8"/>
  <c r="DE159" i="8"/>
  <c r="DF159" i="8"/>
  <c r="DG159" i="8"/>
  <c r="DH159" i="8"/>
  <c r="DI159" i="8"/>
  <c r="DJ159" i="8"/>
  <c r="DK159" i="8"/>
  <c r="DL159" i="8"/>
  <c r="DM159" i="8"/>
  <c r="DN159" i="8"/>
  <c r="DO159" i="8"/>
  <c r="DP159" i="8"/>
  <c r="DQ159" i="8"/>
  <c r="DR159" i="8"/>
  <c r="DS159" i="8"/>
  <c r="DT159" i="8"/>
  <c r="DU159" i="8"/>
  <c r="DV159" i="8"/>
  <c r="DW159" i="8"/>
  <c r="DX159" i="8"/>
  <c r="DY159" i="8"/>
  <c r="DZ159" i="8"/>
  <c r="EA159" i="8"/>
  <c r="EB159" i="8"/>
  <c r="EC159" i="8"/>
  <c r="ED159" i="8"/>
  <c r="EE159" i="8"/>
  <c r="EF159" i="8"/>
  <c r="EG159" i="8"/>
  <c r="EH159" i="8"/>
  <c r="EI159" i="8"/>
  <c r="EJ159" i="8"/>
  <c r="EK159" i="8"/>
  <c r="EL159" i="8"/>
  <c r="EM159" i="8"/>
  <c r="EN159" i="8"/>
  <c r="EO159" i="8"/>
  <c r="EP159" i="8"/>
  <c r="EQ159" i="8"/>
  <c r="ER159" i="8"/>
  <c r="ES159" i="8"/>
  <c r="ET159" i="8"/>
  <c r="EU159" i="8"/>
  <c r="EV159" i="8"/>
  <c r="EW159" i="8"/>
  <c r="EX159" i="8"/>
  <c r="EY159" i="8"/>
  <c r="EZ159" i="8"/>
  <c r="FA159" i="8"/>
  <c r="FB159" i="8"/>
  <c r="FC159" i="8"/>
  <c r="FD159" i="8"/>
  <c r="FE159" i="8"/>
  <c r="FF159" i="8"/>
  <c r="FG159" i="8"/>
  <c r="FH159" i="8"/>
  <c r="FI159" i="8"/>
  <c r="FJ159" i="8"/>
  <c r="FK159" i="8"/>
  <c r="FL159" i="8"/>
  <c r="FM159" i="8"/>
  <c r="FN159" i="8"/>
  <c r="FO159" i="8"/>
  <c r="FP159" i="8"/>
  <c r="FQ159" i="8"/>
  <c r="FR159" i="8"/>
  <c r="FS159" i="8"/>
  <c r="FT159" i="8"/>
  <c r="FU159" i="8"/>
  <c r="FV159" i="8"/>
  <c r="FW159" i="8"/>
  <c r="FX159" i="8"/>
  <c r="FY159" i="8"/>
  <c r="FZ159" i="8"/>
  <c r="GA159" i="8"/>
  <c r="GB159" i="8"/>
  <c r="GC159" i="8"/>
  <c r="GD159" i="8"/>
  <c r="GE159" i="8"/>
  <c r="GF159" i="8"/>
  <c r="GG159" i="8"/>
  <c r="GH159" i="8"/>
  <c r="GI159" i="8"/>
  <c r="GJ159" i="8"/>
  <c r="GK159" i="8"/>
  <c r="GL159" i="8"/>
  <c r="GM159" i="8"/>
  <c r="GN159" i="8"/>
  <c r="GO159" i="8"/>
  <c r="GP159" i="8"/>
  <c r="GQ159" i="8"/>
  <c r="GR159" i="8"/>
  <c r="GS159" i="8"/>
  <c r="GT159" i="8"/>
  <c r="GU159" i="8"/>
  <c r="GV159" i="8"/>
  <c r="GW159" i="8"/>
  <c r="GX159" i="8"/>
  <c r="GY159" i="8"/>
  <c r="GZ159" i="8"/>
  <c r="HA159" i="8"/>
  <c r="HB159" i="8"/>
  <c r="HC159" i="8"/>
  <c r="HD159" i="8"/>
  <c r="HE159" i="8"/>
  <c r="HF159" i="8"/>
  <c r="HG159" i="8"/>
  <c r="HH159" i="8"/>
  <c r="HI159" i="8"/>
  <c r="HJ159" i="8"/>
  <c r="HK159" i="8"/>
  <c r="HL159" i="8"/>
  <c r="HM159" i="8"/>
  <c r="HN159" i="8"/>
  <c r="HO159" i="8"/>
  <c r="HP159" i="8"/>
  <c r="HQ159" i="8"/>
  <c r="HR159" i="8"/>
  <c r="HS159" i="8"/>
  <c r="HT159" i="8"/>
  <c r="HU159" i="8"/>
  <c r="HV159" i="8"/>
  <c r="HW159" i="8"/>
  <c r="HX159" i="8"/>
  <c r="HY159" i="8"/>
  <c r="HZ159" i="8"/>
  <c r="IA159" i="8"/>
  <c r="IB159" i="8"/>
  <c r="IC159" i="8"/>
  <c r="ID159" i="8"/>
  <c r="IE159" i="8"/>
  <c r="IF159" i="8"/>
  <c r="IG159" i="8"/>
  <c r="IH159" i="8"/>
  <c r="II159" i="8"/>
  <c r="IJ159" i="8"/>
  <c r="IK159" i="8"/>
  <c r="IL159" i="8"/>
  <c r="IM159" i="8"/>
  <c r="IN159" i="8"/>
  <c r="IO159" i="8"/>
  <c r="IP159" i="8"/>
  <c r="IQ159" i="8"/>
  <c r="IR159" i="8"/>
  <c r="IS159" i="8"/>
  <c r="IT159" i="8"/>
  <c r="IU159" i="8"/>
  <c r="IV159" i="8"/>
  <c r="F160" i="8"/>
  <c r="G160" i="8"/>
  <c r="H160" i="8"/>
  <c r="I160" i="8"/>
  <c r="J160" i="8"/>
  <c r="K160" i="8"/>
  <c r="L160" i="8"/>
  <c r="M160" i="8"/>
  <c r="N160" i="8"/>
  <c r="O160" i="8"/>
  <c r="P160" i="8"/>
  <c r="Q160" i="8"/>
  <c r="R160" i="8"/>
  <c r="S160" i="8"/>
  <c r="T160" i="8"/>
  <c r="U160" i="8"/>
  <c r="V160" i="8"/>
  <c r="W160" i="8"/>
  <c r="X160" i="8"/>
  <c r="Y160" i="8"/>
  <c r="Z160" i="8"/>
  <c r="AA160" i="8"/>
  <c r="AB160" i="8"/>
  <c r="AC160" i="8"/>
  <c r="AD160" i="8"/>
  <c r="AE160" i="8"/>
  <c r="AF160" i="8"/>
  <c r="AG160" i="8"/>
  <c r="AH160" i="8"/>
  <c r="AI160" i="8"/>
  <c r="AJ160" i="8"/>
  <c r="AK160" i="8"/>
  <c r="AL160" i="8"/>
  <c r="AM160" i="8"/>
  <c r="AN160" i="8"/>
  <c r="AO160" i="8"/>
  <c r="AP160" i="8"/>
  <c r="AQ160" i="8"/>
  <c r="AR160" i="8"/>
  <c r="AS160" i="8"/>
  <c r="AT160" i="8"/>
  <c r="AU160" i="8"/>
  <c r="AV160" i="8"/>
  <c r="AW160" i="8"/>
  <c r="AX160" i="8"/>
  <c r="AY160" i="8"/>
  <c r="AZ160" i="8"/>
  <c r="BA160" i="8"/>
  <c r="BB160" i="8"/>
  <c r="BC160" i="8"/>
  <c r="BD160" i="8"/>
  <c r="BE160" i="8"/>
  <c r="BF160" i="8"/>
  <c r="BG160" i="8"/>
  <c r="BH160" i="8"/>
  <c r="BI160" i="8"/>
  <c r="BJ160" i="8"/>
  <c r="BK160" i="8"/>
  <c r="BL160" i="8"/>
  <c r="BM160" i="8"/>
  <c r="BN160" i="8"/>
  <c r="BO160" i="8"/>
  <c r="BP160" i="8"/>
  <c r="BQ160" i="8"/>
  <c r="BR160" i="8"/>
  <c r="BS160" i="8"/>
  <c r="BT160" i="8"/>
  <c r="BU160" i="8"/>
  <c r="BV160" i="8"/>
  <c r="BW160" i="8"/>
  <c r="BX160" i="8"/>
  <c r="BY160" i="8"/>
  <c r="BZ160" i="8"/>
  <c r="CA160" i="8"/>
  <c r="CB160" i="8"/>
  <c r="CC160" i="8"/>
  <c r="CD160" i="8"/>
  <c r="CE160" i="8"/>
  <c r="CF160" i="8"/>
  <c r="CG160" i="8"/>
  <c r="CH160" i="8"/>
  <c r="CI160" i="8"/>
  <c r="CJ160" i="8"/>
  <c r="CK160" i="8"/>
  <c r="CL160" i="8"/>
  <c r="CM160" i="8"/>
  <c r="CN160" i="8"/>
  <c r="CO160" i="8"/>
  <c r="CP160" i="8"/>
  <c r="CQ160" i="8"/>
  <c r="CR160" i="8"/>
  <c r="CS160" i="8"/>
  <c r="CT160" i="8"/>
  <c r="CU160" i="8"/>
  <c r="CV160" i="8"/>
  <c r="CW160" i="8"/>
  <c r="CX160" i="8"/>
  <c r="CY160" i="8"/>
  <c r="CZ160" i="8"/>
  <c r="DA160" i="8"/>
  <c r="DB160" i="8"/>
  <c r="DC160" i="8"/>
  <c r="DD160" i="8"/>
  <c r="DE160" i="8"/>
  <c r="DF160" i="8"/>
  <c r="DG160" i="8"/>
  <c r="DH160" i="8"/>
  <c r="DI160" i="8"/>
  <c r="DJ160" i="8"/>
  <c r="DK160" i="8"/>
  <c r="DL160" i="8"/>
  <c r="DM160" i="8"/>
  <c r="DN160" i="8"/>
  <c r="DO160" i="8"/>
  <c r="DP160" i="8"/>
  <c r="DQ160" i="8"/>
  <c r="DR160" i="8"/>
  <c r="DS160" i="8"/>
  <c r="DT160" i="8"/>
  <c r="DU160" i="8"/>
  <c r="DV160" i="8"/>
  <c r="DW160" i="8"/>
  <c r="DX160" i="8"/>
  <c r="DY160" i="8"/>
  <c r="DZ160" i="8"/>
  <c r="EA160" i="8"/>
  <c r="EB160" i="8"/>
  <c r="EC160" i="8"/>
  <c r="ED160" i="8"/>
  <c r="EE160" i="8"/>
  <c r="EF160" i="8"/>
  <c r="EG160" i="8"/>
  <c r="EH160" i="8"/>
  <c r="EI160" i="8"/>
  <c r="EJ160" i="8"/>
  <c r="EK160" i="8"/>
  <c r="EL160" i="8"/>
  <c r="EM160" i="8"/>
  <c r="EN160" i="8"/>
  <c r="EO160" i="8"/>
  <c r="EP160" i="8"/>
  <c r="EQ160" i="8"/>
  <c r="ER160" i="8"/>
  <c r="ES160" i="8"/>
  <c r="ET160" i="8"/>
  <c r="EU160" i="8"/>
  <c r="EV160" i="8"/>
  <c r="EW160" i="8"/>
  <c r="EX160" i="8"/>
  <c r="EY160" i="8"/>
  <c r="EZ160" i="8"/>
  <c r="FA160" i="8"/>
  <c r="FB160" i="8"/>
  <c r="FC160" i="8"/>
  <c r="FD160" i="8"/>
  <c r="FE160" i="8"/>
  <c r="FF160" i="8"/>
  <c r="FG160" i="8"/>
  <c r="FH160" i="8"/>
  <c r="FI160" i="8"/>
  <c r="FJ160" i="8"/>
  <c r="FK160" i="8"/>
  <c r="FL160" i="8"/>
  <c r="FM160" i="8"/>
  <c r="FN160" i="8"/>
  <c r="FO160" i="8"/>
  <c r="FP160" i="8"/>
  <c r="FQ160" i="8"/>
  <c r="FR160" i="8"/>
  <c r="FS160" i="8"/>
  <c r="FT160" i="8"/>
  <c r="FU160" i="8"/>
  <c r="FV160" i="8"/>
  <c r="FW160" i="8"/>
  <c r="FX160" i="8"/>
  <c r="FY160" i="8"/>
  <c r="FZ160" i="8"/>
  <c r="GA160" i="8"/>
  <c r="GB160" i="8"/>
  <c r="GC160" i="8"/>
  <c r="GD160" i="8"/>
  <c r="GE160" i="8"/>
  <c r="GF160" i="8"/>
  <c r="GG160" i="8"/>
  <c r="GH160" i="8"/>
  <c r="GI160" i="8"/>
  <c r="GJ160" i="8"/>
  <c r="GK160" i="8"/>
  <c r="GL160" i="8"/>
  <c r="GM160" i="8"/>
  <c r="GN160" i="8"/>
  <c r="GO160" i="8"/>
  <c r="GP160" i="8"/>
  <c r="GQ160" i="8"/>
  <c r="GR160" i="8"/>
  <c r="GS160" i="8"/>
  <c r="GT160" i="8"/>
  <c r="GU160" i="8"/>
  <c r="GV160" i="8"/>
  <c r="GW160" i="8"/>
  <c r="GX160" i="8"/>
  <c r="GY160" i="8"/>
  <c r="GZ160" i="8"/>
  <c r="HA160" i="8"/>
  <c r="HB160" i="8"/>
  <c r="HC160" i="8"/>
  <c r="HD160" i="8"/>
  <c r="HE160" i="8"/>
  <c r="HF160" i="8"/>
  <c r="HG160" i="8"/>
  <c r="HH160" i="8"/>
  <c r="HI160" i="8"/>
  <c r="HJ160" i="8"/>
  <c r="HK160" i="8"/>
  <c r="HL160" i="8"/>
  <c r="HM160" i="8"/>
  <c r="HN160" i="8"/>
  <c r="HO160" i="8"/>
  <c r="HP160" i="8"/>
  <c r="HQ160" i="8"/>
  <c r="HR160" i="8"/>
  <c r="HS160" i="8"/>
  <c r="HT160" i="8"/>
  <c r="HU160" i="8"/>
  <c r="HV160" i="8"/>
  <c r="HW160" i="8"/>
  <c r="HX160" i="8"/>
  <c r="HY160" i="8"/>
  <c r="HZ160" i="8"/>
  <c r="IA160" i="8"/>
  <c r="IB160" i="8"/>
  <c r="IC160" i="8"/>
  <c r="ID160" i="8"/>
  <c r="IE160" i="8"/>
  <c r="IF160" i="8"/>
  <c r="IG160" i="8"/>
  <c r="IH160" i="8"/>
  <c r="II160" i="8"/>
  <c r="IJ160" i="8"/>
  <c r="IK160" i="8"/>
  <c r="IL160" i="8"/>
  <c r="IM160" i="8"/>
  <c r="IN160" i="8"/>
  <c r="IO160" i="8"/>
  <c r="IP160" i="8"/>
  <c r="IQ160" i="8"/>
  <c r="IR160" i="8"/>
  <c r="IS160" i="8"/>
  <c r="IT160" i="8"/>
  <c r="IU160" i="8"/>
  <c r="IV160" i="8"/>
  <c r="F161" i="8"/>
  <c r="G161" i="8"/>
  <c r="H161" i="8"/>
  <c r="I161" i="8"/>
  <c r="J161" i="8"/>
  <c r="K161" i="8"/>
  <c r="L161" i="8"/>
  <c r="M161" i="8"/>
  <c r="N161" i="8"/>
  <c r="O161" i="8"/>
  <c r="P161" i="8"/>
  <c r="Q161" i="8"/>
  <c r="R161" i="8"/>
  <c r="S161" i="8"/>
  <c r="T161" i="8"/>
  <c r="U161" i="8"/>
  <c r="V161" i="8"/>
  <c r="W161" i="8"/>
  <c r="X161" i="8"/>
  <c r="Y161" i="8"/>
  <c r="Z161" i="8"/>
  <c r="AA161" i="8"/>
  <c r="AB161" i="8"/>
  <c r="AC161" i="8"/>
  <c r="AD161" i="8"/>
  <c r="AE161" i="8"/>
  <c r="AF161" i="8"/>
  <c r="AG161" i="8"/>
  <c r="AH161" i="8"/>
  <c r="AI161" i="8"/>
  <c r="AJ161" i="8"/>
  <c r="AK161" i="8"/>
  <c r="AL161" i="8"/>
  <c r="AM161" i="8"/>
  <c r="AN161" i="8"/>
  <c r="AO161" i="8"/>
  <c r="AP161" i="8"/>
  <c r="AQ161" i="8"/>
  <c r="AR161" i="8"/>
  <c r="AS161" i="8"/>
  <c r="AT161" i="8"/>
  <c r="AU161" i="8"/>
  <c r="AV161" i="8"/>
  <c r="AW161" i="8"/>
  <c r="AX161" i="8"/>
  <c r="AY161" i="8"/>
  <c r="AZ161" i="8"/>
  <c r="BA161" i="8"/>
  <c r="BB161" i="8"/>
  <c r="BC161" i="8"/>
  <c r="BD161" i="8"/>
  <c r="BE161" i="8"/>
  <c r="BF161" i="8"/>
  <c r="BG161" i="8"/>
  <c r="BH161" i="8"/>
  <c r="BI161" i="8"/>
  <c r="BJ161" i="8"/>
  <c r="BK161" i="8"/>
  <c r="BL161" i="8"/>
  <c r="BM161" i="8"/>
  <c r="BN161" i="8"/>
  <c r="BO161" i="8"/>
  <c r="BP161" i="8"/>
  <c r="BQ161" i="8"/>
  <c r="BR161" i="8"/>
  <c r="BS161" i="8"/>
  <c r="BT161" i="8"/>
  <c r="BU161" i="8"/>
  <c r="BV161" i="8"/>
  <c r="BW161" i="8"/>
  <c r="BX161" i="8"/>
  <c r="BY161" i="8"/>
  <c r="BZ161" i="8"/>
  <c r="CA161" i="8"/>
  <c r="CB161" i="8"/>
  <c r="CC161" i="8"/>
  <c r="CD161" i="8"/>
  <c r="CE161" i="8"/>
  <c r="CF161" i="8"/>
  <c r="CG161" i="8"/>
  <c r="CH161" i="8"/>
  <c r="CI161" i="8"/>
  <c r="CJ161" i="8"/>
  <c r="CK161" i="8"/>
  <c r="CL161" i="8"/>
  <c r="CM161" i="8"/>
  <c r="CN161" i="8"/>
  <c r="CO161" i="8"/>
  <c r="CP161" i="8"/>
  <c r="CQ161" i="8"/>
  <c r="CR161" i="8"/>
  <c r="CS161" i="8"/>
  <c r="CT161" i="8"/>
  <c r="CU161" i="8"/>
  <c r="CV161" i="8"/>
  <c r="CW161" i="8"/>
  <c r="CX161" i="8"/>
  <c r="CY161" i="8"/>
  <c r="CZ161" i="8"/>
  <c r="DA161" i="8"/>
  <c r="DB161" i="8"/>
  <c r="DC161" i="8"/>
  <c r="DD161" i="8"/>
  <c r="DE161" i="8"/>
  <c r="DF161" i="8"/>
  <c r="DG161" i="8"/>
  <c r="DH161" i="8"/>
  <c r="DI161" i="8"/>
  <c r="DJ161" i="8"/>
  <c r="DK161" i="8"/>
  <c r="DL161" i="8"/>
  <c r="DM161" i="8"/>
  <c r="DN161" i="8"/>
  <c r="DO161" i="8"/>
  <c r="DP161" i="8"/>
  <c r="DQ161" i="8"/>
  <c r="DR161" i="8"/>
  <c r="DS161" i="8"/>
  <c r="DT161" i="8"/>
  <c r="DU161" i="8"/>
  <c r="DV161" i="8"/>
  <c r="DW161" i="8"/>
  <c r="DX161" i="8"/>
  <c r="DY161" i="8"/>
  <c r="DZ161" i="8"/>
  <c r="EA161" i="8"/>
  <c r="EB161" i="8"/>
  <c r="EC161" i="8"/>
  <c r="ED161" i="8"/>
  <c r="EE161" i="8"/>
  <c r="EF161" i="8"/>
  <c r="EG161" i="8"/>
  <c r="EH161" i="8"/>
  <c r="EI161" i="8"/>
  <c r="EJ161" i="8"/>
  <c r="EK161" i="8"/>
  <c r="EL161" i="8"/>
  <c r="EM161" i="8"/>
  <c r="EN161" i="8"/>
  <c r="EO161" i="8"/>
  <c r="EP161" i="8"/>
  <c r="EQ161" i="8"/>
  <c r="ER161" i="8"/>
  <c r="ES161" i="8"/>
  <c r="ET161" i="8"/>
  <c r="EU161" i="8"/>
  <c r="EV161" i="8"/>
  <c r="EW161" i="8"/>
  <c r="EX161" i="8"/>
  <c r="EY161" i="8"/>
  <c r="EZ161" i="8"/>
  <c r="FA161" i="8"/>
  <c r="FB161" i="8"/>
  <c r="FC161" i="8"/>
  <c r="FD161" i="8"/>
  <c r="FE161" i="8"/>
  <c r="FF161" i="8"/>
  <c r="FG161" i="8"/>
  <c r="FH161" i="8"/>
  <c r="FI161" i="8"/>
  <c r="FJ161" i="8"/>
  <c r="FK161" i="8"/>
  <c r="FL161" i="8"/>
  <c r="FM161" i="8"/>
  <c r="FN161" i="8"/>
  <c r="FO161" i="8"/>
  <c r="FP161" i="8"/>
  <c r="FQ161" i="8"/>
  <c r="FR161" i="8"/>
  <c r="FS161" i="8"/>
  <c r="FT161" i="8"/>
  <c r="FU161" i="8"/>
  <c r="FV161" i="8"/>
  <c r="FW161" i="8"/>
  <c r="FX161" i="8"/>
  <c r="FY161" i="8"/>
  <c r="FZ161" i="8"/>
  <c r="GA161" i="8"/>
  <c r="GB161" i="8"/>
  <c r="GC161" i="8"/>
  <c r="GD161" i="8"/>
  <c r="GE161" i="8"/>
  <c r="GF161" i="8"/>
  <c r="GG161" i="8"/>
  <c r="GH161" i="8"/>
  <c r="GI161" i="8"/>
  <c r="GJ161" i="8"/>
  <c r="GK161" i="8"/>
  <c r="GL161" i="8"/>
  <c r="GM161" i="8"/>
  <c r="GN161" i="8"/>
  <c r="GO161" i="8"/>
  <c r="GP161" i="8"/>
  <c r="GQ161" i="8"/>
  <c r="GR161" i="8"/>
  <c r="GS161" i="8"/>
  <c r="GT161" i="8"/>
  <c r="GU161" i="8"/>
  <c r="GV161" i="8"/>
  <c r="GW161" i="8"/>
  <c r="GX161" i="8"/>
  <c r="GY161" i="8"/>
  <c r="GZ161" i="8"/>
  <c r="HA161" i="8"/>
  <c r="HB161" i="8"/>
  <c r="HC161" i="8"/>
  <c r="HD161" i="8"/>
  <c r="HE161" i="8"/>
  <c r="HF161" i="8"/>
  <c r="HG161" i="8"/>
  <c r="HH161" i="8"/>
  <c r="HI161" i="8"/>
  <c r="HJ161" i="8"/>
  <c r="HK161" i="8"/>
  <c r="HL161" i="8"/>
  <c r="HM161" i="8"/>
  <c r="HN161" i="8"/>
  <c r="HO161" i="8"/>
  <c r="HP161" i="8"/>
  <c r="HQ161" i="8"/>
  <c r="HR161" i="8"/>
  <c r="HS161" i="8"/>
  <c r="HT161" i="8"/>
  <c r="HU161" i="8"/>
  <c r="HV161" i="8"/>
  <c r="HW161" i="8"/>
  <c r="HX161" i="8"/>
  <c r="HY161" i="8"/>
  <c r="HZ161" i="8"/>
  <c r="IA161" i="8"/>
  <c r="IB161" i="8"/>
  <c r="IC161" i="8"/>
  <c r="ID161" i="8"/>
  <c r="IE161" i="8"/>
  <c r="IF161" i="8"/>
  <c r="IG161" i="8"/>
  <c r="IH161" i="8"/>
  <c r="II161" i="8"/>
  <c r="IJ161" i="8"/>
  <c r="IK161" i="8"/>
  <c r="IL161" i="8"/>
  <c r="IM161" i="8"/>
  <c r="IN161" i="8"/>
  <c r="IO161" i="8"/>
  <c r="IP161" i="8"/>
  <c r="IQ161" i="8"/>
  <c r="IR161" i="8"/>
  <c r="IS161" i="8"/>
  <c r="IT161" i="8"/>
  <c r="IU161" i="8"/>
  <c r="IV161" i="8"/>
  <c r="F162" i="8"/>
  <c r="G162" i="8"/>
  <c r="H162" i="8"/>
  <c r="I162" i="8"/>
  <c r="J162" i="8"/>
  <c r="K162" i="8"/>
  <c r="L162" i="8"/>
  <c r="M162" i="8"/>
  <c r="N162" i="8"/>
  <c r="O162" i="8"/>
  <c r="P162" i="8"/>
  <c r="Q162" i="8"/>
  <c r="R162" i="8"/>
  <c r="S162" i="8"/>
  <c r="T162" i="8"/>
  <c r="U162" i="8"/>
  <c r="V162" i="8"/>
  <c r="W162" i="8"/>
  <c r="X162" i="8"/>
  <c r="Y162" i="8"/>
  <c r="Z162" i="8"/>
  <c r="AA162" i="8"/>
  <c r="AB162" i="8"/>
  <c r="AC162" i="8"/>
  <c r="AD162" i="8"/>
  <c r="AE162" i="8"/>
  <c r="AF162" i="8"/>
  <c r="AG162" i="8"/>
  <c r="AH162" i="8"/>
  <c r="AI162" i="8"/>
  <c r="AJ162" i="8"/>
  <c r="AK162" i="8"/>
  <c r="AL162" i="8"/>
  <c r="AM162" i="8"/>
  <c r="AN162" i="8"/>
  <c r="AO162" i="8"/>
  <c r="AP162" i="8"/>
  <c r="AQ162" i="8"/>
  <c r="AR162" i="8"/>
  <c r="AS162" i="8"/>
  <c r="AT162" i="8"/>
  <c r="AU162" i="8"/>
  <c r="AV162" i="8"/>
  <c r="AW162" i="8"/>
  <c r="AX162" i="8"/>
  <c r="AY162" i="8"/>
  <c r="AZ162" i="8"/>
  <c r="BA162" i="8"/>
  <c r="BB162" i="8"/>
  <c r="BC162" i="8"/>
  <c r="BD162" i="8"/>
  <c r="BE162" i="8"/>
  <c r="BF162" i="8"/>
  <c r="BG162" i="8"/>
  <c r="BH162" i="8"/>
  <c r="BI162" i="8"/>
  <c r="BJ162" i="8"/>
  <c r="BK162" i="8"/>
  <c r="BL162" i="8"/>
  <c r="BM162" i="8"/>
  <c r="BN162" i="8"/>
  <c r="BO162" i="8"/>
  <c r="BP162" i="8"/>
  <c r="BQ162" i="8"/>
  <c r="BR162" i="8"/>
  <c r="BS162" i="8"/>
  <c r="BT162" i="8"/>
  <c r="BU162" i="8"/>
  <c r="BV162" i="8"/>
  <c r="BW162" i="8"/>
  <c r="BX162" i="8"/>
  <c r="BY162" i="8"/>
  <c r="BZ162" i="8"/>
  <c r="CA162" i="8"/>
  <c r="CB162" i="8"/>
  <c r="CC162" i="8"/>
  <c r="CD162" i="8"/>
  <c r="CE162" i="8"/>
  <c r="CF162" i="8"/>
  <c r="CG162" i="8"/>
  <c r="CH162" i="8"/>
  <c r="CI162" i="8"/>
  <c r="CJ162" i="8"/>
  <c r="CK162" i="8"/>
  <c r="CL162" i="8"/>
  <c r="CM162" i="8"/>
  <c r="CN162" i="8"/>
  <c r="CO162" i="8"/>
  <c r="CP162" i="8"/>
  <c r="CQ162" i="8"/>
  <c r="CR162" i="8"/>
  <c r="CS162" i="8"/>
  <c r="CT162" i="8"/>
  <c r="CU162" i="8"/>
  <c r="CV162" i="8"/>
  <c r="CW162" i="8"/>
  <c r="CX162" i="8"/>
  <c r="CY162" i="8"/>
  <c r="CZ162" i="8"/>
  <c r="DA162" i="8"/>
  <c r="DB162" i="8"/>
  <c r="DC162" i="8"/>
  <c r="DD162" i="8"/>
  <c r="DE162" i="8"/>
  <c r="DF162" i="8"/>
  <c r="DG162" i="8"/>
  <c r="DH162" i="8"/>
  <c r="DI162" i="8"/>
  <c r="DJ162" i="8"/>
  <c r="DK162" i="8"/>
  <c r="DL162" i="8"/>
  <c r="DM162" i="8"/>
  <c r="DN162" i="8"/>
  <c r="DO162" i="8"/>
  <c r="DP162" i="8"/>
  <c r="DQ162" i="8"/>
  <c r="DR162" i="8"/>
  <c r="DS162" i="8"/>
  <c r="DT162" i="8"/>
  <c r="DU162" i="8"/>
  <c r="DV162" i="8"/>
  <c r="DW162" i="8"/>
  <c r="DX162" i="8"/>
  <c r="DY162" i="8"/>
  <c r="DZ162" i="8"/>
  <c r="EA162" i="8"/>
  <c r="EB162" i="8"/>
  <c r="EC162" i="8"/>
  <c r="ED162" i="8"/>
  <c r="EE162" i="8"/>
  <c r="EF162" i="8"/>
  <c r="EG162" i="8"/>
  <c r="EH162" i="8"/>
  <c r="EI162" i="8"/>
  <c r="EJ162" i="8"/>
  <c r="EK162" i="8"/>
  <c r="EL162" i="8"/>
  <c r="EM162" i="8"/>
  <c r="EN162" i="8"/>
  <c r="EO162" i="8"/>
  <c r="EP162" i="8"/>
  <c r="EQ162" i="8"/>
  <c r="ER162" i="8"/>
  <c r="ES162" i="8"/>
  <c r="ET162" i="8"/>
  <c r="EU162" i="8"/>
  <c r="EV162" i="8"/>
  <c r="EW162" i="8"/>
  <c r="EX162" i="8"/>
  <c r="EY162" i="8"/>
  <c r="EZ162" i="8"/>
  <c r="FA162" i="8"/>
  <c r="FB162" i="8"/>
  <c r="FC162" i="8"/>
  <c r="FD162" i="8"/>
  <c r="FE162" i="8"/>
  <c r="FF162" i="8"/>
  <c r="FG162" i="8"/>
  <c r="FH162" i="8"/>
  <c r="FI162" i="8"/>
  <c r="FJ162" i="8"/>
  <c r="FK162" i="8"/>
  <c r="FL162" i="8"/>
  <c r="FM162" i="8"/>
  <c r="FN162" i="8"/>
  <c r="FO162" i="8"/>
  <c r="FP162" i="8"/>
  <c r="FQ162" i="8"/>
  <c r="FR162" i="8"/>
  <c r="FS162" i="8"/>
  <c r="FT162" i="8"/>
  <c r="FU162" i="8"/>
  <c r="FV162" i="8"/>
  <c r="FW162" i="8"/>
  <c r="FX162" i="8"/>
  <c r="FY162" i="8"/>
  <c r="FZ162" i="8"/>
  <c r="GA162" i="8"/>
  <c r="GB162" i="8"/>
  <c r="GC162" i="8"/>
  <c r="GD162" i="8"/>
  <c r="GE162" i="8"/>
  <c r="GF162" i="8"/>
  <c r="GG162" i="8"/>
  <c r="GH162" i="8"/>
  <c r="GI162" i="8"/>
  <c r="GJ162" i="8"/>
  <c r="GK162" i="8"/>
  <c r="GL162" i="8"/>
  <c r="GM162" i="8"/>
  <c r="GN162" i="8"/>
  <c r="GO162" i="8"/>
  <c r="GP162" i="8"/>
  <c r="GQ162" i="8"/>
  <c r="GR162" i="8"/>
  <c r="GS162" i="8"/>
  <c r="GT162" i="8"/>
  <c r="GU162" i="8"/>
  <c r="GV162" i="8"/>
  <c r="GW162" i="8"/>
  <c r="GX162" i="8"/>
  <c r="GY162" i="8"/>
  <c r="GZ162" i="8"/>
  <c r="HA162" i="8"/>
  <c r="HB162" i="8"/>
  <c r="HC162" i="8"/>
  <c r="HD162" i="8"/>
  <c r="HE162" i="8"/>
  <c r="HF162" i="8"/>
  <c r="HG162" i="8"/>
  <c r="HH162" i="8"/>
  <c r="HI162" i="8"/>
  <c r="HJ162" i="8"/>
  <c r="HK162" i="8"/>
  <c r="HL162" i="8"/>
  <c r="HM162" i="8"/>
  <c r="HN162" i="8"/>
  <c r="HO162" i="8"/>
  <c r="HP162" i="8"/>
  <c r="HQ162" i="8"/>
  <c r="HR162" i="8"/>
  <c r="HS162" i="8"/>
  <c r="HT162" i="8"/>
  <c r="HU162" i="8"/>
  <c r="HV162" i="8"/>
  <c r="HW162" i="8"/>
  <c r="HX162" i="8"/>
  <c r="HY162" i="8"/>
  <c r="HZ162" i="8"/>
  <c r="IA162" i="8"/>
  <c r="IB162" i="8"/>
  <c r="IC162" i="8"/>
  <c r="ID162" i="8"/>
  <c r="IE162" i="8"/>
  <c r="IF162" i="8"/>
  <c r="IG162" i="8"/>
  <c r="IH162" i="8"/>
  <c r="II162" i="8"/>
  <c r="IJ162" i="8"/>
  <c r="IK162" i="8"/>
  <c r="IL162" i="8"/>
  <c r="IM162" i="8"/>
  <c r="IN162" i="8"/>
  <c r="IO162" i="8"/>
  <c r="IP162" i="8"/>
  <c r="IQ162" i="8"/>
  <c r="IR162" i="8"/>
  <c r="IS162" i="8"/>
  <c r="IT162" i="8"/>
  <c r="IU162" i="8"/>
  <c r="IV162" i="8"/>
  <c r="F163" i="8"/>
  <c r="G163" i="8"/>
  <c r="H163" i="8"/>
  <c r="I163" i="8"/>
  <c r="J163" i="8"/>
  <c r="K163" i="8"/>
  <c r="L163" i="8"/>
  <c r="M163" i="8"/>
  <c r="N163" i="8"/>
  <c r="O163" i="8"/>
  <c r="P163" i="8"/>
  <c r="Q163" i="8"/>
  <c r="R163" i="8"/>
  <c r="S163" i="8"/>
  <c r="T163" i="8"/>
  <c r="U163" i="8"/>
  <c r="V163" i="8"/>
  <c r="W163" i="8"/>
  <c r="X163" i="8"/>
  <c r="Y163" i="8"/>
  <c r="Z163" i="8"/>
  <c r="AA163" i="8"/>
  <c r="AB163" i="8"/>
  <c r="AC163" i="8"/>
  <c r="AD163" i="8"/>
  <c r="AE163" i="8"/>
  <c r="AF163" i="8"/>
  <c r="AG163" i="8"/>
  <c r="AH163" i="8"/>
  <c r="AI163" i="8"/>
  <c r="AJ163" i="8"/>
  <c r="AK163" i="8"/>
  <c r="AL163" i="8"/>
  <c r="AM163" i="8"/>
  <c r="AN163" i="8"/>
  <c r="AO163" i="8"/>
  <c r="AP163" i="8"/>
  <c r="AQ163" i="8"/>
  <c r="AR163" i="8"/>
  <c r="AS163" i="8"/>
  <c r="AT163" i="8"/>
  <c r="AU163" i="8"/>
  <c r="AV163" i="8"/>
  <c r="AW163" i="8"/>
  <c r="AX163" i="8"/>
  <c r="AY163" i="8"/>
  <c r="AZ163" i="8"/>
  <c r="BA163" i="8"/>
  <c r="BB163" i="8"/>
  <c r="BC163" i="8"/>
  <c r="BD163" i="8"/>
  <c r="BE163" i="8"/>
  <c r="BF163" i="8"/>
  <c r="BG163" i="8"/>
  <c r="BH163" i="8"/>
  <c r="BI163" i="8"/>
  <c r="BJ163" i="8"/>
  <c r="BK163" i="8"/>
  <c r="BL163" i="8"/>
  <c r="BM163" i="8"/>
  <c r="BN163" i="8"/>
  <c r="BO163" i="8"/>
  <c r="BP163" i="8"/>
  <c r="BQ163" i="8"/>
  <c r="BR163" i="8"/>
  <c r="BS163" i="8"/>
  <c r="BT163" i="8"/>
  <c r="BU163" i="8"/>
  <c r="BV163" i="8"/>
  <c r="BW163" i="8"/>
  <c r="BX163" i="8"/>
  <c r="BY163" i="8"/>
  <c r="BZ163" i="8"/>
  <c r="CA163" i="8"/>
  <c r="CB163" i="8"/>
  <c r="CC163" i="8"/>
  <c r="CD163" i="8"/>
  <c r="CE163" i="8"/>
  <c r="CF163" i="8"/>
  <c r="CG163" i="8"/>
  <c r="CH163" i="8"/>
  <c r="CI163" i="8"/>
  <c r="CJ163" i="8"/>
  <c r="CK163" i="8"/>
  <c r="CL163" i="8"/>
  <c r="CM163" i="8"/>
  <c r="CN163" i="8"/>
  <c r="CO163" i="8"/>
  <c r="CP163" i="8"/>
  <c r="CQ163" i="8"/>
  <c r="CR163" i="8"/>
  <c r="CS163" i="8"/>
  <c r="CT163" i="8"/>
  <c r="CU163" i="8"/>
  <c r="CV163" i="8"/>
  <c r="CW163" i="8"/>
  <c r="CX163" i="8"/>
  <c r="CY163" i="8"/>
  <c r="CZ163" i="8"/>
  <c r="DA163" i="8"/>
  <c r="DB163" i="8"/>
  <c r="DC163" i="8"/>
  <c r="DD163" i="8"/>
  <c r="DE163" i="8"/>
  <c r="DF163" i="8"/>
  <c r="DG163" i="8"/>
  <c r="DH163" i="8"/>
  <c r="DI163" i="8"/>
  <c r="DJ163" i="8"/>
  <c r="DK163" i="8"/>
  <c r="DL163" i="8"/>
  <c r="DM163" i="8"/>
  <c r="DN163" i="8"/>
  <c r="DO163" i="8"/>
  <c r="DP163" i="8"/>
  <c r="DQ163" i="8"/>
  <c r="DR163" i="8"/>
  <c r="DS163" i="8"/>
  <c r="DT163" i="8"/>
  <c r="DU163" i="8"/>
  <c r="DV163" i="8"/>
  <c r="DW163" i="8"/>
  <c r="DX163" i="8"/>
  <c r="DY163" i="8"/>
  <c r="DZ163" i="8"/>
  <c r="EA163" i="8"/>
  <c r="EB163" i="8"/>
  <c r="EC163" i="8"/>
  <c r="ED163" i="8"/>
  <c r="EE163" i="8"/>
  <c r="EF163" i="8"/>
  <c r="EG163" i="8"/>
  <c r="EH163" i="8"/>
  <c r="EI163" i="8"/>
  <c r="EJ163" i="8"/>
  <c r="EK163" i="8"/>
  <c r="EL163" i="8"/>
  <c r="EM163" i="8"/>
  <c r="EN163" i="8"/>
  <c r="EO163" i="8"/>
  <c r="EP163" i="8"/>
  <c r="EQ163" i="8"/>
  <c r="ER163" i="8"/>
  <c r="ES163" i="8"/>
  <c r="ET163" i="8"/>
  <c r="EU163" i="8"/>
  <c r="EV163" i="8"/>
  <c r="EW163" i="8"/>
  <c r="EX163" i="8"/>
  <c r="EY163" i="8"/>
  <c r="EZ163" i="8"/>
  <c r="FA163" i="8"/>
  <c r="FB163" i="8"/>
  <c r="FC163" i="8"/>
  <c r="FD163" i="8"/>
  <c r="FE163" i="8"/>
  <c r="FF163" i="8"/>
  <c r="FG163" i="8"/>
  <c r="FH163" i="8"/>
  <c r="FI163" i="8"/>
  <c r="FJ163" i="8"/>
  <c r="FK163" i="8"/>
  <c r="FL163" i="8"/>
  <c r="FM163" i="8"/>
  <c r="FN163" i="8"/>
  <c r="FO163" i="8"/>
  <c r="FP163" i="8"/>
  <c r="FQ163" i="8"/>
  <c r="FR163" i="8"/>
  <c r="FS163" i="8"/>
  <c r="FT163" i="8"/>
  <c r="FU163" i="8"/>
  <c r="FV163" i="8"/>
  <c r="FW163" i="8"/>
  <c r="FX163" i="8"/>
  <c r="FY163" i="8"/>
  <c r="FZ163" i="8"/>
  <c r="GA163" i="8"/>
  <c r="GB163" i="8"/>
  <c r="GC163" i="8"/>
  <c r="GD163" i="8"/>
  <c r="GE163" i="8"/>
  <c r="GF163" i="8"/>
  <c r="GG163" i="8"/>
  <c r="GH163" i="8"/>
  <c r="GI163" i="8"/>
  <c r="GJ163" i="8"/>
  <c r="GK163" i="8"/>
  <c r="GL163" i="8"/>
  <c r="GM163" i="8"/>
  <c r="GN163" i="8"/>
  <c r="GO163" i="8"/>
  <c r="GP163" i="8"/>
  <c r="GQ163" i="8"/>
  <c r="GR163" i="8"/>
  <c r="GS163" i="8"/>
  <c r="GT163" i="8"/>
  <c r="GU163" i="8"/>
  <c r="GV163" i="8"/>
  <c r="GW163" i="8"/>
  <c r="GX163" i="8"/>
  <c r="GY163" i="8"/>
  <c r="GZ163" i="8"/>
  <c r="HA163" i="8"/>
  <c r="HB163" i="8"/>
  <c r="HC163" i="8"/>
  <c r="HD163" i="8"/>
  <c r="HE163" i="8"/>
  <c r="HF163" i="8"/>
  <c r="HG163" i="8"/>
  <c r="HH163" i="8"/>
  <c r="HI163" i="8"/>
  <c r="HJ163" i="8"/>
  <c r="HK163" i="8"/>
  <c r="HL163" i="8"/>
  <c r="HM163" i="8"/>
  <c r="HN163" i="8"/>
  <c r="HO163" i="8"/>
  <c r="HP163" i="8"/>
  <c r="HQ163" i="8"/>
  <c r="HR163" i="8"/>
  <c r="HS163" i="8"/>
  <c r="HT163" i="8"/>
  <c r="HU163" i="8"/>
  <c r="HV163" i="8"/>
  <c r="HW163" i="8"/>
  <c r="HX163" i="8"/>
  <c r="HY163" i="8"/>
  <c r="HZ163" i="8"/>
  <c r="IA163" i="8"/>
  <c r="IB163" i="8"/>
  <c r="IC163" i="8"/>
  <c r="ID163" i="8"/>
  <c r="IE163" i="8"/>
  <c r="IF163" i="8"/>
  <c r="IG163" i="8"/>
  <c r="IH163" i="8"/>
  <c r="II163" i="8"/>
  <c r="IJ163" i="8"/>
  <c r="IK163" i="8"/>
  <c r="IL163" i="8"/>
  <c r="IM163" i="8"/>
  <c r="IN163" i="8"/>
  <c r="IO163" i="8"/>
  <c r="IP163" i="8"/>
  <c r="IQ163" i="8"/>
  <c r="IR163" i="8"/>
  <c r="IS163" i="8"/>
  <c r="IT163" i="8"/>
  <c r="IU163" i="8"/>
  <c r="IV163" i="8"/>
  <c r="F164" i="8"/>
  <c r="G164" i="8"/>
  <c r="H164" i="8"/>
  <c r="I164" i="8"/>
  <c r="J164" i="8"/>
  <c r="K164" i="8"/>
  <c r="L164" i="8"/>
  <c r="M164" i="8"/>
  <c r="N164" i="8"/>
  <c r="O164" i="8"/>
  <c r="P164" i="8"/>
  <c r="Q164" i="8"/>
  <c r="R164" i="8"/>
  <c r="S164" i="8"/>
  <c r="T164" i="8"/>
  <c r="U164" i="8"/>
  <c r="V164" i="8"/>
  <c r="W164" i="8"/>
  <c r="X164" i="8"/>
  <c r="Y164" i="8"/>
  <c r="Z164" i="8"/>
  <c r="AA164" i="8"/>
  <c r="AB164" i="8"/>
  <c r="AC164" i="8"/>
  <c r="AD164" i="8"/>
  <c r="AE164" i="8"/>
  <c r="AF164" i="8"/>
  <c r="AG164" i="8"/>
  <c r="AH164" i="8"/>
  <c r="AI164" i="8"/>
  <c r="AJ164" i="8"/>
  <c r="AK164" i="8"/>
  <c r="AL164" i="8"/>
  <c r="AM164" i="8"/>
  <c r="AN164" i="8"/>
  <c r="AO164" i="8"/>
  <c r="AP164" i="8"/>
  <c r="AQ164" i="8"/>
  <c r="AR164" i="8"/>
  <c r="AS164" i="8"/>
  <c r="AT164" i="8"/>
  <c r="AU164" i="8"/>
  <c r="AV164" i="8"/>
  <c r="AW164" i="8"/>
  <c r="AX164" i="8"/>
  <c r="AY164" i="8"/>
  <c r="AZ164" i="8"/>
  <c r="BA164" i="8"/>
  <c r="BB164" i="8"/>
  <c r="BC164" i="8"/>
  <c r="BD164" i="8"/>
  <c r="BE164" i="8"/>
  <c r="BF164" i="8"/>
  <c r="BG164" i="8"/>
  <c r="BH164" i="8"/>
  <c r="BI164" i="8"/>
  <c r="BJ164" i="8"/>
  <c r="BK164" i="8"/>
  <c r="BL164" i="8"/>
  <c r="BM164" i="8"/>
  <c r="BN164" i="8"/>
  <c r="BO164" i="8"/>
  <c r="BP164" i="8"/>
  <c r="BQ164" i="8"/>
  <c r="BR164" i="8"/>
  <c r="BS164" i="8"/>
  <c r="BT164" i="8"/>
  <c r="BU164" i="8"/>
  <c r="BV164" i="8"/>
  <c r="BW164" i="8"/>
  <c r="BX164" i="8"/>
  <c r="BY164" i="8"/>
  <c r="BZ164" i="8"/>
  <c r="CA164" i="8"/>
  <c r="CB164" i="8"/>
  <c r="CC164" i="8"/>
  <c r="CD164" i="8"/>
  <c r="CE164" i="8"/>
  <c r="CF164" i="8"/>
  <c r="CG164" i="8"/>
  <c r="CH164" i="8"/>
  <c r="CI164" i="8"/>
  <c r="CJ164" i="8"/>
  <c r="CK164" i="8"/>
  <c r="CL164" i="8"/>
  <c r="CM164" i="8"/>
  <c r="CN164" i="8"/>
  <c r="CO164" i="8"/>
  <c r="CP164" i="8"/>
  <c r="CQ164" i="8"/>
  <c r="CR164" i="8"/>
  <c r="CS164" i="8"/>
  <c r="CT164" i="8"/>
  <c r="CU164" i="8"/>
  <c r="CV164" i="8"/>
  <c r="CW164" i="8"/>
  <c r="CX164" i="8"/>
  <c r="CY164" i="8"/>
  <c r="CZ164" i="8"/>
  <c r="DA164" i="8"/>
  <c r="DB164" i="8"/>
  <c r="DC164" i="8"/>
  <c r="DD164" i="8"/>
  <c r="DE164" i="8"/>
  <c r="DF164" i="8"/>
  <c r="DG164" i="8"/>
  <c r="DH164" i="8"/>
  <c r="DI164" i="8"/>
  <c r="DJ164" i="8"/>
  <c r="DK164" i="8"/>
  <c r="DL164" i="8"/>
  <c r="DM164" i="8"/>
  <c r="DN164" i="8"/>
  <c r="DO164" i="8"/>
  <c r="DP164" i="8"/>
  <c r="DQ164" i="8"/>
  <c r="DR164" i="8"/>
  <c r="DS164" i="8"/>
  <c r="DT164" i="8"/>
  <c r="DU164" i="8"/>
  <c r="DV164" i="8"/>
  <c r="DW164" i="8"/>
  <c r="DX164" i="8"/>
  <c r="DY164" i="8"/>
  <c r="DZ164" i="8"/>
  <c r="EA164" i="8"/>
  <c r="EB164" i="8"/>
  <c r="EC164" i="8"/>
  <c r="ED164" i="8"/>
  <c r="EE164" i="8"/>
  <c r="EF164" i="8"/>
  <c r="EG164" i="8"/>
  <c r="EH164" i="8"/>
  <c r="EI164" i="8"/>
  <c r="EJ164" i="8"/>
  <c r="EK164" i="8"/>
  <c r="EL164" i="8"/>
  <c r="EM164" i="8"/>
  <c r="EN164" i="8"/>
  <c r="EO164" i="8"/>
  <c r="EP164" i="8"/>
  <c r="EQ164" i="8"/>
  <c r="ER164" i="8"/>
  <c r="ES164" i="8"/>
  <c r="ET164" i="8"/>
  <c r="EU164" i="8"/>
  <c r="EV164" i="8"/>
  <c r="EW164" i="8"/>
  <c r="EX164" i="8"/>
  <c r="EY164" i="8"/>
  <c r="EZ164" i="8"/>
  <c r="FA164" i="8"/>
  <c r="FB164" i="8"/>
  <c r="FC164" i="8"/>
  <c r="FD164" i="8"/>
  <c r="FE164" i="8"/>
  <c r="FF164" i="8"/>
  <c r="FG164" i="8"/>
  <c r="FH164" i="8"/>
  <c r="FI164" i="8"/>
  <c r="FJ164" i="8"/>
  <c r="FK164" i="8"/>
  <c r="FL164" i="8"/>
  <c r="FM164" i="8"/>
  <c r="FN164" i="8"/>
  <c r="FO164" i="8"/>
  <c r="FP164" i="8"/>
  <c r="FQ164" i="8"/>
  <c r="FR164" i="8"/>
  <c r="FS164" i="8"/>
  <c r="FT164" i="8"/>
  <c r="FU164" i="8"/>
  <c r="FV164" i="8"/>
  <c r="FW164" i="8"/>
  <c r="FX164" i="8"/>
  <c r="FY164" i="8"/>
  <c r="FZ164" i="8"/>
  <c r="GA164" i="8"/>
  <c r="GB164" i="8"/>
  <c r="GC164" i="8"/>
  <c r="GD164" i="8"/>
  <c r="GE164" i="8"/>
  <c r="GF164" i="8"/>
  <c r="GG164" i="8"/>
  <c r="GH164" i="8"/>
  <c r="GI164" i="8"/>
  <c r="GJ164" i="8"/>
  <c r="GK164" i="8"/>
  <c r="GL164" i="8"/>
  <c r="GM164" i="8"/>
  <c r="GN164" i="8"/>
  <c r="GO164" i="8"/>
  <c r="GP164" i="8"/>
  <c r="GQ164" i="8"/>
  <c r="GR164" i="8"/>
  <c r="GS164" i="8"/>
  <c r="GT164" i="8"/>
  <c r="GU164" i="8"/>
  <c r="GV164" i="8"/>
  <c r="GW164" i="8"/>
  <c r="GX164" i="8"/>
  <c r="GY164" i="8"/>
  <c r="GZ164" i="8"/>
  <c r="HA164" i="8"/>
  <c r="HB164" i="8"/>
  <c r="HC164" i="8"/>
  <c r="HD164" i="8"/>
  <c r="HE164" i="8"/>
  <c r="HF164" i="8"/>
  <c r="HG164" i="8"/>
  <c r="HH164" i="8"/>
  <c r="HI164" i="8"/>
  <c r="HJ164" i="8"/>
  <c r="HK164" i="8"/>
  <c r="HL164" i="8"/>
  <c r="HM164" i="8"/>
  <c r="HN164" i="8"/>
  <c r="HO164" i="8"/>
  <c r="HP164" i="8"/>
  <c r="HQ164" i="8"/>
  <c r="HR164" i="8"/>
  <c r="HS164" i="8"/>
  <c r="HT164" i="8"/>
  <c r="HU164" i="8"/>
  <c r="HV164" i="8"/>
  <c r="HW164" i="8"/>
  <c r="HX164" i="8"/>
  <c r="HY164" i="8"/>
  <c r="HZ164" i="8"/>
  <c r="IA164" i="8"/>
  <c r="IB164" i="8"/>
  <c r="IC164" i="8"/>
  <c r="ID164" i="8"/>
  <c r="IE164" i="8"/>
  <c r="IF164" i="8"/>
  <c r="IG164" i="8"/>
  <c r="IH164" i="8"/>
  <c r="II164" i="8"/>
  <c r="IJ164" i="8"/>
  <c r="IK164" i="8"/>
  <c r="IL164" i="8"/>
  <c r="IM164" i="8"/>
  <c r="IN164" i="8"/>
  <c r="IO164" i="8"/>
  <c r="IP164" i="8"/>
  <c r="IQ164" i="8"/>
  <c r="IR164" i="8"/>
  <c r="IS164" i="8"/>
  <c r="IT164" i="8"/>
  <c r="IU164" i="8"/>
  <c r="IV164" i="8"/>
  <c r="F165" i="8"/>
  <c r="G165" i="8"/>
  <c r="H165" i="8"/>
  <c r="I165" i="8"/>
  <c r="J165" i="8"/>
  <c r="K165" i="8"/>
  <c r="L165" i="8"/>
  <c r="M165" i="8"/>
  <c r="N165" i="8"/>
  <c r="O165" i="8"/>
  <c r="P165" i="8"/>
  <c r="Q165" i="8"/>
  <c r="R165" i="8"/>
  <c r="S165" i="8"/>
  <c r="T165" i="8"/>
  <c r="U165" i="8"/>
  <c r="V165" i="8"/>
  <c r="W165" i="8"/>
  <c r="X165" i="8"/>
  <c r="Y165" i="8"/>
  <c r="Z165" i="8"/>
  <c r="AA165" i="8"/>
  <c r="AB165" i="8"/>
  <c r="AC165" i="8"/>
  <c r="AD165" i="8"/>
  <c r="AE165" i="8"/>
  <c r="AF165" i="8"/>
  <c r="AG165" i="8"/>
  <c r="AH165" i="8"/>
  <c r="AI165" i="8"/>
  <c r="AJ165" i="8"/>
  <c r="AK165" i="8"/>
  <c r="AL165" i="8"/>
  <c r="AM165" i="8"/>
  <c r="AN165" i="8"/>
  <c r="AO165" i="8"/>
  <c r="AP165" i="8"/>
  <c r="AQ165" i="8"/>
  <c r="AR165" i="8"/>
  <c r="AS165" i="8"/>
  <c r="AT165" i="8"/>
  <c r="AU165" i="8"/>
  <c r="AV165" i="8"/>
  <c r="AW165" i="8"/>
  <c r="AX165" i="8"/>
  <c r="AY165" i="8"/>
  <c r="AZ165" i="8"/>
  <c r="BA165" i="8"/>
  <c r="BB165" i="8"/>
  <c r="BC165" i="8"/>
  <c r="BD165" i="8"/>
  <c r="BE165" i="8"/>
  <c r="BF165" i="8"/>
  <c r="BG165" i="8"/>
  <c r="BH165" i="8"/>
  <c r="BI165" i="8"/>
  <c r="BJ165" i="8"/>
  <c r="BK165" i="8"/>
  <c r="BL165" i="8"/>
  <c r="BM165" i="8"/>
  <c r="BN165" i="8"/>
  <c r="BO165" i="8"/>
  <c r="BP165" i="8"/>
  <c r="BQ165" i="8"/>
  <c r="BR165" i="8"/>
  <c r="BS165" i="8"/>
  <c r="BT165" i="8"/>
  <c r="BU165" i="8"/>
  <c r="BV165" i="8"/>
  <c r="BW165" i="8"/>
  <c r="BX165" i="8"/>
  <c r="BY165" i="8"/>
  <c r="BZ165" i="8"/>
  <c r="CA165" i="8"/>
  <c r="CB165" i="8"/>
  <c r="CC165" i="8"/>
  <c r="CD165" i="8"/>
  <c r="CE165" i="8"/>
  <c r="CF165" i="8"/>
  <c r="CG165" i="8"/>
  <c r="CH165" i="8"/>
  <c r="CI165" i="8"/>
  <c r="CJ165" i="8"/>
  <c r="CK165" i="8"/>
  <c r="CL165" i="8"/>
  <c r="CM165" i="8"/>
  <c r="CN165" i="8"/>
  <c r="CO165" i="8"/>
  <c r="CP165" i="8"/>
  <c r="CQ165" i="8"/>
  <c r="CR165" i="8"/>
  <c r="CS165" i="8"/>
  <c r="CT165" i="8"/>
  <c r="CU165" i="8"/>
  <c r="CV165" i="8"/>
  <c r="CW165" i="8"/>
  <c r="CX165" i="8"/>
  <c r="CY165" i="8"/>
  <c r="CZ165" i="8"/>
  <c r="DA165" i="8"/>
  <c r="DB165" i="8"/>
  <c r="DC165" i="8"/>
  <c r="DD165" i="8"/>
  <c r="DE165" i="8"/>
  <c r="DF165" i="8"/>
  <c r="DG165" i="8"/>
  <c r="DH165" i="8"/>
  <c r="DI165" i="8"/>
  <c r="DJ165" i="8"/>
  <c r="DK165" i="8"/>
  <c r="DL165" i="8"/>
  <c r="DM165" i="8"/>
  <c r="DN165" i="8"/>
  <c r="DO165" i="8"/>
  <c r="DP165" i="8"/>
  <c r="DQ165" i="8"/>
  <c r="DR165" i="8"/>
  <c r="DS165" i="8"/>
  <c r="DT165" i="8"/>
  <c r="DU165" i="8"/>
  <c r="DV165" i="8"/>
  <c r="DW165" i="8"/>
  <c r="DX165" i="8"/>
  <c r="DY165" i="8"/>
  <c r="DZ165" i="8"/>
  <c r="EA165" i="8"/>
  <c r="EB165" i="8"/>
  <c r="EC165" i="8"/>
  <c r="ED165" i="8"/>
  <c r="EE165" i="8"/>
  <c r="EF165" i="8"/>
  <c r="EG165" i="8"/>
  <c r="EH165" i="8"/>
  <c r="EI165" i="8"/>
  <c r="EJ165" i="8"/>
  <c r="EK165" i="8"/>
  <c r="EL165" i="8"/>
  <c r="EM165" i="8"/>
  <c r="EN165" i="8"/>
  <c r="EO165" i="8"/>
  <c r="EP165" i="8"/>
  <c r="EQ165" i="8"/>
  <c r="ER165" i="8"/>
  <c r="ES165" i="8"/>
  <c r="ET165" i="8"/>
  <c r="EU165" i="8"/>
  <c r="EV165" i="8"/>
  <c r="EW165" i="8"/>
  <c r="EX165" i="8"/>
  <c r="EY165" i="8"/>
  <c r="EZ165" i="8"/>
  <c r="FA165" i="8"/>
  <c r="FB165" i="8"/>
  <c r="FC165" i="8"/>
  <c r="FD165" i="8"/>
  <c r="FE165" i="8"/>
  <c r="FF165" i="8"/>
  <c r="FG165" i="8"/>
  <c r="FH165" i="8"/>
  <c r="FI165" i="8"/>
  <c r="FJ165" i="8"/>
  <c r="FK165" i="8"/>
  <c r="FL165" i="8"/>
  <c r="FM165" i="8"/>
  <c r="FN165" i="8"/>
  <c r="FO165" i="8"/>
  <c r="FP165" i="8"/>
  <c r="FQ165" i="8"/>
  <c r="FR165" i="8"/>
  <c r="FS165" i="8"/>
  <c r="FT165" i="8"/>
  <c r="FU165" i="8"/>
  <c r="FV165" i="8"/>
  <c r="FW165" i="8"/>
  <c r="FX165" i="8"/>
  <c r="FY165" i="8"/>
  <c r="FZ165" i="8"/>
  <c r="GA165" i="8"/>
  <c r="GB165" i="8"/>
  <c r="GC165" i="8"/>
  <c r="GD165" i="8"/>
  <c r="GE165" i="8"/>
  <c r="GF165" i="8"/>
  <c r="GG165" i="8"/>
  <c r="GH165" i="8"/>
  <c r="GI165" i="8"/>
  <c r="GJ165" i="8"/>
  <c r="GK165" i="8"/>
  <c r="GL165" i="8"/>
  <c r="GM165" i="8"/>
  <c r="GN165" i="8"/>
  <c r="GO165" i="8"/>
  <c r="GP165" i="8"/>
  <c r="GQ165" i="8"/>
  <c r="GR165" i="8"/>
  <c r="GS165" i="8"/>
  <c r="GT165" i="8"/>
  <c r="GU165" i="8"/>
  <c r="GV165" i="8"/>
  <c r="GW165" i="8"/>
  <c r="GX165" i="8"/>
  <c r="GY165" i="8"/>
  <c r="GZ165" i="8"/>
  <c r="HA165" i="8"/>
  <c r="HB165" i="8"/>
  <c r="HC165" i="8"/>
  <c r="HD165" i="8"/>
  <c r="HE165" i="8"/>
  <c r="HF165" i="8"/>
  <c r="HG165" i="8"/>
  <c r="HH165" i="8"/>
  <c r="HI165" i="8"/>
  <c r="HJ165" i="8"/>
  <c r="HK165" i="8"/>
  <c r="HL165" i="8"/>
  <c r="HM165" i="8"/>
  <c r="HN165" i="8"/>
  <c r="HO165" i="8"/>
  <c r="HP165" i="8"/>
  <c r="HQ165" i="8"/>
  <c r="HR165" i="8"/>
  <c r="HS165" i="8"/>
  <c r="HT165" i="8"/>
  <c r="HU165" i="8"/>
  <c r="HV165" i="8"/>
  <c r="HW165" i="8"/>
  <c r="HX165" i="8"/>
  <c r="HY165" i="8"/>
  <c r="HZ165" i="8"/>
  <c r="IA165" i="8"/>
  <c r="IB165" i="8"/>
  <c r="IC165" i="8"/>
  <c r="ID165" i="8"/>
  <c r="IE165" i="8"/>
  <c r="IF165" i="8"/>
  <c r="IG165" i="8"/>
  <c r="IH165" i="8"/>
  <c r="II165" i="8"/>
  <c r="IJ165" i="8"/>
  <c r="IK165" i="8"/>
  <c r="IL165" i="8"/>
  <c r="IM165" i="8"/>
  <c r="IN165" i="8"/>
  <c r="IO165" i="8"/>
  <c r="IP165" i="8"/>
  <c r="IQ165" i="8"/>
  <c r="IR165" i="8"/>
  <c r="IS165" i="8"/>
  <c r="IT165" i="8"/>
  <c r="IU165" i="8"/>
  <c r="IV165" i="8"/>
  <c r="F166" i="8"/>
  <c r="G166" i="8"/>
  <c r="H166" i="8"/>
  <c r="I166" i="8"/>
  <c r="J166" i="8"/>
  <c r="K166" i="8"/>
  <c r="L166" i="8"/>
  <c r="M166" i="8"/>
  <c r="N166" i="8"/>
  <c r="O166" i="8"/>
  <c r="P166" i="8"/>
  <c r="Q166" i="8"/>
  <c r="R166" i="8"/>
  <c r="S166" i="8"/>
  <c r="T166" i="8"/>
  <c r="U166" i="8"/>
  <c r="V166" i="8"/>
  <c r="W166" i="8"/>
  <c r="X166" i="8"/>
  <c r="Y166" i="8"/>
  <c r="Z166" i="8"/>
  <c r="AA166" i="8"/>
  <c r="AB166" i="8"/>
  <c r="AC166" i="8"/>
  <c r="AD166" i="8"/>
  <c r="AE166" i="8"/>
  <c r="AF166" i="8"/>
  <c r="AG166" i="8"/>
  <c r="AH166" i="8"/>
  <c r="AI166" i="8"/>
  <c r="AJ166" i="8"/>
  <c r="AK166" i="8"/>
  <c r="AL166" i="8"/>
  <c r="AM166" i="8"/>
  <c r="AN166" i="8"/>
  <c r="AO166" i="8"/>
  <c r="AP166" i="8"/>
  <c r="AQ166" i="8"/>
  <c r="AR166" i="8"/>
  <c r="AS166" i="8"/>
  <c r="AT166" i="8"/>
  <c r="AU166" i="8"/>
  <c r="AV166" i="8"/>
  <c r="AW166" i="8"/>
  <c r="AX166" i="8"/>
  <c r="AY166" i="8"/>
  <c r="AZ166" i="8"/>
  <c r="BA166" i="8"/>
  <c r="BB166" i="8"/>
  <c r="BC166" i="8"/>
  <c r="BD166" i="8"/>
  <c r="BE166" i="8"/>
  <c r="BF166" i="8"/>
  <c r="BG166" i="8"/>
  <c r="BH166" i="8"/>
  <c r="BI166" i="8"/>
  <c r="BJ166" i="8"/>
  <c r="BK166" i="8"/>
  <c r="BL166" i="8"/>
  <c r="BM166" i="8"/>
  <c r="BN166" i="8"/>
  <c r="BO166" i="8"/>
  <c r="BP166" i="8"/>
  <c r="BQ166" i="8"/>
  <c r="BR166" i="8"/>
  <c r="BS166" i="8"/>
  <c r="BT166" i="8"/>
  <c r="BU166" i="8"/>
  <c r="BV166" i="8"/>
  <c r="BW166" i="8"/>
  <c r="BX166" i="8"/>
  <c r="BY166" i="8"/>
  <c r="BZ166" i="8"/>
  <c r="CA166" i="8"/>
  <c r="CB166" i="8"/>
  <c r="CC166" i="8"/>
  <c r="CD166" i="8"/>
  <c r="CE166" i="8"/>
  <c r="CF166" i="8"/>
  <c r="CG166" i="8"/>
  <c r="CH166" i="8"/>
  <c r="CI166" i="8"/>
  <c r="CJ166" i="8"/>
  <c r="CK166" i="8"/>
  <c r="CL166" i="8"/>
  <c r="CM166" i="8"/>
  <c r="CN166" i="8"/>
  <c r="CO166" i="8"/>
  <c r="CP166" i="8"/>
  <c r="CQ166" i="8"/>
  <c r="CR166" i="8"/>
  <c r="CS166" i="8"/>
  <c r="CT166" i="8"/>
  <c r="CU166" i="8"/>
  <c r="CV166" i="8"/>
  <c r="CW166" i="8"/>
  <c r="CX166" i="8"/>
  <c r="CY166" i="8"/>
  <c r="CZ166" i="8"/>
  <c r="DA166" i="8"/>
  <c r="DB166" i="8"/>
  <c r="DC166" i="8"/>
  <c r="DD166" i="8"/>
  <c r="DE166" i="8"/>
  <c r="DF166" i="8"/>
  <c r="DG166" i="8"/>
  <c r="DH166" i="8"/>
  <c r="DI166" i="8"/>
  <c r="DJ166" i="8"/>
  <c r="DK166" i="8"/>
  <c r="DL166" i="8"/>
  <c r="DM166" i="8"/>
  <c r="DN166" i="8"/>
  <c r="DO166" i="8"/>
  <c r="DP166" i="8"/>
  <c r="DQ166" i="8"/>
  <c r="DR166" i="8"/>
  <c r="DS166" i="8"/>
  <c r="DT166" i="8"/>
  <c r="DU166" i="8"/>
  <c r="DV166" i="8"/>
  <c r="DW166" i="8"/>
  <c r="DX166" i="8"/>
  <c r="DY166" i="8"/>
  <c r="DZ166" i="8"/>
  <c r="EA166" i="8"/>
  <c r="EB166" i="8"/>
  <c r="EC166" i="8"/>
  <c r="ED166" i="8"/>
  <c r="EE166" i="8"/>
  <c r="EF166" i="8"/>
  <c r="EG166" i="8"/>
  <c r="EH166" i="8"/>
  <c r="EI166" i="8"/>
  <c r="EJ166" i="8"/>
  <c r="EK166" i="8"/>
  <c r="EL166" i="8"/>
  <c r="EM166" i="8"/>
  <c r="EN166" i="8"/>
  <c r="EO166" i="8"/>
  <c r="EP166" i="8"/>
  <c r="EQ166" i="8"/>
  <c r="ER166" i="8"/>
  <c r="ES166" i="8"/>
  <c r="ET166" i="8"/>
  <c r="EU166" i="8"/>
  <c r="EV166" i="8"/>
  <c r="EW166" i="8"/>
  <c r="EX166" i="8"/>
  <c r="EY166" i="8"/>
  <c r="EZ166" i="8"/>
  <c r="FA166" i="8"/>
  <c r="FB166" i="8"/>
  <c r="FC166" i="8"/>
  <c r="FD166" i="8"/>
  <c r="FE166" i="8"/>
  <c r="FF166" i="8"/>
  <c r="FG166" i="8"/>
  <c r="FH166" i="8"/>
  <c r="FI166" i="8"/>
  <c r="FJ166" i="8"/>
  <c r="FK166" i="8"/>
  <c r="FL166" i="8"/>
  <c r="FM166" i="8"/>
  <c r="FN166" i="8"/>
  <c r="FO166" i="8"/>
  <c r="FP166" i="8"/>
  <c r="FQ166" i="8"/>
  <c r="FR166" i="8"/>
  <c r="FS166" i="8"/>
  <c r="FT166" i="8"/>
  <c r="FU166" i="8"/>
  <c r="FV166" i="8"/>
  <c r="FW166" i="8"/>
  <c r="FX166" i="8"/>
  <c r="FY166" i="8"/>
  <c r="FZ166" i="8"/>
  <c r="GA166" i="8"/>
  <c r="GB166" i="8"/>
  <c r="GC166" i="8"/>
  <c r="GD166" i="8"/>
  <c r="GE166" i="8"/>
  <c r="GF166" i="8"/>
  <c r="GG166" i="8"/>
  <c r="GH166" i="8"/>
  <c r="GI166" i="8"/>
  <c r="GJ166" i="8"/>
  <c r="GK166" i="8"/>
  <c r="GL166" i="8"/>
  <c r="GM166" i="8"/>
  <c r="GN166" i="8"/>
  <c r="GO166" i="8"/>
  <c r="GP166" i="8"/>
  <c r="GQ166" i="8"/>
  <c r="GR166" i="8"/>
  <c r="GS166" i="8"/>
  <c r="GT166" i="8"/>
  <c r="GU166" i="8"/>
  <c r="GV166" i="8"/>
  <c r="GW166" i="8"/>
  <c r="GX166" i="8"/>
  <c r="GY166" i="8"/>
  <c r="GZ166" i="8"/>
  <c r="HA166" i="8"/>
  <c r="HB166" i="8"/>
  <c r="HC166" i="8"/>
  <c r="HD166" i="8"/>
  <c r="HE166" i="8"/>
  <c r="HF166" i="8"/>
  <c r="HG166" i="8"/>
  <c r="HH166" i="8"/>
  <c r="HI166" i="8"/>
  <c r="HJ166" i="8"/>
  <c r="HK166" i="8"/>
  <c r="HL166" i="8"/>
  <c r="HM166" i="8"/>
  <c r="HN166" i="8"/>
  <c r="HO166" i="8"/>
  <c r="HP166" i="8"/>
  <c r="HQ166" i="8"/>
  <c r="HR166" i="8"/>
  <c r="HS166" i="8"/>
  <c r="HT166" i="8"/>
  <c r="HU166" i="8"/>
  <c r="HV166" i="8"/>
  <c r="HW166" i="8"/>
  <c r="HX166" i="8"/>
  <c r="HY166" i="8"/>
  <c r="HZ166" i="8"/>
  <c r="IA166" i="8"/>
  <c r="IB166" i="8"/>
  <c r="IC166" i="8"/>
  <c r="ID166" i="8"/>
  <c r="IE166" i="8"/>
  <c r="IF166" i="8"/>
  <c r="IG166" i="8"/>
  <c r="IH166" i="8"/>
  <c r="II166" i="8"/>
  <c r="IJ166" i="8"/>
  <c r="IK166" i="8"/>
  <c r="IL166" i="8"/>
  <c r="IM166" i="8"/>
  <c r="IN166" i="8"/>
  <c r="IO166" i="8"/>
  <c r="IP166" i="8"/>
  <c r="IQ166" i="8"/>
  <c r="IR166" i="8"/>
  <c r="IS166" i="8"/>
  <c r="IT166" i="8"/>
  <c r="IU166" i="8"/>
  <c r="IV166" i="8"/>
  <c r="F167" i="8"/>
  <c r="G167" i="8"/>
  <c r="H167" i="8"/>
  <c r="I167" i="8"/>
  <c r="J167" i="8"/>
  <c r="K167" i="8"/>
  <c r="L167" i="8"/>
  <c r="M167" i="8"/>
  <c r="N167" i="8"/>
  <c r="O167" i="8"/>
  <c r="P167" i="8"/>
  <c r="Q167" i="8"/>
  <c r="R167" i="8"/>
  <c r="S167" i="8"/>
  <c r="T167" i="8"/>
  <c r="U167" i="8"/>
  <c r="V167" i="8"/>
  <c r="W167" i="8"/>
  <c r="X167" i="8"/>
  <c r="Y167" i="8"/>
  <c r="Z167" i="8"/>
  <c r="AA167" i="8"/>
  <c r="AB167" i="8"/>
  <c r="AC167" i="8"/>
  <c r="AD167" i="8"/>
  <c r="AE167" i="8"/>
  <c r="AF167" i="8"/>
  <c r="AG167" i="8"/>
  <c r="AH167" i="8"/>
  <c r="AI167" i="8"/>
  <c r="AJ167" i="8"/>
  <c r="AK167" i="8"/>
  <c r="AL167" i="8"/>
  <c r="AM167" i="8"/>
  <c r="AN167" i="8"/>
  <c r="AO167" i="8"/>
  <c r="AP167" i="8"/>
  <c r="AQ167" i="8"/>
  <c r="AR167" i="8"/>
  <c r="AS167" i="8"/>
  <c r="AT167" i="8"/>
  <c r="AU167" i="8"/>
  <c r="AV167" i="8"/>
  <c r="AW167" i="8"/>
  <c r="AX167" i="8"/>
  <c r="AY167" i="8"/>
  <c r="AZ167" i="8"/>
  <c r="BA167" i="8"/>
  <c r="BB167" i="8"/>
  <c r="BC167" i="8"/>
  <c r="BD167" i="8"/>
  <c r="BE167" i="8"/>
  <c r="BF167" i="8"/>
  <c r="BG167" i="8"/>
  <c r="BH167" i="8"/>
  <c r="BI167" i="8"/>
  <c r="BJ167" i="8"/>
  <c r="BK167" i="8"/>
  <c r="BL167" i="8"/>
  <c r="BM167" i="8"/>
  <c r="BN167" i="8"/>
  <c r="BO167" i="8"/>
  <c r="BP167" i="8"/>
  <c r="BQ167" i="8"/>
  <c r="BR167" i="8"/>
  <c r="BS167" i="8"/>
  <c r="BT167" i="8"/>
  <c r="BU167" i="8"/>
  <c r="BV167" i="8"/>
  <c r="BW167" i="8"/>
  <c r="BX167" i="8"/>
  <c r="BY167" i="8"/>
  <c r="BZ167" i="8"/>
  <c r="CA167" i="8"/>
  <c r="CB167" i="8"/>
  <c r="CC167" i="8"/>
  <c r="CD167" i="8"/>
  <c r="CE167" i="8"/>
  <c r="CF167" i="8"/>
  <c r="CG167" i="8"/>
  <c r="CH167" i="8"/>
  <c r="CI167" i="8"/>
  <c r="CJ167" i="8"/>
  <c r="CK167" i="8"/>
  <c r="CL167" i="8"/>
  <c r="CM167" i="8"/>
  <c r="CN167" i="8"/>
  <c r="CO167" i="8"/>
  <c r="CP167" i="8"/>
  <c r="CQ167" i="8"/>
  <c r="CR167" i="8"/>
  <c r="CS167" i="8"/>
  <c r="CT167" i="8"/>
  <c r="CU167" i="8"/>
  <c r="CV167" i="8"/>
  <c r="CW167" i="8"/>
  <c r="CX167" i="8"/>
  <c r="CY167" i="8"/>
  <c r="CZ167" i="8"/>
  <c r="DA167" i="8"/>
  <c r="DB167" i="8"/>
  <c r="DC167" i="8"/>
  <c r="DD167" i="8"/>
  <c r="DE167" i="8"/>
  <c r="DF167" i="8"/>
  <c r="DG167" i="8"/>
  <c r="DH167" i="8"/>
  <c r="DI167" i="8"/>
  <c r="DJ167" i="8"/>
  <c r="DK167" i="8"/>
  <c r="DL167" i="8"/>
  <c r="DM167" i="8"/>
  <c r="DN167" i="8"/>
  <c r="DO167" i="8"/>
  <c r="DP167" i="8"/>
  <c r="DQ167" i="8"/>
  <c r="DR167" i="8"/>
  <c r="DS167" i="8"/>
  <c r="DT167" i="8"/>
  <c r="DU167" i="8"/>
  <c r="DV167" i="8"/>
  <c r="DW167" i="8"/>
  <c r="DX167" i="8"/>
  <c r="DY167" i="8"/>
  <c r="DZ167" i="8"/>
  <c r="EA167" i="8"/>
  <c r="EB167" i="8"/>
  <c r="EC167" i="8"/>
  <c r="ED167" i="8"/>
  <c r="EE167" i="8"/>
  <c r="EF167" i="8"/>
  <c r="EG167" i="8"/>
  <c r="EH167" i="8"/>
  <c r="EI167" i="8"/>
  <c r="EJ167" i="8"/>
  <c r="EK167" i="8"/>
  <c r="EL167" i="8"/>
  <c r="EM167" i="8"/>
  <c r="EN167" i="8"/>
  <c r="EO167" i="8"/>
  <c r="EP167" i="8"/>
  <c r="EQ167" i="8"/>
  <c r="ER167" i="8"/>
  <c r="ES167" i="8"/>
  <c r="ET167" i="8"/>
  <c r="EU167" i="8"/>
  <c r="EV167" i="8"/>
  <c r="EW167" i="8"/>
  <c r="EX167" i="8"/>
  <c r="EY167" i="8"/>
  <c r="EZ167" i="8"/>
  <c r="FA167" i="8"/>
  <c r="FB167" i="8"/>
  <c r="FC167" i="8"/>
  <c r="FD167" i="8"/>
  <c r="FE167" i="8"/>
  <c r="FF167" i="8"/>
  <c r="FG167" i="8"/>
  <c r="FH167" i="8"/>
  <c r="FI167" i="8"/>
  <c r="FJ167" i="8"/>
  <c r="FK167" i="8"/>
  <c r="FL167" i="8"/>
  <c r="FM167" i="8"/>
  <c r="FN167" i="8"/>
  <c r="FO167" i="8"/>
  <c r="FP167" i="8"/>
  <c r="FQ167" i="8"/>
  <c r="FR167" i="8"/>
  <c r="FS167" i="8"/>
  <c r="FT167" i="8"/>
  <c r="FU167" i="8"/>
  <c r="FV167" i="8"/>
  <c r="FW167" i="8"/>
  <c r="FX167" i="8"/>
  <c r="FY167" i="8"/>
  <c r="FZ167" i="8"/>
  <c r="GA167" i="8"/>
  <c r="GB167" i="8"/>
  <c r="GC167" i="8"/>
  <c r="GD167" i="8"/>
  <c r="GE167" i="8"/>
  <c r="GF167" i="8"/>
  <c r="GG167" i="8"/>
  <c r="GH167" i="8"/>
  <c r="GI167" i="8"/>
  <c r="GJ167" i="8"/>
  <c r="GK167" i="8"/>
  <c r="GL167" i="8"/>
  <c r="GM167" i="8"/>
  <c r="GN167" i="8"/>
  <c r="GO167" i="8"/>
  <c r="GP167" i="8"/>
  <c r="GQ167" i="8"/>
  <c r="GR167" i="8"/>
  <c r="GS167" i="8"/>
  <c r="GT167" i="8"/>
  <c r="GU167" i="8"/>
  <c r="GV167" i="8"/>
  <c r="GW167" i="8"/>
  <c r="GX167" i="8"/>
  <c r="GY167" i="8"/>
  <c r="GZ167" i="8"/>
  <c r="HA167" i="8"/>
  <c r="HB167" i="8"/>
  <c r="HC167" i="8"/>
  <c r="HD167" i="8"/>
  <c r="HE167" i="8"/>
  <c r="HF167" i="8"/>
  <c r="HG167" i="8"/>
  <c r="HH167" i="8"/>
  <c r="HI167" i="8"/>
  <c r="HJ167" i="8"/>
  <c r="HK167" i="8"/>
  <c r="HL167" i="8"/>
  <c r="HM167" i="8"/>
  <c r="HN167" i="8"/>
  <c r="HO167" i="8"/>
  <c r="HP167" i="8"/>
  <c r="HQ167" i="8"/>
  <c r="HR167" i="8"/>
  <c r="HS167" i="8"/>
  <c r="HT167" i="8"/>
  <c r="HU167" i="8"/>
  <c r="HV167" i="8"/>
  <c r="HW167" i="8"/>
  <c r="HX167" i="8"/>
  <c r="HY167" i="8"/>
  <c r="HZ167" i="8"/>
  <c r="IA167" i="8"/>
  <c r="IB167" i="8"/>
  <c r="IC167" i="8"/>
  <c r="ID167" i="8"/>
  <c r="IE167" i="8"/>
  <c r="IF167" i="8"/>
  <c r="IG167" i="8"/>
  <c r="IH167" i="8"/>
  <c r="II167" i="8"/>
  <c r="IJ167" i="8"/>
  <c r="IK167" i="8"/>
  <c r="IL167" i="8"/>
  <c r="IM167" i="8"/>
  <c r="IN167" i="8"/>
  <c r="IO167" i="8"/>
  <c r="IP167" i="8"/>
  <c r="IQ167" i="8"/>
  <c r="IR167" i="8"/>
  <c r="IS167" i="8"/>
  <c r="IT167" i="8"/>
  <c r="IU167" i="8"/>
  <c r="IV167" i="8"/>
  <c r="F168" i="8"/>
  <c r="G168" i="8"/>
  <c r="H168" i="8"/>
  <c r="I168" i="8"/>
  <c r="J168" i="8"/>
  <c r="K168" i="8"/>
  <c r="L168" i="8"/>
  <c r="M168" i="8"/>
  <c r="N168" i="8"/>
  <c r="O168" i="8"/>
  <c r="P168" i="8"/>
  <c r="Q168" i="8"/>
  <c r="R168" i="8"/>
  <c r="S168" i="8"/>
  <c r="T168" i="8"/>
  <c r="U168" i="8"/>
  <c r="V168" i="8"/>
  <c r="W168" i="8"/>
  <c r="X168" i="8"/>
  <c r="Y168" i="8"/>
  <c r="Z168" i="8"/>
  <c r="AA168" i="8"/>
  <c r="AB168" i="8"/>
  <c r="AC168" i="8"/>
  <c r="AD168" i="8"/>
  <c r="AE168" i="8"/>
  <c r="AF168" i="8"/>
  <c r="AG168" i="8"/>
  <c r="AH168" i="8"/>
  <c r="AI168" i="8"/>
  <c r="AJ168" i="8"/>
  <c r="AK168" i="8"/>
  <c r="AL168" i="8"/>
  <c r="AM168" i="8"/>
  <c r="AN168" i="8"/>
  <c r="AO168" i="8"/>
  <c r="AP168" i="8"/>
  <c r="AQ168" i="8"/>
  <c r="AR168" i="8"/>
  <c r="AS168" i="8"/>
  <c r="AT168" i="8"/>
  <c r="AU168" i="8"/>
  <c r="AV168" i="8"/>
  <c r="AW168" i="8"/>
  <c r="AX168" i="8"/>
  <c r="AY168" i="8"/>
  <c r="AZ168" i="8"/>
  <c r="BA168" i="8"/>
  <c r="BB168" i="8"/>
  <c r="BC168" i="8"/>
  <c r="BD168" i="8"/>
  <c r="BE168" i="8"/>
  <c r="BF168" i="8"/>
  <c r="BG168" i="8"/>
  <c r="BH168" i="8"/>
  <c r="BI168" i="8"/>
  <c r="BJ168" i="8"/>
  <c r="BK168" i="8"/>
  <c r="BL168" i="8"/>
  <c r="BM168" i="8"/>
  <c r="BN168" i="8"/>
  <c r="BO168" i="8"/>
  <c r="BP168" i="8"/>
  <c r="BQ168" i="8"/>
  <c r="BR168" i="8"/>
  <c r="BS168" i="8"/>
  <c r="BT168" i="8"/>
  <c r="BU168" i="8"/>
  <c r="BV168" i="8"/>
  <c r="BW168" i="8"/>
  <c r="BX168" i="8"/>
  <c r="BY168" i="8"/>
  <c r="BZ168" i="8"/>
  <c r="CA168" i="8"/>
  <c r="CB168" i="8"/>
  <c r="CC168" i="8"/>
  <c r="CD168" i="8"/>
  <c r="CE168" i="8"/>
  <c r="CF168" i="8"/>
  <c r="CG168" i="8"/>
  <c r="CH168" i="8"/>
  <c r="CI168" i="8"/>
  <c r="CJ168" i="8"/>
  <c r="CK168" i="8"/>
  <c r="CL168" i="8"/>
  <c r="CM168" i="8"/>
  <c r="CN168" i="8"/>
  <c r="CO168" i="8"/>
  <c r="CP168" i="8"/>
  <c r="CQ168" i="8"/>
  <c r="CR168" i="8"/>
  <c r="CS168" i="8"/>
  <c r="CT168" i="8"/>
  <c r="CU168" i="8"/>
  <c r="CV168" i="8"/>
  <c r="CW168" i="8"/>
  <c r="CX168" i="8"/>
  <c r="CY168" i="8"/>
  <c r="CZ168" i="8"/>
  <c r="DA168" i="8"/>
  <c r="DB168" i="8"/>
  <c r="DC168" i="8"/>
  <c r="DD168" i="8"/>
  <c r="DE168" i="8"/>
  <c r="DF168" i="8"/>
  <c r="DG168" i="8"/>
  <c r="DH168" i="8"/>
  <c r="DI168" i="8"/>
  <c r="DJ168" i="8"/>
  <c r="DK168" i="8"/>
  <c r="DL168" i="8"/>
  <c r="DM168" i="8"/>
  <c r="DN168" i="8"/>
  <c r="DO168" i="8"/>
  <c r="DP168" i="8"/>
  <c r="DQ168" i="8"/>
  <c r="DR168" i="8"/>
  <c r="DS168" i="8"/>
  <c r="DT168" i="8"/>
  <c r="DU168" i="8"/>
  <c r="DV168" i="8"/>
  <c r="DW168" i="8"/>
  <c r="DX168" i="8"/>
  <c r="DY168" i="8"/>
  <c r="DZ168" i="8"/>
  <c r="EA168" i="8"/>
  <c r="EB168" i="8"/>
  <c r="EC168" i="8"/>
  <c r="ED168" i="8"/>
  <c r="EE168" i="8"/>
  <c r="EF168" i="8"/>
  <c r="EG168" i="8"/>
  <c r="EH168" i="8"/>
  <c r="EI168" i="8"/>
  <c r="EJ168" i="8"/>
  <c r="EK168" i="8"/>
  <c r="EL168" i="8"/>
  <c r="EM168" i="8"/>
  <c r="EN168" i="8"/>
  <c r="EO168" i="8"/>
  <c r="EP168" i="8"/>
  <c r="EQ168" i="8"/>
  <c r="ER168" i="8"/>
  <c r="ES168" i="8"/>
  <c r="ET168" i="8"/>
  <c r="EU168" i="8"/>
  <c r="EV168" i="8"/>
  <c r="EW168" i="8"/>
  <c r="EX168" i="8"/>
  <c r="EY168" i="8"/>
  <c r="EZ168" i="8"/>
  <c r="FA168" i="8"/>
  <c r="FB168" i="8"/>
  <c r="FC168" i="8"/>
  <c r="FD168" i="8"/>
  <c r="FE168" i="8"/>
  <c r="FF168" i="8"/>
  <c r="FG168" i="8"/>
  <c r="FH168" i="8"/>
  <c r="FI168" i="8"/>
  <c r="FJ168" i="8"/>
  <c r="FK168" i="8"/>
  <c r="FL168" i="8"/>
  <c r="FM168" i="8"/>
  <c r="FN168" i="8"/>
  <c r="FO168" i="8"/>
  <c r="FP168" i="8"/>
  <c r="FQ168" i="8"/>
  <c r="FR168" i="8"/>
  <c r="FS168" i="8"/>
  <c r="FT168" i="8"/>
  <c r="FU168" i="8"/>
  <c r="FV168" i="8"/>
  <c r="FW168" i="8"/>
  <c r="FX168" i="8"/>
  <c r="FY168" i="8"/>
  <c r="FZ168" i="8"/>
  <c r="GA168" i="8"/>
  <c r="GB168" i="8"/>
  <c r="GC168" i="8"/>
  <c r="GD168" i="8"/>
  <c r="GE168" i="8"/>
  <c r="GF168" i="8"/>
  <c r="GG168" i="8"/>
  <c r="GH168" i="8"/>
  <c r="GI168" i="8"/>
  <c r="GJ168" i="8"/>
  <c r="GK168" i="8"/>
  <c r="GL168" i="8"/>
  <c r="GM168" i="8"/>
  <c r="GN168" i="8"/>
  <c r="GO168" i="8"/>
  <c r="GP168" i="8"/>
  <c r="GQ168" i="8"/>
  <c r="GR168" i="8"/>
  <c r="GS168" i="8"/>
  <c r="GT168" i="8"/>
  <c r="GU168" i="8"/>
  <c r="GV168" i="8"/>
  <c r="GW168" i="8"/>
  <c r="GX168" i="8"/>
  <c r="GY168" i="8"/>
  <c r="GZ168" i="8"/>
  <c r="HA168" i="8"/>
  <c r="HB168" i="8"/>
  <c r="HC168" i="8"/>
  <c r="HD168" i="8"/>
  <c r="HE168" i="8"/>
  <c r="HF168" i="8"/>
  <c r="HG168" i="8"/>
  <c r="HH168" i="8"/>
  <c r="HI168" i="8"/>
  <c r="HJ168" i="8"/>
  <c r="HK168" i="8"/>
  <c r="HL168" i="8"/>
  <c r="HM168" i="8"/>
  <c r="HN168" i="8"/>
  <c r="HO168" i="8"/>
  <c r="HP168" i="8"/>
  <c r="HQ168" i="8"/>
  <c r="HR168" i="8"/>
  <c r="HS168" i="8"/>
  <c r="HT168" i="8"/>
  <c r="HU168" i="8"/>
  <c r="HV168" i="8"/>
  <c r="HW168" i="8"/>
  <c r="HX168" i="8"/>
  <c r="HY168" i="8"/>
  <c r="HZ168" i="8"/>
  <c r="IA168" i="8"/>
  <c r="IB168" i="8"/>
  <c r="IC168" i="8"/>
  <c r="ID168" i="8"/>
  <c r="IE168" i="8"/>
  <c r="IF168" i="8"/>
  <c r="IG168" i="8"/>
  <c r="IH168" i="8"/>
  <c r="II168" i="8"/>
  <c r="IJ168" i="8"/>
  <c r="IK168" i="8"/>
  <c r="IL168" i="8"/>
  <c r="IM168" i="8"/>
  <c r="IN168" i="8"/>
  <c r="IO168" i="8"/>
  <c r="IP168" i="8"/>
  <c r="IQ168" i="8"/>
  <c r="IR168" i="8"/>
  <c r="IS168" i="8"/>
  <c r="IT168" i="8"/>
  <c r="IU168" i="8"/>
  <c r="IV168" i="8"/>
  <c r="F169" i="8"/>
  <c r="G169" i="8"/>
  <c r="H169" i="8"/>
  <c r="I169" i="8"/>
  <c r="J169" i="8"/>
  <c r="K169" i="8"/>
  <c r="L169" i="8"/>
  <c r="M169" i="8"/>
  <c r="N169" i="8"/>
  <c r="O169" i="8"/>
  <c r="P169" i="8"/>
  <c r="Q169" i="8"/>
  <c r="R169" i="8"/>
  <c r="S169" i="8"/>
  <c r="T169" i="8"/>
  <c r="U169" i="8"/>
  <c r="V169" i="8"/>
  <c r="W169" i="8"/>
  <c r="X169" i="8"/>
  <c r="Y169" i="8"/>
  <c r="Z169" i="8"/>
  <c r="AA169" i="8"/>
  <c r="AB169" i="8"/>
  <c r="AC169" i="8"/>
  <c r="AD169" i="8"/>
  <c r="AE169" i="8"/>
  <c r="AF169" i="8"/>
  <c r="AG169" i="8"/>
  <c r="AH169" i="8"/>
  <c r="AI169" i="8"/>
  <c r="AJ169" i="8"/>
  <c r="AK169" i="8"/>
  <c r="AL169" i="8"/>
  <c r="AM169" i="8"/>
  <c r="AN169" i="8"/>
  <c r="AO169" i="8"/>
  <c r="AP169" i="8"/>
  <c r="AQ169" i="8"/>
  <c r="AR169" i="8"/>
  <c r="AS169" i="8"/>
  <c r="AT169" i="8"/>
  <c r="AU169" i="8"/>
  <c r="AV169" i="8"/>
  <c r="AW169" i="8"/>
  <c r="AX169" i="8"/>
  <c r="AY169" i="8"/>
  <c r="AZ169" i="8"/>
  <c r="BA169" i="8"/>
  <c r="BB169" i="8"/>
  <c r="BC169" i="8"/>
  <c r="BD169" i="8"/>
  <c r="BE169" i="8"/>
  <c r="BF169" i="8"/>
  <c r="BG169" i="8"/>
  <c r="BH169" i="8"/>
  <c r="BI169" i="8"/>
  <c r="BJ169" i="8"/>
  <c r="BK169" i="8"/>
  <c r="BL169" i="8"/>
  <c r="BM169" i="8"/>
  <c r="BN169" i="8"/>
  <c r="BO169" i="8"/>
  <c r="BP169" i="8"/>
  <c r="BQ169" i="8"/>
  <c r="BR169" i="8"/>
  <c r="BS169" i="8"/>
  <c r="BT169" i="8"/>
  <c r="BU169" i="8"/>
  <c r="BV169" i="8"/>
  <c r="BW169" i="8"/>
  <c r="BX169" i="8"/>
  <c r="BY169" i="8"/>
  <c r="BZ169" i="8"/>
  <c r="CA169" i="8"/>
  <c r="CB169" i="8"/>
  <c r="CC169" i="8"/>
  <c r="CD169" i="8"/>
  <c r="CE169" i="8"/>
  <c r="CF169" i="8"/>
  <c r="CG169" i="8"/>
  <c r="CH169" i="8"/>
  <c r="CI169" i="8"/>
  <c r="CJ169" i="8"/>
  <c r="CK169" i="8"/>
  <c r="CL169" i="8"/>
  <c r="CM169" i="8"/>
  <c r="CN169" i="8"/>
  <c r="CO169" i="8"/>
  <c r="CP169" i="8"/>
  <c r="CQ169" i="8"/>
  <c r="CR169" i="8"/>
  <c r="CS169" i="8"/>
  <c r="CT169" i="8"/>
  <c r="CU169" i="8"/>
  <c r="CV169" i="8"/>
  <c r="CW169" i="8"/>
  <c r="CX169" i="8"/>
  <c r="CY169" i="8"/>
  <c r="CZ169" i="8"/>
  <c r="DA169" i="8"/>
  <c r="DB169" i="8"/>
  <c r="DC169" i="8"/>
  <c r="DD169" i="8"/>
  <c r="DE169" i="8"/>
  <c r="DF169" i="8"/>
  <c r="DG169" i="8"/>
  <c r="DH169" i="8"/>
  <c r="DI169" i="8"/>
  <c r="DJ169" i="8"/>
  <c r="DK169" i="8"/>
  <c r="DL169" i="8"/>
  <c r="DM169" i="8"/>
  <c r="DN169" i="8"/>
  <c r="DO169" i="8"/>
  <c r="DP169" i="8"/>
  <c r="DQ169" i="8"/>
  <c r="DR169" i="8"/>
  <c r="DS169" i="8"/>
  <c r="DT169" i="8"/>
  <c r="DU169" i="8"/>
  <c r="DV169" i="8"/>
  <c r="DW169" i="8"/>
  <c r="DX169" i="8"/>
  <c r="DY169" i="8"/>
  <c r="DZ169" i="8"/>
  <c r="EA169" i="8"/>
  <c r="EB169" i="8"/>
  <c r="EC169" i="8"/>
  <c r="ED169" i="8"/>
  <c r="EE169" i="8"/>
  <c r="EF169" i="8"/>
  <c r="EG169" i="8"/>
  <c r="EH169" i="8"/>
  <c r="EI169" i="8"/>
  <c r="EJ169" i="8"/>
  <c r="EK169" i="8"/>
  <c r="EL169" i="8"/>
  <c r="EM169" i="8"/>
  <c r="EN169" i="8"/>
  <c r="EO169" i="8"/>
  <c r="EP169" i="8"/>
  <c r="EQ169" i="8"/>
  <c r="ER169" i="8"/>
  <c r="ES169" i="8"/>
  <c r="ET169" i="8"/>
  <c r="EU169" i="8"/>
  <c r="EV169" i="8"/>
  <c r="EW169" i="8"/>
  <c r="EX169" i="8"/>
  <c r="EY169" i="8"/>
  <c r="EZ169" i="8"/>
  <c r="FA169" i="8"/>
  <c r="FB169" i="8"/>
  <c r="FC169" i="8"/>
  <c r="FD169" i="8"/>
  <c r="FE169" i="8"/>
  <c r="FF169" i="8"/>
  <c r="FG169" i="8"/>
  <c r="FH169" i="8"/>
  <c r="FI169" i="8"/>
  <c r="FJ169" i="8"/>
  <c r="FK169" i="8"/>
  <c r="FL169" i="8"/>
  <c r="FM169" i="8"/>
  <c r="FN169" i="8"/>
  <c r="FO169" i="8"/>
  <c r="FP169" i="8"/>
  <c r="FQ169" i="8"/>
  <c r="FR169" i="8"/>
  <c r="FS169" i="8"/>
  <c r="FT169" i="8"/>
  <c r="FU169" i="8"/>
  <c r="FV169" i="8"/>
  <c r="FW169" i="8"/>
  <c r="FX169" i="8"/>
  <c r="FY169" i="8"/>
  <c r="FZ169" i="8"/>
  <c r="GA169" i="8"/>
  <c r="GB169" i="8"/>
  <c r="GC169" i="8"/>
  <c r="GD169" i="8"/>
  <c r="GE169" i="8"/>
  <c r="GF169" i="8"/>
  <c r="GG169" i="8"/>
  <c r="GH169" i="8"/>
  <c r="GI169" i="8"/>
  <c r="GJ169" i="8"/>
  <c r="GK169" i="8"/>
  <c r="GL169" i="8"/>
  <c r="GM169" i="8"/>
  <c r="GN169" i="8"/>
  <c r="GO169" i="8"/>
  <c r="GP169" i="8"/>
  <c r="GQ169" i="8"/>
  <c r="GR169" i="8"/>
  <c r="GS169" i="8"/>
  <c r="GT169" i="8"/>
  <c r="GU169" i="8"/>
  <c r="GV169" i="8"/>
  <c r="GW169" i="8"/>
  <c r="GX169" i="8"/>
  <c r="GY169" i="8"/>
  <c r="GZ169" i="8"/>
  <c r="HA169" i="8"/>
  <c r="HB169" i="8"/>
  <c r="HC169" i="8"/>
  <c r="HD169" i="8"/>
  <c r="HE169" i="8"/>
  <c r="HF169" i="8"/>
  <c r="HG169" i="8"/>
  <c r="HH169" i="8"/>
  <c r="HI169" i="8"/>
  <c r="HJ169" i="8"/>
  <c r="HK169" i="8"/>
  <c r="HL169" i="8"/>
  <c r="HM169" i="8"/>
  <c r="HN169" i="8"/>
  <c r="HO169" i="8"/>
  <c r="HP169" i="8"/>
  <c r="HQ169" i="8"/>
  <c r="HR169" i="8"/>
  <c r="HS169" i="8"/>
  <c r="HT169" i="8"/>
  <c r="HU169" i="8"/>
  <c r="HV169" i="8"/>
  <c r="HW169" i="8"/>
  <c r="HX169" i="8"/>
  <c r="HY169" i="8"/>
  <c r="HZ169" i="8"/>
  <c r="IA169" i="8"/>
  <c r="IB169" i="8"/>
  <c r="IC169" i="8"/>
  <c r="ID169" i="8"/>
  <c r="IE169" i="8"/>
  <c r="IF169" i="8"/>
  <c r="IG169" i="8"/>
  <c r="IH169" i="8"/>
  <c r="II169" i="8"/>
  <c r="IJ169" i="8"/>
  <c r="IK169" i="8"/>
  <c r="IL169" i="8"/>
  <c r="IM169" i="8"/>
  <c r="IN169" i="8"/>
  <c r="IO169" i="8"/>
  <c r="IP169" i="8"/>
  <c r="IQ169" i="8"/>
  <c r="IR169" i="8"/>
  <c r="IS169" i="8"/>
  <c r="IT169" i="8"/>
  <c r="IU169" i="8"/>
  <c r="IV169" i="8"/>
  <c r="F170" i="8"/>
  <c r="G170" i="8"/>
  <c r="H170" i="8"/>
  <c r="I170" i="8"/>
  <c r="J170" i="8"/>
  <c r="K170" i="8"/>
  <c r="L170" i="8"/>
  <c r="M170" i="8"/>
  <c r="N170" i="8"/>
  <c r="O170" i="8"/>
  <c r="P170" i="8"/>
  <c r="Q170" i="8"/>
  <c r="R170" i="8"/>
  <c r="S170" i="8"/>
  <c r="T170" i="8"/>
  <c r="U170" i="8"/>
  <c r="V170" i="8"/>
  <c r="W170" i="8"/>
  <c r="X170" i="8"/>
  <c r="Y170" i="8"/>
  <c r="Z170" i="8"/>
  <c r="AA170" i="8"/>
  <c r="AB170" i="8"/>
  <c r="AC170" i="8"/>
  <c r="AD170" i="8"/>
  <c r="AE170" i="8"/>
  <c r="AF170" i="8"/>
  <c r="AG170" i="8"/>
  <c r="AH170" i="8"/>
  <c r="AI170" i="8"/>
  <c r="AJ170" i="8"/>
  <c r="AK170" i="8"/>
  <c r="AL170" i="8"/>
  <c r="AM170" i="8"/>
  <c r="AN170" i="8"/>
  <c r="AO170" i="8"/>
  <c r="AP170" i="8"/>
  <c r="AQ170" i="8"/>
  <c r="AR170" i="8"/>
  <c r="AS170" i="8"/>
  <c r="AT170" i="8"/>
  <c r="AU170" i="8"/>
  <c r="AV170" i="8"/>
  <c r="AW170" i="8"/>
  <c r="AX170" i="8"/>
  <c r="AY170" i="8"/>
  <c r="AZ170" i="8"/>
  <c r="BA170" i="8"/>
  <c r="BB170" i="8"/>
  <c r="BC170" i="8"/>
  <c r="BD170" i="8"/>
  <c r="BE170" i="8"/>
  <c r="BF170" i="8"/>
  <c r="BG170" i="8"/>
  <c r="BH170" i="8"/>
  <c r="BI170" i="8"/>
  <c r="BJ170" i="8"/>
  <c r="BK170" i="8"/>
  <c r="BL170" i="8"/>
  <c r="BM170" i="8"/>
  <c r="BN170" i="8"/>
  <c r="BO170" i="8"/>
  <c r="BP170" i="8"/>
  <c r="BQ170" i="8"/>
  <c r="BR170" i="8"/>
  <c r="BS170" i="8"/>
  <c r="BT170" i="8"/>
  <c r="BU170" i="8"/>
  <c r="BV170" i="8"/>
  <c r="BW170" i="8"/>
  <c r="BX170" i="8"/>
  <c r="BY170" i="8"/>
  <c r="BZ170" i="8"/>
  <c r="CA170" i="8"/>
  <c r="CB170" i="8"/>
  <c r="CC170" i="8"/>
  <c r="CD170" i="8"/>
  <c r="CE170" i="8"/>
  <c r="CF170" i="8"/>
  <c r="CG170" i="8"/>
  <c r="CH170" i="8"/>
  <c r="CI170" i="8"/>
  <c r="CJ170" i="8"/>
  <c r="CK170" i="8"/>
  <c r="CL170" i="8"/>
  <c r="CM170" i="8"/>
  <c r="CN170" i="8"/>
  <c r="CO170" i="8"/>
  <c r="CP170" i="8"/>
  <c r="CQ170" i="8"/>
  <c r="CR170" i="8"/>
  <c r="CS170" i="8"/>
  <c r="CT170" i="8"/>
  <c r="CU170" i="8"/>
  <c r="CV170" i="8"/>
  <c r="CW170" i="8"/>
  <c r="CX170" i="8"/>
  <c r="CY170" i="8"/>
  <c r="CZ170" i="8"/>
  <c r="DA170" i="8"/>
  <c r="DB170" i="8"/>
  <c r="DC170" i="8"/>
  <c r="DD170" i="8"/>
  <c r="DE170" i="8"/>
  <c r="DF170" i="8"/>
  <c r="DG170" i="8"/>
  <c r="DH170" i="8"/>
  <c r="DI170" i="8"/>
  <c r="DJ170" i="8"/>
  <c r="DK170" i="8"/>
  <c r="DL170" i="8"/>
  <c r="DM170" i="8"/>
  <c r="DN170" i="8"/>
  <c r="DO170" i="8"/>
  <c r="DP170" i="8"/>
  <c r="DQ170" i="8"/>
  <c r="DR170" i="8"/>
  <c r="DS170" i="8"/>
  <c r="DT170" i="8"/>
  <c r="DU170" i="8"/>
  <c r="DV170" i="8"/>
  <c r="DW170" i="8"/>
  <c r="DX170" i="8"/>
  <c r="DY170" i="8"/>
  <c r="DZ170" i="8"/>
  <c r="EA170" i="8"/>
  <c r="EB170" i="8"/>
  <c r="EC170" i="8"/>
  <c r="ED170" i="8"/>
  <c r="EE170" i="8"/>
  <c r="EF170" i="8"/>
  <c r="EG170" i="8"/>
  <c r="EH170" i="8"/>
  <c r="EI170" i="8"/>
  <c r="EJ170" i="8"/>
  <c r="EK170" i="8"/>
  <c r="EL170" i="8"/>
  <c r="EM170" i="8"/>
  <c r="EN170" i="8"/>
  <c r="EO170" i="8"/>
  <c r="EP170" i="8"/>
  <c r="EQ170" i="8"/>
  <c r="ER170" i="8"/>
  <c r="ES170" i="8"/>
  <c r="ET170" i="8"/>
  <c r="EU170" i="8"/>
  <c r="EV170" i="8"/>
  <c r="EW170" i="8"/>
  <c r="EX170" i="8"/>
  <c r="EY170" i="8"/>
  <c r="EZ170" i="8"/>
  <c r="FA170" i="8"/>
  <c r="FB170" i="8"/>
  <c r="FC170" i="8"/>
  <c r="FD170" i="8"/>
  <c r="FE170" i="8"/>
  <c r="FF170" i="8"/>
  <c r="FG170" i="8"/>
  <c r="FH170" i="8"/>
  <c r="FI170" i="8"/>
  <c r="FJ170" i="8"/>
  <c r="FK170" i="8"/>
  <c r="FL170" i="8"/>
  <c r="FM170" i="8"/>
  <c r="FN170" i="8"/>
  <c r="FO170" i="8"/>
  <c r="FP170" i="8"/>
  <c r="FQ170" i="8"/>
  <c r="FR170" i="8"/>
  <c r="FS170" i="8"/>
  <c r="FT170" i="8"/>
  <c r="FU170" i="8"/>
  <c r="FV170" i="8"/>
  <c r="FW170" i="8"/>
  <c r="FX170" i="8"/>
  <c r="FY170" i="8"/>
  <c r="FZ170" i="8"/>
  <c r="GA170" i="8"/>
  <c r="GB170" i="8"/>
  <c r="GC170" i="8"/>
  <c r="GD170" i="8"/>
  <c r="GE170" i="8"/>
  <c r="GF170" i="8"/>
  <c r="GG170" i="8"/>
  <c r="GH170" i="8"/>
  <c r="GI170" i="8"/>
  <c r="GJ170" i="8"/>
  <c r="GK170" i="8"/>
  <c r="GL170" i="8"/>
  <c r="GM170" i="8"/>
  <c r="GN170" i="8"/>
  <c r="GO170" i="8"/>
  <c r="GP170" i="8"/>
  <c r="GQ170" i="8"/>
  <c r="GR170" i="8"/>
  <c r="GS170" i="8"/>
  <c r="GT170" i="8"/>
  <c r="GU170" i="8"/>
  <c r="GV170" i="8"/>
  <c r="GW170" i="8"/>
  <c r="GX170" i="8"/>
  <c r="GY170" i="8"/>
  <c r="GZ170" i="8"/>
  <c r="HA170" i="8"/>
  <c r="HB170" i="8"/>
  <c r="HC170" i="8"/>
  <c r="HD170" i="8"/>
  <c r="HE170" i="8"/>
  <c r="HF170" i="8"/>
  <c r="HG170" i="8"/>
  <c r="HH170" i="8"/>
  <c r="HI170" i="8"/>
  <c r="HJ170" i="8"/>
  <c r="HK170" i="8"/>
  <c r="HL170" i="8"/>
  <c r="HM170" i="8"/>
  <c r="HN170" i="8"/>
  <c r="HO170" i="8"/>
  <c r="HP170" i="8"/>
  <c r="HQ170" i="8"/>
  <c r="HR170" i="8"/>
  <c r="HS170" i="8"/>
  <c r="HT170" i="8"/>
  <c r="HU170" i="8"/>
  <c r="HV170" i="8"/>
  <c r="HW170" i="8"/>
  <c r="HX170" i="8"/>
  <c r="HY170" i="8"/>
  <c r="HZ170" i="8"/>
  <c r="IA170" i="8"/>
  <c r="IB170" i="8"/>
  <c r="IC170" i="8"/>
  <c r="ID170" i="8"/>
  <c r="IE170" i="8"/>
  <c r="IF170" i="8"/>
  <c r="IG170" i="8"/>
  <c r="IH170" i="8"/>
  <c r="II170" i="8"/>
  <c r="IJ170" i="8"/>
  <c r="IK170" i="8"/>
  <c r="IL170" i="8"/>
  <c r="IM170" i="8"/>
  <c r="IN170" i="8"/>
  <c r="IO170" i="8"/>
  <c r="IP170" i="8"/>
  <c r="IQ170" i="8"/>
  <c r="IR170" i="8"/>
  <c r="IS170" i="8"/>
  <c r="IT170" i="8"/>
  <c r="IU170" i="8"/>
  <c r="IV170" i="8"/>
  <c r="F171" i="8"/>
  <c r="G171" i="8"/>
  <c r="H171" i="8"/>
  <c r="I171" i="8"/>
  <c r="J171" i="8"/>
  <c r="K171" i="8"/>
  <c r="L171" i="8"/>
  <c r="M171" i="8"/>
  <c r="N171" i="8"/>
  <c r="O171" i="8"/>
  <c r="P171" i="8"/>
  <c r="Q171" i="8"/>
  <c r="R171" i="8"/>
  <c r="S171" i="8"/>
  <c r="T171" i="8"/>
  <c r="U171" i="8"/>
  <c r="V171" i="8"/>
  <c r="W171" i="8"/>
  <c r="X171" i="8"/>
  <c r="Y171" i="8"/>
  <c r="Z171" i="8"/>
  <c r="AA171" i="8"/>
  <c r="AB171" i="8"/>
  <c r="AC171" i="8"/>
  <c r="AD171" i="8"/>
  <c r="AE171" i="8"/>
  <c r="AF171" i="8"/>
  <c r="AG171" i="8"/>
  <c r="AH171" i="8"/>
  <c r="AI171" i="8"/>
  <c r="AJ171" i="8"/>
  <c r="AK171" i="8"/>
  <c r="AL171" i="8"/>
  <c r="AM171" i="8"/>
  <c r="AN171" i="8"/>
  <c r="AO171" i="8"/>
  <c r="AP171" i="8"/>
  <c r="AQ171" i="8"/>
  <c r="AR171" i="8"/>
  <c r="AS171" i="8"/>
  <c r="AT171" i="8"/>
  <c r="AU171" i="8"/>
  <c r="AV171" i="8"/>
  <c r="AW171" i="8"/>
  <c r="AX171" i="8"/>
  <c r="AY171" i="8"/>
  <c r="AZ171" i="8"/>
  <c r="BA171" i="8"/>
  <c r="BB171" i="8"/>
  <c r="BC171" i="8"/>
  <c r="BD171" i="8"/>
  <c r="BE171" i="8"/>
  <c r="BF171" i="8"/>
  <c r="BG171" i="8"/>
  <c r="BH171" i="8"/>
  <c r="BI171" i="8"/>
  <c r="BJ171" i="8"/>
  <c r="BK171" i="8"/>
  <c r="BL171" i="8"/>
  <c r="BM171" i="8"/>
  <c r="BN171" i="8"/>
  <c r="BO171" i="8"/>
  <c r="BP171" i="8"/>
  <c r="BQ171" i="8"/>
  <c r="BR171" i="8"/>
  <c r="BS171" i="8"/>
  <c r="BT171" i="8"/>
  <c r="BU171" i="8"/>
  <c r="BV171" i="8"/>
  <c r="BW171" i="8"/>
  <c r="BX171" i="8"/>
  <c r="BY171" i="8"/>
  <c r="BZ171" i="8"/>
  <c r="CA171" i="8"/>
  <c r="CB171" i="8"/>
  <c r="CC171" i="8"/>
  <c r="CD171" i="8"/>
  <c r="CE171" i="8"/>
  <c r="CF171" i="8"/>
  <c r="CG171" i="8"/>
  <c r="CH171" i="8"/>
  <c r="CI171" i="8"/>
  <c r="CJ171" i="8"/>
  <c r="CK171" i="8"/>
  <c r="CL171" i="8"/>
  <c r="CM171" i="8"/>
  <c r="CN171" i="8"/>
  <c r="CO171" i="8"/>
  <c r="CP171" i="8"/>
  <c r="CQ171" i="8"/>
  <c r="CR171" i="8"/>
  <c r="CS171" i="8"/>
  <c r="CT171" i="8"/>
  <c r="CU171" i="8"/>
  <c r="CV171" i="8"/>
  <c r="CW171" i="8"/>
  <c r="CX171" i="8"/>
  <c r="CY171" i="8"/>
  <c r="CZ171" i="8"/>
  <c r="DA171" i="8"/>
  <c r="DB171" i="8"/>
  <c r="DC171" i="8"/>
  <c r="DD171" i="8"/>
  <c r="DE171" i="8"/>
  <c r="DF171" i="8"/>
  <c r="DG171" i="8"/>
  <c r="DH171" i="8"/>
  <c r="DI171" i="8"/>
  <c r="DJ171" i="8"/>
  <c r="DK171" i="8"/>
  <c r="DL171" i="8"/>
  <c r="DM171" i="8"/>
  <c r="DN171" i="8"/>
  <c r="DO171" i="8"/>
  <c r="DP171" i="8"/>
  <c r="DQ171" i="8"/>
  <c r="DR171" i="8"/>
  <c r="DS171" i="8"/>
  <c r="DT171" i="8"/>
  <c r="DU171" i="8"/>
  <c r="DV171" i="8"/>
  <c r="DW171" i="8"/>
  <c r="DX171" i="8"/>
  <c r="DY171" i="8"/>
  <c r="DZ171" i="8"/>
  <c r="EA171" i="8"/>
  <c r="EB171" i="8"/>
  <c r="EC171" i="8"/>
  <c r="ED171" i="8"/>
  <c r="EE171" i="8"/>
  <c r="EF171" i="8"/>
  <c r="EG171" i="8"/>
  <c r="EH171" i="8"/>
  <c r="EI171" i="8"/>
  <c r="EJ171" i="8"/>
  <c r="EK171" i="8"/>
  <c r="EL171" i="8"/>
  <c r="EM171" i="8"/>
  <c r="EN171" i="8"/>
  <c r="EO171" i="8"/>
  <c r="EP171" i="8"/>
  <c r="EQ171" i="8"/>
  <c r="ER171" i="8"/>
  <c r="ES171" i="8"/>
  <c r="ET171" i="8"/>
  <c r="EU171" i="8"/>
  <c r="EV171" i="8"/>
  <c r="EW171" i="8"/>
  <c r="EX171" i="8"/>
  <c r="EY171" i="8"/>
  <c r="EZ171" i="8"/>
  <c r="FA171" i="8"/>
  <c r="FB171" i="8"/>
  <c r="FC171" i="8"/>
  <c r="FD171" i="8"/>
  <c r="FE171" i="8"/>
  <c r="FF171" i="8"/>
  <c r="FG171" i="8"/>
  <c r="FH171" i="8"/>
  <c r="FI171" i="8"/>
  <c r="FJ171" i="8"/>
  <c r="FK171" i="8"/>
  <c r="FL171" i="8"/>
  <c r="FM171" i="8"/>
  <c r="FN171" i="8"/>
  <c r="FO171" i="8"/>
  <c r="FP171" i="8"/>
  <c r="FQ171" i="8"/>
  <c r="FR171" i="8"/>
  <c r="FS171" i="8"/>
  <c r="FT171" i="8"/>
  <c r="FU171" i="8"/>
  <c r="FV171" i="8"/>
  <c r="FW171" i="8"/>
  <c r="FX171" i="8"/>
  <c r="FY171" i="8"/>
  <c r="FZ171" i="8"/>
  <c r="GA171" i="8"/>
  <c r="GB171" i="8"/>
  <c r="GC171" i="8"/>
  <c r="GD171" i="8"/>
  <c r="GE171" i="8"/>
  <c r="GF171" i="8"/>
  <c r="GG171" i="8"/>
  <c r="GH171" i="8"/>
  <c r="GI171" i="8"/>
  <c r="GJ171" i="8"/>
  <c r="GK171" i="8"/>
  <c r="GL171" i="8"/>
  <c r="GM171" i="8"/>
  <c r="GN171" i="8"/>
  <c r="GO171" i="8"/>
  <c r="GP171" i="8"/>
  <c r="GQ171" i="8"/>
  <c r="GR171" i="8"/>
  <c r="GS171" i="8"/>
  <c r="GT171" i="8"/>
  <c r="GU171" i="8"/>
  <c r="GV171" i="8"/>
  <c r="GW171" i="8"/>
  <c r="GX171" i="8"/>
  <c r="GY171" i="8"/>
  <c r="GZ171" i="8"/>
  <c r="HA171" i="8"/>
  <c r="HB171" i="8"/>
  <c r="HC171" i="8"/>
  <c r="HD171" i="8"/>
  <c r="HE171" i="8"/>
  <c r="HF171" i="8"/>
  <c r="HG171" i="8"/>
  <c r="HH171" i="8"/>
  <c r="HI171" i="8"/>
  <c r="HJ171" i="8"/>
  <c r="HK171" i="8"/>
  <c r="HL171" i="8"/>
  <c r="HM171" i="8"/>
  <c r="HN171" i="8"/>
  <c r="HO171" i="8"/>
  <c r="HP171" i="8"/>
  <c r="HQ171" i="8"/>
  <c r="HR171" i="8"/>
  <c r="HS171" i="8"/>
  <c r="HT171" i="8"/>
  <c r="HU171" i="8"/>
  <c r="HV171" i="8"/>
  <c r="HW171" i="8"/>
  <c r="HX171" i="8"/>
  <c r="HY171" i="8"/>
  <c r="HZ171" i="8"/>
  <c r="IA171" i="8"/>
  <c r="IB171" i="8"/>
  <c r="IC171" i="8"/>
  <c r="ID171" i="8"/>
  <c r="IE171" i="8"/>
  <c r="IF171" i="8"/>
  <c r="IG171" i="8"/>
  <c r="IH171" i="8"/>
  <c r="II171" i="8"/>
  <c r="IJ171" i="8"/>
  <c r="IK171" i="8"/>
  <c r="IL171" i="8"/>
  <c r="IM171" i="8"/>
  <c r="IN171" i="8"/>
  <c r="IO171" i="8"/>
  <c r="IP171" i="8"/>
  <c r="IQ171" i="8"/>
  <c r="IR171" i="8"/>
  <c r="IS171" i="8"/>
  <c r="IT171" i="8"/>
  <c r="IU171" i="8"/>
  <c r="IV171" i="8"/>
  <c r="F172" i="8"/>
  <c r="G172" i="8"/>
  <c r="H172" i="8"/>
  <c r="I172" i="8"/>
  <c r="J172" i="8"/>
  <c r="K172" i="8"/>
  <c r="L172" i="8"/>
  <c r="M172" i="8"/>
  <c r="N172" i="8"/>
  <c r="O172" i="8"/>
  <c r="P172" i="8"/>
  <c r="Q172" i="8"/>
  <c r="R172" i="8"/>
  <c r="S172" i="8"/>
  <c r="T172" i="8"/>
  <c r="U172" i="8"/>
  <c r="V172" i="8"/>
  <c r="W172" i="8"/>
  <c r="X172" i="8"/>
  <c r="Y172" i="8"/>
  <c r="Z172" i="8"/>
  <c r="AA172" i="8"/>
  <c r="AB172" i="8"/>
  <c r="AC172" i="8"/>
  <c r="AD172" i="8"/>
  <c r="AE172" i="8"/>
  <c r="AF172" i="8"/>
  <c r="AG172" i="8"/>
  <c r="AH172" i="8"/>
  <c r="AI172" i="8"/>
  <c r="AJ172" i="8"/>
  <c r="AK172" i="8"/>
  <c r="AL172" i="8"/>
  <c r="AM172" i="8"/>
  <c r="AN172" i="8"/>
  <c r="AO172" i="8"/>
  <c r="AP172" i="8"/>
  <c r="AQ172" i="8"/>
  <c r="AR172" i="8"/>
  <c r="AS172" i="8"/>
  <c r="AT172" i="8"/>
  <c r="AU172" i="8"/>
  <c r="AV172" i="8"/>
  <c r="AW172" i="8"/>
  <c r="AX172" i="8"/>
  <c r="AY172" i="8"/>
  <c r="AZ172" i="8"/>
  <c r="BA172" i="8"/>
  <c r="BC172" i="8"/>
  <c r="BD172" i="8"/>
  <c r="BE172" i="8"/>
  <c r="BF172" i="8"/>
  <c r="BG172" i="8"/>
  <c r="BH172" i="8"/>
  <c r="BI172" i="8"/>
  <c r="BJ172" i="8"/>
  <c r="BK172" i="8"/>
  <c r="BL172" i="8"/>
  <c r="BM172" i="8"/>
  <c r="BN172" i="8"/>
  <c r="BO172" i="8"/>
  <c r="BP172" i="8"/>
  <c r="BQ172" i="8"/>
  <c r="BR172" i="8"/>
  <c r="BS172" i="8"/>
  <c r="BT172" i="8"/>
  <c r="BU172" i="8"/>
  <c r="BV172" i="8"/>
  <c r="BW172" i="8"/>
  <c r="BX172" i="8"/>
  <c r="BY172" i="8"/>
  <c r="BZ172" i="8"/>
  <c r="CA172" i="8"/>
  <c r="CB172" i="8"/>
  <c r="CD172" i="8"/>
  <c r="CE172" i="8"/>
  <c r="CF172" i="8"/>
  <c r="CG172" i="8"/>
  <c r="CH172" i="8"/>
  <c r="CI172" i="8"/>
  <c r="CJ172" i="8"/>
  <c r="CK172" i="8"/>
  <c r="CL172" i="8"/>
  <c r="CM172" i="8"/>
  <c r="CN172" i="8"/>
  <c r="CO172" i="8"/>
  <c r="CP172" i="8"/>
  <c r="CQ172" i="8"/>
  <c r="CR172" i="8"/>
  <c r="CS172" i="8"/>
  <c r="CT172" i="8"/>
  <c r="CU172" i="8"/>
  <c r="CV172" i="8"/>
  <c r="CW172" i="8"/>
  <c r="CX172" i="8"/>
  <c r="CY172" i="8"/>
  <c r="CZ172" i="8"/>
  <c r="DC172" i="8"/>
  <c r="DD172" i="8"/>
  <c r="DE172" i="8"/>
  <c r="DF172" i="8"/>
  <c r="DG172" i="8"/>
  <c r="DH172" i="8"/>
  <c r="DI172" i="8"/>
  <c r="DJ172" i="8"/>
  <c r="DK172" i="8"/>
  <c r="DL172" i="8"/>
  <c r="DM172" i="8"/>
  <c r="DN172" i="8"/>
  <c r="DO172" i="8"/>
  <c r="DP172" i="8"/>
  <c r="DQ172" i="8"/>
  <c r="DR172" i="8"/>
  <c r="DS172" i="8"/>
  <c r="DT172" i="8"/>
  <c r="DV172" i="8"/>
  <c r="DY172" i="8"/>
  <c r="DZ172" i="8"/>
  <c r="EA172" i="8"/>
  <c r="EB172" i="8"/>
  <c r="EC172" i="8"/>
  <c r="EF172" i="8"/>
  <c r="EG172" i="8"/>
  <c r="EH172" i="8"/>
  <c r="EI172" i="8"/>
  <c r="EJ172" i="8"/>
  <c r="EK172" i="8"/>
  <c r="EL172" i="8"/>
  <c r="EM172" i="8"/>
  <c r="EN172" i="8"/>
  <c r="EO172" i="8"/>
  <c r="EP172" i="8"/>
  <c r="EQ172" i="8"/>
  <c r="ER172" i="8"/>
  <c r="ES172" i="8"/>
  <c r="ET172" i="8"/>
  <c r="EU172" i="8"/>
  <c r="EV172" i="8"/>
  <c r="EW172" i="8"/>
  <c r="EX172" i="8"/>
  <c r="EY172" i="8"/>
  <c r="EZ172" i="8"/>
  <c r="FA172" i="8"/>
  <c r="FB172" i="8"/>
  <c r="FC172" i="8"/>
  <c r="FD172" i="8"/>
  <c r="FE172" i="8"/>
  <c r="FF172" i="8"/>
  <c r="FG172" i="8"/>
  <c r="FH172" i="8"/>
  <c r="FI172" i="8"/>
  <c r="FJ172" i="8"/>
  <c r="FK172" i="8"/>
  <c r="FL172" i="8"/>
  <c r="FM172" i="8"/>
  <c r="FN172" i="8"/>
  <c r="FO172" i="8"/>
  <c r="FP172" i="8"/>
  <c r="FQ172" i="8"/>
  <c r="FR172" i="8"/>
  <c r="FS172" i="8"/>
  <c r="FT172" i="8"/>
  <c r="FU172" i="8"/>
  <c r="FV172" i="8"/>
  <c r="FW172" i="8"/>
  <c r="FX172" i="8"/>
  <c r="FY172" i="8"/>
  <c r="FZ172" i="8"/>
  <c r="GA172" i="8"/>
  <c r="GB172" i="8"/>
  <c r="GC172" i="8"/>
  <c r="GD172" i="8"/>
  <c r="GE172" i="8"/>
  <c r="GF172" i="8"/>
  <c r="GG172" i="8"/>
  <c r="GH172" i="8"/>
  <c r="GI172" i="8"/>
  <c r="GJ172" i="8"/>
  <c r="GK172" i="8"/>
  <c r="GL172" i="8"/>
  <c r="GM172" i="8"/>
  <c r="GN172" i="8"/>
  <c r="GO172" i="8"/>
  <c r="GP172" i="8"/>
  <c r="GQ172" i="8"/>
  <c r="GR172" i="8"/>
  <c r="GS172" i="8"/>
  <c r="GT172" i="8"/>
  <c r="GU172" i="8"/>
  <c r="GV172" i="8"/>
  <c r="GW172" i="8"/>
  <c r="GX172" i="8"/>
  <c r="GY172" i="8"/>
  <c r="GZ172" i="8"/>
  <c r="HA172" i="8"/>
  <c r="HB172" i="8"/>
  <c r="HC172" i="8"/>
  <c r="HD172" i="8"/>
  <c r="HE172" i="8"/>
  <c r="HF172" i="8"/>
  <c r="HG172" i="8"/>
  <c r="HH172" i="8"/>
  <c r="HI172" i="8"/>
  <c r="HJ172" i="8"/>
  <c r="HK172" i="8"/>
  <c r="HL172" i="8"/>
  <c r="HM172" i="8"/>
  <c r="HN172" i="8"/>
  <c r="HO172" i="8"/>
  <c r="HP172" i="8"/>
  <c r="HQ172" i="8"/>
  <c r="HR172" i="8"/>
  <c r="HS172" i="8"/>
  <c r="HT172" i="8"/>
  <c r="HU172" i="8"/>
  <c r="HV172" i="8"/>
  <c r="HW172" i="8"/>
  <c r="HX172" i="8"/>
  <c r="HY172" i="8"/>
  <c r="HZ172" i="8"/>
  <c r="IA172" i="8"/>
  <c r="IB172" i="8"/>
  <c r="IC172" i="8"/>
  <c r="ID172" i="8"/>
  <c r="IE172" i="8"/>
  <c r="IF172" i="8"/>
  <c r="IG172" i="8"/>
  <c r="IH172" i="8"/>
  <c r="II172" i="8"/>
  <c r="IJ172" i="8"/>
  <c r="IK172" i="8"/>
  <c r="IL172" i="8"/>
  <c r="IM172" i="8"/>
  <c r="IN172" i="8"/>
  <c r="IO172" i="8"/>
  <c r="IP172" i="8"/>
  <c r="IQ172" i="8"/>
  <c r="IR172" i="8"/>
  <c r="IS172" i="8"/>
  <c r="IT172" i="8"/>
  <c r="IU172" i="8"/>
  <c r="IV172" i="8"/>
  <c r="F173" i="8"/>
  <c r="G173" i="8"/>
  <c r="H173" i="8"/>
  <c r="I173" i="8"/>
  <c r="J173" i="8"/>
  <c r="K173" i="8"/>
  <c r="L173" i="8"/>
  <c r="M173" i="8"/>
  <c r="N173" i="8"/>
  <c r="O173" i="8"/>
  <c r="P173" i="8"/>
  <c r="Q173" i="8"/>
  <c r="R173" i="8"/>
  <c r="S173" i="8"/>
  <c r="T173" i="8"/>
  <c r="U173" i="8"/>
  <c r="V173" i="8"/>
  <c r="W173" i="8"/>
  <c r="X173" i="8"/>
  <c r="Y173" i="8"/>
  <c r="Z173" i="8"/>
  <c r="AA173" i="8"/>
  <c r="AB173" i="8"/>
  <c r="AC173" i="8"/>
  <c r="AD173" i="8"/>
  <c r="AE173" i="8"/>
  <c r="AF173" i="8"/>
  <c r="AG173" i="8"/>
  <c r="AH173" i="8"/>
  <c r="AI173" i="8"/>
  <c r="AJ173" i="8"/>
  <c r="AK173" i="8"/>
  <c r="AL173" i="8"/>
  <c r="AM173" i="8"/>
  <c r="AN173" i="8"/>
  <c r="AO173" i="8"/>
  <c r="AP173" i="8"/>
  <c r="AQ173" i="8"/>
  <c r="AR173" i="8"/>
  <c r="AS173" i="8"/>
  <c r="AT173" i="8"/>
  <c r="AU173" i="8"/>
  <c r="AV173" i="8"/>
  <c r="AW173" i="8"/>
  <c r="AX173" i="8"/>
  <c r="AY173" i="8"/>
  <c r="AZ173" i="8"/>
  <c r="BA173" i="8"/>
  <c r="BB173" i="8"/>
  <c r="BC173" i="8"/>
  <c r="BD173" i="8"/>
  <c r="BE173" i="8"/>
  <c r="BF173" i="8"/>
  <c r="BG173" i="8"/>
  <c r="BH173" i="8"/>
  <c r="BI173" i="8"/>
  <c r="BJ173" i="8"/>
  <c r="BK173" i="8"/>
  <c r="BL173" i="8"/>
  <c r="BM173" i="8"/>
  <c r="BN173" i="8"/>
  <c r="BO173" i="8"/>
  <c r="BP173" i="8"/>
  <c r="BQ173" i="8"/>
  <c r="BR173" i="8"/>
  <c r="BS173" i="8"/>
  <c r="BT173" i="8"/>
  <c r="BU173" i="8"/>
  <c r="BV173" i="8"/>
  <c r="BW173" i="8"/>
  <c r="BX173" i="8"/>
  <c r="BY173" i="8"/>
  <c r="BZ173" i="8"/>
  <c r="CA173" i="8"/>
  <c r="CB173" i="8"/>
  <c r="CC173" i="8"/>
  <c r="CD173" i="8"/>
  <c r="CE173" i="8"/>
  <c r="CF173" i="8"/>
  <c r="CG173" i="8"/>
  <c r="CH173" i="8"/>
  <c r="CI173" i="8"/>
  <c r="CJ173" i="8"/>
  <c r="CK173" i="8"/>
  <c r="CL173" i="8"/>
  <c r="CM173" i="8"/>
  <c r="CN173" i="8"/>
  <c r="CO173" i="8"/>
  <c r="CP173" i="8"/>
  <c r="CQ173" i="8"/>
  <c r="CR173" i="8"/>
  <c r="CS173" i="8"/>
  <c r="CT173" i="8"/>
  <c r="CU173" i="8"/>
  <c r="CV173" i="8"/>
  <c r="CW173" i="8"/>
  <c r="CX173" i="8"/>
  <c r="CY173" i="8"/>
  <c r="CZ173" i="8"/>
  <c r="DA173" i="8"/>
  <c r="DB173" i="8"/>
  <c r="DC173" i="8"/>
  <c r="DD173" i="8"/>
  <c r="DE173" i="8"/>
  <c r="DF173" i="8"/>
  <c r="DG173" i="8"/>
  <c r="DH173" i="8"/>
  <c r="DI173" i="8"/>
  <c r="DJ173" i="8"/>
  <c r="DK173" i="8"/>
  <c r="DL173" i="8"/>
  <c r="DM173" i="8"/>
  <c r="DN173" i="8"/>
  <c r="DO173" i="8"/>
  <c r="DP173" i="8"/>
  <c r="DQ173" i="8"/>
  <c r="DR173" i="8"/>
  <c r="DS173" i="8"/>
  <c r="DT173" i="8"/>
  <c r="DU173" i="8"/>
  <c r="DV173" i="8"/>
  <c r="DW173" i="8"/>
  <c r="DX173" i="8"/>
  <c r="DY173" i="8"/>
  <c r="DZ173" i="8"/>
  <c r="EA173" i="8"/>
  <c r="EB173" i="8"/>
  <c r="EC173" i="8"/>
  <c r="ED173" i="8"/>
  <c r="EE173" i="8"/>
  <c r="EF173" i="8"/>
  <c r="EG173" i="8"/>
  <c r="EH173" i="8"/>
  <c r="EI173" i="8"/>
  <c r="EJ173" i="8"/>
  <c r="EK173" i="8"/>
  <c r="EL173" i="8"/>
  <c r="EM173" i="8"/>
  <c r="EN173" i="8"/>
  <c r="EO173" i="8"/>
  <c r="EP173" i="8"/>
  <c r="EQ173" i="8"/>
  <c r="ER173" i="8"/>
  <c r="ES173" i="8"/>
  <c r="ET173" i="8"/>
  <c r="EU173" i="8"/>
  <c r="EV173" i="8"/>
  <c r="EW173" i="8"/>
  <c r="EX173" i="8"/>
  <c r="EY173" i="8"/>
  <c r="EZ173" i="8"/>
  <c r="FA173" i="8"/>
  <c r="FB173" i="8"/>
  <c r="FC173" i="8"/>
  <c r="FD173" i="8"/>
  <c r="FE173" i="8"/>
  <c r="FF173" i="8"/>
  <c r="FG173" i="8"/>
  <c r="FH173" i="8"/>
  <c r="FI173" i="8"/>
  <c r="FJ173" i="8"/>
  <c r="FK173" i="8"/>
  <c r="FL173" i="8"/>
  <c r="FM173" i="8"/>
  <c r="FN173" i="8"/>
  <c r="FO173" i="8"/>
  <c r="FP173" i="8"/>
  <c r="FQ173" i="8"/>
  <c r="FR173" i="8"/>
  <c r="FS173" i="8"/>
  <c r="FT173" i="8"/>
  <c r="FU173" i="8"/>
  <c r="FV173" i="8"/>
  <c r="FW173" i="8"/>
  <c r="FX173" i="8"/>
  <c r="FY173" i="8"/>
  <c r="FZ173" i="8"/>
  <c r="GA173" i="8"/>
  <c r="GB173" i="8"/>
  <c r="GC173" i="8"/>
  <c r="GD173" i="8"/>
  <c r="GE173" i="8"/>
  <c r="GF173" i="8"/>
  <c r="GG173" i="8"/>
  <c r="GH173" i="8"/>
  <c r="GI173" i="8"/>
  <c r="GJ173" i="8"/>
  <c r="GK173" i="8"/>
  <c r="GL173" i="8"/>
  <c r="GM173" i="8"/>
  <c r="GN173" i="8"/>
  <c r="GO173" i="8"/>
  <c r="GP173" i="8"/>
  <c r="GQ173" i="8"/>
  <c r="GR173" i="8"/>
  <c r="GS173" i="8"/>
  <c r="GT173" i="8"/>
  <c r="GU173" i="8"/>
  <c r="GV173" i="8"/>
  <c r="GW173" i="8"/>
  <c r="GX173" i="8"/>
  <c r="GY173" i="8"/>
  <c r="GZ173" i="8"/>
  <c r="HA173" i="8"/>
  <c r="HB173" i="8"/>
  <c r="HC173" i="8"/>
  <c r="HD173" i="8"/>
  <c r="HE173" i="8"/>
  <c r="HF173" i="8"/>
  <c r="HG173" i="8"/>
  <c r="HH173" i="8"/>
  <c r="HI173" i="8"/>
  <c r="HJ173" i="8"/>
  <c r="HK173" i="8"/>
  <c r="HL173" i="8"/>
  <c r="HM173" i="8"/>
  <c r="HN173" i="8"/>
  <c r="HO173" i="8"/>
  <c r="HP173" i="8"/>
  <c r="HQ173" i="8"/>
  <c r="HR173" i="8"/>
  <c r="HS173" i="8"/>
  <c r="HT173" i="8"/>
  <c r="HU173" i="8"/>
  <c r="HV173" i="8"/>
  <c r="HW173" i="8"/>
  <c r="HX173" i="8"/>
  <c r="HY173" i="8"/>
  <c r="HZ173" i="8"/>
  <c r="IA173" i="8"/>
  <c r="IB173" i="8"/>
  <c r="IC173" i="8"/>
  <c r="ID173" i="8"/>
  <c r="IE173" i="8"/>
  <c r="IF173" i="8"/>
  <c r="IG173" i="8"/>
  <c r="IH173" i="8"/>
  <c r="II173" i="8"/>
  <c r="IJ173" i="8"/>
  <c r="IK173" i="8"/>
  <c r="IL173" i="8"/>
  <c r="IM173" i="8"/>
  <c r="IN173" i="8"/>
  <c r="IO173" i="8"/>
  <c r="IP173" i="8"/>
  <c r="IQ173" i="8"/>
  <c r="IR173" i="8"/>
  <c r="IS173" i="8"/>
  <c r="IT173" i="8"/>
  <c r="IU173" i="8"/>
  <c r="IV173" i="8"/>
  <c r="F174" i="8"/>
  <c r="G174" i="8"/>
  <c r="H174" i="8"/>
  <c r="I174" i="8"/>
  <c r="J174" i="8"/>
  <c r="K174" i="8"/>
  <c r="L174" i="8"/>
  <c r="M174" i="8"/>
  <c r="N174" i="8"/>
  <c r="O174" i="8"/>
  <c r="P174" i="8"/>
  <c r="Q174" i="8"/>
  <c r="R174" i="8"/>
  <c r="S174" i="8"/>
  <c r="T174" i="8"/>
  <c r="U174" i="8"/>
  <c r="V174" i="8"/>
  <c r="W174" i="8"/>
  <c r="X174" i="8"/>
  <c r="Y174" i="8"/>
  <c r="Z174" i="8"/>
  <c r="AA174" i="8"/>
  <c r="AB174" i="8"/>
  <c r="AC174" i="8"/>
  <c r="AD174" i="8"/>
  <c r="AE174" i="8"/>
  <c r="AF174" i="8"/>
  <c r="AG174" i="8"/>
  <c r="AH174" i="8"/>
  <c r="AI174" i="8"/>
  <c r="AJ174" i="8"/>
  <c r="AK174" i="8"/>
  <c r="AL174" i="8"/>
  <c r="AM174" i="8"/>
  <c r="AN174" i="8"/>
  <c r="AO174" i="8"/>
  <c r="AP174" i="8"/>
  <c r="AQ174" i="8"/>
  <c r="AR174" i="8"/>
  <c r="AS174" i="8"/>
  <c r="AT174" i="8"/>
  <c r="AU174" i="8"/>
  <c r="AV174" i="8"/>
  <c r="AW174" i="8"/>
  <c r="AX174" i="8"/>
  <c r="AY174" i="8"/>
  <c r="AZ174" i="8"/>
  <c r="BA174" i="8"/>
  <c r="BB174" i="8"/>
  <c r="BC174" i="8"/>
  <c r="BD174" i="8"/>
  <c r="BE174" i="8"/>
  <c r="BF174" i="8"/>
  <c r="BG174" i="8"/>
  <c r="BH174" i="8"/>
  <c r="BI174" i="8"/>
  <c r="BJ174" i="8"/>
  <c r="BK174" i="8"/>
  <c r="BL174" i="8"/>
  <c r="BM174" i="8"/>
  <c r="BN174" i="8"/>
  <c r="BO174" i="8"/>
  <c r="BP174" i="8"/>
  <c r="BQ174" i="8"/>
  <c r="BR174" i="8"/>
  <c r="BS174" i="8"/>
  <c r="BT174" i="8"/>
  <c r="BU174" i="8"/>
  <c r="BV174" i="8"/>
  <c r="BW174" i="8"/>
  <c r="BX174" i="8"/>
  <c r="BY174" i="8"/>
  <c r="BZ174" i="8"/>
  <c r="CA174" i="8"/>
  <c r="CB174" i="8"/>
  <c r="CC174" i="8"/>
  <c r="CD174" i="8"/>
  <c r="CE174" i="8"/>
  <c r="CF174" i="8"/>
  <c r="CG174" i="8"/>
  <c r="CH174" i="8"/>
  <c r="CI174" i="8"/>
  <c r="CJ174" i="8"/>
  <c r="CK174" i="8"/>
  <c r="CL174" i="8"/>
  <c r="CM174" i="8"/>
  <c r="CN174" i="8"/>
  <c r="CO174" i="8"/>
  <c r="CP174" i="8"/>
  <c r="CQ174" i="8"/>
  <c r="CR174" i="8"/>
  <c r="CS174" i="8"/>
  <c r="CT174" i="8"/>
  <c r="CU174" i="8"/>
  <c r="CV174" i="8"/>
  <c r="CW174" i="8"/>
  <c r="CX174" i="8"/>
  <c r="CY174" i="8"/>
  <c r="CZ174" i="8"/>
  <c r="DA174" i="8"/>
  <c r="DB174" i="8"/>
  <c r="DC174" i="8"/>
  <c r="DD174" i="8"/>
  <c r="DE174" i="8"/>
  <c r="DF174" i="8"/>
  <c r="DG174" i="8"/>
  <c r="DH174" i="8"/>
  <c r="DI174" i="8"/>
  <c r="DJ174" i="8"/>
  <c r="DK174" i="8"/>
  <c r="DL174" i="8"/>
  <c r="DM174" i="8"/>
  <c r="DN174" i="8"/>
  <c r="DO174" i="8"/>
  <c r="DP174" i="8"/>
  <c r="DQ174" i="8"/>
  <c r="DR174" i="8"/>
  <c r="DS174" i="8"/>
  <c r="DT174" i="8"/>
  <c r="DU174" i="8"/>
  <c r="DV174" i="8"/>
  <c r="DW174" i="8"/>
  <c r="DX174" i="8"/>
  <c r="DY174" i="8"/>
  <c r="DZ174" i="8"/>
  <c r="EA174" i="8"/>
  <c r="EB174" i="8"/>
  <c r="EC174" i="8"/>
  <c r="ED174" i="8"/>
  <c r="EE174" i="8"/>
  <c r="EF174" i="8"/>
  <c r="EG174" i="8"/>
  <c r="EH174" i="8"/>
  <c r="EI174" i="8"/>
  <c r="EJ174" i="8"/>
  <c r="EK174" i="8"/>
  <c r="EL174" i="8"/>
  <c r="EM174" i="8"/>
  <c r="EN174" i="8"/>
  <c r="EO174" i="8"/>
  <c r="EP174" i="8"/>
  <c r="EQ174" i="8"/>
  <c r="ER174" i="8"/>
  <c r="ES174" i="8"/>
  <c r="ET174" i="8"/>
  <c r="EU174" i="8"/>
  <c r="EV174" i="8"/>
  <c r="EW174" i="8"/>
  <c r="EX174" i="8"/>
  <c r="EY174" i="8"/>
  <c r="EZ174" i="8"/>
  <c r="FA174" i="8"/>
  <c r="FB174" i="8"/>
  <c r="FC174" i="8"/>
  <c r="FD174" i="8"/>
  <c r="FE174" i="8"/>
  <c r="FF174" i="8"/>
  <c r="FG174" i="8"/>
  <c r="FH174" i="8"/>
  <c r="FI174" i="8"/>
  <c r="FJ174" i="8"/>
  <c r="FK174" i="8"/>
  <c r="FL174" i="8"/>
  <c r="FM174" i="8"/>
  <c r="FN174" i="8"/>
  <c r="FO174" i="8"/>
  <c r="FP174" i="8"/>
  <c r="FQ174" i="8"/>
  <c r="FR174" i="8"/>
  <c r="FS174" i="8"/>
  <c r="FT174" i="8"/>
  <c r="FU174" i="8"/>
  <c r="FV174" i="8"/>
  <c r="FW174" i="8"/>
  <c r="FX174" i="8"/>
  <c r="FY174" i="8"/>
  <c r="FZ174" i="8"/>
  <c r="GA174" i="8"/>
  <c r="GB174" i="8"/>
  <c r="GC174" i="8"/>
  <c r="GD174" i="8"/>
  <c r="GE174" i="8"/>
  <c r="GF174" i="8"/>
  <c r="GG174" i="8"/>
  <c r="GH174" i="8"/>
  <c r="GI174" i="8"/>
  <c r="GJ174" i="8"/>
  <c r="GK174" i="8"/>
  <c r="GL174" i="8"/>
  <c r="GM174" i="8"/>
  <c r="GN174" i="8"/>
  <c r="GO174" i="8"/>
  <c r="GP174" i="8"/>
  <c r="GQ174" i="8"/>
  <c r="GR174" i="8"/>
  <c r="GS174" i="8"/>
  <c r="GT174" i="8"/>
  <c r="GU174" i="8"/>
  <c r="GV174" i="8"/>
  <c r="GW174" i="8"/>
  <c r="GX174" i="8"/>
  <c r="GY174" i="8"/>
  <c r="GZ174" i="8"/>
  <c r="HA174" i="8"/>
  <c r="HB174" i="8"/>
  <c r="HC174" i="8"/>
  <c r="HD174" i="8"/>
  <c r="HE174" i="8"/>
  <c r="HF174" i="8"/>
  <c r="HG174" i="8"/>
  <c r="HH174" i="8"/>
  <c r="HI174" i="8"/>
  <c r="HJ174" i="8"/>
  <c r="HK174" i="8"/>
  <c r="HL174" i="8"/>
  <c r="HM174" i="8"/>
  <c r="HN174" i="8"/>
  <c r="HO174" i="8"/>
  <c r="HP174" i="8"/>
  <c r="HQ174" i="8"/>
  <c r="HR174" i="8"/>
  <c r="HS174" i="8"/>
  <c r="HT174" i="8"/>
  <c r="HU174" i="8"/>
  <c r="HV174" i="8"/>
  <c r="HW174" i="8"/>
  <c r="HX174" i="8"/>
  <c r="HY174" i="8"/>
  <c r="HZ174" i="8"/>
  <c r="IA174" i="8"/>
  <c r="IB174" i="8"/>
  <c r="IC174" i="8"/>
  <c r="ID174" i="8"/>
  <c r="IE174" i="8"/>
  <c r="IF174" i="8"/>
  <c r="IG174" i="8"/>
  <c r="IH174" i="8"/>
  <c r="II174" i="8"/>
  <c r="IJ174" i="8"/>
  <c r="IK174" i="8"/>
  <c r="IL174" i="8"/>
  <c r="IM174" i="8"/>
  <c r="IN174" i="8"/>
  <c r="IO174" i="8"/>
  <c r="IP174" i="8"/>
  <c r="IQ174" i="8"/>
  <c r="IR174" i="8"/>
  <c r="IS174" i="8"/>
  <c r="IT174" i="8"/>
  <c r="IU174" i="8"/>
  <c r="IV174" i="8"/>
  <c r="F175" i="8"/>
  <c r="G175" i="8"/>
  <c r="H175" i="8"/>
  <c r="I175" i="8"/>
  <c r="J175" i="8"/>
  <c r="K175" i="8"/>
  <c r="L175" i="8"/>
  <c r="M175" i="8"/>
  <c r="N175" i="8"/>
  <c r="O175" i="8"/>
  <c r="P175" i="8"/>
  <c r="Q175" i="8"/>
  <c r="R175" i="8"/>
  <c r="S175" i="8"/>
  <c r="T175" i="8"/>
  <c r="U175" i="8"/>
  <c r="V175" i="8"/>
  <c r="W175" i="8"/>
  <c r="X175" i="8"/>
  <c r="Y175" i="8"/>
  <c r="Z175" i="8"/>
  <c r="AA175" i="8"/>
  <c r="AB175" i="8"/>
  <c r="AC175" i="8"/>
  <c r="AD175" i="8"/>
  <c r="AE175" i="8"/>
  <c r="AF175" i="8"/>
  <c r="AG175" i="8"/>
  <c r="AH175" i="8"/>
  <c r="AI175" i="8"/>
  <c r="AJ175" i="8"/>
  <c r="AK175" i="8"/>
  <c r="AL175" i="8"/>
  <c r="AM175" i="8"/>
  <c r="AN175" i="8"/>
  <c r="AO175" i="8"/>
  <c r="AP175" i="8"/>
  <c r="AQ175" i="8"/>
  <c r="AR175" i="8"/>
  <c r="AS175" i="8"/>
  <c r="AT175" i="8"/>
  <c r="AU175" i="8"/>
  <c r="AV175" i="8"/>
  <c r="AW175" i="8"/>
  <c r="AX175" i="8"/>
  <c r="AY175" i="8"/>
  <c r="AZ175" i="8"/>
  <c r="BA175" i="8"/>
  <c r="BB175" i="8"/>
  <c r="BC175" i="8"/>
  <c r="BD175" i="8"/>
  <c r="BE175" i="8"/>
  <c r="BF175" i="8"/>
  <c r="BG175" i="8"/>
  <c r="BH175" i="8"/>
  <c r="BI175" i="8"/>
  <c r="BJ175" i="8"/>
  <c r="BK175" i="8"/>
  <c r="BL175" i="8"/>
  <c r="BM175" i="8"/>
  <c r="BN175" i="8"/>
  <c r="BO175" i="8"/>
  <c r="BP175" i="8"/>
  <c r="BQ175" i="8"/>
  <c r="BR175" i="8"/>
  <c r="BS175" i="8"/>
  <c r="BT175" i="8"/>
  <c r="BU175" i="8"/>
  <c r="BV175" i="8"/>
  <c r="BW175" i="8"/>
  <c r="BX175" i="8"/>
  <c r="BY175" i="8"/>
  <c r="BZ175" i="8"/>
  <c r="CA175" i="8"/>
  <c r="CB175" i="8"/>
  <c r="CC175" i="8"/>
  <c r="CD175" i="8"/>
  <c r="CE175" i="8"/>
  <c r="CF175" i="8"/>
  <c r="CG175" i="8"/>
  <c r="CH175" i="8"/>
  <c r="CI175" i="8"/>
  <c r="CJ175" i="8"/>
  <c r="CK175" i="8"/>
  <c r="CL175" i="8"/>
  <c r="CM175" i="8"/>
  <c r="CN175" i="8"/>
  <c r="CO175" i="8"/>
  <c r="CP175" i="8"/>
  <c r="CQ175" i="8"/>
  <c r="CR175" i="8"/>
  <c r="CS175" i="8"/>
  <c r="CT175" i="8"/>
  <c r="CU175" i="8"/>
  <c r="CV175" i="8"/>
  <c r="CW175" i="8"/>
  <c r="CX175" i="8"/>
  <c r="CY175" i="8"/>
  <c r="CZ175" i="8"/>
  <c r="DA175" i="8"/>
  <c r="DB175" i="8"/>
  <c r="DC175" i="8"/>
  <c r="DD175" i="8"/>
  <c r="DE175" i="8"/>
  <c r="DF175" i="8"/>
  <c r="DG175" i="8"/>
  <c r="DH175" i="8"/>
  <c r="DI175" i="8"/>
  <c r="DJ175" i="8"/>
  <c r="DK175" i="8"/>
  <c r="DL175" i="8"/>
  <c r="DM175" i="8"/>
  <c r="DN175" i="8"/>
  <c r="DO175" i="8"/>
  <c r="DP175" i="8"/>
  <c r="DQ175" i="8"/>
  <c r="DR175" i="8"/>
  <c r="DS175" i="8"/>
  <c r="DT175" i="8"/>
  <c r="DU175" i="8"/>
  <c r="DV175" i="8"/>
  <c r="DW175" i="8"/>
  <c r="DX175" i="8"/>
  <c r="DY175" i="8"/>
  <c r="DZ175" i="8"/>
  <c r="EA175" i="8"/>
  <c r="EB175" i="8"/>
  <c r="EC175" i="8"/>
  <c r="ED175" i="8"/>
  <c r="EE175" i="8"/>
  <c r="EF175" i="8"/>
  <c r="EG175" i="8"/>
  <c r="EH175" i="8"/>
  <c r="EI175" i="8"/>
  <c r="EJ175" i="8"/>
  <c r="EK175" i="8"/>
  <c r="EL175" i="8"/>
  <c r="EM175" i="8"/>
  <c r="EN175" i="8"/>
  <c r="EO175" i="8"/>
  <c r="EP175" i="8"/>
  <c r="EQ175" i="8"/>
  <c r="ER175" i="8"/>
  <c r="ES175" i="8"/>
  <c r="ET175" i="8"/>
  <c r="EU175" i="8"/>
  <c r="EV175" i="8"/>
  <c r="EW175" i="8"/>
  <c r="EX175" i="8"/>
  <c r="EY175" i="8"/>
  <c r="EZ175" i="8"/>
  <c r="FA175" i="8"/>
  <c r="FB175" i="8"/>
  <c r="FC175" i="8"/>
  <c r="FD175" i="8"/>
  <c r="FE175" i="8"/>
  <c r="FF175" i="8"/>
  <c r="FG175" i="8"/>
  <c r="FH175" i="8"/>
  <c r="FI175" i="8"/>
  <c r="FJ175" i="8"/>
  <c r="FK175" i="8"/>
  <c r="FL175" i="8"/>
  <c r="FM175" i="8"/>
  <c r="FN175" i="8"/>
  <c r="FO175" i="8"/>
  <c r="FP175" i="8"/>
  <c r="FQ175" i="8"/>
  <c r="FR175" i="8"/>
  <c r="FS175" i="8"/>
  <c r="FT175" i="8"/>
  <c r="FU175" i="8"/>
  <c r="FV175" i="8"/>
  <c r="FW175" i="8"/>
  <c r="FX175" i="8"/>
  <c r="FY175" i="8"/>
  <c r="FZ175" i="8"/>
  <c r="GA175" i="8"/>
  <c r="GB175" i="8"/>
  <c r="GC175" i="8"/>
  <c r="GD175" i="8"/>
  <c r="GE175" i="8"/>
  <c r="GF175" i="8"/>
  <c r="GG175" i="8"/>
  <c r="GH175" i="8"/>
  <c r="GI175" i="8"/>
  <c r="GJ175" i="8"/>
  <c r="GK175" i="8"/>
  <c r="GL175" i="8"/>
  <c r="GM175" i="8"/>
  <c r="GN175" i="8"/>
  <c r="GO175" i="8"/>
  <c r="GP175" i="8"/>
  <c r="GQ175" i="8"/>
  <c r="GR175" i="8"/>
  <c r="GS175" i="8"/>
  <c r="GT175" i="8"/>
  <c r="GU175" i="8"/>
  <c r="GV175" i="8"/>
  <c r="GW175" i="8"/>
  <c r="GX175" i="8"/>
  <c r="GY175" i="8"/>
  <c r="GZ175" i="8"/>
  <c r="HA175" i="8"/>
  <c r="HB175" i="8"/>
  <c r="HC175" i="8"/>
  <c r="HD175" i="8"/>
  <c r="HE175" i="8"/>
  <c r="HF175" i="8"/>
  <c r="HG175" i="8"/>
  <c r="HH175" i="8"/>
  <c r="HI175" i="8"/>
  <c r="HJ175" i="8"/>
  <c r="HK175" i="8"/>
  <c r="HL175" i="8"/>
  <c r="HM175" i="8"/>
  <c r="HN175" i="8"/>
  <c r="HO175" i="8"/>
  <c r="HP175" i="8"/>
  <c r="HQ175" i="8"/>
  <c r="HR175" i="8"/>
  <c r="HS175" i="8"/>
  <c r="HT175" i="8"/>
  <c r="HU175" i="8"/>
  <c r="HV175" i="8"/>
  <c r="HW175" i="8"/>
  <c r="HX175" i="8"/>
  <c r="HY175" i="8"/>
  <c r="HZ175" i="8"/>
  <c r="IA175" i="8"/>
  <c r="IB175" i="8"/>
  <c r="IC175" i="8"/>
  <c r="ID175" i="8"/>
  <c r="IE175" i="8"/>
  <c r="IF175" i="8"/>
  <c r="IG175" i="8"/>
  <c r="IH175" i="8"/>
  <c r="II175" i="8"/>
  <c r="IJ175" i="8"/>
  <c r="IK175" i="8"/>
  <c r="IL175" i="8"/>
  <c r="IM175" i="8"/>
  <c r="IN175" i="8"/>
  <c r="IO175" i="8"/>
  <c r="IP175" i="8"/>
  <c r="IQ175" i="8"/>
  <c r="IR175" i="8"/>
  <c r="IS175" i="8"/>
  <c r="IT175" i="8"/>
  <c r="IU175" i="8"/>
  <c r="IV175" i="8"/>
  <c r="F176" i="8"/>
  <c r="G176" i="8"/>
  <c r="H176" i="8"/>
  <c r="I176" i="8"/>
  <c r="J176" i="8"/>
  <c r="K176" i="8"/>
  <c r="L176" i="8"/>
  <c r="M176" i="8"/>
  <c r="N176" i="8"/>
  <c r="F1" i="8"/>
  <c r="G1" i="8"/>
  <c r="H1" i="8"/>
  <c r="I1" i="8"/>
  <c r="J1" i="8"/>
  <c r="K1" i="8"/>
  <c r="L1" i="8"/>
  <c r="M1" i="8"/>
  <c r="N1" i="8"/>
  <c r="O1" i="8"/>
  <c r="P1" i="8"/>
  <c r="Q1" i="8"/>
  <c r="R1" i="8"/>
  <c r="S1" i="8"/>
  <c r="T1" i="8"/>
  <c r="U1" i="8"/>
  <c r="V1" i="8"/>
  <c r="W1" i="8"/>
  <c r="X1" i="8"/>
  <c r="Y1" i="8"/>
  <c r="Z1" i="8"/>
  <c r="AA1" i="8"/>
  <c r="AB1" i="8"/>
  <c r="AC1" i="8"/>
  <c r="AD1" i="8"/>
  <c r="AE1" i="8"/>
  <c r="AF1" i="8"/>
  <c r="AG1" i="8"/>
  <c r="AH1" i="8"/>
  <c r="AI1" i="8"/>
  <c r="AJ1" i="8"/>
  <c r="AK1" i="8"/>
  <c r="AL1" i="8"/>
  <c r="AM1" i="8"/>
  <c r="AN1" i="8"/>
  <c r="AO1" i="8"/>
  <c r="AP1" i="8"/>
  <c r="AQ1" i="8"/>
  <c r="AR1" i="8"/>
  <c r="AS1" i="8"/>
  <c r="AT1" i="8"/>
  <c r="AU1" i="8"/>
  <c r="AV1" i="8"/>
  <c r="AW1" i="8"/>
  <c r="AX1" i="8"/>
  <c r="AY1" i="8"/>
  <c r="AZ1" i="8"/>
  <c r="BA1" i="8"/>
  <c r="BB1" i="8"/>
  <c r="BC1" i="8"/>
  <c r="BD1" i="8"/>
  <c r="BE1" i="8"/>
  <c r="BF1" i="8"/>
  <c r="BG1" i="8"/>
  <c r="BH1" i="8"/>
  <c r="BI1" i="8"/>
  <c r="BJ1" i="8"/>
  <c r="BK1" i="8"/>
  <c r="BL1" i="8"/>
  <c r="BM1" i="8"/>
  <c r="BN1" i="8"/>
  <c r="BO1" i="8"/>
  <c r="BP1" i="8"/>
  <c r="BQ1" i="8"/>
  <c r="BR1" i="8"/>
  <c r="BS1" i="8"/>
  <c r="BT1" i="8"/>
  <c r="BU1" i="8"/>
  <c r="BV1" i="8"/>
  <c r="BW1" i="8"/>
  <c r="BX1" i="8"/>
  <c r="BY1" i="8"/>
  <c r="BZ1" i="8"/>
  <c r="CA1" i="8"/>
  <c r="CB1" i="8"/>
  <c r="CC1" i="8"/>
  <c r="CD1" i="8"/>
  <c r="CE1" i="8"/>
  <c r="CF1" i="8"/>
  <c r="CG1" i="8"/>
  <c r="CH1" i="8"/>
  <c r="CI1" i="8"/>
  <c r="CJ1" i="8"/>
  <c r="CK1" i="8"/>
  <c r="CL1" i="8"/>
  <c r="CM1" i="8"/>
  <c r="CN1" i="8"/>
  <c r="CO1" i="8"/>
  <c r="CP1" i="8"/>
  <c r="CQ1" i="8"/>
  <c r="CR1" i="8"/>
  <c r="CS1" i="8"/>
  <c r="CT1" i="8"/>
  <c r="CU1" i="8"/>
  <c r="CV1" i="8"/>
  <c r="CW1" i="8"/>
  <c r="CX1" i="8"/>
  <c r="CY1" i="8"/>
  <c r="CZ1" i="8"/>
  <c r="DA1" i="8"/>
  <c r="DB1" i="8"/>
  <c r="DC1" i="8"/>
  <c r="DD1" i="8"/>
  <c r="DE1" i="8"/>
  <c r="DF1" i="8"/>
  <c r="DG1" i="8"/>
  <c r="DH1" i="8"/>
  <c r="DI1" i="8"/>
  <c r="DJ1" i="8"/>
  <c r="DK1" i="8"/>
  <c r="DL1" i="8"/>
  <c r="DM1" i="8"/>
  <c r="DN1" i="8"/>
  <c r="DO1" i="8"/>
  <c r="DP1" i="8"/>
  <c r="DQ1" i="8"/>
  <c r="DR1" i="8"/>
  <c r="DS1" i="8"/>
  <c r="DT1" i="8"/>
  <c r="DU1" i="8"/>
  <c r="DV1" i="8"/>
  <c r="DW1" i="8"/>
  <c r="DX1" i="8"/>
  <c r="DY1" i="8"/>
  <c r="DZ1" i="8"/>
  <c r="EA1" i="8"/>
  <c r="EB1" i="8"/>
  <c r="EC1" i="8"/>
  <c r="ED1" i="8"/>
  <c r="EE1" i="8"/>
  <c r="EF1" i="8"/>
  <c r="EG1" i="8"/>
  <c r="EH1" i="8"/>
  <c r="EI1" i="8"/>
  <c r="EJ1" i="8"/>
  <c r="EK1" i="8"/>
  <c r="EL1" i="8"/>
  <c r="EM1" i="8"/>
  <c r="EN1" i="8"/>
  <c r="EO1" i="8"/>
  <c r="EP1" i="8"/>
  <c r="EQ1" i="8"/>
  <c r="ER1" i="8"/>
  <c r="ES1" i="8"/>
  <c r="ET1" i="8"/>
  <c r="EU1" i="8"/>
  <c r="EV1" i="8"/>
  <c r="EW1" i="8"/>
  <c r="EX1" i="8"/>
  <c r="EY1" i="8"/>
  <c r="EZ1" i="8"/>
  <c r="FA1" i="8"/>
  <c r="FB1" i="8"/>
  <c r="FC1" i="8"/>
  <c r="FD1" i="8"/>
  <c r="FE1" i="8"/>
  <c r="FF1" i="8"/>
  <c r="FG1" i="8"/>
  <c r="FH1" i="8"/>
  <c r="FI1" i="8"/>
  <c r="FJ1" i="8"/>
  <c r="FK1" i="8"/>
  <c r="FL1" i="8"/>
  <c r="FM1" i="8"/>
  <c r="FN1" i="8"/>
  <c r="FO1" i="8"/>
  <c r="FP1" i="8"/>
  <c r="FQ1" i="8"/>
  <c r="FR1" i="8"/>
  <c r="FS1" i="8"/>
  <c r="FT1" i="8"/>
  <c r="FU1" i="8"/>
  <c r="FV1" i="8"/>
  <c r="FW1" i="8"/>
  <c r="FX1" i="8"/>
  <c r="FY1" i="8"/>
  <c r="FZ1" i="8"/>
  <c r="GA1" i="8"/>
  <c r="GB1" i="8"/>
  <c r="GC1" i="8"/>
  <c r="GD1" i="8"/>
  <c r="GE1" i="8"/>
  <c r="GF1" i="8"/>
  <c r="GG1" i="8"/>
  <c r="GH1" i="8"/>
  <c r="GI1" i="8"/>
  <c r="GJ1" i="8"/>
  <c r="GK1" i="8"/>
  <c r="GL1" i="8"/>
  <c r="GM1" i="8"/>
  <c r="GN1" i="8"/>
  <c r="GO1" i="8"/>
  <c r="GP1" i="8"/>
  <c r="GQ1" i="8"/>
  <c r="GR1" i="8"/>
  <c r="GS1" i="8"/>
  <c r="GT1" i="8"/>
  <c r="GU1" i="8"/>
  <c r="GV1" i="8"/>
  <c r="GW1" i="8"/>
  <c r="GX1" i="8"/>
  <c r="GY1" i="8"/>
  <c r="GZ1" i="8"/>
  <c r="HA1" i="8"/>
  <c r="HB1" i="8"/>
  <c r="HC1" i="8"/>
  <c r="HD1" i="8"/>
  <c r="HE1" i="8"/>
  <c r="HF1" i="8"/>
  <c r="HG1" i="8"/>
  <c r="HH1" i="8"/>
  <c r="HI1" i="8"/>
  <c r="HJ1" i="8"/>
  <c r="HK1" i="8"/>
  <c r="HL1" i="8"/>
  <c r="HM1" i="8"/>
  <c r="HN1" i="8"/>
  <c r="HO1" i="8"/>
  <c r="HP1" i="8"/>
  <c r="HQ1" i="8"/>
  <c r="HR1" i="8"/>
  <c r="HS1" i="8"/>
  <c r="HT1" i="8"/>
  <c r="HU1" i="8"/>
  <c r="HV1" i="8"/>
  <c r="HW1" i="8"/>
  <c r="HX1" i="8"/>
  <c r="HY1" i="8"/>
  <c r="HZ1" i="8"/>
  <c r="IA1" i="8"/>
  <c r="IB1" i="8"/>
  <c r="IC1" i="8"/>
  <c r="ID1" i="8"/>
  <c r="IE1" i="8"/>
  <c r="IF1" i="8"/>
  <c r="IG1" i="8"/>
  <c r="IH1" i="8"/>
  <c r="II1" i="8"/>
  <c r="IJ1" i="8"/>
  <c r="IK1" i="8"/>
  <c r="IL1" i="8"/>
  <c r="IM1" i="8"/>
  <c r="IN1" i="8"/>
  <c r="IO1" i="8"/>
  <c r="IP1" i="8"/>
  <c r="IQ1" i="8"/>
  <c r="IR1" i="8"/>
  <c r="IS1" i="8"/>
  <c r="IT1" i="8"/>
  <c r="IU1" i="8"/>
  <c r="IV1" i="8"/>
  <c r="B12" i="6"/>
  <c r="DU172" i="8" s="1"/>
  <c r="E2" i="3" l="1"/>
  <c r="IH2" i="8" l="1"/>
  <c r="HM2" i="8"/>
  <c r="H130" i="4"/>
  <c r="CJ46" i="8" s="1"/>
  <c r="I130" i="4"/>
  <c r="CK46" i="8" s="1"/>
  <c r="J130" i="4"/>
  <c r="CL46" i="8" s="1"/>
  <c r="K130" i="4"/>
  <c r="CM46" i="8" s="1"/>
  <c r="E130" i="4"/>
  <c r="CG46" i="8" s="1"/>
  <c r="F130" i="4"/>
  <c r="CH46" i="8" s="1"/>
  <c r="G130" i="4"/>
  <c r="CI46" i="8" s="1"/>
  <c r="E3" i="2" l="1"/>
  <c r="R4" i="8" s="1"/>
  <c r="E170" i="4"/>
  <c r="BE82" i="8" s="1"/>
  <c r="F170" i="4"/>
  <c r="BF82" i="8" s="1"/>
  <c r="G170" i="4"/>
  <c r="BG82" i="8" s="1"/>
  <c r="H170" i="4"/>
  <c r="BH82" i="8" s="1"/>
  <c r="I170" i="4"/>
  <c r="BI82" i="8" s="1"/>
  <c r="J170" i="4"/>
  <c r="BJ82" i="8" s="1"/>
  <c r="K170" i="4"/>
  <c r="BK82" i="8" s="1"/>
  <c r="D170" i="4"/>
  <c r="BD82" i="8" s="1"/>
  <c r="E149" i="4"/>
  <c r="DD76" i="8" s="1"/>
  <c r="F149" i="4"/>
  <c r="DE76" i="8" s="1"/>
  <c r="G149" i="4"/>
  <c r="DF76" i="8" s="1"/>
  <c r="H149" i="4"/>
  <c r="DG76" i="8" s="1"/>
  <c r="I149" i="4"/>
  <c r="DH76" i="8" s="1"/>
  <c r="J149" i="4"/>
  <c r="DI76" i="8" s="1"/>
  <c r="K149" i="4"/>
  <c r="DJ76" i="8" s="1"/>
  <c r="D149" i="4"/>
  <c r="DC76" i="8" s="1"/>
  <c r="E129" i="4"/>
  <c r="F129" i="4"/>
  <c r="G129" i="4"/>
  <c r="I129" i="4"/>
  <c r="J129" i="4"/>
  <c r="K129" i="4"/>
  <c r="D130" i="4"/>
  <c r="CF46" i="8" s="1"/>
  <c r="E117" i="4"/>
  <c r="AE45" i="8" s="1"/>
  <c r="F117" i="4"/>
  <c r="AF45" i="8" s="1"/>
  <c r="G117" i="4"/>
  <c r="AG45" i="8" s="1"/>
  <c r="H117" i="4"/>
  <c r="AH45" i="8" s="1"/>
  <c r="I117" i="4"/>
  <c r="AI45" i="8" s="1"/>
  <c r="J117" i="4"/>
  <c r="AJ45" i="8" s="1"/>
  <c r="K117" i="4"/>
  <c r="AK45" i="8" s="1"/>
  <c r="D117" i="4"/>
  <c r="AD45" i="8" s="1"/>
  <c r="E112" i="4"/>
  <c r="EG44" i="8" s="1"/>
  <c r="F112" i="4"/>
  <c r="EH44" i="8" s="1"/>
  <c r="G112" i="4"/>
  <c r="EI44" i="8" s="1"/>
  <c r="H112" i="4"/>
  <c r="EJ44" i="8" s="1"/>
  <c r="I112" i="4"/>
  <c r="EK44" i="8" s="1"/>
  <c r="J112" i="4"/>
  <c r="EL44" i="8" s="1"/>
  <c r="K112" i="4"/>
  <c r="EM44" i="8" s="1"/>
  <c r="D112" i="4"/>
  <c r="EF44" i="8" s="1"/>
  <c r="E100" i="4"/>
  <c r="GE43" i="8" s="1"/>
  <c r="F100" i="4"/>
  <c r="GF43" i="8" s="1"/>
  <c r="G100" i="4"/>
  <c r="GG43" i="8" s="1"/>
  <c r="H100" i="4"/>
  <c r="GH43" i="8" s="1"/>
  <c r="I100" i="4"/>
  <c r="GI43" i="8" s="1"/>
  <c r="J100" i="4"/>
  <c r="GJ43" i="8" s="1"/>
  <c r="K100" i="4"/>
  <c r="GK43" i="8" s="1"/>
  <c r="D100" i="4"/>
  <c r="GD43" i="8" s="1"/>
  <c r="E35" i="4"/>
  <c r="IC7" i="8" s="1"/>
  <c r="F35" i="4"/>
  <c r="ID7" i="8" s="1"/>
  <c r="G35" i="4"/>
  <c r="IE7" i="8" s="1"/>
  <c r="H35" i="4"/>
  <c r="IF7" i="8" s="1"/>
  <c r="I35" i="4"/>
  <c r="IG7" i="8" s="1"/>
  <c r="J35" i="4"/>
  <c r="IH7" i="8" s="1"/>
  <c r="K35" i="4"/>
  <c r="II7" i="8" s="1"/>
  <c r="D35" i="4"/>
  <c r="IB7" i="8" s="1"/>
  <c r="E24" i="4"/>
  <c r="CB7" i="8" s="1"/>
  <c r="F24" i="4"/>
  <c r="CC7" i="8" s="1"/>
  <c r="G24" i="4"/>
  <c r="CD7" i="8" s="1"/>
  <c r="H24" i="4"/>
  <c r="CE7" i="8" s="1"/>
  <c r="I24" i="4"/>
  <c r="CF7" i="8" s="1"/>
  <c r="J24" i="4"/>
  <c r="CG7" i="8" s="1"/>
  <c r="K24" i="4"/>
  <c r="CH7" i="8" s="1"/>
  <c r="D24" i="4"/>
  <c r="CA7" i="8" s="1"/>
  <c r="E17" i="4"/>
  <c r="FZ6" i="8" s="1"/>
  <c r="F17" i="4"/>
  <c r="GA6" i="8" s="1"/>
  <c r="G17" i="4"/>
  <c r="GB6" i="8" s="1"/>
  <c r="H17" i="4"/>
  <c r="GC6" i="8" s="1"/>
  <c r="I17" i="4"/>
  <c r="GD6" i="8" s="1"/>
  <c r="J17" i="4"/>
  <c r="GE6" i="8" s="1"/>
  <c r="K17" i="4"/>
  <c r="GF6" i="8" s="1"/>
  <c r="D17" i="4"/>
  <c r="FY6" i="8" s="1"/>
  <c r="E8" i="4"/>
  <c r="AJ6" i="8" s="1"/>
  <c r="F8" i="4"/>
  <c r="AK6" i="8" s="1"/>
  <c r="G8" i="4"/>
  <c r="AL6" i="8" s="1"/>
  <c r="H8" i="4"/>
  <c r="AM6" i="8" s="1"/>
  <c r="I8" i="4"/>
  <c r="AN6" i="8" s="1"/>
  <c r="J8" i="4"/>
  <c r="AO6" i="8" s="1"/>
  <c r="K8" i="4"/>
  <c r="AP6" i="8" s="1"/>
  <c r="D8" i="4"/>
  <c r="AI6" i="8" s="1"/>
  <c r="BJ46" i="8" l="1"/>
  <c r="J6" i="5"/>
  <c r="S6" i="5" s="1"/>
  <c r="BE46" i="8"/>
  <c r="E6" i="5"/>
  <c r="N6" i="5" s="1"/>
  <c r="BI46" i="8"/>
  <c r="I6" i="5"/>
  <c r="R6" i="5" s="1"/>
  <c r="BD46" i="8"/>
  <c r="D6" i="5"/>
  <c r="M6" i="5" s="1"/>
  <c r="BF46" i="8"/>
  <c r="F6" i="5"/>
  <c r="O6" i="5" s="1"/>
  <c r="BH46" i="8"/>
  <c r="H6" i="5"/>
  <c r="Q6" i="5" s="1"/>
  <c r="E4" i="2"/>
  <c r="K169" i="4"/>
  <c r="AI82" i="8" s="1"/>
  <c r="J148" i="4"/>
  <c r="J169" i="4"/>
  <c r="D129" i="4"/>
  <c r="I148" i="4"/>
  <c r="I169" i="4"/>
  <c r="H148" i="4"/>
  <c r="H169" i="4"/>
  <c r="G148" i="4"/>
  <c r="G169" i="4"/>
  <c r="K148" i="4"/>
  <c r="CH76" i="8" s="1"/>
  <c r="F148" i="4"/>
  <c r="F169" i="4"/>
  <c r="E148" i="4"/>
  <c r="E169" i="4"/>
  <c r="D148" i="4"/>
  <c r="D169" i="4"/>
  <c r="J6" i="4"/>
  <c r="K6" i="4"/>
  <c r="G6" i="4"/>
  <c r="H6" i="4"/>
  <c r="E6" i="4"/>
  <c r="F6" i="4"/>
  <c r="I6" i="4"/>
  <c r="IA5" i="8" l="1"/>
  <c r="J5" i="5"/>
  <c r="HU5" i="8"/>
  <c r="D5" i="5"/>
  <c r="HZ5" i="8"/>
  <c r="I5" i="5"/>
  <c r="CB76" i="8"/>
  <c r="D7" i="5"/>
  <c r="M7" i="5" s="1"/>
  <c r="AE82" i="8"/>
  <c r="F8" i="5"/>
  <c r="O8" i="5" s="1"/>
  <c r="AG82" i="8"/>
  <c r="H8" i="5"/>
  <c r="Q8" i="5" s="1"/>
  <c r="CG76" i="8"/>
  <c r="I7" i="5"/>
  <c r="R7" i="5" s="1"/>
  <c r="HX5" i="8"/>
  <c r="G5" i="5"/>
  <c r="AB82" i="8"/>
  <c r="C8" i="5"/>
  <c r="L8" i="5" s="1"/>
  <c r="AD82" i="8"/>
  <c r="E8" i="5"/>
  <c r="CD76" i="8"/>
  <c r="F7" i="5"/>
  <c r="O7" i="5" s="1"/>
  <c r="CF76" i="8"/>
  <c r="H7" i="5"/>
  <c r="Q7" i="5" s="1"/>
  <c r="HV5" i="8"/>
  <c r="E5" i="5"/>
  <c r="AC82" i="8"/>
  <c r="D8" i="5"/>
  <c r="M8" i="5" s="1"/>
  <c r="CE76" i="8"/>
  <c r="G7" i="5"/>
  <c r="P7" i="5" s="1"/>
  <c r="AH82" i="8"/>
  <c r="I8" i="5"/>
  <c r="R8" i="5" s="1"/>
  <c r="HY5" i="8"/>
  <c r="H5" i="5"/>
  <c r="HW5" i="8"/>
  <c r="F5" i="5"/>
  <c r="CA76" i="8"/>
  <c r="C7" i="5"/>
  <c r="CC76" i="8"/>
  <c r="E7" i="5"/>
  <c r="N7" i="5" s="1"/>
  <c r="AF82" i="8"/>
  <c r="G8" i="5"/>
  <c r="P8" i="5" s="1"/>
  <c r="BC46" i="8"/>
  <c r="C6" i="5"/>
  <c r="CD4" i="8"/>
  <c r="W4" i="8"/>
  <c r="G5" i="4"/>
  <c r="GQ5" i="8" s="1"/>
  <c r="J5" i="4"/>
  <c r="GT5" i="8" s="1"/>
  <c r="I5" i="4"/>
  <c r="GS5" i="8" s="1"/>
  <c r="H5" i="4"/>
  <c r="GR5" i="8" s="1"/>
  <c r="F5" i="4"/>
  <c r="GP5" i="8" s="1"/>
  <c r="K5" i="4"/>
  <c r="GU5" i="8" s="1"/>
  <c r="E5" i="4"/>
  <c r="GO5" i="8" s="1"/>
  <c r="K8" i="5" l="1"/>
  <c r="N8" i="5"/>
  <c r="G4" i="5"/>
  <c r="P5" i="5"/>
  <c r="P4" i="5" s="1"/>
  <c r="D4" i="5"/>
  <c r="M5" i="5"/>
  <c r="M4" i="5" s="1"/>
  <c r="L6" i="5"/>
  <c r="K6" i="5"/>
  <c r="O5" i="5"/>
  <c r="O4" i="5" s="1"/>
  <c r="F4" i="5"/>
  <c r="L7" i="5"/>
  <c r="K7" i="5"/>
  <c r="H4" i="5"/>
  <c r="Q5" i="5"/>
  <c r="Q4" i="5" s="1"/>
  <c r="N5" i="5"/>
  <c r="N4" i="5" s="1"/>
  <c r="E4" i="5"/>
  <c r="R5" i="5"/>
  <c r="R4" i="5" s="1"/>
  <c r="I4" i="5"/>
  <c r="S5" i="5"/>
  <c r="S4" i="5" s="1"/>
  <c r="J4" i="5"/>
  <c r="F3" i="2"/>
  <c r="S4" i="8" s="1"/>
  <c r="B5" i="5" l="1"/>
  <c r="GX129" i="8" s="1"/>
  <c r="EX142" i="8" l="1"/>
  <c r="EF138" i="8" l="1"/>
  <c r="D6" i="4"/>
  <c r="DX138" i="8"/>
  <c r="HT5" i="8" l="1"/>
  <c r="C5" i="5"/>
  <c r="D5" i="4"/>
  <c r="GN5" i="8" s="1"/>
  <c r="EY142" i="8"/>
  <c r="C4" i="5" l="1"/>
  <c r="L5" i="5"/>
  <c r="L4" i="5" s="1"/>
  <c r="K5" i="5"/>
  <c r="K4" i="5" s="1"/>
  <c r="AF8" i="5"/>
  <c r="CF130" i="8" s="1"/>
  <c r="BD130" i="8"/>
  <c r="BE130" i="8"/>
  <c r="BF130" i="8"/>
  <c r="BG130" i="8"/>
  <c r="BH130" i="8"/>
  <c r="BI130" i="8"/>
  <c r="BJ130" i="8"/>
  <c r="BC130" i="8"/>
  <c r="BQ130" i="8" l="1"/>
  <c r="BP130" i="8"/>
  <c r="BO130" i="8"/>
  <c r="BR130" i="8"/>
  <c r="BM130" i="8"/>
  <c r="BS130" i="8"/>
  <c r="BN130" i="8"/>
  <c r="BK130" i="8"/>
  <c r="BL130" i="8"/>
  <c r="T8" i="5" l="1"/>
  <c r="BT130" i="8" s="1"/>
  <c r="W8" i="5" l="1"/>
  <c r="BW130" i="8" s="1"/>
  <c r="AG8" i="5" l="1"/>
  <c r="CG130" i="8" s="1"/>
  <c r="IG129" i="8"/>
  <c r="IH129" i="8"/>
  <c r="II129" i="8"/>
  <c r="IJ129" i="8"/>
  <c r="IK129" i="8"/>
  <c r="IL129" i="8"/>
  <c r="IF129" i="8"/>
  <c r="W130" i="8"/>
  <c r="X130" i="8"/>
  <c r="Y130" i="8"/>
  <c r="Z130" i="8"/>
  <c r="AA130" i="8"/>
  <c r="AB130" i="8"/>
  <c r="AC130" i="8"/>
  <c r="V130" i="8"/>
  <c r="A4" i="5"/>
  <c r="FQ129" i="8" s="1"/>
  <c r="AL130" i="8" l="1"/>
  <c r="IR129" i="8"/>
  <c r="AK130" i="8"/>
  <c r="IQ129" i="8"/>
  <c r="IS129" i="8"/>
  <c r="AJ130" i="8"/>
  <c r="AG130" i="8"/>
  <c r="IP129" i="8"/>
  <c r="AF130" i="8"/>
  <c r="IU129" i="8"/>
  <c r="AI130" i="8"/>
  <c r="IO129" i="8"/>
  <c r="AE130" i="8"/>
  <c r="AH130" i="8"/>
  <c r="IT129" i="8"/>
  <c r="A1" i="6"/>
  <c r="BB172" i="8" s="1"/>
  <c r="HC129" i="8"/>
  <c r="HB129" i="8"/>
  <c r="HA129" i="8"/>
  <c r="GY129" i="8"/>
  <c r="FV129" i="8" l="1"/>
  <c r="FR129" i="8"/>
  <c r="FT129" i="8"/>
  <c r="FU129" i="8"/>
  <c r="HK129" i="8"/>
  <c r="T7" i="5"/>
  <c r="AM130" i="8" s="1"/>
  <c r="HH129" i="8"/>
  <c r="HJ129" i="8"/>
  <c r="HL129" i="8"/>
  <c r="GZ129" i="8"/>
  <c r="HD129" i="8"/>
  <c r="HE129" i="8"/>
  <c r="HF129" i="8"/>
  <c r="GC129" i="8" l="1"/>
  <c r="GA129" i="8"/>
  <c r="GD129" i="8"/>
  <c r="FW129" i="8"/>
  <c r="FX129" i="8"/>
  <c r="FS129" i="8"/>
  <c r="GE129" i="8"/>
  <c r="HO129" i="8"/>
  <c r="HN129" i="8"/>
  <c r="HM129" i="8"/>
  <c r="HI129" i="8"/>
  <c r="AF7" i="5"/>
  <c r="AY130" i="8" s="1"/>
  <c r="AF6" i="5"/>
  <c r="R130" i="8" s="1"/>
  <c r="GB129" i="8" l="1"/>
  <c r="GG129" i="8"/>
  <c r="GF129" i="8"/>
  <c r="T5" i="5"/>
  <c r="HP129" i="8" s="1"/>
  <c r="AD130" i="8"/>
  <c r="W7" i="5"/>
  <c r="AP130" i="8" s="1"/>
  <c r="AG7" i="5" l="1"/>
  <c r="AZ130" i="8" s="1"/>
  <c r="E5" i="6" l="1"/>
  <c r="CC172" i="8" s="1"/>
  <c r="B9" i="6" l="1"/>
  <c r="DA172" i="8" s="1"/>
  <c r="AF5" i="5"/>
  <c r="IB129" i="8" s="1"/>
  <c r="HG129" i="8" l="1"/>
  <c r="W5" i="5" l="1"/>
  <c r="HS129" i="8" s="1"/>
  <c r="AG5" i="5" l="1"/>
  <c r="IC129" i="8" s="1"/>
  <c r="IM129" i="8" l="1"/>
  <c r="IV129" i="8" l="1"/>
  <c r="FY129" i="8"/>
  <c r="IN129" i="8"/>
  <c r="GH129" i="8" l="1"/>
  <c r="FZ129" i="8"/>
  <c r="T6" i="5"/>
  <c r="F130" i="8" s="1"/>
  <c r="T9" i="5" l="1"/>
  <c r="DA130" i="8" s="1"/>
  <c r="W6" i="5"/>
  <c r="I130" i="8" s="1"/>
  <c r="T4" i="5" l="1"/>
  <c r="GI129" i="8" s="1"/>
  <c r="AG6" i="5"/>
  <c r="S130" i="8" s="1"/>
  <c r="W9" i="5"/>
  <c r="DD130" i="8" s="1"/>
  <c r="AG9" i="5" l="1"/>
  <c r="W4" i="5"/>
  <c r="GL129" i="8" s="1"/>
  <c r="AG4" i="5" l="1"/>
  <c r="GV129" i="8" s="1"/>
  <c r="DN130" i="8"/>
  <c r="C9" i="6"/>
  <c r="D12" i="6" l="1"/>
  <c r="DW172" i="8" s="1"/>
  <c r="DB172" i="8"/>
  <c r="D3" i="3"/>
  <c r="D4" i="3"/>
  <c r="E12" i="6" l="1"/>
  <c r="DX172" i="8" s="1"/>
  <c r="E4" i="3"/>
  <c r="HW2" i="8" s="1"/>
  <c r="HV2" i="8"/>
  <c r="E3" i="3"/>
  <c r="HR2" i="8" s="1"/>
  <c r="HQ2" i="8"/>
  <c r="D13" i="6"/>
  <c r="ED172" i="8" s="1"/>
  <c r="E13" i="6"/>
  <c r="EE172" i="8" s="1"/>
  <c r="C4" i="3" l="1"/>
  <c r="HU2" i="8" s="1"/>
  <c r="C3" i="3"/>
  <c r="HP2" i="8" s="1"/>
  <c r="C2" i="3"/>
  <c r="D3" i="2"/>
  <c r="Q4" i="8" s="1"/>
  <c r="IF2" i="8" l="1"/>
  <c r="HK2" i="8"/>
  <c r="D4" i="2"/>
  <c r="CC4" i="8" l="1"/>
  <c r="V4" i="8"/>
</calcChain>
</file>

<file path=xl/sharedStrings.xml><?xml version="1.0" encoding="utf-8"?>
<sst xmlns="http://schemas.openxmlformats.org/spreadsheetml/2006/main" count="468" uniqueCount="444">
  <si>
    <t>Приложение 2 к протоколу</t>
  </si>
  <si>
    <t>№ п/п</t>
  </si>
  <si>
    <t>Наименование работ</t>
  </si>
  <si>
    <t>Год</t>
  </si>
  <si>
    <t>№</t>
  </si>
  <si>
    <t>Наименование выполняемых работ /модулей ИС</t>
  </si>
  <si>
    <t>Способ реализации (уровень языка разработки)</t>
  </si>
  <si>
    <t>К-нт преобраз. ФТ в БТ</t>
  </si>
  <si>
    <t>Базовые трудозатраты</t>
  </si>
  <si>
    <t>Коэффициенты трудоемкости</t>
  </si>
  <si>
    <t>Общие расчетные трудозатраты, чел.-мес.</t>
  </si>
  <si>
    <t>ИТОГО</t>
  </si>
  <si>
    <t>язык высокого уровня</t>
  </si>
  <si>
    <t>Расчет стоимости единицы трудозатрат</t>
  </si>
  <si>
    <t>Среднемесячная заработная плата по данным Мосстата, руб.</t>
  </si>
  <si>
    <t xml:space="preserve">К-нт рентабельности </t>
  </si>
  <si>
    <t>К-нт доли з/п в себесто-имости</t>
  </si>
  <si>
    <t xml:space="preserve">Стоимость единицы трудозатрат (чел-мес.), руб. </t>
  </si>
  <si>
    <t>Расчет стоимости выполненения работ по разработке ИС</t>
  </si>
  <si>
    <t>Коэффициент, учитывающий инфляцию в i-й год финансирования</t>
  </si>
  <si>
    <t>Стоимость выполнения работ по разработке информационной системы по годам, (руб.) без НДС</t>
  </si>
  <si>
    <t>Стоимость выполнения работ по разработке информационной системы по годам, (руб.) с НДС</t>
  </si>
  <si>
    <t>Итоговая стоимость работ</t>
  </si>
  <si>
    <r>
      <rPr>
        <sz val="12"/>
        <color rgb="FF000000"/>
        <rFont val="Times New Roman"/>
        <family val="1"/>
        <charset val="204"/>
      </rPr>
      <t>1. Коэффициент трудоемкости «Требуемая надежность информационной системы» (МТ</t>
    </r>
    <r>
      <rPr>
        <vertAlign val="subscript"/>
        <sz val="12"/>
        <color rgb="FF000000"/>
        <rFont val="Times New Roman"/>
        <family val="1"/>
        <charset val="204"/>
      </rPr>
      <t>1</t>
    </r>
    <r>
      <rPr>
        <sz val="12"/>
        <color rgb="FF000000"/>
        <rFont val="Times New Roman"/>
        <family val="1"/>
        <charset val="204"/>
      </rPr>
      <t>)</t>
    </r>
  </si>
  <si>
    <t>Коэффициент определяется по ИС в целом</t>
  </si>
  <si>
    <t xml:space="preserve">Тип разрабатываемой ИС  </t>
  </si>
  <si>
    <t>отраслевая ИС</t>
  </si>
  <si>
    <t>общегородская ИС</t>
  </si>
  <si>
    <t>критичная ИС</t>
  </si>
  <si>
    <r>
      <rPr>
        <sz val="12"/>
        <color rgb="FF000000"/>
        <rFont val="Times New Roman"/>
        <family val="1"/>
        <charset val="204"/>
      </rPr>
      <t>Значение коэффициента трудоемкости (МТ</t>
    </r>
    <r>
      <rPr>
        <vertAlign val="subscript"/>
        <sz val="12"/>
        <color rgb="FF000000"/>
        <rFont val="Times New Roman"/>
        <family val="1"/>
        <charset val="204"/>
      </rPr>
      <t>1</t>
    </r>
    <r>
      <rPr>
        <sz val="12"/>
        <color rgb="FF000000"/>
        <rFont val="Times New Roman"/>
        <family val="1"/>
        <charset val="204"/>
      </rPr>
      <t>)</t>
    </r>
  </si>
  <si>
    <r>
      <rPr>
        <sz val="12"/>
        <color rgb="FF000000"/>
        <rFont val="Times New Roman"/>
        <family val="1"/>
        <charset val="204"/>
      </rPr>
      <t>2. Коэффициент трудоемкости «Среда разработки» (МТ</t>
    </r>
    <r>
      <rPr>
        <vertAlign val="subscript"/>
        <sz val="12"/>
        <color rgb="FF000000"/>
        <rFont val="Times New Roman"/>
        <family val="1"/>
        <charset val="204"/>
      </rPr>
      <t>2</t>
    </r>
    <r>
      <rPr>
        <sz val="12"/>
        <color rgb="FF000000"/>
        <rFont val="Times New Roman"/>
        <family val="1"/>
        <charset val="204"/>
      </rPr>
      <t>)</t>
    </r>
  </si>
  <si>
    <t xml:space="preserve">Значение отношения кол-во объектов предметной области/размер ИС  </t>
  </si>
  <si>
    <t>2 среды</t>
  </si>
  <si>
    <t>3 среды</t>
  </si>
  <si>
    <t>4 среды</t>
  </si>
  <si>
    <r>
      <rPr>
        <sz val="12"/>
        <color rgb="FF000000"/>
        <rFont val="Times New Roman"/>
        <family val="1"/>
        <charset val="204"/>
      </rPr>
      <t>Значение коэффициента трудоемкости (МТ</t>
    </r>
    <r>
      <rPr>
        <vertAlign val="subscript"/>
        <sz val="12"/>
        <color rgb="FF000000"/>
        <rFont val="Times New Roman"/>
        <family val="1"/>
        <charset val="204"/>
      </rPr>
      <t>2</t>
    </r>
    <r>
      <rPr>
        <sz val="12"/>
        <color rgb="FF000000"/>
        <rFont val="Times New Roman"/>
        <family val="1"/>
        <charset val="204"/>
      </rPr>
      <t>)</t>
    </r>
  </si>
  <si>
    <r>
      <rPr>
        <sz val="12"/>
        <color rgb="FF000000"/>
        <rFont val="Times New Roman"/>
        <family val="1"/>
        <charset val="204"/>
      </rPr>
      <t>3. Коэффициент трудоемкости «Интеграции с внешними системами</t>
    </r>
    <r>
      <rPr>
        <sz val="14"/>
        <color rgb="FF000000"/>
        <rFont val="Times New Roman"/>
        <family val="1"/>
        <charset val="204"/>
      </rPr>
      <t>» (МТ</t>
    </r>
    <r>
      <rPr>
        <vertAlign val="subscript"/>
        <sz val="14"/>
        <color rgb="FF000000"/>
        <rFont val="Times New Roman"/>
        <family val="1"/>
        <charset val="204"/>
      </rPr>
      <t>3</t>
    </r>
    <r>
      <rPr>
        <sz val="14"/>
        <color rgb="FF000000"/>
        <rFont val="Times New Roman"/>
        <family val="1"/>
        <charset val="204"/>
      </rPr>
      <t>)</t>
    </r>
  </si>
  <si>
    <t>Количество интеграций</t>
  </si>
  <si>
    <t>менее 10</t>
  </si>
  <si>
    <t>от 10 до 20</t>
  </si>
  <si>
    <t>свыше 20</t>
  </si>
  <si>
    <r>
      <rPr>
        <sz val="12"/>
        <color rgb="FF000000"/>
        <rFont val="Times New Roman"/>
        <family val="1"/>
        <charset val="204"/>
      </rPr>
      <t>Значение коэффициента трудоемкости (МТ</t>
    </r>
    <r>
      <rPr>
        <vertAlign val="subscript"/>
        <sz val="12"/>
        <color rgb="FF000000"/>
        <rFont val="Times New Roman"/>
        <family val="1"/>
        <charset val="204"/>
      </rPr>
      <t>3</t>
    </r>
    <r>
      <rPr>
        <sz val="12"/>
        <color rgb="FF000000"/>
        <rFont val="Times New Roman"/>
        <family val="1"/>
        <charset val="204"/>
      </rPr>
      <t>)</t>
    </r>
  </si>
  <si>
    <t>Коэффициент определяется отдельно по каждой из подсистем ИС</t>
  </si>
  <si>
    <t xml:space="preserve">Класс разрабатываемой ИС  </t>
  </si>
  <si>
    <t>информационно-поисковая (реестр, регистр и др.)</t>
  </si>
  <si>
    <t>обеспечения деятельности ОИВ, портал, прочая</t>
  </si>
  <si>
    <t>информационно-аналитическая, управляющая</t>
  </si>
  <si>
    <r>
      <rPr>
        <sz val="12"/>
        <color rgb="FF000000"/>
        <rFont val="Times New Roman"/>
        <family val="1"/>
        <charset val="204"/>
      </rPr>
      <t>Значение коэффициента трудоемкости (МТ</t>
    </r>
    <r>
      <rPr>
        <vertAlign val="subscript"/>
        <sz val="12"/>
        <color rgb="FF000000"/>
        <rFont val="Times New Roman"/>
        <family val="1"/>
        <charset val="204"/>
      </rPr>
      <t>4</t>
    </r>
    <r>
      <rPr>
        <sz val="12"/>
        <color rgb="FF000000"/>
        <rFont val="Times New Roman"/>
        <family val="1"/>
        <charset val="204"/>
      </rPr>
      <t>)</t>
    </r>
  </si>
  <si>
    <r>
      <rPr>
        <sz val="12"/>
        <color rgb="FF000000"/>
        <rFont val="Times New Roman"/>
        <family val="1"/>
        <charset val="204"/>
      </rPr>
      <t>5. Коэффициент трудоемкости «Размещение компонент на мобильных устройствах» (МТ</t>
    </r>
    <r>
      <rPr>
        <vertAlign val="subscript"/>
        <sz val="14"/>
        <color rgb="FF000000"/>
        <rFont val="Times New Roman"/>
        <family val="1"/>
        <charset val="204"/>
      </rPr>
      <t>5</t>
    </r>
    <r>
      <rPr>
        <sz val="14"/>
        <color rgb="FF000000"/>
        <rFont val="Times New Roman"/>
        <family val="1"/>
        <charset val="204"/>
      </rPr>
      <t>)</t>
    </r>
  </si>
  <si>
    <t xml:space="preserve">Использование системой мобильных устройств  </t>
  </si>
  <si>
    <t>не</t>
  </si>
  <si>
    <t>предусматривается</t>
  </si>
  <si>
    <r>
      <rPr>
        <sz val="12"/>
        <color rgb="FF000000"/>
        <rFont val="Times New Roman"/>
        <family val="1"/>
        <charset val="204"/>
      </rPr>
      <t>Значение коэффициента трудоемкости (МТ</t>
    </r>
    <r>
      <rPr>
        <vertAlign val="subscript"/>
        <sz val="12"/>
        <color rgb="FF000000"/>
        <rFont val="Times New Roman"/>
        <family val="1"/>
        <charset val="204"/>
      </rPr>
      <t>5</t>
    </r>
    <r>
      <rPr>
        <sz val="12"/>
        <color rgb="FF000000"/>
        <rFont val="Times New Roman"/>
        <family val="1"/>
        <charset val="204"/>
      </rPr>
      <t>)</t>
    </r>
  </si>
  <si>
    <r>
      <rPr>
        <sz val="12"/>
        <color rgb="FF000000"/>
        <rFont val="Times New Roman"/>
        <family val="1"/>
        <charset val="204"/>
      </rPr>
      <t>6. Коэффициент трудоемкости «Частота обновления платформы» (МТ</t>
    </r>
    <r>
      <rPr>
        <vertAlign val="subscript"/>
        <sz val="12"/>
        <color rgb="FF000000"/>
        <rFont val="Times New Roman"/>
        <family val="1"/>
        <charset val="204"/>
      </rPr>
      <t>6</t>
    </r>
    <r>
      <rPr>
        <sz val="12"/>
        <color rgb="FF000000"/>
        <rFont val="Times New Roman"/>
        <family val="1"/>
        <charset val="204"/>
      </rPr>
      <t xml:space="preserve">) </t>
    </r>
  </si>
  <si>
    <t xml:space="preserve">Выход обновления ОС либо СУБД   </t>
  </si>
  <si>
    <t>реже чем 1 раз в 12 месяцев</t>
  </si>
  <si>
    <t>от 1 раза в 12 месяцев до 1 раза в 6 месяцев</t>
  </si>
  <si>
    <t>чаще чем 1 раз в 6 месяцев</t>
  </si>
  <si>
    <r>
      <rPr>
        <sz val="12"/>
        <color rgb="FF000000"/>
        <rFont val="Times New Roman"/>
        <family val="1"/>
        <charset val="204"/>
      </rPr>
      <t>Значение коэффициента трудоемкости (МТ</t>
    </r>
    <r>
      <rPr>
        <vertAlign val="subscript"/>
        <sz val="12"/>
        <color rgb="FF000000"/>
        <rFont val="Times New Roman"/>
        <family val="1"/>
        <charset val="204"/>
      </rPr>
      <t>6</t>
    </r>
    <r>
      <rPr>
        <sz val="12"/>
        <color rgb="FF000000"/>
        <rFont val="Times New Roman"/>
        <family val="1"/>
        <charset val="204"/>
      </rPr>
      <t>)</t>
    </r>
  </si>
  <si>
    <r>
      <rPr>
        <sz val="12"/>
        <color rgb="FF000000"/>
        <rFont val="Times New Roman"/>
        <family val="1"/>
        <charset val="204"/>
      </rPr>
      <t>7. Коэффициент трудоемкости «Новизна информационной системы» (МТ</t>
    </r>
    <r>
      <rPr>
        <vertAlign val="subscript"/>
        <sz val="14"/>
        <color rgb="FF000000"/>
        <rFont val="Times New Roman"/>
        <family val="1"/>
        <charset val="204"/>
      </rPr>
      <t>7</t>
    </r>
    <r>
      <rPr>
        <sz val="14"/>
        <color rgb="FF000000"/>
        <rFont val="Times New Roman"/>
        <family val="1"/>
        <charset val="204"/>
      </rPr>
      <t>)</t>
    </r>
  </si>
  <si>
    <t>Характер выполняемых работ</t>
  </si>
  <si>
    <t>развитие и/или модернизация подсистем действующей ИС</t>
  </si>
  <si>
    <t>создание новых подсистем действующей ИС</t>
  </si>
  <si>
    <t>создание новой ИС</t>
  </si>
  <si>
    <r>
      <rPr>
        <sz val="12"/>
        <color rgb="FF000000"/>
        <rFont val="Times New Roman"/>
        <family val="1"/>
        <charset val="204"/>
      </rPr>
      <t>Значение коэффициента трудоемкости (МТ</t>
    </r>
    <r>
      <rPr>
        <vertAlign val="subscript"/>
        <sz val="12"/>
        <color rgb="FF000000"/>
        <rFont val="Times New Roman"/>
        <family val="1"/>
        <charset val="204"/>
      </rPr>
      <t>7</t>
    </r>
    <r>
      <rPr>
        <sz val="12"/>
        <color rgb="FF000000"/>
        <rFont val="Times New Roman"/>
        <family val="1"/>
        <charset val="204"/>
      </rPr>
      <t>)</t>
    </r>
  </si>
  <si>
    <r>
      <rPr>
        <sz val="12"/>
        <color rgb="FF000000"/>
        <rFont val="Times New Roman"/>
        <family val="1"/>
        <charset val="204"/>
      </rPr>
      <t>8. Коэффициент трудоемкости «Сложность аналитической деятельности и проектирования» (МТ</t>
    </r>
    <r>
      <rPr>
        <vertAlign val="subscript"/>
        <sz val="12"/>
        <color rgb="FF000000"/>
        <rFont val="Times New Roman"/>
        <family val="1"/>
        <charset val="204"/>
      </rPr>
      <t>8</t>
    </r>
    <r>
      <rPr>
        <sz val="12"/>
        <color rgb="FF000000"/>
        <rFont val="Times New Roman"/>
        <family val="1"/>
        <charset val="204"/>
      </rPr>
      <t>)</t>
    </r>
  </si>
  <si>
    <t>Сложность аналитической деятельности и проектирования</t>
  </si>
  <si>
    <t>Не требуется</t>
  </si>
  <si>
    <t>Наличие модели архитектуры (или новая подсистема)</t>
  </si>
  <si>
    <t>Отсутствие модели архитектуры</t>
  </si>
  <si>
    <r>
      <rPr>
        <sz val="12"/>
        <color rgb="FF000000"/>
        <rFont val="Times New Roman"/>
        <family val="1"/>
        <charset val="204"/>
      </rPr>
      <t>Значение коэффициента трудоемкости (МТ</t>
    </r>
    <r>
      <rPr>
        <vertAlign val="subscript"/>
        <sz val="12"/>
        <color rgb="FF000000"/>
        <rFont val="Times New Roman"/>
        <family val="1"/>
        <charset val="204"/>
      </rPr>
      <t>8</t>
    </r>
    <r>
      <rPr>
        <sz val="12"/>
        <color rgb="FF000000"/>
        <rFont val="Times New Roman"/>
        <family val="1"/>
        <charset val="204"/>
      </rPr>
      <t>)</t>
    </r>
  </si>
  <si>
    <t>2</t>
  </si>
  <si>
    <t>3</t>
  </si>
  <si>
    <t>1.1</t>
  </si>
  <si>
    <t>1.1.1</t>
  </si>
  <si>
    <t>1.1.1.1</t>
  </si>
  <si>
    <t>1.1.2</t>
  </si>
  <si>
    <t>1.1.2.1</t>
  </si>
  <si>
    <t>1.2</t>
  </si>
  <si>
    <t>1.2.1</t>
  </si>
  <si>
    <t>1.2.1.1</t>
  </si>
  <si>
    <t>1.2.1.3</t>
  </si>
  <si>
    <t>2.1.1</t>
  </si>
  <si>
    <t>3.1</t>
  </si>
  <si>
    <t>3.1.1</t>
  </si>
  <si>
    <t>3.1.1.1</t>
  </si>
  <si>
    <t>3.1.1.2</t>
  </si>
  <si>
    <t>3.2.1</t>
  </si>
  <si>
    <t>Подсистема «Интернет-портал Единого информационного пространства мировых судей города Москвы»</t>
  </si>
  <si>
    <t>Подсистема электронного взаимодействия между органами исполнительной власти города Москвы, учреждениями города Москвы, иными организациями и судебными участками мировых судей города Москвы</t>
  </si>
  <si>
    <t>1.5.1.1</t>
  </si>
  <si>
    <t>1.5.1.2</t>
  </si>
  <si>
    <t>1.5.2</t>
  </si>
  <si>
    <t>1.5.2.1</t>
  </si>
  <si>
    <t>агрегирование представленных данных в разрезе новых и измененных показателей разделов статистической формы № 1</t>
  </si>
  <si>
    <t>формирование ЭФ разделов статистической формы № 1 в новом представлении</t>
  </si>
  <si>
    <t>агрегирование представленных данных в разрезе новых и измененных показателей разделов статистической формы № 4</t>
  </si>
  <si>
    <t>формирование детализированного представления агрегированных данных в разрезе новых и измененных показателей разделов формы № 4</t>
  </si>
  <si>
    <t>формирование ЭФ разделов статистической формы № 4 в новом представлении</t>
  </si>
  <si>
    <t>формирование детализированного представления агрегированных данных в разрезе новых и измененных показателей разделов формы № 1</t>
  </si>
  <si>
    <t>формирование ЭФ разделов статистической формы № S09 в новом представлении</t>
  </si>
  <si>
    <t>формирование ЭФ разделов статистической формы № S06 в новом представлении</t>
  </si>
  <si>
    <r>
      <t>4. Коэффициент трудоемкости «Сложность информационной системы» (МТ</t>
    </r>
    <r>
      <rPr>
        <vertAlign val="subscript"/>
        <sz val="12"/>
        <color rgb="FF000000"/>
        <rFont val="Times New Roman"/>
        <family val="1"/>
        <charset val="204"/>
      </rPr>
      <t>4</t>
    </r>
    <r>
      <rPr>
        <sz val="12"/>
        <color rgb="FF000000"/>
        <rFont val="Times New Roman"/>
        <family val="1"/>
        <charset val="204"/>
      </rPr>
      <t>)</t>
    </r>
  </si>
  <si>
    <t>формирование ЭФ разделов статистической формы № S08 в новом представлении</t>
  </si>
  <si>
    <t>формирование детализированного представления агрегированных данных в разрезе новых и измененных показателей разделов формы № S06</t>
  </si>
  <si>
    <t>формирование детализированного представления агрегированных данных в разрезе новых и измененных показателей разделов формы № S08</t>
  </si>
  <si>
    <t>формирование детализированного представления агрегированных данных в разрезе новых и измененных показателей разделов формы № S09</t>
  </si>
  <si>
    <t>формирование ЭФ разделов статистической формы № S07 в новом представлении</t>
  </si>
  <si>
    <t xml:space="preserve">начальной (максимальной) </t>
  </si>
  <si>
    <t>цены контракта (цены лота)</t>
  </si>
  <si>
    <t>Таблица расчета начальной (максимальной) цены контракта</t>
  </si>
  <si>
    <t>доработка функции ввода/редактирования с последующим сохранением в БД элементов справочника «Кодексы», соответствующих новым составам правонарушений Кодекса об административных правонарушениях Российской Федерации, внесенных в КоАП РФ Федеральными законами, вступившими в законную силу в 2026 г., во всех атрибутах экранных форм учета дел об административных правонарушениях, заполняемых на основе выбора значения из справочника «Кодексы»</t>
  </si>
  <si>
    <t>доработка функции ввода/редактирования с последующим сохранением в БД элементов справочника «Кодексы», соответствующих новым составам преступлений, а также новым редакциям составов преступлений УК РФ, внесенных в УК РФ Федеральными законами, вступившими в законную силу в 2026 г., во всех атрибутах экранных форм учета уголовных дел, заполняемых на основе выбора значения из справочника «Кодексы»</t>
  </si>
  <si>
    <t>доработка функции отображения в ЭФ «Кодекс» в иерархичном древе «Кодекс об административных правонарушения» новых атрибутов, соответствующих новым составам правонарушений КоАП РФ, внесенных в КоАП РФ Федеральными законами, вступившими в законную силу в 2026 г.</t>
  </si>
  <si>
    <t>доработка функции отображения в ЭФ «Кодекс» в иерархичном древе «Уголовный кодекс» новых атрибутов, соответствующих новым составам правонарушений УК РФ, внесенных в УК РФ Федеральными законами, вступившими в законную силу в 2026 г.</t>
  </si>
  <si>
    <t>выгрузка статистической формы № 1 в виде файла XLS в структурированном виде с учетом нового шаблона данной формы</t>
  </si>
  <si>
    <t>выгрузка статистической формы № 1-АП в виде файла XLS в структурированном виде с учетом нового шаблона данной формы</t>
  </si>
  <si>
    <t>выгрузка статистической формы № 2 в виде файла XLS в структурированном виде с учетом нового шаблона данной формы</t>
  </si>
  <si>
    <t>выгрузка статистической формы № 4 в виде файла XLS в структурированном виде с учетом нового шаблона данной формы</t>
  </si>
  <si>
    <t>выгрузка статистической формы № S03 в виде файла XLS в структурированном виде с учетом нового шаблона данной формы</t>
  </si>
  <si>
    <t>выгрузка статистической формы № S06 в виде файла XLS в структурированном виде с учетом нового шаблона данной формы</t>
  </si>
  <si>
    <t>выгрузка статистической формы № S07 в виде файла XLS в структурированном виде с учетом нового шаблона данной формы</t>
  </si>
  <si>
    <t>выгрузка статистической формы № S08 в виде файла XLS в структурированном виде с учетом нового шаблона данной формы</t>
  </si>
  <si>
    <t>выгрузка статистической формы № S09 в виде файла XLS в структурированном виде с учетом нового шаблона данной формы</t>
  </si>
  <si>
    <t xml:space="preserve">Развитие взаимодействия подсистемы судебного делопроизводства с КИС СОЮ </t>
  </si>
  <si>
    <t xml:space="preserve">Создание интеграционного взаимодействия с КИС СОЮ в части передачи информации, требуемой для рассмотрения дел в кассационной инстанции </t>
  </si>
  <si>
    <t>Подсистема «Информационные киоски и экраны»</t>
  </si>
  <si>
    <t>4.1.</t>
  </si>
  <si>
    <t>Количество доработок в ТЗ</t>
  </si>
  <si>
    <t>Количество прочих доработок</t>
  </si>
  <si>
    <t>Всего</t>
  </si>
  <si>
    <t xml:space="preserve">Развитие компонента «Гражданские дела» </t>
  </si>
  <si>
    <t xml:space="preserve">Развитие функционального блока «Журнал первичных документов» </t>
  </si>
  <si>
    <t xml:space="preserve">Развитие функционального блока «Журнал гражданских дел» </t>
  </si>
  <si>
    <t xml:space="preserve">Развитие компонента «Уголовные дела» </t>
  </si>
  <si>
    <t xml:space="preserve">Развитие функционального блока «Журнал уголовных дел» </t>
  </si>
  <si>
    <t>Развитие компонента «Дела об административных правонарушениях»</t>
  </si>
  <si>
    <t xml:space="preserve">Развитие функционального блока «Журнал дел об административных правонарушениях» </t>
  </si>
  <si>
    <t>Развитие статистической формы № 1 «Отчет о работе судов первой инстанции по рассмотрению уголовных дел»</t>
  </si>
  <si>
    <t>Развитие статистической формы № 2 «Отчет о работе судов общей юрисдикции по рассмотрению гражданских, административных дел по первой инстанции»</t>
  </si>
  <si>
    <t>Развитие статистической формы № S03 «Оперативная статистическая отчетность о работе судов общей юрисдикции Российской Федерации»</t>
  </si>
  <si>
    <t>Развитие статистической формы № S06 «Отчет о работе судов общей юрисдикции по первой инстанции о результатах рассмотрения уголовных дел по отдельным статьям уголовного кодекса Российской Федерации»</t>
  </si>
  <si>
    <t>Развитие статистической формы № S07 «Сведения о рассмотрении судами общей юрисдикции некоторых категорий гражданских дел, административных дел по первой инстанции и дел об административных правонарушениях (приложение к формам № 1-ап, 2)»</t>
  </si>
  <si>
    <t>Развитие статистической формы № S08 «Cведения о лицах, содержащихся под стражей: о мерах пресечения и об осужденных за преступления в сфере предпринимательской деятельности; осужденных к штрафам и их исполнении за коррупционные преступления»</t>
  </si>
  <si>
    <t>Развитие статистической формы № S09 «Сведения о делах, связанных с мотивами расовой дискриминации»</t>
  </si>
  <si>
    <t>Развитие компонента «Конструктор шаблонов»</t>
  </si>
  <si>
    <t>1.5</t>
  </si>
  <si>
    <t>1.5.1</t>
  </si>
  <si>
    <t>Развитие модуля «Справочники»</t>
  </si>
  <si>
    <t>Развитие справочника «Кодексы»</t>
  </si>
  <si>
    <t>Развитие справочника «Статьи по перечню»</t>
  </si>
  <si>
    <t>Развитие модуля «Администрирование»</t>
  </si>
  <si>
    <t>3.1.1.3</t>
  </si>
  <si>
    <t>Доработка 8. Развитие подсистемы «Интернет-портал Единого информационного пространства мировых судей города Москвы»</t>
  </si>
  <si>
    <t>4.2</t>
  </si>
  <si>
    <t>4.1.1</t>
  </si>
  <si>
    <t>4.1.2</t>
  </si>
  <si>
    <t>4.1.3</t>
  </si>
  <si>
    <t>4.2.1.1</t>
  </si>
  <si>
    <t>4.2.1</t>
  </si>
  <si>
    <t>4.2.1.2</t>
  </si>
  <si>
    <t>Развитие модуля «Общие»</t>
  </si>
  <si>
    <t>Развитие функционального блока «Исполнительные документы»</t>
  </si>
  <si>
    <t>Развитие справочника «Иерархия виртуальных моделей»</t>
  </si>
  <si>
    <t>создание функции обработки входящего запроса от кассационной инстанции (КИС СОЮ) для инициирования процесса формирования сведений по делам первой инстанции</t>
  </si>
  <si>
    <t>4.1.1.1</t>
  </si>
  <si>
    <t>4.1.1.2</t>
  </si>
  <si>
    <t xml:space="preserve">создание функции отображения мастер-редактора загрузки результата кассационного рассмотрения с возможностью выбора дела/документа из описи </t>
  </si>
  <si>
    <t>создание функции запроса информации о результатах рассмотрения во внешнюю информационную систему КИС СОЮ по выбранному делу первой инстанции или конкретному документу из описи дела</t>
  </si>
  <si>
    <t>4.1.2.1</t>
  </si>
  <si>
    <t>4.1.3.1</t>
  </si>
  <si>
    <t>создание функции получения результатов рассмотрения дела из внешней информационной системы КИС СОЮ для автоматической загрузки в АИС ЕИП</t>
  </si>
  <si>
    <t>4.2.2</t>
  </si>
  <si>
    <t>3.2.1.1</t>
  </si>
  <si>
    <t>создание функции вывода информации о ДОДМС на отдельной ЭФ</t>
  </si>
  <si>
    <t>создание функции вывода информации о подаче документов в электронном виде на отдельной ЭФ</t>
  </si>
  <si>
    <t>создание функции вывода информации об оплате штрафов по делам об административных правонарушениях на отдельной ЭФ</t>
  </si>
  <si>
    <t>создание функции поиска и вывода информации о судебных участках на отдельной ЭФ с возможностью ввода параметров поиска и отображения результатов</t>
  </si>
  <si>
    <t>создание функции вывода информации о территориальной подсудности на отдельной ЭФ</t>
  </si>
  <si>
    <t>создание функции формирования электронного пакета документов и автоматизированной передачи материалов дела об административном правонарушении между судебными участками г. Москвы по подведомственности</t>
  </si>
  <si>
    <t>создание функции передачи сформированных логически связанных групп данных по делам во внешнюю информационную систему КИС СОЮ</t>
  </si>
  <si>
    <t>Подсистема «Судебное делопроизводство судебных участков мировых судей города Москвы»</t>
  </si>
  <si>
    <t>Доработка 2. Развитие компонента «Уголовные дела»  подсистемы «Судебное делопроизводство судебных участков мировых судей города Москвы»</t>
  </si>
  <si>
    <t>Доработка 3. Развитие компонента «Дела об административных правонарушениях»  подсистемы «Судебное делопроизводство судебных участков мировых судей города Москвы»</t>
  </si>
  <si>
    <t>Доработка 6. Развитие модуля «Администрирование»  подсистемы «Судебное делопроизводство судебных участков мировых судей города Москвы»</t>
  </si>
  <si>
    <t>Общие расчетные трудозатраты, чел.-месяцев</t>
  </si>
  <si>
    <t>Доработка 5. Развитие модуля «Справочники»  подсистемы «Судебное делопроизводство судебных участков мировых судей города Москвы»</t>
  </si>
  <si>
    <t>Доработка 7. Развитие модуля «Общие»  подсистемы «Судебное делопроизводство судебных участков мировых судей города Москвы»</t>
  </si>
  <si>
    <t>Выполнение работ по развитию автоматизированной информационной системы «Единое информационное пространство мировых судей города Москвы» (третья очередь)</t>
  </si>
  <si>
    <t>Доработка 1. Развитие компонента «Гражданские дела» подсистемы «Судебное делопроизводство судебных участков мировых судей города Москвы»</t>
  </si>
  <si>
    <t>1.2.1.2</t>
  </si>
  <si>
    <t xml:space="preserve">доработка функции отображения информации о статьях, контролирующих срок рассмотрения дела, в форме просмотра уголовного дела </t>
  </si>
  <si>
    <t>создание функции хранения данных электронного пакета документов и сведений о передаче материалов дела об административном правонарушении по подведомственности</t>
  </si>
  <si>
    <t>создание функции хранения и вывода пользователю списка дел, рассмотренных в кассационной инстанции, с возможностью фильтрации по типу судопроизводства (сводное, гражданское, уголовное, административное, дела об административном правонарушении)</t>
  </si>
  <si>
    <t>Доработка 4. Развитие модуля «Статистика»  подсистемы «Судебное делопроизводство судебных участков мировых судей города Москвы»</t>
  </si>
  <si>
    <t>Развитие модуля «Статистика»</t>
  </si>
  <si>
    <t>Развитие компонента «Информационное обслуживание»</t>
  </si>
  <si>
    <t>Развитие компонента «Информационное окно»</t>
  </si>
  <si>
    <t>Развитие модуля «Поиск по судебным делам»</t>
  </si>
  <si>
    <t>Развитие статистической формы № 1-АП «Отчет о работе судов общей юрисдикции по рассмотрению дел об административных правонарушениях»</t>
  </si>
  <si>
    <t>Развитие статистической формы № 4 «Отчет судов общей юрисдикции о  суммах ущерба от преступлений, суммах материальных взысканий в доход государства, количестве вынесенных постановлений об оплате процессуальных издержек за счет средств федерального бюджета и назначении экспертиз»</t>
  </si>
  <si>
    <t>Развитие передачи отправлений в рамках интеграционного взаимодействия с ЕПГУ посредством ГЭПС через АС УР</t>
  </si>
  <si>
    <t>создание функции передачи логически связанных групп данных об отправлениях (включая все идентификаторы получателя, ФИО и адрес) во внешнюю информационную систему АС УР для отправки корреспонденции посредствам ГЭПС</t>
  </si>
  <si>
    <t>создание функции автоматического формирования логически связанных групп данных по делам первой инстанции (гражданским, административным, уголовным, об административных правонарушениях), включая уникальные атрибуты дела и тексты документов</t>
  </si>
  <si>
    <t>создание функции проверки наличия дела/документа в системе КИС СОЮ (на основе анализа ответа на запрос) и отображения информационного сообщения на отдельной ЭФ при отсутствии данных</t>
  </si>
  <si>
    <t>Создание интеграционного взаимодействия с подсистемой судебного делопроизводства в части получения данных о судебных заседаниях</t>
  </si>
  <si>
    <t>создание функции поиска и вывода реквизитов для оплаты госпошлины при подаче заявления с возможностью выбора судебного участка (ввода параметров поиска и отображения данных для конкретного участка) на отдельной ЭФ</t>
  </si>
  <si>
    <t>создание функции поиска и вывода реквизитов для оплаты присужденной госпошлины с возможностью выбора судебного участка (ввода параметров поиска и отображения данных для конкретного участка) на отдельной ЭФ</t>
  </si>
  <si>
    <t>создание функции поиска и вывода информации о делах с возможностью ввода пользователем параметров (критериев) поиска и отображения списка найденных дел на отдельной ЭФ</t>
  </si>
  <si>
    <t>создание функции поиска и вывода информации о судебных заседаниях (слушаниях) с возможностью ввода пользователем параметров поиска и отображения расписания на отдельной ЭФ</t>
  </si>
  <si>
    <t>создание функции расчета количества исполнительных документов, возвращенных с ошибками, и отображения полученного значения в информационном окне</t>
  </si>
  <si>
    <t>создание функции расчета количества исполнительных документов, требующих повторной отправки, и отображения полученного значения в информационном окне</t>
  </si>
  <si>
    <t>2.2.1</t>
  </si>
  <si>
    <t>Создание интеграционного взаимодействия с ПМ «АРМ Секретаря»</t>
  </si>
  <si>
    <t>Развитие взаимодействия подсистемы судебного делопроизводства с АС УР</t>
  </si>
  <si>
    <t>Развитие структуры хранения информации по судебным делам</t>
  </si>
  <si>
    <t>Развитие компонента «Статистические формы»</t>
  </si>
  <si>
    <t>Доработка 9. Развитие подсистемы электронного взаимодействия между органами исполнительной власти города Москвы, учреждениями города Москвы, иными организациями и судебными участками мировых судей города Москвы</t>
  </si>
  <si>
    <t>создание функции обработки исходных данных, хранимых в системе, для отображения версии для слабовидящих с целью обеспечения для инвалидов по зрению доступности информации, содержащейся на официальных сайтах государственных органов, органов местного самоуправления и подведомственных им организаций в сети «Интернет»</t>
  </si>
  <si>
    <t xml:space="preserve">Создание интеграционного взаимодействия с КИС СОЮ в части получения информации, о результатах рассмотрения дел в кассационной инстанции </t>
  </si>
  <si>
    <t>создание функции расчета количества не обращенных к исполнению исполнительных документов и отображения полученного значения в информационном окне</t>
  </si>
  <si>
    <t>создание функции расчета количества исполнительных документов, по которым поступили новые постановления от ФССП, и отображения полученного значения в информационном окне</t>
  </si>
  <si>
    <t>Подсистема «Информационные киоски и экраны судебных участков мировых судей города Москвы»</t>
  </si>
  <si>
    <t>Доработка 10. Создание подсистемы  «Информационные киоски и экраны судебных участков  мировых судей города Москвы»</t>
  </si>
  <si>
    <t>3.2</t>
  </si>
  <si>
    <t>3.2.1.2</t>
  </si>
  <si>
    <t>3.2.1.3</t>
  </si>
  <si>
    <t>3.2.2</t>
  </si>
  <si>
    <t>3.2.2.1</t>
  </si>
  <si>
    <t>3.2.2.2</t>
  </si>
  <si>
    <t>3.2.2.3</t>
  </si>
  <si>
    <t>3.2.2.4</t>
  </si>
  <si>
    <t>3.2.2.5</t>
  </si>
  <si>
    <t>4.2.2.1</t>
  </si>
  <si>
    <t>4.2.2.2</t>
  </si>
  <si>
    <t>4.2.2.3</t>
  </si>
  <si>
    <t>4.2.2.4</t>
  </si>
  <si>
    <t>4.2.2.5</t>
  </si>
  <si>
    <t>4.2.2.6</t>
  </si>
  <si>
    <t>4.2.2.7</t>
  </si>
  <si>
    <t>4.2.2.8</t>
  </si>
  <si>
    <t>4.2.2.9</t>
  </si>
  <si>
    <t>4.2.2.10</t>
  </si>
  <si>
    <t>4.2.2.11</t>
  </si>
  <si>
    <t>доработка функции отображения/ввода/редактирования нового атрибута «Просроченный основной долг» на вкладке «Информация по договору займа/кредитному договору» на ЭФ «Первичный документ» и сохранения значений нового атрибута в БД</t>
  </si>
  <si>
    <t>создание функции контроля полноты идентифицирующих данных пользователя (ФИО, адрес, паспортные данные, СТС) и отображения системных уведомлений о результатах проверки на отдельной ЭФ</t>
  </si>
  <si>
    <t>создание функции вывода реестра судебных заседаний на текущую дату с возможностью детализации (отображения полной информации) по выбранному делу на отдельной ЭФ</t>
  </si>
  <si>
    <t>создание функции получения данных о предстоящих судебных заседаниях (в разрезе типов дел, конкретного судебного участка и участков, расположенных по одному адресу) из подсистемы судебного делопроизводства и отображения информации на отдельной ЭФ</t>
  </si>
  <si>
    <t xml:space="preserve">создание функции хранения данных о предстоящих судебных заседаниях (в разрезе типов дел, конкретного судебного участка и участков, расположенных по одному адресу), полученных из подсистемы судебного делопроизводства </t>
  </si>
  <si>
    <t>Создание модуля «Информационные экраны»</t>
  </si>
  <si>
    <t>Создание ЭФ для вывода данных для модуля «Информационные экраны»</t>
  </si>
  <si>
    <t>Создание модуля «Информационные киоски»</t>
  </si>
  <si>
    <t>Создание ЭФ для вывода данных для модуля «Информационные киоски»</t>
  </si>
  <si>
    <t>Подсистема «Электронное взаимодействие между органами исполнительной власти города Москвы, учреждениями города Москвы, иными организациями и судебными участками мировых судей города Москвы»</t>
  </si>
  <si>
    <t>2.2.2</t>
  </si>
  <si>
    <t>2.2.3</t>
  </si>
  <si>
    <t>2.2.4</t>
  </si>
  <si>
    <t>2.2.5</t>
  </si>
  <si>
    <t>2.2.6</t>
  </si>
  <si>
    <t>2.2.7</t>
  </si>
  <si>
    <t>2.2.8</t>
  </si>
  <si>
    <t>Модернизация интерфейса подсистемы интернет-портала</t>
  </si>
  <si>
    <t>доработка вывода шаблона документа в части добавления атрибута «Просроченный основной долг» при формировании шаблонов документов по гражданским делам/материалам/первичным документам</t>
  </si>
  <si>
    <t>доработка структуры хранения в сформированных шаблонах документов по гражданским делам/материалам/первичным документам нового атрибута «Просроченный основной долг»</t>
  </si>
  <si>
    <t>создание функции хранения документа описи дела, полученного из КИС СОЮ, и обновления атрибутов карточки соответствующего дела первой инстанции результатами кассационного рассмотрения</t>
  </si>
  <si>
    <t>2.2</t>
  </si>
  <si>
    <t>2.3</t>
  </si>
  <si>
    <t>2.3.1</t>
  </si>
  <si>
    <t>2.3.2</t>
  </si>
  <si>
    <t>Максимальный объем финансирования работ, в % от НМЦК</t>
  </si>
  <si>
    <t>доработка алгоритма автоматического заполнения значения в атрибуте «Статья по перечню» в соответствии с приказом СД при ВС РФ от 13 января 2026 г. №3 «О внесении изменений в Перечень документов, образующихся в процессе деятельности федеральных судов общей юрисдикции, с указанием их сроков хранения, утвержденный Приказом СД при ВС РФ от 21 декабря 2022 г. №242» и сохранения значений в БД</t>
  </si>
  <si>
    <t xml:space="preserve">Развитие модуля «Судопроизводство» </t>
  </si>
  <si>
    <t>1.1.1.1.1</t>
  </si>
  <si>
    <t>1.1.1.2</t>
  </si>
  <si>
    <t>1.1.1.2.1</t>
  </si>
  <si>
    <t>1.1.1.2.2</t>
  </si>
  <si>
    <t>1.1.2.1.1</t>
  </si>
  <si>
    <t>1.1.2.1.2</t>
  </si>
  <si>
    <t>1.1.2.1.3</t>
  </si>
  <si>
    <t>1.1.3</t>
  </si>
  <si>
    <t>1.1.3.1</t>
  </si>
  <si>
    <t>1.1.3.1.1</t>
  </si>
  <si>
    <t>1.1.3.1.2</t>
  </si>
  <si>
    <t>1.1.3.1.3</t>
  </si>
  <si>
    <t>1.1.3.1.4</t>
  </si>
  <si>
    <t>1.1.3.1.5</t>
  </si>
  <si>
    <t>1.1.3.1.6</t>
  </si>
  <si>
    <t>1.1.3.1.7</t>
  </si>
  <si>
    <t>1.2.1.1.1</t>
  </si>
  <si>
    <t>1.2.1.1.2</t>
  </si>
  <si>
    <t>1.2.1.1.3</t>
  </si>
  <si>
    <t>1.2.1.1.4</t>
  </si>
  <si>
    <t>1.2.1.2.1</t>
  </si>
  <si>
    <t>1.2.1.2.2</t>
  </si>
  <si>
    <t>1.2.1.2.3</t>
  </si>
  <si>
    <t>1.2.1.2.4</t>
  </si>
  <si>
    <t>1.2.1.3.1</t>
  </si>
  <si>
    <t>1.2.1.3.2</t>
  </si>
  <si>
    <t>1.2.1.3.3</t>
  </si>
  <si>
    <t>1.2.1.3.4</t>
  </si>
  <si>
    <t>1.2.1.4</t>
  </si>
  <si>
    <t>1.2.1.4.1</t>
  </si>
  <si>
    <t>1.2.1.4.2</t>
  </si>
  <si>
    <t>1.2.1.4.3</t>
  </si>
  <si>
    <t>1.2.1.4.4</t>
  </si>
  <si>
    <t>1.2.1.5</t>
  </si>
  <si>
    <t>1.2.1.5.1</t>
  </si>
  <si>
    <t>1.2.1.5.2</t>
  </si>
  <si>
    <t>1.2.1.5.3</t>
  </si>
  <si>
    <t>1.2.1.5.4</t>
  </si>
  <si>
    <t>1.2.1.6</t>
  </si>
  <si>
    <t>1.2.1.6.1</t>
  </si>
  <si>
    <t>1.2.1.6.2</t>
  </si>
  <si>
    <t>1.2.1.6.3</t>
  </si>
  <si>
    <t>1.2.1.6.4</t>
  </si>
  <si>
    <t>1.2.1.7</t>
  </si>
  <si>
    <t>1.2.1.7.1</t>
  </si>
  <si>
    <t>1.2.1.7.2</t>
  </si>
  <si>
    <t>1.2.1.7.3</t>
  </si>
  <si>
    <t>1.2.1.7.4</t>
  </si>
  <si>
    <t>1.2.1.8</t>
  </si>
  <si>
    <t>1.2.1.8.1</t>
  </si>
  <si>
    <t>1.2.1.8.2</t>
  </si>
  <si>
    <t>1.2.1.8.3</t>
  </si>
  <si>
    <t>1.2.1.8.4</t>
  </si>
  <si>
    <t>1.2.1.9</t>
  </si>
  <si>
    <t>1.2.1.9.1</t>
  </si>
  <si>
    <t>1.2.1.9.2</t>
  </si>
  <si>
    <t>1.2.1.9.3</t>
  </si>
  <si>
    <t>1.2.1.9.4</t>
  </si>
  <si>
    <t>1.2.2</t>
  </si>
  <si>
    <t>1.2.2.1</t>
  </si>
  <si>
    <t>1.2.3</t>
  </si>
  <si>
    <t>1.2.3.1</t>
  </si>
  <si>
    <t>1.2.3.2</t>
  </si>
  <si>
    <t>1.2.3.3</t>
  </si>
  <si>
    <t>1.3</t>
  </si>
  <si>
    <t>1.3.1</t>
  </si>
  <si>
    <t>1.3.1.1</t>
  </si>
  <si>
    <t>1.3.1.2</t>
  </si>
  <si>
    <t>1.3.2</t>
  </si>
  <si>
    <t>1.3.2.1</t>
  </si>
  <si>
    <t>1.3.3</t>
  </si>
  <si>
    <t>1.3.3.1</t>
  </si>
  <si>
    <t>1.4</t>
  </si>
  <si>
    <t>1.4.1</t>
  </si>
  <si>
    <t>1.4.1.1</t>
  </si>
  <si>
    <t>1.5.2.2</t>
  </si>
  <si>
    <t>1.5.2.3</t>
  </si>
  <si>
    <t>1.5.2.4</t>
  </si>
  <si>
    <t>доработка функции отображения/фильтрации новых атрибутов на ЭФ журнала исполнительных документов</t>
  </si>
  <si>
    <t>доработка функции получения и хранения данных о номере дела, суда кассационной инстанции из внешней системы КИС СОЮ</t>
  </si>
  <si>
    <t>доработка функции хранения данных, полученных из подсистемы судебного делопроизводства судебных участков мировых судей города Москвы о номере судебного участка при передаче дела по подведомственности/подсудности</t>
  </si>
  <si>
    <t>Прочие доработки (20)</t>
  </si>
  <si>
    <t xml:space="preserve">доработка ЭФ просмотра расширенной информации по заявлениям частного обвинения в части отображения номера дела в суде кассационной инстанции </t>
  </si>
  <si>
    <t xml:space="preserve">доработка ЭФ просмотра расширенной информации по уголовным делам в части отображения:
- информации о номере судебного участка при передаче дела по подсудности/подведомственности;
- номера дела в суде кассационной инстанции </t>
  </si>
  <si>
    <t>D%$&amp;01_8e65295b53b742a18c7f335338baf98e</t>
  </si>
  <si>
    <t>Anna Kozachenko_14430__Windows (64-bit) NT 10.00_DESKTOP-FK1BROQ_mamon$$$03082026</t>
  </si>
  <si>
    <t>"BYw!43935"</t>
  </si>
  <si>
    <t>доработка функции отображения атрибутов в справочнике «Статьи по перечню» в соответствии с приказом СД при ВС РФ от 13 января 2026 г. № 3 «О внесении изменений в Перечень документов, образующихся в процессе деятельности федеральных судов общей юрисдикции, с указанием их сроков хранения, утвержденный Приказом СД при ВС РФ от 21 декабря 2022 г. № 242»</t>
  </si>
  <si>
    <t>доработка функции отображения атрибута «Статья по перечню» в справочнике «Категории дел» в соответствии с приказом СД при ВС РФ от 13 января 2026 г. № 3 «О внесении изменений в Перечень документов, образующихся в процессе деятельности федеральных судов общей юрисдикции, с указанием их сроков хранения, утвержденный Приказом СД при ВС РФ от 21 декабря 2022 г. № 242»</t>
  </si>
  <si>
    <t xml:space="preserve">доработка ЭФ просмотра расширенной информации по материалам в порядке исполнения в рамках уголовных дел в части отображения номера дела в суде кассационной инстанции </t>
  </si>
  <si>
    <t>Orlov Ilya_14334__Windows (64-bit) NT 10.00_ILORLOV-MOB_IlOrlov$$$04082026</t>
  </si>
  <si>
    <t>"6mk!1"</t>
  </si>
  <si>
    <t>доработка функции выгрузки сведений о номере судебного участка при передаче дела по подведомственности/ подсудности в XML-файл</t>
  </si>
  <si>
    <t>формирование ЭФ разделов статистической формы № 1-АП в новом представлении</t>
  </si>
  <si>
    <t>агрегирование представленных данных в разрезе новых и измененных показателей разделов статистической формы № 1-АП</t>
  </si>
  <si>
    <t>формирование детализированного представления агрегированных данных в разрезе новых и измененных показателей разделов формы № 1-АП</t>
  </si>
  <si>
    <t>формирование ЭФ разделов статистической формы № 2 в новом представлении</t>
  </si>
  <si>
    <t>агрегирование представленных данных в разрезе новых и измененных показателей разделов статистической формы № 2</t>
  </si>
  <si>
    <t>формирование детализированного представления агрегированных данных в разрезе новых и измененных показателей разделов формы 2</t>
  </si>
  <si>
    <t>формирование ЭФ разделов статистической формы № S03 в новом представлении</t>
  </si>
  <si>
    <t>агрегирование представленных данных в разрезе новых и измененных показателей разделов статистической формы № S03</t>
  </si>
  <si>
    <t>формирование детализированного представления агрегированных данных в разрезе новых и измененных показателей разделов формы № S03</t>
  </si>
  <si>
    <t>агрегирование представленных данных в разрезе новых и измененных показателей разделов статистической формы № S06</t>
  </si>
  <si>
    <t>агрегирование представленных данных в разрезе новых и измененных показателей разделов статистической формы № S07</t>
  </si>
  <si>
    <t>формирование детализированного представления агрегированных данных в разрезе новых и измененных показателей разделов формы № S07</t>
  </si>
  <si>
    <t>агрегирование представленных данных в разрезе новых и измененных показателей разделов статистической формы № S08</t>
  </si>
  <si>
    <t>агрегирование представленных данных в разрезе новых и измененных показателей разделов статистической формы № S09</t>
  </si>
  <si>
    <t>доработка функции отображения/выбора в сформированных шаблонах документов по гражданским делам/материалам/первичным документам нового атрибута «Просроченный основной долг»</t>
  </si>
  <si>
    <t>доработка функции отображения на ЭФ справочника «Иерархия виртуальных моделей» нового атрибута «Просроченный основной долг», реализованного во вкладке «Информация по договору займа/кредитному договору»</t>
  </si>
  <si>
    <t>доработка функции отображения/ввода/редактирования нового атрибута на ЭФ документа «Постановление СПИ» и сохранения значений в БД</t>
  </si>
  <si>
    <t>создание функции автоматического выбора очередности способов отправки корреспонденции с реализацией бизнес-логики запрета на ручное редактирование очередности</t>
  </si>
  <si>
    <t>создание функции получения данных о ходе судебного заседания из ПМ «АРМ Секретаря» и отображения информации на отдельной ЭФ</t>
  </si>
  <si>
    <r>
      <t xml:space="preserve">создание ЭФ для вывода данных:
</t>
    </r>
    <r>
      <rPr>
        <sz val="8"/>
        <color rgb="FFFF0000"/>
        <rFont val="Times New Roman"/>
        <family val="1"/>
        <charset val="204"/>
      </rPr>
      <t xml:space="preserve">- </t>
    </r>
    <r>
      <rPr>
        <sz val="8"/>
        <rFont val="Times New Roman"/>
        <family val="1"/>
        <charset val="204"/>
      </rPr>
      <t xml:space="preserve">о предстоящих слушаниях по конкретному судебному участку;
</t>
    </r>
    <r>
      <rPr>
        <sz val="8"/>
        <color rgb="FFFF0000"/>
        <rFont val="Times New Roman"/>
        <family val="1"/>
        <charset val="204"/>
      </rPr>
      <t xml:space="preserve">- </t>
    </r>
    <r>
      <rPr>
        <sz val="8"/>
        <rFont val="Times New Roman"/>
        <family val="1"/>
        <charset val="204"/>
      </rPr>
      <t xml:space="preserve">о предстоящих слушаниях по всем участкам, расположенным по одному адресу;
</t>
    </r>
    <r>
      <rPr>
        <sz val="8"/>
        <color rgb="FFFF0000"/>
        <rFont val="Times New Roman"/>
        <family val="1"/>
        <charset val="204"/>
      </rPr>
      <t xml:space="preserve">- </t>
    </r>
    <r>
      <rPr>
        <sz val="8"/>
        <rFont val="Times New Roman"/>
        <family val="1"/>
        <charset val="204"/>
      </rPr>
      <t>о ходе судебного заседания</t>
    </r>
  </si>
  <si>
    <t>создание функции хранения данных о предстоящих судебных заседаниях (в разрезе типов дел, конкретного судебного участка и участков, расположенных по одному адресу), полученных из подсистемы судебного делопроизводства</t>
  </si>
  <si>
    <t>2.1</t>
  </si>
  <si>
    <t>создание функции хранения входящего пакета документов дела об административном правонарушении, поступившего от другого судебного участка города Москвы по подведомственности</t>
  </si>
  <si>
    <t>доработка функции отображения/ввода/редактирования нового значения «Передано по подведомственности» в атрибуте «Порядок поступления» и сохранения значения в БД</t>
  </si>
  <si>
    <t>Развитие справочника «Категории дел»</t>
  </si>
  <si>
    <t>доработка ЭФ просмотра расширенной информации по делам об административных правонарушениях в части отображения: 
- информации о номере судебного участка при передаче дела по подсудности/подведомственности;
- номера дела об административном правонарушении, вступившего в силу, находящегося на пересмотре в Московском городском суде</t>
  </si>
  <si>
    <t xml:space="preserve">доработка ЭФ просмотра расширенной информации по гражданским и административным (КАС) делам в части отображения:
- информации о номере судебного участка при передаче дела по подсудности/подведомственности;
- номера дела в суде кассационной инстанции </t>
  </si>
  <si>
    <t xml:space="preserve">доработка ЭФ просмотра расширенной информации по первичным документам гражданского и административного (КАС) производства в части отображения номера дела в суде кассационной инстанции </t>
  </si>
  <si>
    <t xml:space="preserve">доработка ЭФ просмотра расширенной информации по первичным документам административного (КАС) дела в части отображения номера дела в суде кассационной инстанции </t>
  </si>
  <si>
    <t xml:space="preserve">доработка ЭФ просмотра расширенной информации по заявлениям в порядке исполнения постановлений по гражданским и административным (КАС) делам в части отображения номера дела в суде кассационной инстанции </t>
  </si>
  <si>
    <t>на выполнение работ по развитию государственной информационной системы: автоматизированная информационная система «Единое информационное пространство мировых судей города Москвы» (третья очередь)</t>
  </si>
  <si>
    <t>2026 год</t>
  </si>
  <si>
    <t>Этап 1. Развитие Системы</t>
  </si>
  <si>
    <t>Этап 2. Развитие Системы по заявкам заказчика</t>
  </si>
  <si>
    <t>Начальная (максимальная) цена контракта с учетом лимита бюджетного финансирования, 
руб. в том числе НДС 22%</t>
  </si>
  <si>
    <t>Итого:</t>
  </si>
  <si>
    <t>Расчетная начальная (максимальная) цена контракта, руб., в том числе НДС 22%</t>
  </si>
  <si>
    <t>Расчетная начальная (максимальная) цена контракта на выполнение работ по развитию государственной информационной системы: автоматизированная информационная система «Единое информационное пространство мировых судей города Москвы» (третья очередь) составит 85 765 167,98 руб. (восемьдесят пять миллионов семьсот шестьдесят пять тысяч сто шестьдесят семь рублей 98 копеек), в том числе НДС 22%.</t>
  </si>
  <si>
    <r>
      <t xml:space="preserve">С учетом лимита бюджетного финансирования данного проекта в размере 84 999 944,70 руб. (восьмидесяти четырех миллионов девятисот девяноста девяти тысяч девятисот сорока четырех рублей 70 копеек), в том числе НДС 22%, начальная (максимальная) цена контракта на выполнение работ по развитию государственной информационной системы: автоматизированная информационная система «Единое информационное пространство мировых судей города Москвы» (третья очередь) принимается равной </t>
    </r>
    <r>
      <rPr>
        <b/>
        <sz val="10"/>
        <rFont val="Times New Roman"/>
        <family val="1"/>
        <charset val="204"/>
      </rPr>
      <t>84 999 944,70 руб. (восьмидесяти четырем миллионам девятистам девяноста девяти тысячам девятистам сорока четырем рублям 70 копейкам)</t>
    </r>
    <r>
      <rPr>
        <sz val="10"/>
        <rFont val="Times New Roman"/>
        <family val="1"/>
        <charset val="204"/>
      </rPr>
      <t>, в том числе НДС 22%</t>
    </r>
  </si>
  <si>
    <r>
      <t>Количество функций обработки информации (Ф</t>
    </r>
    <r>
      <rPr>
        <b/>
        <vertAlign val="subscript"/>
        <sz val="10"/>
        <color rgb="FF000000"/>
        <rFont val="Times New Roman"/>
        <family val="1"/>
        <charset val="204"/>
      </rPr>
      <t>i</t>
    </r>
    <r>
      <rPr>
        <b/>
        <sz val="10"/>
        <color rgb="FF000000"/>
        <rFont val="Times New Roman"/>
        <family val="1"/>
        <charset val="204"/>
      </rPr>
      <t>)</t>
    </r>
  </si>
  <si>
    <r>
      <t>Количество функциональных точек (ФТ</t>
    </r>
    <r>
      <rPr>
        <b/>
        <vertAlign val="subscript"/>
        <sz val="10"/>
        <color rgb="FF000000"/>
        <rFont val="Times New Roman"/>
        <family val="1"/>
        <charset val="204"/>
      </rPr>
      <t>i</t>
    </r>
    <r>
      <rPr>
        <b/>
        <sz val="10"/>
        <color rgb="FF000000"/>
        <rFont val="Times New Roman"/>
        <family val="1"/>
        <charset val="204"/>
      </rPr>
      <t>)</t>
    </r>
  </si>
  <si>
    <r>
      <t>Ф</t>
    </r>
    <r>
      <rPr>
        <b/>
        <vertAlign val="subscript"/>
        <sz val="10"/>
        <color rgb="FF000000"/>
        <rFont val="Times New Roman"/>
        <family val="1"/>
        <charset val="204"/>
      </rPr>
      <t>1</t>
    </r>
  </si>
  <si>
    <r>
      <t>Ф</t>
    </r>
    <r>
      <rPr>
        <b/>
        <vertAlign val="subscript"/>
        <sz val="10"/>
        <color rgb="FF000000"/>
        <rFont val="Times New Roman"/>
        <family val="1"/>
        <charset val="204"/>
      </rPr>
      <t>2</t>
    </r>
  </si>
  <si>
    <r>
      <t>Ф</t>
    </r>
    <r>
      <rPr>
        <b/>
        <vertAlign val="subscript"/>
        <sz val="10"/>
        <color rgb="FF000000"/>
        <rFont val="Times New Roman"/>
        <family val="1"/>
        <charset val="204"/>
      </rPr>
      <t>3</t>
    </r>
  </si>
  <si>
    <r>
      <t>Ф</t>
    </r>
    <r>
      <rPr>
        <b/>
        <vertAlign val="subscript"/>
        <sz val="10"/>
        <color rgb="FF000000"/>
        <rFont val="Times New Roman"/>
        <family val="1"/>
        <charset val="204"/>
      </rPr>
      <t>4</t>
    </r>
  </si>
  <si>
    <r>
      <t>Ф</t>
    </r>
    <r>
      <rPr>
        <b/>
        <vertAlign val="subscript"/>
        <sz val="10"/>
        <color rgb="FF000000"/>
        <rFont val="Times New Roman"/>
        <family val="1"/>
        <charset val="204"/>
      </rPr>
      <t>5</t>
    </r>
  </si>
  <si>
    <r>
      <t>Ф</t>
    </r>
    <r>
      <rPr>
        <b/>
        <vertAlign val="subscript"/>
        <sz val="10"/>
        <color rgb="FF000000"/>
        <rFont val="Times New Roman"/>
        <family val="1"/>
        <charset val="204"/>
      </rPr>
      <t>6</t>
    </r>
  </si>
  <si>
    <r>
      <t>Ф</t>
    </r>
    <r>
      <rPr>
        <b/>
        <vertAlign val="subscript"/>
        <sz val="10"/>
        <color rgb="FF000000"/>
        <rFont val="Times New Roman"/>
        <family val="1"/>
        <charset val="204"/>
      </rPr>
      <t>7</t>
    </r>
  </si>
  <si>
    <r>
      <t>Ф</t>
    </r>
    <r>
      <rPr>
        <b/>
        <vertAlign val="subscript"/>
        <sz val="10"/>
        <color rgb="FF000000"/>
        <rFont val="Times New Roman"/>
        <family val="1"/>
        <charset val="204"/>
      </rPr>
      <t>8</t>
    </r>
  </si>
  <si>
    <r>
      <t>ФТ</t>
    </r>
    <r>
      <rPr>
        <b/>
        <vertAlign val="subscript"/>
        <sz val="10"/>
        <color rgb="FF000000"/>
        <rFont val="Times New Roman"/>
        <family val="1"/>
        <charset val="204"/>
      </rPr>
      <t>1</t>
    </r>
  </si>
  <si>
    <r>
      <t>ФТ</t>
    </r>
    <r>
      <rPr>
        <b/>
        <vertAlign val="subscript"/>
        <sz val="10"/>
        <color rgb="FF000000"/>
        <rFont val="Times New Roman"/>
        <family val="1"/>
        <charset val="204"/>
      </rPr>
      <t>2</t>
    </r>
  </si>
  <si>
    <r>
      <t>ФТ</t>
    </r>
    <r>
      <rPr>
        <b/>
        <vertAlign val="subscript"/>
        <sz val="10"/>
        <color rgb="FF000000"/>
        <rFont val="Times New Roman"/>
        <family val="1"/>
        <charset val="204"/>
      </rPr>
      <t>3</t>
    </r>
  </si>
  <si>
    <r>
      <t>ФТ</t>
    </r>
    <r>
      <rPr>
        <b/>
        <vertAlign val="subscript"/>
        <sz val="10"/>
        <color rgb="FF000000"/>
        <rFont val="Times New Roman"/>
        <family val="1"/>
        <charset val="204"/>
      </rPr>
      <t>4</t>
    </r>
  </si>
  <si>
    <r>
      <t>ФТ</t>
    </r>
    <r>
      <rPr>
        <b/>
        <vertAlign val="subscript"/>
        <sz val="10"/>
        <color rgb="FF000000"/>
        <rFont val="Times New Roman"/>
        <family val="1"/>
        <charset val="204"/>
      </rPr>
      <t>5</t>
    </r>
  </si>
  <si>
    <r>
      <t>ФТ</t>
    </r>
    <r>
      <rPr>
        <b/>
        <vertAlign val="subscript"/>
        <sz val="10"/>
        <color rgb="FF000000"/>
        <rFont val="Times New Roman"/>
        <family val="1"/>
        <charset val="204"/>
      </rPr>
      <t>6</t>
    </r>
  </si>
  <si>
    <r>
      <t>ФТ</t>
    </r>
    <r>
      <rPr>
        <b/>
        <vertAlign val="subscript"/>
        <sz val="10"/>
        <color rgb="FF000000"/>
        <rFont val="Times New Roman"/>
        <family val="1"/>
        <charset val="204"/>
      </rPr>
      <t>7</t>
    </r>
  </si>
  <si>
    <r>
      <t>ФТ</t>
    </r>
    <r>
      <rPr>
        <b/>
        <vertAlign val="subscript"/>
        <sz val="10"/>
        <color rgb="FF000000"/>
        <rFont val="Times New Roman"/>
        <family val="1"/>
        <charset val="204"/>
      </rPr>
      <t>8</t>
    </r>
  </si>
  <si>
    <r>
      <t>МТ</t>
    </r>
    <r>
      <rPr>
        <b/>
        <vertAlign val="subscript"/>
        <sz val="10"/>
        <rFont val="Times New Roman"/>
        <family val="1"/>
        <charset val="204"/>
      </rPr>
      <t>1</t>
    </r>
  </si>
  <si>
    <r>
      <t>МТ</t>
    </r>
    <r>
      <rPr>
        <b/>
        <vertAlign val="subscript"/>
        <sz val="10"/>
        <rFont val="Times New Roman"/>
        <family val="1"/>
        <charset val="204"/>
      </rPr>
      <t>2</t>
    </r>
  </si>
  <si>
    <r>
      <t>МТ</t>
    </r>
    <r>
      <rPr>
        <b/>
        <vertAlign val="subscript"/>
        <sz val="10"/>
        <rFont val="Times New Roman"/>
        <family val="1"/>
        <charset val="204"/>
      </rPr>
      <t>3</t>
    </r>
  </si>
  <si>
    <r>
      <t>МТ</t>
    </r>
    <r>
      <rPr>
        <b/>
        <vertAlign val="subscript"/>
        <sz val="10"/>
        <rFont val="Times New Roman"/>
        <family val="1"/>
        <charset val="204"/>
      </rPr>
      <t>4</t>
    </r>
  </si>
  <si>
    <r>
      <t>МТ</t>
    </r>
    <r>
      <rPr>
        <b/>
        <vertAlign val="subscript"/>
        <sz val="10"/>
        <rFont val="Times New Roman"/>
        <family val="1"/>
        <charset val="204"/>
      </rPr>
      <t>5</t>
    </r>
  </si>
  <si>
    <r>
      <t>МТ</t>
    </r>
    <r>
      <rPr>
        <b/>
        <vertAlign val="subscript"/>
        <sz val="10"/>
        <rFont val="Times New Roman"/>
        <family val="1"/>
        <charset val="204"/>
      </rPr>
      <t>6</t>
    </r>
  </si>
  <si>
    <r>
      <t>МТ</t>
    </r>
    <r>
      <rPr>
        <b/>
        <vertAlign val="subscript"/>
        <sz val="10"/>
        <rFont val="Times New Roman"/>
        <family val="1"/>
        <charset val="204"/>
      </rPr>
      <t>7</t>
    </r>
  </si>
  <si>
    <r>
      <t>МТ</t>
    </r>
    <r>
      <rPr>
        <b/>
        <vertAlign val="subscript"/>
        <sz val="10"/>
        <rFont val="Times New Roman"/>
        <family val="1"/>
        <charset val="204"/>
      </rPr>
      <t>8</t>
    </r>
  </si>
  <si>
    <r>
      <t>Количество функций обработки информации (Ф</t>
    </r>
    <r>
      <rPr>
        <b/>
        <vertAlign val="subscript"/>
        <sz val="8"/>
        <rFont val="Times New Roman"/>
        <family val="1"/>
        <charset val="204"/>
      </rPr>
      <t>i</t>
    </r>
    <r>
      <rPr>
        <b/>
        <sz val="8"/>
        <rFont val="Times New Roman"/>
        <family val="1"/>
        <charset val="204"/>
      </rPr>
      <t>)</t>
    </r>
  </si>
  <si>
    <r>
      <t>Ф</t>
    </r>
    <r>
      <rPr>
        <b/>
        <vertAlign val="subscript"/>
        <sz val="8"/>
        <rFont val="Times New Roman"/>
        <family val="1"/>
        <charset val="204"/>
      </rPr>
      <t>1</t>
    </r>
  </si>
  <si>
    <r>
      <t>Ф</t>
    </r>
    <r>
      <rPr>
        <b/>
        <vertAlign val="subscript"/>
        <sz val="8"/>
        <rFont val="Times New Roman"/>
        <family val="1"/>
        <charset val="204"/>
      </rPr>
      <t>2</t>
    </r>
  </si>
  <si>
    <r>
      <t>Ф</t>
    </r>
    <r>
      <rPr>
        <b/>
        <vertAlign val="subscript"/>
        <sz val="8"/>
        <rFont val="Times New Roman"/>
        <family val="1"/>
        <charset val="204"/>
      </rPr>
      <t>3</t>
    </r>
  </si>
  <si>
    <r>
      <t>Ф</t>
    </r>
    <r>
      <rPr>
        <b/>
        <vertAlign val="subscript"/>
        <sz val="8"/>
        <rFont val="Times New Roman"/>
        <family val="1"/>
        <charset val="204"/>
      </rPr>
      <t>4</t>
    </r>
  </si>
  <si>
    <r>
      <t>Ф</t>
    </r>
    <r>
      <rPr>
        <b/>
        <vertAlign val="subscript"/>
        <sz val="8"/>
        <rFont val="Times New Roman"/>
        <family val="1"/>
        <charset val="204"/>
      </rPr>
      <t>5</t>
    </r>
  </si>
  <si>
    <r>
      <t>Ф</t>
    </r>
    <r>
      <rPr>
        <b/>
        <vertAlign val="subscript"/>
        <sz val="8"/>
        <rFont val="Times New Roman"/>
        <family val="1"/>
        <charset val="204"/>
      </rPr>
      <t>6</t>
    </r>
  </si>
  <si>
    <r>
      <t>Ф</t>
    </r>
    <r>
      <rPr>
        <b/>
        <vertAlign val="subscript"/>
        <sz val="8"/>
        <rFont val="Times New Roman"/>
        <family val="1"/>
        <charset val="204"/>
      </rPr>
      <t>7</t>
    </r>
  </si>
  <si>
    <r>
      <t>Ф</t>
    </r>
    <r>
      <rPr>
        <b/>
        <vertAlign val="subscript"/>
        <sz val="8"/>
        <rFont val="Times New Roman"/>
        <family val="1"/>
        <charset val="204"/>
      </rPr>
      <t>8</t>
    </r>
  </si>
  <si>
    <t>Доля от общих расчетных трудозатрат в i-й год финансирования</t>
  </si>
  <si>
    <t>создание функции обработки входящего пакета документов дела об административном правонарушении, поступившего от другого судебного участка города Москвы по подведомственности</t>
  </si>
  <si>
    <t>создание функции вывода информации о компетенции мировых судей на отдельной ЭФ</t>
  </si>
  <si>
    <t>создание функции автоматического создания записей о взыскании госпошлины с реализацией бизнес-логики анализа постановлений СПИ, поступивших в электронном виде, и значения поля «Солидарное взыскание», включая алгоритм расчета сумм, распределения по полноте взыскания и присвоения признаков уплаты</t>
  </si>
  <si>
    <t>создание функции автоматического создания записей о взыскании с видом взыскания «Другие» на основе анализа данных исполнительного документа «Судебный приказ», вынесенного в делах, производство по которым возбуждено на основании первичных документов, поступивших в рамках электронного взаимодействия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</si>
</sst>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\ _₽_-;\-* #,##0.00\ _₽_-;_-* &quot;-&quot;??\ _₽_-;_-@_-"/>
    <numFmt numFmtId="164" formatCode="_(&quot;₽&quot;* #,##0.00_);_(&quot;₽&quot;* \(#,##0.00\);_(&quot;₽&quot;* &quot;-&quot;??_);_(@_)"/>
    <numFmt numFmtId="165" formatCode="_-* #,##0.00&quot;р.&quot;_-;\-* #,##0.00&quot;р.&quot;_-;_-* \-??&quot;р.&quot;_-;_-@_-"/>
    <numFmt numFmtId="166" formatCode="_-* #,##0.00_-;\-* #,##0.00_-;_-* \-??_-;_-@_-"/>
    <numFmt numFmtId="167" formatCode="_-* #,##0.00\ _₽_-;\-* #,##0.00\ _₽_-;_-* \-??\ _₽_-;_-@_-"/>
    <numFmt numFmtId="168" formatCode="0.000"/>
    <numFmt numFmtId="169" formatCode="#,##0.000"/>
    <numFmt numFmtId="170" formatCode="m/d/yyyy"/>
    <numFmt numFmtId="171" formatCode="_-* #,##0.00\ _₽_-;\-* #,##0.00\ _₽_-;_-* &quot;- &quot;_₽_-;_-@_-"/>
    <numFmt numFmtId="172" formatCode="#,##0.0000"/>
  </numFmts>
  <fonts count="57" x14ac:knownFonts="1"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9C65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1"/>
      <color rgb="FF9C0006"/>
      <name val="Calibri"/>
      <family val="2"/>
      <charset val="204"/>
    </font>
    <font>
      <sz val="11"/>
      <color rgb="FF006100"/>
      <name val="Times New Roman"/>
      <family val="2"/>
      <charset val="204"/>
    </font>
    <font>
      <sz val="11"/>
      <color rgb="FF006100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2"/>
      <color rgb="FF000000"/>
      <name val="Times New Roman"/>
      <family val="1"/>
      <charset val="204"/>
    </font>
    <font>
      <vertAlign val="subscript"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vertAlign val="subscript"/>
      <sz val="14"/>
      <color rgb="FF000000"/>
      <name val="Times New Roman"/>
      <family val="1"/>
      <charset val="204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9C65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  <charset val="204"/>
    </font>
    <font>
      <sz val="8"/>
      <name val="Arial"/>
      <family val="2"/>
      <charset val="1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8"/>
      <name val="Arial"/>
      <family val="2"/>
      <charset val="204"/>
    </font>
    <font>
      <sz val="11"/>
      <name val="Arial"/>
      <family val="2"/>
      <charset val="204"/>
    </font>
    <font>
      <b/>
      <vertAlign val="subscript"/>
      <sz val="10"/>
      <color rgb="FF000000"/>
      <name val="Times New Roman"/>
      <family val="1"/>
      <charset val="204"/>
    </font>
    <font>
      <b/>
      <vertAlign val="subscript"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rgb="FF0070C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0" tint="-0.499984740745262"/>
      <name val="Times New Roman"/>
      <family val="1"/>
      <charset val="204"/>
    </font>
    <font>
      <b/>
      <sz val="10"/>
      <color theme="0" tint="-0.49998474074526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vertAlign val="subscript"/>
      <sz val="8"/>
      <name val="Times New Roman"/>
      <family val="1"/>
      <charset val="204"/>
    </font>
  </fonts>
  <fills count="27">
    <fill>
      <patternFill patternType="none"/>
    </fill>
    <fill>
      <patternFill patternType="gray125"/>
    </fill>
    <fill>
      <patternFill patternType="solid">
        <fgColor rgb="FFCCFFFF"/>
        <bgColor rgb="FFCCFFCC"/>
      </patternFill>
    </fill>
    <fill>
      <patternFill patternType="solid">
        <fgColor rgb="FFFFCC99"/>
        <bgColor rgb="FFFFC7CE"/>
      </patternFill>
    </fill>
    <fill>
      <patternFill patternType="solid">
        <fgColor rgb="FFFFFFFF"/>
        <bgColor rgb="FFEFF6EA"/>
      </patternFill>
    </fill>
    <fill>
      <patternFill patternType="solid">
        <fgColor rgb="FFFFFFCC"/>
        <bgColor rgb="FFFFF2CC"/>
      </patternFill>
    </fill>
    <fill>
      <patternFill patternType="solid">
        <fgColor rgb="FFCCCCFF"/>
        <bgColor rgb="FFBDD7EE"/>
      </patternFill>
    </fill>
    <fill>
      <patternFill patternType="solid">
        <fgColor rgb="FFCCFFCC"/>
        <bgColor rgb="FFC6EFCE"/>
      </patternFill>
    </fill>
    <fill>
      <patternFill patternType="solid">
        <fgColor rgb="FF99CCFF"/>
        <bgColor rgb="FF9DC3E6"/>
      </patternFill>
    </fill>
    <fill>
      <patternFill patternType="solid">
        <fgColor rgb="FFC0C0C0"/>
        <bgColor rgb="FF9DC3E6"/>
      </patternFill>
    </fill>
    <fill>
      <patternFill patternType="solid">
        <fgColor rgb="FFFFFF99"/>
        <bgColor rgb="FFFFEB9C"/>
      </patternFill>
    </fill>
    <fill>
      <patternFill patternType="solid">
        <fgColor rgb="FF33CCCC"/>
        <bgColor rgb="FF00CCFF"/>
      </patternFill>
    </fill>
    <fill>
      <patternFill patternType="solid">
        <fgColor rgb="FF339966"/>
        <bgColor rgb="FF008080"/>
      </patternFill>
    </fill>
    <fill>
      <patternFill patternType="solid">
        <fgColor rgb="FFFFEB9C"/>
        <bgColor rgb="FFFFFF99"/>
      </patternFill>
    </fill>
    <fill>
      <patternFill patternType="solid">
        <fgColor rgb="FFFFC7CE"/>
        <bgColor rgb="FFFFCC99"/>
      </patternFill>
    </fill>
    <fill>
      <patternFill patternType="solid">
        <fgColor rgb="FFC6EFCE"/>
        <bgColor rgb="FFCCFFCC"/>
      </patternFill>
    </fill>
    <fill>
      <patternFill patternType="solid">
        <fgColor rgb="FFBDD7EE"/>
        <bgColor rgb="FFCCCCFF"/>
      </patternFill>
    </fill>
    <fill>
      <patternFill patternType="solid">
        <fgColor rgb="FFD9D9D9"/>
        <bgColor rgb="FFBDD7EE"/>
      </patternFill>
    </fill>
    <fill>
      <patternFill patternType="solid">
        <fgColor rgb="FFFFF2CC"/>
        <bgColor rgb="FFFFFFCC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rgb="FFC6EFCE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9">
    <xf numFmtId="0" fontId="0" fillId="0" borderId="0"/>
    <xf numFmtId="9" fontId="28" fillId="0" borderId="0" applyBorder="0" applyProtection="0"/>
    <xf numFmtId="0" fontId="7" fillId="2" borderId="0" applyBorder="0" applyProtection="0"/>
    <xf numFmtId="0" fontId="7" fillId="3" borderId="0" applyBorder="0" applyProtection="0"/>
    <xf numFmtId="0" fontId="7" fillId="4" borderId="0" applyBorder="0" applyProtection="0"/>
    <xf numFmtId="0" fontId="7" fillId="5" borderId="0" applyBorder="0" applyProtection="0"/>
    <xf numFmtId="0" fontId="7" fillId="6" borderId="0" applyBorder="0" applyProtection="0"/>
    <xf numFmtId="0" fontId="7" fillId="7" borderId="0" applyBorder="0" applyProtection="0"/>
    <xf numFmtId="0" fontId="7" fillId="8" borderId="0" applyBorder="0" applyProtection="0"/>
    <xf numFmtId="0" fontId="7" fillId="3" borderId="0" applyBorder="0" applyProtection="0"/>
    <xf numFmtId="0" fontId="7" fillId="9" borderId="0" applyBorder="0" applyProtection="0"/>
    <xf numFmtId="0" fontId="7" fillId="10" borderId="0" applyBorder="0" applyProtection="0"/>
    <xf numFmtId="0" fontId="7" fillId="8" borderId="0" applyBorder="0" applyProtection="0"/>
    <xf numFmtId="0" fontId="7" fillId="10" borderId="0" applyBorder="0" applyProtection="0"/>
    <xf numFmtId="0" fontId="8" fillId="8" borderId="0" applyBorder="0" applyProtection="0"/>
    <xf numFmtId="0" fontId="8" fillId="3" borderId="0" applyBorder="0" applyProtection="0"/>
    <xf numFmtId="0" fontId="8" fillId="9" borderId="0" applyBorder="0" applyProtection="0"/>
    <xf numFmtId="0" fontId="8" fillId="10" borderId="0" applyBorder="0" applyProtection="0"/>
    <xf numFmtId="0" fontId="8" fillId="11" borderId="0" applyBorder="0" applyProtection="0"/>
    <xf numFmtId="0" fontId="8" fillId="12" borderId="0" applyBorder="0" applyProtection="0"/>
    <xf numFmtId="165" fontId="28" fillId="0" borderId="0" applyBorder="0" applyProtection="0"/>
    <xf numFmtId="0" fontId="9" fillId="13" borderId="0" applyBorder="0" applyProtection="0"/>
    <xf numFmtId="0" fontId="10" fillId="0" borderId="0"/>
    <xf numFmtId="0" fontId="11" fillId="0" borderId="0"/>
    <xf numFmtId="0" fontId="12" fillId="0" borderId="0"/>
    <xf numFmtId="0" fontId="11" fillId="0" borderId="0"/>
    <xf numFmtId="0" fontId="28" fillId="0" borderId="0"/>
    <xf numFmtId="0" fontId="7" fillId="0" borderId="0"/>
    <xf numFmtId="0" fontId="28" fillId="0" borderId="0"/>
    <xf numFmtId="0" fontId="12" fillId="0" borderId="0"/>
    <xf numFmtId="0" fontId="13" fillId="14" borderId="0" applyBorder="0" applyProtection="0"/>
    <xf numFmtId="9" fontId="28" fillId="0" borderId="0" applyBorder="0" applyProtection="0"/>
    <xf numFmtId="9" fontId="28" fillId="0" borderId="0" applyBorder="0" applyProtection="0"/>
    <xf numFmtId="166" fontId="28" fillId="0" borderId="0" applyBorder="0" applyProtection="0"/>
    <xf numFmtId="0" fontId="14" fillId="15" borderId="0" applyBorder="0" applyProtection="0"/>
    <xf numFmtId="0" fontId="15" fillId="15" borderId="0" applyBorder="0" applyProtection="0"/>
    <xf numFmtId="0" fontId="7" fillId="16" borderId="0" applyBorder="0" applyProtection="0"/>
    <xf numFmtId="0" fontId="6" fillId="0" borderId="0"/>
    <xf numFmtId="0" fontId="29" fillId="0" borderId="0"/>
    <xf numFmtId="0" fontId="6" fillId="0" borderId="0"/>
    <xf numFmtId="0" fontId="5" fillId="0" borderId="0"/>
    <xf numFmtId="0" fontId="4" fillId="0" borderId="0"/>
    <xf numFmtId="0" fontId="30" fillId="21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32" fillId="0" borderId="0"/>
    <xf numFmtId="0" fontId="14" fillId="20" borderId="0" applyNumberFormat="0" applyBorder="0" applyAlignment="0" applyProtection="0"/>
    <xf numFmtId="0" fontId="33" fillId="0" borderId="0"/>
    <xf numFmtId="0" fontId="32" fillId="0" borderId="0"/>
    <xf numFmtId="0" fontId="34" fillId="0" borderId="0"/>
    <xf numFmtId="0" fontId="3" fillId="0" borderId="0"/>
    <xf numFmtId="0" fontId="33" fillId="0" borderId="0"/>
    <xf numFmtId="0" fontId="2" fillId="0" borderId="0"/>
    <xf numFmtId="43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43" fillId="0" borderId="0"/>
    <xf numFmtId="0" fontId="1" fillId="0" borderId="0"/>
    <xf numFmtId="43" fontId="1" fillId="0" borderId="0" applyFont="0" applyFill="0" applyBorder="0" applyAlignment="0" applyProtection="0"/>
  </cellStyleXfs>
  <cellXfs count="244">
    <xf numFmtId="0" fontId="0" fillId="0" borderId="0" xfId="0"/>
    <xf numFmtId="0" fontId="10" fillId="0" borderId="0" xfId="0" applyFont="1"/>
    <xf numFmtId="0" fontId="10" fillId="0" borderId="0" xfId="0" applyFont="1" applyAlignment="1">
      <alignment wrapText="1" shrinkToFit="1"/>
    </xf>
    <xf numFmtId="0" fontId="16" fillId="17" borderId="1" xfId="0" applyFont="1" applyFill="1" applyBorder="1" applyAlignment="1">
      <alignment horizontal="center" vertical="center" wrapText="1"/>
    </xf>
    <xf numFmtId="0" fontId="16" fillId="17" borderId="1" xfId="0" applyFont="1" applyFill="1" applyBorder="1" applyAlignment="1">
      <alignment horizontal="center" vertical="center" wrapText="1" shrinkToFit="1"/>
    </xf>
    <xf numFmtId="0" fontId="7" fillId="0" borderId="0" xfId="27"/>
    <xf numFmtId="0" fontId="24" fillId="0" borderId="0" xfId="27" applyFont="1"/>
    <xf numFmtId="0" fontId="24" fillId="0" borderId="13" xfId="27" applyFont="1" applyBorder="1" applyAlignment="1">
      <alignment horizontal="center" vertical="top" wrapText="1"/>
    </xf>
    <xf numFmtId="0" fontId="24" fillId="0" borderId="14" xfId="27" applyFont="1" applyBorder="1" applyAlignment="1">
      <alignment horizontal="center" vertical="top" wrapText="1"/>
    </xf>
    <xf numFmtId="0" fontId="24" fillId="0" borderId="15" xfId="27" applyFont="1" applyBorder="1" applyAlignment="1">
      <alignment horizontal="center" vertical="top" wrapText="1"/>
    </xf>
    <xf numFmtId="0" fontId="24" fillId="0" borderId="16" xfId="27" applyFont="1" applyBorder="1" applyAlignment="1">
      <alignment horizontal="center" vertical="top" wrapText="1"/>
    </xf>
    <xf numFmtId="0" fontId="24" fillId="0" borderId="17" xfId="27" applyFont="1" applyBorder="1" applyAlignment="1">
      <alignment horizontal="center" vertical="top" wrapText="1"/>
    </xf>
    <xf numFmtId="0" fontId="24" fillId="0" borderId="13" xfId="27" applyFont="1" applyBorder="1" applyAlignment="1">
      <alignment vertical="top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14" fontId="23" fillId="0" borderId="0" xfId="0" applyNumberFormat="1" applyFont="1"/>
    <xf numFmtId="0" fontId="23" fillId="0" borderId="0" xfId="0" applyFont="1"/>
    <xf numFmtId="0" fontId="21" fillId="0" borderId="0" xfId="27" applyFont="1" applyAlignment="1">
      <alignment vertical="center" wrapText="1"/>
    </xf>
    <xf numFmtId="4" fontId="20" fillId="0" borderId="0" xfId="27" applyNumberFormat="1" applyFont="1" applyAlignment="1">
      <alignment wrapText="1"/>
    </xf>
    <xf numFmtId="4" fontId="22" fillId="0" borderId="0" xfId="27" applyNumberFormat="1" applyFont="1" applyAlignment="1">
      <alignment wrapText="1"/>
    </xf>
    <xf numFmtId="3" fontId="20" fillId="0" borderId="10" xfId="27" applyNumberFormat="1" applyFont="1" applyBorder="1" applyAlignment="1">
      <alignment horizontal="center" wrapText="1"/>
    </xf>
    <xf numFmtId="0" fontId="20" fillId="0" borderId="0" xfId="27" applyFont="1" applyAlignment="1">
      <alignment horizontal="center" vertical="top" wrapText="1"/>
    </xf>
    <xf numFmtId="0" fontId="20" fillId="0" borderId="10" xfId="27" applyFont="1" applyBorder="1" applyAlignment="1">
      <alignment horizontal="center" wrapText="1"/>
    </xf>
    <xf numFmtId="4" fontId="20" fillId="0" borderId="11" xfId="27" applyNumberFormat="1" applyFont="1" applyBorder="1" applyAlignment="1">
      <alignment horizontal="center" wrapText="1"/>
    </xf>
    <xf numFmtId="171" fontId="21" fillId="0" borderId="0" xfId="27" applyNumberFormat="1" applyFont="1" applyAlignment="1">
      <alignment horizontal="center" wrapText="1"/>
    </xf>
    <xf numFmtId="171" fontId="20" fillId="0" borderId="0" xfId="27" applyNumberFormat="1" applyFont="1" applyAlignment="1">
      <alignment horizontal="center" wrapText="1"/>
    </xf>
    <xf numFmtId="0" fontId="20" fillId="0" borderId="0" xfId="27" applyFont="1" applyAlignment="1">
      <alignment horizontal="center" wrapText="1"/>
    </xf>
    <xf numFmtId="4" fontId="20" fillId="0" borderId="0" xfId="27" applyNumberFormat="1" applyFont="1" applyAlignment="1">
      <alignment horizontal="center" wrapText="1"/>
    </xf>
    <xf numFmtId="4" fontId="7" fillId="0" borderId="0" xfId="27" applyNumberFormat="1"/>
    <xf numFmtId="4" fontId="21" fillId="0" borderId="0" xfId="0" applyNumberFormat="1" applyFont="1"/>
    <xf numFmtId="0" fontId="20" fillId="0" borderId="8" xfId="27" applyFont="1" applyBorder="1" applyAlignment="1">
      <alignment horizontal="center" wrapText="1"/>
    </xf>
    <xf numFmtId="4" fontId="20" fillId="0" borderId="1" xfId="27" applyNumberFormat="1" applyFont="1" applyBorder="1" applyAlignment="1">
      <alignment horizontal="center" wrapText="1"/>
    </xf>
    <xf numFmtId="0" fontId="0" fillId="0" borderId="0" xfId="0" applyAlignment="1">
      <alignment horizontal="right"/>
    </xf>
    <xf numFmtId="170" fontId="7" fillId="0" borderId="0" xfId="27" applyNumberFormat="1"/>
    <xf numFmtId="170" fontId="0" fillId="0" borderId="0" xfId="0" applyNumberFormat="1"/>
    <xf numFmtId="167" fontId="7" fillId="0" borderId="0" xfId="27" applyNumberFormat="1"/>
    <xf numFmtId="4" fontId="20" fillId="0" borderId="12" xfId="27" applyNumberFormat="1" applyFont="1" applyBorder="1" applyAlignment="1">
      <alignment horizontal="center" wrapText="1"/>
    </xf>
    <xf numFmtId="4" fontId="20" fillId="0" borderId="9" xfId="27" applyNumberFormat="1" applyFont="1" applyBorder="1" applyAlignment="1">
      <alignment horizontal="center" wrapText="1"/>
    </xf>
    <xf numFmtId="14" fontId="7" fillId="0" borderId="0" xfId="27" applyNumberFormat="1"/>
    <xf numFmtId="14" fontId="31" fillId="0" borderId="0" xfId="0" applyNumberFormat="1" applyFont="1"/>
    <xf numFmtId="0" fontId="31" fillId="0" borderId="0" xfId="0" applyFont="1"/>
    <xf numFmtId="14" fontId="0" fillId="0" borderId="0" xfId="0" applyNumberFormat="1"/>
    <xf numFmtId="0" fontId="37" fillId="0" borderId="0" xfId="25" applyFont="1"/>
    <xf numFmtId="0" fontId="37" fillId="0" borderId="0" xfId="0" applyFont="1"/>
    <xf numFmtId="0" fontId="36" fillId="0" borderId="0" xfId="25" applyFont="1" applyAlignment="1">
      <alignment horizontal="center" wrapText="1"/>
    </xf>
    <xf numFmtId="0" fontId="37" fillId="0" borderId="0" xfId="25" applyFont="1" applyAlignment="1">
      <alignment horizontal="center"/>
    </xf>
    <xf numFmtId="49" fontId="36" fillId="0" borderId="1" xfId="25" applyNumberFormat="1" applyFont="1" applyBorder="1" applyAlignment="1">
      <alignment horizontal="center" vertical="center"/>
    </xf>
    <xf numFmtId="49" fontId="37" fillId="0" borderId="1" xfId="25" applyNumberFormat="1" applyFont="1" applyBorder="1" applyAlignment="1">
      <alignment horizontal="center" vertical="center"/>
    </xf>
    <xf numFmtId="0" fontId="36" fillId="19" borderId="1" xfId="25" applyFont="1" applyFill="1" applyBorder="1" applyAlignment="1">
      <alignment horizontal="left" vertical="center" wrapText="1"/>
    </xf>
    <xf numFmtId="0" fontId="37" fillId="0" borderId="1" xfId="0" applyFont="1" applyBorder="1" applyAlignment="1">
      <alignment horizontal="center" vertical="center"/>
    </xf>
    <xf numFmtId="0" fontId="37" fillId="0" borderId="0" xfId="25" applyFont="1" applyAlignment="1">
      <alignment horizontal="center" vertical="center"/>
    </xf>
    <xf numFmtId="0" fontId="37" fillId="0" borderId="1" xfId="0" applyFont="1" applyBorder="1" applyAlignment="1">
      <alignment horizontal="justify" vertical="center" wrapText="1"/>
    </xf>
    <xf numFmtId="0" fontId="37" fillId="22" borderId="0" xfId="25" applyFont="1" applyFill="1"/>
    <xf numFmtId="49" fontId="37" fillId="0" borderId="1" xfId="25" applyNumberFormat="1" applyFont="1" applyBorder="1" applyAlignment="1">
      <alignment horizontal="center" vertical="center" wrapText="1"/>
    </xf>
    <xf numFmtId="0" fontId="37" fillId="0" borderId="0" xfId="25" applyFont="1" applyAlignment="1">
      <alignment horizontal="center" vertical="center" wrapText="1"/>
    </xf>
    <xf numFmtId="0" fontId="36" fillId="0" borderId="0" xfId="25" applyFont="1" applyAlignment="1">
      <alignment horizontal="center"/>
    </xf>
    <xf numFmtId="0" fontId="36" fillId="0" borderId="0" xfId="25" applyFont="1"/>
    <xf numFmtId="3" fontId="37" fillId="0" borderId="1" xfId="25" applyNumberFormat="1" applyFont="1" applyBorder="1" applyAlignment="1">
      <alignment horizontal="center" vertical="center"/>
    </xf>
    <xf numFmtId="0" fontId="37" fillId="0" borderId="1" xfId="25" applyFont="1" applyBorder="1" applyAlignment="1">
      <alignment horizontal="center" vertical="center"/>
    </xf>
    <xf numFmtId="0" fontId="40" fillId="0" borderId="16" xfId="27" applyFont="1" applyBorder="1" applyAlignment="1">
      <alignment horizontal="center" vertical="top" wrapText="1"/>
    </xf>
    <xf numFmtId="10" fontId="41" fillId="0" borderId="1" xfId="51" applyNumberFormat="1" applyFont="1" applyBorder="1" applyAlignment="1">
      <alignment horizontal="center" wrapText="1"/>
    </xf>
    <xf numFmtId="49" fontId="37" fillId="0" borderId="1" xfId="49" applyNumberFormat="1" applyFont="1" applyBorder="1" applyAlignment="1">
      <alignment horizontal="center" vertical="center"/>
    </xf>
    <xf numFmtId="3" fontId="37" fillId="0" borderId="1" xfId="49" applyNumberFormat="1" applyFont="1" applyBorder="1" applyAlignment="1">
      <alignment horizontal="center" vertical="center"/>
    </xf>
    <xf numFmtId="0" fontId="37" fillId="0" borderId="1" xfId="49" applyFont="1" applyBorder="1" applyAlignment="1">
      <alignment horizontal="center" vertical="center"/>
    </xf>
    <xf numFmtId="1" fontId="36" fillId="19" borderId="1" xfId="25" applyNumberFormat="1" applyFont="1" applyFill="1" applyBorder="1" applyAlignment="1">
      <alignment horizontal="center" vertical="center"/>
    </xf>
    <xf numFmtId="1" fontId="36" fillId="23" borderId="1" xfId="25" applyNumberFormat="1" applyFont="1" applyFill="1" applyBorder="1" applyAlignment="1">
      <alignment horizontal="center" vertical="center"/>
    </xf>
    <xf numFmtId="1" fontId="36" fillId="23" borderId="1" xfId="0" applyNumberFormat="1" applyFont="1" applyFill="1" applyBorder="1" applyAlignment="1">
      <alignment horizontal="center" vertical="center"/>
    </xf>
    <xf numFmtId="1" fontId="37" fillId="23" borderId="1" xfId="25" applyNumberFormat="1" applyFont="1" applyFill="1" applyBorder="1" applyAlignment="1">
      <alignment horizontal="center" vertical="center"/>
    </xf>
    <xf numFmtId="3" fontId="36" fillId="23" borderId="1" xfId="0" applyNumberFormat="1" applyFont="1" applyFill="1" applyBorder="1" applyAlignment="1">
      <alignment horizontal="center" vertical="center"/>
    </xf>
    <xf numFmtId="3" fontId="37" fillId="0" borderId="1" xfId="0" applyNumberFormat="1" applyFont="1" applyBorder="1" applyAlignment="1">
      <alignment horizontal="center" vertical="center"/>
    </xf>
    <xf numFmtId="0" fontId="36" fillId="19" borderId="1" xfId="25" applyFont="1" applyFill="1" applyBorder="1" applyAlignment="1">
      <alignment horizontal="center" vertical="center"/>
    </xf>
    <xf numFmtId="0" fontId="37" fillId="0" borderId="0" xfId="25" applyFont="1" applyAlignment="1">
      <alignment vertical="center" wrapText="1"/>
    </xf>
    <xf numFmtId="0" fontId="36" fillId="19" borderId="1" xfId="27" applyFont="1" applyFill="1" applyBorder="1" applyAlignment="1">
      <alignment horizontal="left" vertical="center" wrapText="1"/>
    </xf>
    <xf numFmtId="0" fontId="37" fillId="0" borderId="1" xfId="0" applyFont="1" applyBorder="1" applyAlignment="1">
      <alignment vertical="center" wrapText="1"/>
    </xf>
    <xf numFmtId="1" fontId="36" fillId="0" borderId="1" xfId="25" applyNumberFormat="1" applyFont="1" applyBorder="1" applyAlignment="1">
      <alignment horizontal="center" vertical="center"/>
    </xf>
    <xf numFmtId="3" fontId="42" fillId="0" borderId="1" xfId="0" applyNumberFormat="1" applyFont="1" applyFill="1" applyBorder="1" applyAlignment="1">
      <alignment horizontal="center" vertical="center"/>
    </xf>
    <xf numFmtId="3" fontId="37" fillId="0" borderId="1" xfId="0" applyNumberFormat="1" applyFont="1" applyFill="1" applyBorder="1" applyAlignment="1">
      <alignment horizontal="center" vertical="center"/>
    </xf>
    <xf numFmtId="0" fontId="38" fillId="0" borderId="0" xfId="25" applyFont="1" applyFill="1" applyAlignment="1">
      <alignment horizontal="center"/>
    </xf>
    <xf numFmtId="49" fontId="36" fillId="0" borderId="1" xfId="25" applyNumberFormat="1" applyFont="1" applyFill="1" applyBorder="1" applyAlignment="1">
      <alignment horizontal="center" vertical="center"/>
    </xf>
    <xf numFmtId="0" fontId="36" fillId="0" borderId="1" xfId="27" applyFont="1" applyFill="1" applyBorder="1" applyAlignment="1">
      <alignment vertical="center" wrapText="1"/>
    </xf>
    <xf numFmtId="0" fontId="39" fillId="0" borderId="0" xfId="25" applyFont="1" applyFill="1"/>
    <xf numFmtId="0" fontId="37" fillId="0" borderId="0" xfId="25" applyFont="1" applyFill="1" applyAlignment="1">
      <alignment horizontal="center"/>
    </xf>
    <xf numFmtId="0" fontId="37" fillId="0" borderId="0" xfId="25" applyFont="1" applyFill="1"/>
    <xf numFmtId="49" fontId="37" fillId="0" borderId="1" xfId="25" applyNumberFormat="1" applyFont="1" applyFill="1" applyBorder="1" applyAlignment="1">
      <alignment horizontal="center" vertical="center"/>
    </xf>
    <xf numFmtId="0" fontId="37" fillId="0" borderId="1" xfId="27" applyFont="1" applyFill="1" applyBorder="1" applyAlignment="1">
      <alignment vertical="center" wrapText="1"/>
    </xf>
    <xf numFmtId="0" fontId="37" fillId="0" borderId="1" xfId="25" applyFont="1" applyFill="1" applyBorder="1"/>
    <xf numFmtId="0" fontId="37" fillId="0" borderId="1" xfId="25" applyFont="1" applyFill="1" applyBorder="1" applyAlignment="1">
      <alignment vertical="center" wrapText="1"/>
    </xf>
    <xf numFmtId="0" fontId="37" fillId="0" borderId="1" xfId="25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justify" vertical="center"/>
    </xf>
    <xf numFmtId="3" fontId="37" fillId="0" borderId="1" xfId="25" applyNumberFormat="1" applyFont="1" applyFill="1" applyBorder="1" applyAlignment="1">
      <alignment horizontal="center" vertical="center"/>
    </xf>
    <xf numFmtId="0" fontId="37" fillId="0" borderId="0" xfId="25" applyFont="1" applyFill="1" applyAlignment="1">
      <alignment vertical="center" wrapText="1"/>
    </xf>
    <xf numFmtId="0" fontId="37" fillId="0" borderId="1" xfId="0" applyFont="1" applyFill="1" applyBorder="1" applyAlignment="1">
      <alignment horizontal="justify" vertical="center" wrapText="1"/>
    </xf>
    <xf numFmtId="0" fontId="37" fillId="0" borderId="1" xfId="49" applyFont="1" applyFill="1" applyBorder="1" applyAlignment="1">
      <alignment horizontal="center" vertical="center"/>
    </xf>
    <xf numFmtId="3" fontId="37" fillId="0" borderId="1" xfId="49" applyNumberFormat="1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justify" vertical="center"/>
    </xf>
    <xf numFmtId="0" fontId="36" fillId="0" borderId="0" xfId="25" applyFont="1" applyFill="1"/>
    <xf numFmtId="0" fontId="36" fillId="0" borderId="1" xfId="0" applyFont="1" applyFill="1" applyBorder="1" applyAlignment="1">
      <alignment horizontal="justify" vertical="center" wrapText="1"/>
    </xf>
    <xf numFmtId="0" fontId="37" fillId="0" borderId="1" xfId="0" applyFont="1" applyFill="1" applyBorder="1" applyAlignment="1">
      <alignment vertical="center" wrapText="1"/>
    </xf>
    <xf numFmtId="0" fontId="36" fillId="0" borderId="0" xfId="25" applyFont="1" applyFill="1" applyAlignment="1">
      <alignment horizontal="center"/>
    </xf>
    <xf numFmtId="0" fontId="37" fillId="0" borderId="0" xfId="0" applyFont="1" applyFill="1"/>
    <xf numFmtId="49" fontId="37" fillId="0" borderId="1" xfId="49" applyNumberFormat="1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center" vertical="center"/>
    </xf>
    <xf numFmtId="0" fontId="36" fillId="0" borderId="1" xfId="25" applyFont="1" applyFill="1" applyBorder="1" applyAlignment="1">
      <alignment horizontal="left" vertical="top" wrapText="1"/>
    </xf>
    <xf numFmtId="49" fontId="36" fillId="0" borderId="1" xfId="25" applyNumberFormat="1" applyFont="1" applyFill="1" applyBorder="1" applyAlignment="1">
      <alignment horizontal="center" vertical="center" wrapText="1"/>
    </xf>
    <xf numFmtId="49" fontId="37" fillId="0" borderId="1" xfId="25" applyNumberFormat="1" applyFont="1" applyFill="1" applyBorder="1" applyAlignment="1">
      <alignment horizontal="center" vertical="center" wrapText="1"/>
    </xf>
    <xf numFmtId="0" fontId="36" fillId="0" borderId="1" xfId="25" applyFont="1" applyFill="1" applyBorder="1" applyAlignment="1">
      <alignment vertical="center" wrapText="1"/>
    </xf>
    <xf numFmtId="0" fontId="37" fillId="0" borderId="1" xfId="25" applyFont="1" applyFill="1" applyBorder="1" applyAlignment="1">
      <alignment horizontal="center" vertical="center" wrapText="1"/>
    </xf>
    <xf numFmtId="0" fontId="42" fillId="0" borderId="1" xfId="25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vertical="center"/>
    </xf>
    <xf numFmtId="0" fontId="37" fillId="0" borderId="1" xfId="0" applyFont="1" applyFill="1" applyBorder="1"/>
    <xf numFmtId="0" fontId="37" fillId="0" borderId="1" xfId="0" applyFont="1" applyFill="1" applyBorder="1" applyAlignment="1">
      <alignment vertical="center"/>
    </xf>
    <xf numFmtId="0" fontId="42" fillId="0" borderId="1" xfId="49" applyFont="1" applyFill="1" applyBorder="1" applyAlignment="1">
      <alignment horizontal="center" vertical="center"/>
    </xf>
    <xf numFmtId="49" fontId="42" fillId="0" borderId="1" xfId="49" applyNumberFormat="1" applyFont="1" applyFill="1" applyBorder="1" applyAlignment="1">
      <alignment horizontal="center" vertical="center"/>
    </xf>
    <xf numFmtId="1" fontId="36" fillId="0" borderId="1" xfId="25" applyNumberFormat="1" applyFont="1" applyFill="1" applyBorder="1" applyAlignment="1">
      <alignment horizontal="center" vertical="center"/>
    </xf>
    <xf numFmtId="0" fontId="37" fillId="0" borderId="1" xfId="25" applyFont="1" applyBorder="1"/>
    <xf numFmtId="172" fontId="19" fillId="0" borderId="1" xfId="27" applyNumberFormat="1" applyFont="1" applyBorder="1" applyAlignment="1">
      <alignment horizontal="center" wrapText="1"/>
    </xf>
    <xf numFmtId="49" fontId="0" fillId="0" borderId="0" xfId="0" applyNumberFormat="1"/>
    <xf numFmtId="4" fontId="0" fillId="0" borderId="0" xfId="0" applyNumberFormat="1"/>
    <xf numFmtId="1" fontId="0" fillId="0" borderId="0" xfId="0" applyNumberFormat="1"/>
    <xf numFmtId="3" fontId="0" fillId="0" borderId="0" xfId="0" applyNumberFormat="1"/>
    <xf numFmtId="2" fontId="0" fillId="0" borderId="0" xfId="0" applyNumberFormat="1"/>
    <xf numFmtId="10" fontId="0" fillId="0" borderId="0" xfId="0" applyNumberFormat="1"/>
    <xf numFmtId="9" fontId="0" fillId="0" borderId="0" xfId="0" applyNumberFormat="1"/>
    <xf numFmtId="0" fontId="20" fillId="0" borderId="0" xfId="0" applyFont="1"/>
    <xf numFmtId="0" fontId="44" fillId="0" borderId="0" xfId="0" applyFont="1"/>
    <xf numFmtId="0" fontId="10" fillId="0" borderId="0" xfId="23" applyFont="1" applyAlignment="1">
      <alignment vertical="center" wrapText="1"/>
    </xf>
    <xf numFmtId="4" fontId="18" fillId="0" borderId="4" xfId="0" applyNumberFormat="1" applyFont="1" applyBorder="1" applyAlignment="1">
      <alignment horizontal="center" vertical="center" wrapText="1"/>
    </xf>
    <xf numFmtId="4" fontId="18" fillId="0" borderId="1" xfId="0" applyNumberFormat="1" applyFont="1" applyBorder="1" applyAlignment="1">
      <alignment horizontal="center" vertical="center" wrapText="1"/>
    </xf>
    <xf numFmtId="0" fontId="16" fillId="0" borderId="1" xfId="23" applyFont="1" applyBorder="1" applyAlignment="1">
      <alignment horizontal="center" vertical="center" wrapText="1"/>
    </xf>
    <xf numFmtId="0" fontId="10" fillId="0" borderId="1" xfId="23" applyFont="1" applyBorder="1" applyAlignment="1">
      <alignment horizontal="left" vertical="center" wrapText="1"/>
    </xf>
    <xf numFmtId="4" fontId="17" fillId="0" borderId="4" xfId="0" applyNumberFormat="1" applyFont="1" applyBorder="1" applyAlignment="1">
      <alignment horizontal="center" vertical="center" wrapText="1"/>
    </xf>
    <xf numFmtId="4" fontId="17" fillId="0" borderId="1" xfId="0" applyNumberFormat="1" applyFont="1" applyBorder="1" applyAlignment="1">
      <alignment horizontal="center" vertical="center" wrapText="1"/>
    </xf>
    <xf numFmtId="0" fontId="10" fillId="0" borderId="1" xfId="23" applyFont="1" applyBorder="1" applyAlignment="1">
      <alignment vertical="center" wrapText="1"/>
    </xf>
    <xf numFmtId="4" fontId="10" fillId="0" borderId="0" xfId="23" applyNumberFormat="1" applyFont="1" applyAlignment="1">
      <alignment vertical="center" wrapText="1"/>
    </xf>
    <xf numFmtId="0" fontId="0" fillId="0" borderId="0" xfId="0" applyAlignment="1">
      <alignment vertical="center"/>
    </xf>
    <xf numFmtId="49" fontId="18" fillId="24" borderId="1" xfId="0" applyNumberFormat="1" applyFont="1" applyFill="1" applyBorder="1" applyAlignment="1">
      <alignment horizontal="center" vertical="center" wrapText="1"/>
    </xf>
    <xf numFmtId="49" fontId="18" fillId="24" borderId="4" xfId="0" applyNumberFormat="1" applyFont="1" applyFill="1" applyBorder="1" applyAlignment="1">
      <alignment horizontal="center" vertical="center" wrapText="1"/>
    </xf>
    <xf numFmtId="49" fontId="18" fillId="24" borderId="2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right" vertical="center" wrapText="1"/>
    </xf>
    <xf numFmtId="0" fontId="10" fillId="0" borderId="1" xfId="0" applyFont="1" applyBorder="1" applyAlignment="1">
      <alignment horizontal="left" vertical="center" wrapText="1"/>
    </xf>
    <xf numFmtId="4" fontId="17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/>
    </xf>
    <xf numFmtId="4" fontId="18" fillId="0" borderId="1" xfId="0" applyNumberFormat="1" applyFont="1" applyBorder="1" applyAlignment="1">
      <alignment horizontal="center" vertical="center"/>
    </xf>
    <xf numFmtId="4" fontId="16" fillId="0" borderId="1" xfId="0" applyNumberFormat="1" applyFont="1" applyBorder="1" applyAlignment="1">
      <alignment horizontal="center" vertical="center"/>
    </xf>
    <xf numFmtId="0" fontId="10" fillId="0" borderId="1" xfId="36" applyFont="1" applyFill="1" applyBorder="1" applyAlignment="1" applyProtection="1">
      <alignment horizontal="center" vertical="center"/>
    </xf>
    <xf numFmtId="1" fontId="36" fillId="26" borderId="1" xfId="25" applyNumberFormat="1" applyFont="1" applyFill="1" applyBorder="1" applyAlignment="1">
      <alignment horizontal="center" vertical="center"/>
    </xf>
    <xf numFmtId="0" fontId="10" fillId="0" borderId="0" xfId="27" applyFont="1"/>
    <xf numFmtId="168" fontId="10" fillId="0" borderId="0" xfId="27" applyNumberFormat="1" applyFont="1"/>
    <xf numFmtId="0" fontId="17" fillId="0" borderId="0" xfId="27" applyFont="1"/>
    <xf numFmtId="0" fontId="17" fillId="0" borderId="0" xfId="0" applyFont="1"/>
    <xf numFmtId="0" fontId="16" fillId="0" borderId="0" xfId="27" applyFont="1"/>
    <xf numFmtId="0" fontId="10" fillId="0" borderId="1" xfId="27" applyFont="1" applyBorder="1" applyAlignment="1">
      <alignment horizontal="center" vertical="center"/>
    </xf>
    <xf numFmtId="0" fontId="17" fillId="0" borderId="1" xfId="27" applyFont="1" applyBorder="1" applyAlignment="1">
      <alignment horizontal="left" vertical="center" wrapText="1"/>
    </xf>
    <xf numFmtId="3" fontId="47" fillId="0" borderId="1" xfId="27" applyNumberFormat="1" applyFont="1" applyBorder="1" applyAlignment="1">
      <alignment horizontal="center" vertical="center"/>
    </xf>
    <xf numFmtId="1" fontId="47" fillId="0" borderId="1" xfId="27" applyNumberFormat="1" applyFont="1" applyBorder="1" applyAlignment="1">
      <alignment horizontal="center" vertical="center" wrapText="1"/>
    </xf>
    <xf numFmtId="168" fontId="47" fillId="0" borderId="1" xfId="27" applyNumberFormat="1" applyFont="1" applyBorder="1" applyAlignment="1">
      <alignment horizontal="center" vertical="center"/>
    </xf>
    <xf numFmtId="169" fontId="48" fillId="0" borderId="1" xfId="27" applyNumberFormat="1" applyFont="1" applyBorder="1" applyAlignment="1">
      <alignment horizontal="center" vertical="center"/>
    </xf>
    <xf numFmtId="0" fontId="17" fillId="0" borderId="1" xfId="27" applyFont="1" applyFill="1" applyBorder="1" applyAlignment="1">
      <alignment horizontal="left" vertical="center" wrapText="1"/>
    </xf>
    <xf numFmtId="3" fontId="47" fillId="0" borderId="1" xfId="27" applyNumberFormat="1" applyFont="1" applyFill="1" applyBorder="1" applyAlignment="1">
      <alignment horizontal="center" vertical="center"/>
    </xf>
    <xf numFmtId="2" fontId="10" fillId="0" borderId="1" xfId="27" applyNumberFormat="1" applyFont="1" applyFill="1" applyBorder="1" applyAlignment="1">
      <alignment horizontal="center" vertical="center"/>
    </xf>
    <xf numFmtId="2" fontId="10" fillId="0" borderId="1" xfId="27" applyNumberFormat="1" applyFont="1" applyBorder="1" applyAlignment="1">
      <alignment horizontal="center" vertical="center"/>
    </xf>
    <xf numFmtId="0" fontId="49" fillId="0" borderId="0" xfId="27" applyFont="1"/>
    <xf numFmtId="0" fontId="49" fillId="0" borderId="0" xfId="0" applyFont="1"/>
    <xf numFmtId="0" fontId="49" fillId="0" borderId="0" xfId="27" applyFont="1" applyAlignment="1">
      <alignment vertical="center" textRotation="90"/>
    </xf>
    <xf numFmtId="0" fontId="49" fillId="0" borderId="0" xfId="27" applyFont="1" applyFill="1"/>
    <xf numFmtId="168" fontId="49" fillId="0" borderId="0" xfId="27" applyNumberFormat="1" applyFont="1"/>
    <xf numFmtId="0" fontId="17" fillId="0" borderId="0" xfId="27" applyFont="1" applyFill="1" applyAlignment="1">
      <alignment wrapText="1"/>
    </xf>
    <xf numFmtId="0" fontId="49" fillId="0" borderId="0" xfId="27" applyFont="1" applyAlignment="1">
      <alignment horizontal="center"/>
    </xf>
    <xf numFmtId="3" fontId="16" fillId="19" borderId="1" xfId="27" applyNumberFormat="1" applyFont="1" applyFill="1" applyBorder="1" applyAlignment="1">
      <alignment horizontal="center" vertical="center"/>
    </xf>
    <xf numFmtId="0" fontId="16" fillId="19" borderId="1" xfId="27" applyFont="1" applyFill="1" applyBorder="1" applyAlignment="1">
      <alignment horizontal="center" vertical="center" wrapText="1"/>
    </xf>
    <xf numFmtId="168" fontId="16" fillId="19" borderId="1" xfId="27" applyNumberFormat="1" applyFont="1" applyFill="1" applyBorder="1" applyAlignment="1">
      <alignment horizontal="center" vertical="center"/>
    </xf>
    <xf numFmtId="4" fontId="16" fillId="19" borderId="1" xfId="27" applyNumberFormat="1" applyFont="1" applyFill="1" applyBorder="1" applyAlignment="1">
      <alignment horizontal="center" vertical="center"/>
    </xf>
    <xf numFmtId="2" fontId="18" fillId="19" borderId="1" xfId="21" applyNumberFormat="1" applyFont="1" applyFill="1" applyBorder="1" applyAlignment="1" applyProtection="1">
      <alignment horizontal="center" vertical="center"/>
    </xf>
    <xf numFmtId="0" fontId="18" fillId="19" borderId="1" xfId="30" applyFont="1" applyFill="1" applyBorder="1" applyAlignment="1" applyProtection="1">
      <alignment horizontal="center" vertical="center"/>
    </xf>
    <xf numFmtId="2" fontId="18" fillId="19" borderId="1" xfId="35" applyNumberFormat="1" applyFont="1" applyFill="1" applyBorder="1" applyAlignment="1" applyProtection="1">
      <alignment horizontal="center" vertical="center" wrapText="1"/>
    </xf>
    <xf numFmtId="2" fontId="18" fillId="19" borderId="1" xfId="35" applyNumberFormat="1" applyFont="1" applyFill="1" applyBorder="1" applyAlignment="1" applyProtection="1">
      <alignment horizontal="center" vertical="center"/>
    </xf>
    <xf numFmtId="0" fontId="16" fillId="24" borderId="1" xfId="27" applyFont="1" applyFill="1" applyBorder="1" applyAlignment="1">
      <alignment horizontal="center" vertical="center"/>
    </xf>
    <xf numFmtId="0" fontId="18" fillId="24" borderId="1" xfId="27" applyFont="1" applyFill="1" applyBorder="1" applyAlignment="1">
      <alignment horizontal="center" vertical="center"/>
    </xf>
    <xf numFmtId="0" fontId="50" fillId="0" borderId="0" xfId="27" applyFont="1" applyFill="1" applyAlignment="1">
      <alignment horizontal="right"/>
    </xf>
    <xf numFmtId="0" fontId="51" fillId="0" borderId="0" xfId="27" applyFont="1" applyFill="1" applyAlignment="1">
      <alignment horizontal="right"/>
    </xf>
    <xf numFmtId="0" fontId="52" fillId="0" borderId="0" xfId="27" applyFont="1" applyFill="1" applyAlignment="1">
      <alignment horizontal="right"/>
    </xf>
    <xf numFmtId="0" fontId="50" fillId="0" borderId="20" xfId="27" applyFont="1" applyFill="1" applyBorder="1" applyAlignment="1">
      <alignment horizontal="right"/>
    </xf>
    <xf numFmtId="0" fontId="53" fillId="0" borderId="0" xfId="27" applyFont="1" applyFill="1"/>
    <xf numFmtId="10" fontId="53" fillId="0" borderId="0" xfId="27" applyNumberFormat="1" applyFont="1" applyFill="1"/>
    <xf numFmtId="10" fontId="53" fillId="0" borderId="20" xfId="27" applyNumberFormat="1" applyFont="1" applyFill="1" applyBorder="1"/>
    <xf numFmtId="9" fontId="54" fillId="0" borderId="0" xfId="27" applyNumberFormat="1" applyFont="1" applyFill="1"/>
    <xf numFmtId="0" fontId="49" fillId="0" borderId="0" xfId="27" applyFont="1" applyFill="1" applyAlignment="1">
      <alignment horizontal="center"/>
    </xf>
    <xf numFmtId="3" fontId="50" fillId="0" borderId="0" xfId="51" applyNumberFormat="1" applyFont="1" applyFill="1" applyAlignment="1">
      <alignment horizontal="center"/>
    </xf>
    <xf numFmtId="3" fontId="50" fillId="0" borderId="20" xfId="51" applyNumberFormat="1" applyFont="1" applyFill="1" applyBorder="1" applyAlignment="1">
      <alignment horizontal="center"/>
    </xf>
    <xf numFmtId="3" fontId="18" fillId="0" borderId="0" xfId="51" applyNumberFormat="1" applyFont="1" applyFill="1" applyAlignment="1">
      <alignment horizontal="center"/>
    </xf>
    <xf numFmtId="3" fontId="16" fillId="24" borderId="1" xfId="27" applyNumberFormat="1" applyFont="1" applyFill="1" applyBorder="1" applyAlignment="1">
      <alignment horizontal="center" vertical="center"/>
    </xf>
    <xf numFmtId="3" fontId="48" fillId="24" borderId="1" xfId="27" applyNumberFormat="1" applyFont="1" applyFill="1" applyBorder="1" applyAlignment="1">
      <alignment horizontal="center" vertical="center"/>
    </xf>
    <xf numFmtId="2" fontId="10" fillId="24" borderId="1" xfId="27" applyNumberFormat="1" applyFont="1" applyFill="1" applyBorder="1" applyAlignment="1">
      <alignment horizontal="center" vertical="center"/>
    </xf>
    <xf numFmtId="3" fontId="47" fillId="24" borderId="1" xfId="27" applyNumberFormat="1" applyFont="1" applyFill="1" applyBorder="1" applyAlignment="1">
      <alignment horizontal="center" vertical="center"/>
    </xf>
    <xf numFmtId="4" fontId="16" fillId="24" borderId="1" xfId="27" applyNumberFormat="1" applyFont="1" applyFill="1" applyBorder="1" applyAlignment="1">
      <alignment horizontal="center" vertical="center"/>
    </xf>
    <xf numFmtId="4" fontId="47" fillId="24" borderId="1" xfId="27" applyNumberFormat="1" applyFont="1" applyFill="1" applyBorder="1" applyAlignment="1">
      <alignment horizontal="center" vertical="center"/>
    </xf>
    <xf numFmtId="2" fontId="17" fillId="24" borderId="1" xfId="27" applyNumberFormat="1" applyFont="1" applyFill="1" applyBorder="1" applyAlignment="1">
      <alignment horizontal="center" vertical="center"/>
    </xf>
    <xf numFmtId="1" fontId="10" fillId="24" borderId="1" xfId="27" applyNumberFormat="1" applyFont="1" applyFill="1" applyBorder="1" applyAlignment="1">
      <alignment horizontal="center" vertical="center"/>
    </xf>
    <xf numFmtId="0" fontId="21" fillId="24" borderId="5" xfId="27" applyFont="1" applyFill="1" applyBorder="1" applyAlignment="1">
      <alignment horizontal="center" vertical="center" wrapText="1"/>
    </xf>
    <xf numFmtId="0" fontId="21" fillId="24" borderId="6" xfId="27" applyFont="1" applyFill="1" applyBorder="1" applyAlignment="1">
      <alignment horizontal="center" vertical="center" wrapText="1"/>
    </xf>
    <xf numFmtId="0" fontId="21" fillId="24" borderId="7" xfId="27" applyFont="1" applyFill="1" applyBorder="1" applyAlignment="1">
      <alignment horizontal="center" vertical="center" wrapText="1"/>
    </xf>
    <xf numFmtId="0" fontId="7" fillId="0" borderId="0" xfId="27" applyAlignment="1">
      <alignment horizontal="center"/>
    </xf>
    <xf numFmtId="0" fontId="0" fillId="0" borderId="0" xfId="0" applyAlignment="1">
      <alignment horizontal="center"/>
    </xf>
    <xf numFmtId="10" fontId="7" fillId="0" borderId="0" xfId="1" applyNumberFormat="1" applyFont="1" applyBorder="1" applyAlignment="1" applyProtection="1">
      <alignment horizontal="center"/>
    </xf>
    <xf numFmtId="4" fontId="7" fillId="0" borderId="0" xfId="27" applyNumberFormat="1" applyAlignment="1">
      <alignment horizontal="center"/>
    </xf>
    <xf numFmtId="4" fontId="21" fillId="0" borderId="11" xfId="27" applyNumberFormat="1" applyFont="1" applyBorder="1" applyAlignment="1">
      <alignment horizontal="center" vertical="center" wrapText="1"/>
    </xf>
    <xf numFmtId="4" fontId="21" fillId="0" borderId="12" xfId="27" applyNumberFormat="1" applyFont="1" applyBorder="1" applyAlignment="1">
      <alignment horizontal="center" vertical="center" wrapText="1"/>
    </xf>
    <xf numFmtId="4" fontId="7" fillId="0" borderId="0" xfId="27" applyNumberFormat="1" applyAlignment="1">
      <alignment vertical="center"/>
    </xf>
    <xf numFmtId="0" fontId="7" fillId="0" borderId="0" xfId="27" applyAlignment="1">
      <alignment vertical="center"/>
    </xf>
    <xf numFmtId="0" fontId="36" fillId="18" borderId="1" xfId="25" applyFont="1" applyFill="1" applyBorder="1" applyAlignment="1">
      <alignment horizontal="center" vertical="center"/>
    </xf>
    <xf numFmtId="2" fontId="17" fillId="0" borderId="1" xfId="21" applyNumberFormat="1" applyFont="1" applyFill="1" applyBorder="1" applyAlignment="1" applyProtection="1">
      <alignment horizontal="center" vertical="center" wrapText="1"/>
    </xf>
    <xf numFmtId="2" fontId="17" fillId="0" borderId="1" xfId="35" applyNumberFormat="1" applyFont="1" applyFill="1" applyBorder="1" applyAlignment="1" applyProtection="1">
      <alignment horizontal="center" vertical="center" wrapText="1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 vertical="top" wrapText="1"/>
    </xf>
    <xf numFmtId="0" fontId="16" fillId="0" borderId="3" xfId="36" applyFont="1" applyFill="1" applyBorder="1" applyAlignment="1" applyProtection="1">
      <alignment horizontal="right" vertical="top"/>
    </xf>
    <xf numFmtId="0" fontId="16" fillId="0" borderId="4" xfId="36" applyFont="1" applyFill="1" applyBorder="1" applyAlignment="1" applyProtection="1">
      <alignment horizontal="right" vertical="top"/>
    </xf>
    <xf numFmtId="0" fontId="17" fillId="0" borderId="0" xfId="0" applyFont="1" applyFill="1" applyAlignment="1">
      <alignment horizontal="justify" vertical="top" wrapText="1"/>
    </xf>
    <xf numFmtId="0" fontId="17" fillId="0" borderId="0" xfId="0" applyFont="1" applyFill="1" applyAlignment="1">
      <alignment horizontal="justify" vertical="top" wrapText="1" shrinkToFit="1"/>
    </xf>
    <xf numFmtId="0" fontId="37" fillId="0" borderId="2" xfId="25" applyFont="1" applyFill="1" applyBorder="1" applyAlignment="1">
      <alignment horizontal="center" vertical="center" wrapText="1"/>
    </xf>
    <xf numFmtId="0" fontId="37" fillId="0" borderId="19" xfId="25" applyFont="1" applyFill="1" applyBorder="1" applyAlignment="1">
      <alignment horizontal="center" vertical="center" wrapText="1"/>
    </xf>
    <xf numFmtId="0" fontId="37" fillId="0" borderId="18" xfId="25" applyFont="1" applyFill="1" applyBorder="1" applyAlignment="1">
      <alignment horizontal="center" vertical="center" wrapText="1"/>
    </xf>
    <xf numFmtId="3" fontId="37" fillId="0" borderId="2" xfId="0" applyNumberFormat="1" applyFont="1" applyFill="1" applyBorder="1" applyAlignment="1">
      <alignment horizontal="center" vertical="center"/>
    </xf>
    <xf numFmtId="3" fontId="37" fillId="0" borderId="19" xfId="0" applyNumberFormat="1" applyFont="1" applyFill="1" applyBorder="1" applyAlignment="1">
      <alignment horizontal="center" vertical="center"/>
    </xf>
    <xf numFmtId="3" fontId="37" fillId="0" borderId="18" xfId="0" applyNumberFormat="1" applyFont="1" applyFill="1" applyBorder="1" applyAlignment="1">
      <alignment horizontal="center" vertical="center"/>
    </xf>
    <xf numFmtId="0" fontId="36" fillId="18" borderId="1" xfId="25" applyFont="1" applyFill="1" applyBorder="1" applyAlignment="1">
      <alignment horizontal="center" vertical="center" wrapText="1"/>
    </xf>
    <xf numFmtId="0" fontId="36" fillId="23" borderId="1" xfId="25" applyFont="1" applyFill="1" applyBorder="1" applyAlignment="1">
      <alignment horizontal="left" vertical="top" wrapText="1"/>
    </xf>
    <xf numFmtId="0" fontId="36" fillId="23" borderId="1" xfId="25" applyFont="1" applyFill="1" applyBorder="1" applyAlignment="1">
      <alignment horizontal="left" vertical="center" wrapText="1"/>
    </xf>
    <xf numFmtId="49" fontId="36" fillId="23" borderId="1" xfId="25" applyNumberFormat="1" applyFont="1" applyFill="1" applyBorder="1" applyAlignment="1">
      <alignment horizontal="left" vertical="top" wrapText="1"/>
    </xf>
    <xf numFmtId="0" fontId="36" fillId="23" borderId="1" xfId="0" applyFont="1" applyFill="1" applyBorder="1" applyAlignment="1">
      <alignment horizontal="left" vertical="top" wrapText="1"/>
    </xf>
    <xf numFmtId="0" fontId="36" fillId="25" borderId="3" xfId="25" applyFont="1" applyFill="1" applyBorder="1" applyAlignment="1">
      <alignment horizontal="left" vertical="center" wrapText="1"/>
    </xf>
    <xf numFmtId="0" fontId="36" fillId="25" borderId="4" xfId="25" applyFont="1" applyFill="1" applyBorder="1" applyAlignment="1">
      <alignment horizontal="left" vertical="center" wrapText="1"/>
    </xf>
    <xf numFmtId="0" fontId="16" fillId="24" borderId="1" xfId="27" applyFont="1" applyFill="1" applyBorder="1" applyAlignment="1">
      <alignment horizontal="center" vertical="center" wrapText="1"/>
    </xf>
    <xf numFmtId="168" fontId="16" fillId="24" borderId="1" xfId="27" applyNumberFormat="1" applyFont="1" applyFill="1" applyBorder="1" applyAlignment="1">
      <alignment horizontal="center" vertical="center" wrapText="1"/>
    </xf>
    <xf numFmtId="0" fontId="18" fillId="24" borderId="1" xfId="27" applyFont="1" applyFill="1" applyBorder="1" applyAlignment="1">
      <alignment horizontal="center" vertical="center"/>
    </xf>
    <xf numFmtId="0" fontId="18" fillId="19" borderId="3" xfId="27" applyFont="1" applyFill="1" applyBorder="1" applyAlignment="1">
      <alignment horizontal="left" vertical="center" wrapText="1"/>
    </xf>
    <xf numFmtId="0" fontId="18" fillId="19" borderId="4" xfId="27" applyFont="1" applyFill="1" applyBorder="1" applyAlignment="1">
      <alignment horizontal="left" vertical="center" wrapText="1"/>
    </xf>
    <xf numFmtId="0" fontId="16" fillId="24" borderId="3" xfId="27" applyFont="1" applyFill="1" applyBorder="1" applyAlignment="1">
      <alignment horizontal="center" vertical="center" wrapText="1"/>
    </xf>
    <xf numFmtId="0" fontId="16" fillId="24" borderId="21" xfId="27" applyFont="1" applyFill="1" applyBorder="1" applyAlignment="1">
      <alignment horizontal="center" vertical="center" wrapText="1"/>
    </xf>
    <xf numFmtId="0" fontId="16" fillId="24" borderId="4" xfId="27" applyFont="1" applyFill="1" applyBorder="1" applyAlignment="1">
      <alignment horizontal="center" vertical="center" wrapText="1"/>
    </xf>
    <xf numFmtId="0" fontId="55" fillId="0" borderId="0" xfId="27" applyFont="1" applyAlignment="1">
      <alignment horizontal="center" vertical="center" wrapText="1"/>
    </xf>
    <xf numFmtId="4" fontId="22" fillId="0" borderId="0" xfId="27" applyNumberFormat="1" applyFont="1" applyAlignment="1">
      <alignment horizontal="left" wrapText="1"/>
    </xf>
    <xf numFmtId="0" fontId="21" fillId="0" borderId="10" xfId="27" applyFont="1" applyBorder="1" applyAlignment="1">
      <alignment horizontal="right" vertical="center"/>
    </xf>
    <xf numFmtId="0" fontId="21" fillId="0" borderId="11" xfId="27" applyFont="1" applyBorder="1" applyAlignment="1">
      <alignment horizontal="right" vertical="center"/>
    </xf>
    <xf numFmtId="0" fontId="24" fillId="0" borderId="13" xfId="27" applyFont="1" applyBorder="1" applyAlignment="1">
      <alignment horizontal="center" vertical="top" wrapText="1"/>
    </xf>
  </cellXfs>
  <cellStyles count="59">
    <cellStyle name="20% - Акцент1" xfId="2" xr:uid="{00000000-0005-0000-0000-000000000000}"/>
    <cellStyle name="20% - Акцент2" xfId="3" xr:uid="{00000000-0005-0000-0000-000001000000}"/>
    <cellStyle name="20% - Акцент3" xfId="4" xr:uid="{00000000-0005-0000-0000-000002000000}"/>
    <cellStyle name="20% - Акцент4" xfId="5" xr:uid="{00000000-0005-0000-0000-000003000000}"/>
    <cellStyle name="20% - Акцент5" xfId="6" xr:uid="{00000000-0005-0000-0000-000004000000}"/>
    <cellStyle name="20% - Акцент6" xfId="7" xr:uid="{00000000-0005-0000-0000-000005000000}"/>
    <cellStyle name="40% - Акцент1" xfId="8" xr:uid="{00000000-0005-0000-0000-000006000000}"/>
    <cellStyle name="40% - Акцент2" xfId="9" xr:uid="{00000000-0005-0000-0000-000007000000}"/>
    <cellStyle name="40% - Акцент3" xfId="10" xr:uid="{00000000-0005-0000-0000-000008000000}"/>
    <cellStyle name="40% - Акцент4" xfId="11" xr:uid="{00000000-0005-0000-0000-000009000000}"/>
    <cellStyle name="40% - Акцент5" xfId="12" xr:uid="{00000000-0005-0000-0000-00000A000000}"/>
    <cellStyle name="40% - Акцент6" xfId="13" xr:uid="{00000000-0005-0000-0000-00000B000000}"/>
    <cellStyle name="60% - Акцент1" xfId="14" xr:uid="{00000000-0005-0000-0000-00000C000000}"/>
    <cellStyle name="60% - Акцент2" xfId="15" xr:uid="{00000000-0005-0000-0000-00000D000000}"/>
    <cellStyle name="60% - Акцент3" xfId="16" xr:uid="{00000000-0005-0000-0000-00000E000000}"/>
    <cellStyle name="60% - Акцент4" xfId="17" xr:uid="{00000000-0005-0000-0000-00000F000000}"/>
    <cellStyle name="60% - Акцент5" xfId="18" xr:uid="{00000000-0005-0000-0000-000010000000}"/>
    <cellStyle name="60% - Акцент6" xfId="19" xr:uid="{00000000-0005-0000-0000-000011000000}"/>
    <cellStyle name="Excel Built-in 40% - Accent1" xfId="36" xr:uid="{00000000-0005-0000-0000-000012000000}"/>
    <cellStyle name="Денежный 2" xfId="20" xr:uid="{00000000-0005-0000-0000-000013000000}"/>
    <cellStyle name="Денежный 3" xfId="55" xr:uid="{00000000-0005-0000-0000-000014000000}"/>
    <cellStyle name="Нейтральный 2" xfId="21" xr:uid="{00000000-0005-0000-0000-000015000000}"/>
    <cellStyle name="Нейтральный 3" xfId="42" xr:uid="{00000000-0005-0000-0000-000016000000}"/>
    <cellStyle name="Обычный" xfId="0" builtinId="0"/>
    <cellStyle name="Обычный 2" xfId="22" xr:uid="{00000000-0005-0000-0000-000018000000}"/>
    <cellStyle name="Обычный 2 2" xfId="23" xr:uid="{00000000-0005-0000-0000-000019000000}"/>
    <cellStyle name="Обычный 2 3" xfId="45" xr:uid="{00000000-0005-0000-0000-00001A000000}"/>
    <cellStyle name="Обычный 2 4" xfId="52" xr:uid="{00000000-0005-0000-0000-00001B000000}"/>
    <cellStyle name="Обычный 2 5" xfId="56" xr:uid="{00000000-0005-0000-0000-00001C000000}"/>
    <cellStyle name="Обычный 3" xfId="24" xr:uid="{00000000-0005-0000-0000-00001D000000}"/>
    <cellStyle name="Обычный 3 2" xfId="25" xr:uid="{00000000-0005-0000-0000-00001E000000}"/>
    <cellStyle name="Обычный 3 2 2" xfId="49" xr:uid="{00000000-0005-0000-0000-00001F000000}"/>
    <cellStyle name="Обычный 3 2 2 2" xfId="53" xr:uid="{00000000-0005-0000-0000-000020000000}"/>
    <cellStyle name="Обычный 3 3" xfId="26" xr:uid="{00000000-0005-0000-0000-000021000000}"/>
    <cellStyle name="Обычный 3 3 2" xfId="48" xr:uid="{00000000-0005-0000-0000-000022000000}"/>
    <cellStyle name="Обычный 3 4" xfId="46" xr:uid="{00000000-0005-0000-0000-000023000000}"/>
    <cellStyle name="Обычный 4" xfId="27" xr:uid="{00000000-0005-0000-0000-000024000000}"/>
    <cellStyle name="Обычный 4 2" xfId="43" xr:uid="{00000000-0005-0000-0000-000025000000}"/>
    <cellStyle name="Обычный 4 2 2" xfId="37" xr:uid="{00000000-0005-0000-0000-000026000000}"/>
    <cellStyle name="Обычный 4 2 2 2" xfId="40" xr:uid="{00000000-0005-0000-0000-000027000000}"/>
    <cellStyle name="Обычный 4 3" xfId="51" xr:uid="{00000000-0005-0000-0000-000028000000}"/>
    <cellStyle name="Обычный 4 4" xfId="39" xr:uid="{00000000-0005-0000-0000-000029000000}"/>
    <cellStyle name="Обычный 5" xfId="28" xr:uid="{00000000-0005-0000-0000-00002A000000}"/>
    <cellStyle name="Обычный 5 2" xfId="50" xr:uid="{00000000-0005-0000-0000-00002B000000}"/>
    <cellStyle name="Обычный 6" xfId="41" xr:uid="{00000000-0005-0000-0000-00002C000000}"/>
    <cellStyle name="Обычный 7" xfId="57" xr:uid="{00000000-0005-0000-0000-00002D000000}"/>
    <cellStyle name="Обычный 8" xfId="29" xr:uid="{00000000-0005-0000-0000-00002E000000}"/>
    <cellStyle name="Обычный 9" xfId="38" xr:uid="{00000000-0005-0000-0000-00002F000000}"/>
    <cellStyle name="Плохой 2" xfId="30" xr:uid="{00000000-0005-0000-0000-000030000000}"/>
    <cellStyle name="Процентный" xfId="1" builtinId="5"/>
    <cellStyle name="Процентный 2" xfId="31" xr:uid="{00000000-0005-0000-0000-000032000000}"/>
    <cellStyle name="Процентный 3" xfId="32" xr:uid="{00000000-0005-0000-0000-000033000000}"/>
    <cellStyle name="Процентный 4" xfId="44" xr:uid="{00000000-0005-0000-0000-000034000000}"/>
    <cellStyle name="Финансовый 2" xfId="54" xr:uid="{00000000-0005-0000-0000-000036000000}"/>
    <cellStyle name="Финансовый 3" xfId="33" xr:uid="{00000000-0005-0000-0000-000037000000}"/>
    <cellStyle name="Финансовый 4" xfId="58" xr:uid="{00000000-0005-0000-0000-000038000000}"/>
    <cellStyle name="Хороший 2" xfId="34" xr:uid="{00000000-0005-0000-0000-000039000000}"/>
    <cellStyle name="Хороший 2 2" xfId="47" xr:uid="{00000000-0005-0000-0000-00003A000000}"/>
    <cellStyle name="Хороший 3" xfId="35" xr:uid="{00000000-0005-0000-0000-00003B000000}"/>
  </cellStyles>
  <dxfs count="33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auto="1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auto="1"/>
      </font>
      <fill>
        <patternFill patternType="none">
          <bgColor auto="1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9C6500"/>
      <rgbColor rgb="FF800080"/>
      <rgbColor rgb="FF008080"/>
      <rgbColor rgb="FFC0C0C0"/>
      <rgbColor rgb="FFEFF6EA"/>
      <rgbColor rgb="FF9DC3E6"/>
      <rgbColor rgb="FF993366"/>
      <rgbColor rgb="FFFFFFCC"/>
      <rgbColor rgb="FFCCFFFF"/>
      <rgbColor rgb="FF660066"/>
      <rgbColor rgb="FFFF66CC"/>
      <rgbColor rgb="FF0066CC"/>
      <rgbColor rgb="FFCCCCFF"/>
      <rgbColor rgb="FF000080"/>
      <rgbColor rgb="FFFF00FF"/>
      <rgbColor rgb="FFFFEB9C"/>
      <rgbColor rgb="FF00FFFF"/>
      <rgbColor rgb="FF800080"/>
      <rgbColor rgb="FFC00000"/>
      <rgbColor rgb="FF008080"/>
      <rgbColor rgb="FF0000FF"/>
      <rgbColor rgb="FF00CCFF"/>
      <rgbColor rgb="FFC6EFCE"/>
      <rgbColor rgb="FFCCFFCC"/>
      <rgbColor rgb="FFFFFF99"/>
      <rgbColor rgb="FF99CCFF"/>
      <rgbColor rgb="FFFFC7CE"/>
      <rgbColor rgb="FFBDD7EE"/>
      <rgbColor rgb="FFFFCC99"/>
      <rgbColor rgb="FF3366FF"/>
      <rgbColor rgb="FF33CCCC"/>
      <rgbColor rgb="FFD9D9D9"/>
      <rgbColor rgb="FFFFF2CC"/>
      <rgbColor rgb="FFE2F0D9"/>
      <rgbColor rgb="FFFF6600"/>
      <rgbColor rgb="FF666699"/>
      <rgbColor rgb="FFC5E0B4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00"/>
      <color rgb="FF3399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31</xdr:col>
      <xdr:colOff>127001</xdr:colOff>
      <xdr:row>1</xdr:row>
      <xdr:rowOff>349251</xdr:rowOff>
    </xdr:from>
    <xdr:ext cx="524646" cy="40992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 descr=" +[@$7o&amp;!$3&gt;]">
              <a:extLst>
                <a:ext uri="{FF2B5EF4-FFF2-40B4-BE49-F238E27FC236}">
                  <a16:creationId xmlns:a16="http://schemas.microsoft.com/office/drawing/2014/main" id="{CD65346F-B23A-4354-A88B-596AF8B47FEF}"/>
                </a:ext>
              </a:extLst>
            </xdr:cNvPr>
            <xdr:cNvSpPr txBox="1"/>
          </xdr:nvSpPr>
          <xdr:spPr>
            <a:xfrm>
              <a:off x="18129251" y="846668"/>
              <a:ext cx="524646" cy="4099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nary>
                      <m:naryPr>
                        <m:chr m:val="∏"/>
                        <m:subHide m:val="on"/>
                        <m:supHide m:val="on"/>
                        <m:ctrlPr>
                          <a:rPr lang="ru-RU" sz="1100" i="1">
                            <a:latin typeface="Cambria Math" panose="02040503050406030204" pitchFamily="18" charset="0"/>
                          </a:rPr>
                        </m:ctrlPr>
                      </m:naryPr>
                      <m:sub/>
                      <m:sup/>
                      <m:e>
                        <m:sSub>
                          <m:sSubPr>
                            <m:ctrlPr>
                              <a:rPr lang="ru-RU" sz="110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ru-RU" sz="1100" b="0" i="1">
                                <a:latin typeface="Cambria Math" panose="02040503050406030204" pitchFamily="18" charset="0"/>
                              </a:rPr>
                              <m:t>МТ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𝑖</m:t>
                            </m:r>
                          </m:sub>
                        </m:sSub>
                      </m:e>
                    </m:nary>
                  </m:oMath>
                </m:oMathPara>
              </a14:m>
              <a:endParaRPr lang="ru-RU" sz="1100"/>
            </a:p>
          </xdr:txBody>
        </xdr:sp>
      </mc:Choice>
      <mc:Fallback xmlns="">
        <xdr:sp macro="" textlink="">
          <xdr:nvSpPr>
            <xdr:cNvPr id="3" name="TextBox 2" descr=" +[@$7o&amp;!$3&gt;]">
              <a:extLst>
                <a:ext uri="{FF2B5EF4-FFF2-40B4-BE49-F238E27FC236}">
                  <a16:creationId xmlns:a16="http://schemas.microsoft.com/office/drawing/2014/main" id="{CD65346F-B23A-4354-A88B-596AF8B47FEF}"/>
                </a:ext>
              </a:extLst>
            </xdr:cNvPr>
            <xdr:cNvSpPr txBox="1"/>
          </xdr:nvSpPr>
          <xdr:spPr>
            <a:xfrm>
              <a:off x="18129251" y="846668"/>
              <a:ext cx="524646" cy="4099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ru-RU" sz="1100" i="0">
                  <a:latin typeface="Cambria Math" panose="02040503050406030204" pitchFamily="18" charset="0"/>
                </a:rPr>
                <a:t>∏</a:t>
              </a:r>
              <a:r>
                <a:rPr lang="en-US" sz="1100" b="0" i="0">
                  <a:latin typeface="Cambria Math" panose="02040503050406030204" pitchFamily="18" charset="0"/>
                </a:rPr>
                <a:t>▒</a:t>
              </a:r>
              <a:r>
                <a:rPr lang="ru-RU" sz="1100" b="0" i="0">
                  <a:latin typeface="Cambria Math" panose="02040503050406030204" pitchFamily="18" charset="0"/>
                </a:rPr>
                <a:t>〖МТ〗_</a:t>
              </a:r>
              <a:r>
                <a:rPr lang="en-US" sz="1100" b="0" i="0">
                  <a:latin typeface="Cambria Math" panose="02040503050406030204" pitchFamily="18" charset="0"/>
                </a:rPr>
                <a:t>𝑖 </a:t>
              </a:r>
              <a:endParaRPr lang="ru-RU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zoomScaleNormal="100" workbookViewId="0">
      <selection activeCell="A18" sqref="A18:K18"/>
    </sheetView>
  </sheetViews>
  <sheetFormatPr defaultColWidth="8.5703125" defaultRowHeight="14.25" x14ac:dyDescent="0.2"/>
  <cols>
    <col min="1" max="10" width="8.5703125" style="124"/>
    <col min="11" max="11" width="10.5703125" style="124" customWidth="1"/>
    <col min="12" max="16384" width="8.5703125" style="124"/>
  </cols>
  <sheetData>
    <row r="1" spans="1:12" ht="15" x14ac:dyDescent="0.25">
      <c r="A1" s="123"/>
      <c r="B1" s="123"/>
      <c r="C1" s="123"/>
      <c r="D1" s="123"/>
      <c r="E1" s="123"/>
      <c r="F1" s="123"/>
      <c r="G1" s="123"/>
      <c r="H1" s="123"/>
      <c r="I1" s="123" t="s">
        <v>0</v>
      </c>
      <c r="J1" s="123"/>
      <c r="K1" s="123"/>
      <c r="L1" s="123"/>
    </row>
    <row r="2" spans="1:12" ht="15" x14ac:dyDescent="0.25">
      <c r="A2" s="123"/>
      <c r="B2" s="123"/>
      <c r="C2" s="123"/>
      <c r="D2" s="123"/>
      <c r="E2" s="123"/>
      <c r="F2" s="123"/>
      <c r="G2" s="123"/>
      <c r="H2" s="123"/>
      <c r="I2" s="123" t="s">
        <v>108</v>
      </c>
      <c r="J2" s="123"/>
      <c r="K2" s="123"/>
      <c r="L2" s="123"/>
    </row>
    <row r="3" spans="1:12" ht="15" x14ac:dyDescent="0.25">
      <c r="A3" s="123"/>
      <c r="B3" s="123"/>
      <c r="C3" s="123"/>
      <c r="D3" s="123"/>
      <c r="E3" s="123"/>
      <c r="F3" s="123"/>
      <c r="G3" s="123"/>
      <c r="H3" s="123"/>
      <c r="I3" s="123" t="s">
        <v>109</v>
      </c>
      <c r="J3" s="123"/>
      <c r="K3" s="123"/>
      <c r="L3" s="123"/>
    </row>
    <row r="4" spans="1:12" ht="15" x14ac:dyDescent="0.25">
      <c r="A4" s="123"/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</row>
    <row r="5" spans="1:12" ht="15" x14ac:dyDescent="0.25">
      <c r="A5" s="123"/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</row>
    <row r="6" spans="1:12" ht="15" x14ac:dyDescent="0.25">
      <c r="A6" s="123"/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3"/>
    </row>
    <row r="7" spans="1:12" ht="15" x14ac:dyDescent="0.25">
      <c r="A7" s="123"/>
      <c r="B7" s="123"/>
      <c r="C7" s="123"/>
      <c r="D7" s="123"/>
      <c r="E7" s="123"/>
      <c r="F7" s="123"/>
      <c r="G7" s="123"/>
      <c r="H7" s="123"/>
      <c r="I7" s="123"/>
      <c r="J7" s="123"/>
      <c r="K7" s="123"/>
      <c r="L7" s="123"/>
    </row>
    <row r="8" spans="1:12" ht="15" x14ac:dyDescent="0.25">
      <c r="A8" s="123"/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3"/>
    </row>
    <row r="9" spans="1:12" ht="15" x14ac:dyDescent="0.25">
      <c r="A9" s="123"/>
      <c r="B9" s="123"/>
      <c r="C9" s="123"/>
      <c r="D9" s="123"/>
      <c r="E9" s="123"/>
      <c r="F9" s="123"/>
      <c r="G9" s="123"/>
      <c r="H9" s="123"/>
      <c r="I9" s="123"/>
      <c r="J9" s="123"/>
      <c r="K9" s="123"/>
      <c r="L9" s="123"/>
    </row>
    <row r="10" spans="1:12" ht="15" x14ac:dyDescent="0.25">
      <c r="A10" s="123"/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</row>
    <row r="11" spans="1:12" ht="15" x14ac:dyDescent="0.25">
      <c r="A11" s="123"/>
      <c r="B11" s="123"/>
      <c r="C11" s="123"/>
      <c r="D11" s="123"/>
      <c r="E11" s="123"/>
      <c r="F11" s="123"/>
      <c r="G11" s="123"/>
      <c r="H11" s="123"/>
      <c r="I11" s="123"/>
      <c r="J11" s="123"/>
      <c r="K11" s="123"/>
      <c r="L11" s="123"/>
    </row>
    <row r="12" spans="1:12" ht="15" x14ac:dyDescent="0.25">
      <c r="A12" s="123"/>
      <c r="B12" s="123"/>
      <c r="C12" s="123"/>
      <c r="D12" s="123"/>
      <c r="E12" s="123"/>
      <c r="F12" s="123"/>
      <c r="G12" s="123"/>
      <c r="H12" s="123"/>
      <c r="I12" s="123"/>
      <c r="J12" s="123"/>
      <c r="K12" s="123"/>
      <c r="L12" s="123"/>
    </row>
    <row r="13" spans="1:12" ht="15" x14ac:dyDescent="0.25">
      <c r="A13" s="123"/>
      <c r="B13" s="123"/>
      <c r="C13" s="123"/>
      <c r="D13" s="123"/>
      <c r="E13" s="123"/>
      <c r="F13" s="123"/>
      <c r="G13" s="123"/>
      <c r="H13" s="123"/>
      <c r="I13" s="123"/>
      <c r="J13" s="123"/>
      <c r="K13" s="123"/>
      <c r="L13" s="123"/>
    </row>
    <row r="14" spans="1:12" ht="15" x14ac:dyDescent="0.25">
      <c r="A14" s="123"/>
      <c r="B14" s="123"/>
      <c r="C14" s="123"/>
      <c r="D14" s="123"/>
      <c r="E14" s="123"/>
      <c r="F14" s="123"/>
      <c r="G14" s="123"/>
      <c r="H14" s="123"/>
      <c r="I14" s="123"/>
      <c r="J14" s="123"/>
      <c r="K14" s="123"/>
      <c r="L14" s="123"/>
    </row>
    <row r="15" spans="1:12" ht="15" x14ac:dyDescent="0.25">
      <c r="A15" s="123"/>
      <c r="B15" s="123"/>
      <c r="C15" s="123"/>
      <c r="D15" s="123"/>
      <c r="E15" s="123"/>
      <c r="F15" s="123"/>
      <c r="G15" s="123"/>
      <c r="H15" s="123"/>
      <c r="I15" s="123"/>
      <c r="J15" s="123"/>
      <c r="K15" s="123"/>
      <c r="L15" s="123"/>
    </row>
    <row r="16" spans="1:12" ht="15" x14ac:dyDescent="0.25">
      <c r="A16" s="123"/>
      <c r="B16" s="123"/>
      <c r="C16" s="123"/>
      <c r="D16" s="123"/>
      <c r="E16" s="123"/>
      <c r="F16" s="123"/>
      <c r="G16" s="123"/>
      <c r="H16" s="123"/>
      <c r="I16" s="123"/>
      <c r="J16" s="123"/>
      <c r="K16" s="123"/>
      <c r="L16" s="123"/>
    </row>
    <row r="17" spans="1:12" ht="15" x14ac:dyDescent="0.25">
      <c r="A17" s="123"/>
      <c r="B17" s="123"/>
      <c r="C17" s="123"/>
      <c r="D17" s="123"/>
      <c r="E17" s="123"/>
      <c r="F17" s="123"/>
      <c r="G17" s="123"/>
      <c r="H17" s="123"/>
      <c r="I17" s="123"/>
      <c r="J17" s="123"/>
      <c r="K17" s="123"/>
      <c r="L17" s="123"/>
    </row>
    <row r="18" spans="1:12" ht="15" x14ac:dyDescent="0.25">
      <c r="A18" s="212" t="s">
        <v>110</v>
      </c>
      <c r="B18" s="212"/>
      <c r="C18" s="212"/>
      <c r="D18" s="212"/>
      <c r="E18" s="212"/>
      <c r="F18" s="212"/>
      <c r="G18" s="212"/>
      <c r="H18" s="212"/>
      <c r="I18" s="212"/>
      <c r="J18" s="212"/>
      <c r="K18" s="212"/>
      <c r="L18" s="123"/>
    </row>
    <row r="19" spans="1:12" ht="18" customHeight="1" x14ac:dyDescent="0.25">
      <c r="A19" s="213" t="s">
        <v>395</v>
      </c>
      <c r="B19" s="213"/>
      <c r="C19" s="213"/>
      <c r="D19" s="213"/>
      <c r="E19" s="213"/>
      <c r="F19" s="213"/>
      <c r="G19" s="213"/>
      <c r="H19" s="213"/>
      <c r="I19" s="213"/>
      <c r="J19" s="213"/>
      <c r="K19" s="213"/>
      <c r="L19" s="123"/>
    </row>
    <row r="20" spans="1:12" ht="31.5" customHeight="1" x14ac:dyDescent="0.25">
      <c r="A20" s="213"/>
      <c r="B20" s="213"/>
      <c r="C20" s="213"/>
      <c r="D20" s="213"/>
      <c r="E20" s="213"/>
      <c r="F20" s="213"/>
      <c r="G20" s="213"/>
      <c r="H20" s="213"/>
      <c r="I20" s="213"/>
      <c r="J20" s="213"/>
      <c r="K20" s="213"/>
      <c r="L20" s="123"/>
    </row>
  </sheetData>
  <mergeCells count="2">
    <mergeCell ref="A18:K18"/>
    <mergeCell ref="A19:K20"/>
  </mergeCells>
  <pageMargins left="0.7" right="0.7" top="0.75" bottom="0.75" header="0.511811023622047" footer="0.511811023622047"/>
  <pageSetup paperSize="9" orientation="portrait" horizontalDpi="300" verticalDpi="300" r:id="rId1"/>
  <customProperties>
    <customPr name="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59999389629810485"/>
  </sheetPr>
  <dimension ref="B1:E13"/>
  <sheetViews>
    <sheetView zoomScaleNormal="100" workbookViewId="0">
      <selection activeCell="B1" sqref="B1"/>
    </sheetView>
  </sheetViews>
  <sheetFormatPr defaultColWidth="8.5703125" defaultRowHeight="12.75" x14ac:dyDescent="0.2"/>
  <cols>
    <col min="1" max="1" width="4.28515625" style="134" customWidth="1"/>
    <col min="2" max="2" width="38.5703125" style="125" customWidth="1"/>
    <col min="3" max="3" width="21.140625" style="125" customWidth="1"/>
    <col min="4" max="4" width="27.5703125" style="125" customWidth="1"/>
    <col min="5" max="5" width="18.85546875" style="125" customWidth="1"/>
    <col min="6" max="16384" width="8.5703125" style="134"/>
  </cols>
  <sheetData>
    <row r="1" spans="2:5" s="125" customFormat="1" ht="58.5" customHeight="1" x14ac:dyDescent="0.2">
      <c r="B1" s="135" t="s">
        <v>2</v>
      </c>
      <c r="C1" s="136" t="s">
        <v>401</v>
      </c>
      <c r="D1" s="137" t="s">
        <v>399</v>
      </c>
      <c r="E1" s="135" t="s">
        <v>269</v>
      </c>
    </row>
    <row r="2" spans="2:5" s="125" customFormat="1" ht="17.25" customHeight="1" x14ac:dyDescent="0.2">
      <c r="B2" s="138" t="s">
        <v>396</v>
      </c>
      <c r="C2" s="126">
        <f>'2.6.Расчет развития'!E13</f>
        <v>85765167.980000004</v>
      </c>
      <c r="D2" s="127">
        <v>84999944.700000003</v>
      </c>
      <c r="E2" s="128">
        <f>D2*100/D2</f>
        <v>100</v>
      </c>
    </row>
    <row r="3" spans="2:5" s="125" customFormat="1" x14ac:dyDescent="0.2">
      <c r="B3" s="129" t="s">
        <v>397</v>
      </c>
      <c r="C3" s="130">
        <f>ROUND(ROUND(('2.6.Расчет развития'!E13/'2.6.Расчет развития'!C9)*SUM('2.5.Трудоемкость'!AG5:AG8),2)*1,2)</f>
        <v>28588389.329999998</v>
      </c>
      <c r="D3" s="131">
        <f>ROUND(D2/'2.6.Расчет развития'!C9*SUM('2.5.Трудоемкость'!AG5:AG8)*1,2)</f>
        <v>28333314.899999999</v>
      </c>
      <c r="E3" s="128">
        <f>ROUND(D3*100/D2,2)</f>
        <v>33.33</v>
      </c>
    </row>
    <row r="4" spans="2:5" s="125" customFormat="1" ht="16.149999999999999" customHeight="1" x14ac:dyDescent="0.2">
      <c r="B4" s="132" t="s">
        <v>398</v>
      </c>
      <c r="C4" s="130">
        <f>ROUND(ROUND(('2.6.Расчет развития'!E13/'2.6.Расчет развития'!C9)*SUM('2.5.Трудоемкость'!AG9),2)*1,2)</f>
        <v>57176778.649999999</v>
      </c>
      <c r="D4" s="131">
        <f>ROUND(D2/'2.6.Расчет развития'!C9*SUM('2.5.Трудоемкость'!AG9)*1,2)</f>
        <v>56666629.799999997</v>
      </c>
      <c r="E4" s="128">
        <f>ROUND(D4*100/D2,2)</f>
        <v>66.67</v>
      </c>
    </row>
    <row r="5" spans="2:5" s="125" customFormat="1" x14ac:dyDescent="0.2">
      <c r="D5" s="133"/>
    </row>
    <row r="9" spans="2:5" x14ac:dyDescent="0.2">
      <c r="C9" s="133"/>
    </row>
    <row r="10" spans="2:5" x14ac:dyDescent="0.2">
      <c r="C10" s="133"/>
    </row>
    <row r="11" spans="2:5" x14ac:dyDescent="0.2">
      <c r="C11" s="133"/>
    </row>
    <row r="12" spans="2:5" x14ac:dyDescent="0.2">
      <c r="C12" s="133"/>
    </row>
    <row r="13" spans="2:5" x14ac:dyDescent="0.2">
      <c r="C13" s="133"/>
    </row>
  </sheetData>
  <pageMargins left="0.7" right="0.7" top="0.75" bottom="0.75" header="0.511811023622047" footer="0.511811023622047"/>
  <pageSetup paperSize="9" orientation="portrait" horizontalDpi="300" verticalDpi="300" r:id="rId1"/>
  <customProperties>
    <customPr name="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59999389629810485"/>
  </sheetPr>
  <dimension ref="B1:G16"/>
  <sheetViews>
    <sheetView tabSelected="1" zoomScaleNormal="100" workbookViewId="0">
      <selection activeCell="B2" sqref="B2"/>
    </sheetView>
  </sheetViews>
  <sheetFormatPr defaultColWidth="8.5703125" defaultRowHeight="12.75" x14ac:dyDescent="0.2"/>
  <cols>
    <col min="1" max="1" width="3.7109375" customWidth="1"/>
    <col min="2" max="2" width="5.28515625" customWidth="1"/>
    <col min="3" max="3" width="46" customWidth="1"/>
    <col min="4" max="4" width="26.28515625" customWidth="1"/>
    <col min="5" max="5" width="27.28515625" customWidth="1"/>
    <col min="6" max="6" width="19.42578125" customWidth="1"/>
    <col min="7" max="7" width="0.140625" customWidth="1"/>
    <col min="9" max="9" width="10.5703125" bestFit="1" customWidth="1"/>
  </cols>
  <sheetData>
    <row r="1" spans="2:7" x14ac:dyDescent="0.2">
      <c r="B1" s="1"/>
      <c r="C1" s="2"/>
      <c r="D1" s="1"/>
      <c r="E1" s="1"/>
      <c r="F1" s="1"/>
      <c r="G1" s="1"/>
    </row>
    <row r="2" spans="2:7" s="1" customFormat="1" ht="57.75" customHeight="1" x14ac:dyDescent="0.2">
      <c r="B2" s="3" t="s">
        <v>1</v>
      </c>
      <c r="C2" s="4" t="s">
        <v>2</v>
      </c>
      <c r="D2" s="136" t="s">
        <v>401</v>
      </c>
      <c r="E2" s="137" t="s">
        <v>399</v>
      </c>
      <c r="F2" s="3" t="s">
        <v>269</v>
      </c>
    </row>
    <row r="3" spans="2:7" s="1" customFormat="1" ht="56.25" customHeight="1" x14ac:dyDescent="0.2">
      <c r="B3" s="144">
        <v>1</v>
      </c>
      <c r="C3" s="139" t="s">
        <v>188</v>
      </c>
      <c r="D3" s="140">
        <f>'2.6.Расчет развития'!E13</f>
        <v>85765167.980000004</v>
      </c>
      <c r="E3" s="141">
        <f>'2.2 Свод по годам'!D2</f>
        <v>84999944.700000003</v>
      </c>
      <c r="F3" s="141">
        <f>E3*F4/E4</f>
        <v>100</v>
      </c>
    </row>
    <row r="4" spans="2:7" x14ac:dyDescent="0.2">
      <c r="B4" s="214" t="s">
        <v>400</v>
      </c>
      <c r="C4" s="215"/>
      <c r="D4" s="142">
        <f>SUM(D3:D3)</f>
        <v>85765167.980000004</v>
      </c>
      <c r="E4" s="142">
        <f>SUM(E3:E3)</f>
        <v>84999944.700000003</v>
      </c>
      <c r="F4" s="143">
        <v>100</v>
      </c>
      <c r="G4" s="1"/>
    </row>
    <row r="5" spans="2:7" x14ac:dyDescent="0.2">
      <c r="B5" s="1"/>
      <c r="C5" s="2"/>
      <c r="D5" s="1"/>
      <c r="E5" s="1"/>
      <c r="F5" s="1"/>
      <c r="G5" s="1"/>
    </row>
    <row r="6" spans="2:7" ht="42.75" customHeight="1" x14ac:dyDescent="0.2">
      <c r="B6" s="216" t="s">
        <v>402</v>
      </c>
      <c r="C6" s="216"/>
      <c r="D6" s="216"/>
      <c r="E6" s="216"/>
      <c r="F6" s="216"/>
      <c r="G6" s="216"/>
    </row>
    <row r="7" spans="2:7" ht="12.75" customHeight="1" x14ac:dyDescent="0.2">
      <c r="B7" s="217" t="s">
        <v>403</v>
      </c>
      <c r="C7" s="217"/>
      <c r="D7" s="217"/>
      <c r="E7" s="217"/>
      <c r="F7" s="217"/>
      <c r="G7" s="217"/>
    </row>
    <row r="8" spans="2:7" x14ac:dyDescent="0.2">
      <c r="B8" s="217"/>
      <c r="C8" s="217"/>
      <c r="D8" s="217"/>
      <c r="E8" s="217"/>
      <c r="F8" s="217"/>
      <c r="G8" s="217"/>
    </row>
    <row r="9" spans="2:7" x14ac:dyDescent="0.2">
      <c r="B9" s="217"/>
      <c r="C9" s="217"/>
      <c r="D9" s="217"/>
      <c r="E9" s="217"/>
      <c r="F9" s="217"/>
      <c r="G9" s="217"/>
    </row>
    <row r="10" spans="2:7" ht="16.149999999999999" customHeight="1" x14ac:dyDescent="0.2">
      <c r="B10" s="217"/>
      <c r="C10" s="217"/>
      <c r="D10" s="217"/>
      <c r="E10" s="217"/>
      <c r="F10" s="217"/>
      <c r="G10" s="217"/>
    </row>
    <row r="11" spans="2:7" ht="18" customHeight="1" x14ac:dyDescent="0.2">
      <c r="B11" s="217"/>
      <c r="C11" s="217"/>
      <c r="D11" s="217"/>
      <c r="E11" s="217"/>
      <c r="F11" s="217"/>
      <c r="G11" s="217"/>
    </row>
    <row r="12" spans="2:7" x14ac:dyDescent="0.2">
      <c r="B12" s="1"/>
    </row>
    <row r="13" spans="2:7" x14ac:dyDescent="0.2">
      <c r="B13" s="1"/>
    </row>
    <row r="14" spans="2:7" x14ac:dyDescent="0.2">
      <c r="B14" s="1"/>
    </row>
    <row r="15" spans="2:7" x14ac:dyDescent="0.2">
      <c r="B15" s="1"/>
    </row>
    <row r="16" spans="2:7" x14ac:dyDescent="0.2">
      <c r="B16" s="1"/>
    </row>
  </sheetData>
  <mergeCells count="3">
    <mergeCell ref="B4:C4"/>
    <mergeCell ref="B6:G6"/>
    <mergeCell ref="B7:G11"/>
  </mergeCells>
  <pageMargins left="0.7" right="0.7" top="0.75" bottom="0.75" header="0.511811023622047" footer="0.511811023622047"/>
  <pageSetup paperSize="9" orientation="portrait" horizontalDpi="300" verticalDpi="300" r:id="rId1"/>
  <customProperties>
    <customPr name="Gu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IH229"/>
  <sheetViews>
    <sheetView zoomScale="110" zoomScaleNormal="110" workbookViewId="0">
      <selection activeCell="B3" sqref="B3:B4"/>
    </sheetView>
  </sheetViews>
  <sheetFormatPr defaultColWidth="9.42578125" defaultRowHeight="11.25" x14ac:dyDescent="0.2"/>
  <cols>
    <col min="1" max="1" width="3.5703125" style="55" customWidth="1"/>
    <col min="2" max="2" width="9.42578125" style="42"/>
    <col min="3" max="3" width="67.5703125" style="71" customWidth="1"/>
    <col min="4" max="11" width="5.42578125" style="50" customWidth="1"/>
    <col min="12" max="918" width="9.42578125" style="42"/>
    <col min="919" max="16384" width="9.42578125" style="43"/>
  </cols>
  <sheetData>
    <row r="1" spans="1:918" x14ac:dyDescent="0.2"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</row>
    <row r="2" spans="1:918" x14ac:dyDescent="0.2"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</row>
    <row r="3" spans="1:918" x14ac:dyDescent="0.2">
      <c r="B3" s="224" t="s">
        <v>4</v>
      </c>
      <c r="C3" s="224" t="s">
        <v>5</v>
      </c>
      <c r="D3" s="224" t="s">
        <v>430</v>
      </c>
      <c r="E3" s="224"/>
      <c r="F3" s="224"/>
      <c r="G3" s="224"/>
      <c r="H3" s="224"/>
      <c r="I3" s="224"/>
      <c r="J3" s="224"/>
      <c r="K3" s="224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</row>
    <row r="4" spans="1:918" ht="13.5" x14ac:dyDescent="0.2">
      <c r="B4" s="224"/>
      <c r="C4" s="224"/>
      <c r="D4" s="209" t="s">
        <v>431</v>
      </c>
      <c r="E4" s="209" t="s">
        <v>432</v>
      </c>
      <c r="F4" s="209" t="s">
        <v>433</v>
      </c>
      <c r="G4" s="209" t="s">
        <v>434</v>
      </c>
      <c r="H4" s="209" t="s">
        <v>435</v>
      </c>
      <c r="I4" s="209" t="s">
        <v>436</v>
      </c>
      <c r="J4" s="209" t="s">
        <v>437</v>
      </c>
      <c r="K4" s="209" t="s">
        <v>438</v>
      </c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</row>
    <row r="5" spans="1:918" ht="27" customHeight="1" x14ac:dyDescent="0.2">
      <c r="A5" s="44"/>
      <c r="B5" s="229" t="s">
        <v>188</v>
      </c>
      <c r="C5" s="230"/>
      <c r="D5" s="145">
        <f>D6+D129+D148+D169</f>
        <v>4</v>
      </c>
      <c r="E5" s="145">
        <f>E6+E129+E148+E169</f>
        <v>2</v>
      </c>
      <c r="F5" s="145">
        <f>F6+F129+F148+F169</f>
        <v>0</v>
      </c>
      <c r="G5" s="145">
        <f>G6+G129+G148+G169</f>
        <v>3</v>
      </c>
      <c r="H5" s="145">
        <f>H6+H129+H148+H169</f>
        <v>17</v>
      </c>
      <c r="I5" s="145">
        <f>I6+I129+I148+I169</f>
        <v>3</v>
      </c>
      <c r="J5" s="145">
        <f>J6+J129+J148+J169</f>
        <v>29</v>
      </c>
      <c r="K5" s="145">
        <f>K6+K129+K148+K169</f>
        <v>1</v>
      </c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IF5" s="43"/>
      <c r="AIG5" s="43"/>
      <c r="AIH5" s="43"/>
    </row>
    <row r="6" spans="1:918" s="42" customFormat="1" ht="21" x14ac:dyDescent="0.2">
      <c r="A6" s="45"/>
      <c r="B6" s="70">
        <v>1</v>
      </c>
      <c r="C6" s="72" t="s">
        <v>181</v>
      </c>
      <c r="D6" s="64">
        <f>D8+D17+D24+D35+D100+D112+D117</f>
        <v>2</v>
      </c>
      <c r="E6" s="64">
        <f>E8+E17+E24+E35+E100+E112+E117</f>
        <v>0</v>
      </c>
      <c r="F6" s="64">
        <f>F8+F17+F24+F35+F100+F112+F117</f>
        <v>0</v>
      </c>
      <c r="G6" s="64">
        <f>G8+G17+G24+G35+G100+G112+G117</f>
        <v>3</v>
      </c>
      <c r="H6" s="64">
        <f>H8+H17+H24+H35+H100+H112+H117</f>
        <v>2</v>
      </c>
      <c r="I6" s="64">
        <f>I8+I17+I24+I35+I100+I112+I117</f>
        <v>1</v>
      </c>
      <c r="J6" s="64">
        <f>J8+J17+J24+J35+J100+J112+J117</f>
        <v>21</v>
      </c>
      <c r="K6" s="64">
        <f>K8+K17+K24+K35+K100+K112+K117</f>
        <v>0</v>
      </c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</row>
    <row r="7" spans="1:918" s="42" customFormat="1" x14ac:dyDescent="0.2">
      <c r="A7" s="45"/>
      <c r="B7" s="78" t="s">
        <v>73</v>
      </c>
      <c r="C7" s="79" t="s">
        <v>271</v>
      </c>
      <c r="D7" s="113"/>
      <c r="E7" s="113"/>
      <c r="F7" s="113"/>
      <c r="G7" s="113"/>
      <c r="H7" s="113"/>
      <c r="I7" s="113"/>
      <c r="J7" s="113"/>
      <c r="K7" s="113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</row>
    <row r="8" spans="1:918" s="42" customFormat="1" ht="22.5" customHeight="1" x14ac:dyDescent="0.2">
      <c r="A8" s="45"/>
      <c r="B8" s="226" t="s">
        <v>189</v>
      </c>
      <c r="C8" s="226"/>
      <c r="D8" s="65">
        <f>SUM(D9:D15)</f>
        <v>0</v>
      </c>
      <c r="E8" s="65">
        <f>SUM(E9:E15)</f>
        <v>0</v>
      </c>
      <c r="F8" s="65">
        <f>SUM(F9:F15)</f>
        <v>0</v>
      </c>
      <c r="G8" s="65">
        <f>SUM(G9:G15)</f>
        <v>2</v>
      </c>
      <c r="H8" s="65">
        <f>SUM(H9:H15)</f>
        <v>0</v>
      </c>
      <c r="I8" s="65">
        <f>SUM(I9:I15)</f>
        <v>0</v>
      </c>
      <c r="J8" s="65">
        <f>SUM(J9:J15)</f>
        <v>1</v>
      </c>
      <c r="K8" s="65">
        <f>SUM(K9:K15)</f>
        <v>0</v>
      </c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</row>
    <row r="9" spans="1:918" s="80" customFormat="1" x14ac:dyDescent="0.2">
      <c r="A9" s="77"/>
      <c r="B9" s="78" t="s">
        <v>74</v>
      </c>
      <c r="C9" s="79" t="s">
        <v>131</v>
      </c>
      <c r="D9" s="76"/>
      <c r="E9" s="76"/>
      <c r="F9" s="76"/>
      <c r="G9" s="76"/>
      <c r="H9" s="76"/>
      <c r="I9" s="76"/>
      <c r="J9" s="76"/>
      <c r="K9" s="76"/>
    </row>
    <row r="10" spans="1:918" s="82" customFormat="1" x14ac:dyDescent="0.2">
      <c r="A10" s="81"/>
      <c r="B10" s="78" t="s">
        <v>75</v>
      </c>
      <c r="C10" s="79" t="s">
        <v>132</v>
      </c>
      <c r="D10" s="76"/>
      <c r="E10" s="76"/>
      <c r="F10" s="76"/>
      <c r="G10" s="76"/>
      <c r="H10" s="76"/>
      <c r="I10" s="76"/>
      <c r="J10" s="76"/>
      <c r="K10" s="76"/>
    </row>
    <row r="11" spans="1:918" s="42" customFormat="1" ht="33.75" x14ac:dyDescent="0.2">
      <c r="A11" s="45"/>
      <c r="B11" s="83" t="s">
        <v>272</v>
      </c>
      <c r="C11" s="84" t="s">
        <v>244</v>
      </c>
      <c r="D11" s="76"/>
      <c r="E11" s="76"/>
      <c r="F11" s="76"/>
      <c r="G11" s="76"/>
      <c r="H11" s="76"/>
      <c r="I11" s="76"/>
      <c r="J11" s="76">
        <v>1</v>
      </c>
      <c r="K11" s="76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</row>
    <row r="12" spans="1:918" s="82" customFormat="1" x14ac:dyDescent="0.2">
      <c r="A12" s="81"/>
      <c r="B12" s="83"/>
      <c r="C12" s="84"/>
      <c r="D12" s="76"/>
      <c r="E12" s="76"/>
      <c r="F12" s="76"/>
      <c r="G12" s="76"/>
      <c r="H12" s="76"/>
      <c r="I12" s="76"/>
      <c r="J12" s="76"/>
      <c r="K12" s="76"/>
    </row>
    <row r="13" spans="1:918" s="82" customFormat="1" x14ac:dyDescent="0.2">
      <c r="A13" s="81"/>
      <c r="B13" s="78" t="s">
        <v>273</v>
      </c>
      <c r="C13" s="79" t="s">
        <v>133</v>
      </c>
      <c r="D13" s="76"/>
      <c r="E13" s="76"/>
      <c r="F13" s="76"/>
      <c r="G13" s="76"/>
      <c r="H13" s="76"/>
      <c r="I13" s="76"/>
      <c r="J13" s="76"/>
      <c r="K13" s="76"/>
    </row>
    <row r="14" spans="1:918" s="82" customFormat="1" ht="45" x14ac:dyDescent="0.2">
      <c r="A14" s="81"/>
      <c r="B14" s="83" t="s">
        <v>274</v>
      </c>
      <c r="C14" s="84" t="s">
        <v>442</v>
      </c>
      <c r="D14" s="87"/>
      <c r="E14" s="76"/>
      <c r="F14" s="85"/>
      <c r="G14" s="76">
        <v>1</v>
      </c>
      <c r="H14" s="76"/>
      <c r="I14" s="76"/>
      <c r="J14" s="76"/>
      <c r="K14" s="76"/>
    </row>
    <row r="15" spans="1:918" s="82" customFormat="1" ht="45" x14ac:dyDescent="0.2">
      <c r="A15" s="81"/>
      <c r="B15" s="83" t="s">
        <v>275</v>
      </c>
      <c r="C15" s="84" t="s">
        <v>443</v>
      </c>
      <c r="D15" s="87"/>
      <c r="E15" s="76"/>
      <c r="F15" s="85"/>
      <c r="G15" s="76">
        <v>1</v>
      </c>
      <c r="H15" s="76"/>
      <c r="I15" s="76"/>
      <c r="J15" s="76"/>
      <c r="K15" s="76"/>
    </row>
    <row r="16" spans="1:918" s="82" customFormat="1" x14ac:dyDescent="0.2">
      <c r="A16" s="81"/>
      <c r="B16" s="83"/>
      <c r="C16" s="86"/>
      <c r="D16" s="87"/>
      <c r="E16" s="87"/>
      <c r="F16" s="87"/>
      <c r="G16" s="87"/>
      <c r="H16" s="87"/>
      <c r="I16" s="87"/>
      <c r="J16" s="87"/>
      <c r="K16" s="87"/>
    </row>
    <row r="17" spans="1:29" s="42" customFormat="1" ht="25.5" customHeight="1" x14ac:dyDescent="0.2">
      <c r="A17" s="45"/>
      <c r="B17" s="226" t="s">
        <v>182</v>
      </c>
      <c r="C17" s="226"/>
      <c r="D17" s="66">
        <f>SUM(D18:D22)</f>
        <v>0</v>
      </c>
      <c r="E17" s="66">
        <f t="shared" ref="E17:K17" si="0">SUM(E18:E22)</f>
        <v>0</v>
      </c>
      <c r="F17" s="66">
        <f t="shared" si="0"/>
        <v>0</v>
      </c>
      <c r="G17" s="66">
        <f t="shared" si="0"/>
        <v>0</v>
      </c>
      <c r="H17" s="66">
        <f t="shared" si="0"/>
        <v>0</v>
      </c>
      <c r="I17" s="66">
        <f t="shared" si="0"/>
        <v>0</v>
      </c>
      <c r="J17" s="66">
        <f t="shared" si="0"/>
        <v>2</v>
      </c>
      <c r="K17" s="66">
        <f t="shared" si="0"/>
        <v>0</v>
      </c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</row>
    <row r="18" spans="1:29" s="82" customFormat="1" x14ac:dyDescent="0.2">
      <c r="A18" s="81"/>
      <c r="B18" s="78" t="s">
        <v>76</v>
      </c>
      <c r="C18" s="79" t="s">
        <v>134</v>
      </c>
      <c r="D18" s="76"/>
      <c r="E18" s="76"/>
      <c r="F18" s="76"/>
      <c r="G18" s="76"/>
      <c r="H18" s="76"/>
      <c r="I18" s="76"/>
      <c r="J18" s="76"/>
      <c r="K18" s="76"/>
    </row>
    <row r="19" spans="1:29" s="82" customFormat="1" x14ac:dyDescent="0.2">
      <c r="A19" s="81"/>
      <c r="B19" s="78" t="s">
        <v>77</v>
      </c>
      <c r="C19" s="79" t="s">
        <v>135</v>
      </c>
      <c r="D19" s="76"/>
      <c r="E19" s="76"/>
      <c r="F19" s="76"/>
      <c r="G19" s="76"/>
      <c r="H19" s="76"/>
      <c r="I19" s="76"/>
      <c r="J19" s="76"/>
      <c r="K19" s="76"/>
    </row>
    <row r="20" spans="1:29" s="42" customFormat="1" ht="56.25" x14ac:dyDescent="0.2">
      <c r="A20" s="45"/>
      <c r="B20" s="83" t="s">
        <v>276</v>
      </c>
      <c r="C20" s="88" t="s">
        <v>112</v>
      </c>
      <c r="D20" s="76"/>
      <c r="E20" s="76"/>
      <c r="F20" s="76"/>
      <c r="G20" s="76"/>
      <c r="H20" s="76"/>
      <c r="I20" s="76"/>
      <c r="J20" s="89">
        <v>1</v>
      </c>
      <c r="K20" s="76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</row>
    <row r="21" spans="1:29" s="42" customFormat="1" ht="22.5" x14ac:dyDescent="0.2">
      <c r="A21" s="45"/>
      <c r="B21" s="83" t="s">
        <v>277</v>
      </c>
      <c r="C21" s="88" t="s">
        <v>191</v>
      </c>
      <c r="D21" s="76"/>
      <c r="E21" s="76"/>
      <c r="F21" s="76"/>
      <c r="G21" s="76"/>
      <c r="H21" s="76"/>
      <c r="I21" s="76"/>
      <c r="J21" s="89"/>
      <c r="K21" s="76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</row>
    <row r="22" spans="1:29" s="42" customFormat="1" ht="56.25" x14ac:dyDescent="0.2">
      <c r="A22" s="45"/>
      <c r="B22" s="83" t="s">
        <v>278</v>
      </c>
      <c r="C22" s="88" t="s">
        <v>270</v>
      </c>
      <c r="D22" s="76"/>
      <c r="E22" s="76"/>
      <c r="F22" s="76"/>
      <c r="G22" s="76"/>
      <c r="H22" s="76"/>
      <c r="I22" s="76"/>
      <c r="J22" s="89">
        <v>1</v>
      </c>
      <c r="K22" s="76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</row>
    <row r="23" spans="1:29" s="82" customFormat="1" x14ac:dyDescent="0.2">
      <c r="A23" s="81"/>
      <c r="B23" s="83"/>
      <c r="C23" s="88"/>
      <c r="D23" s="76"/>
      <c r="E23" s="76"/>
      <c r="F23" s="76"/>
      <c r="G23" s="76"/>
      <c r="H23" s="76"/>
      <c r="I23" s="76"/>
      <c r="J23" s="89"/>
      <c r="K23" s="76"/>
    </row>
    <row r="24" spans="1:29" s="42" customFormat="1" ht="22.5" customHeight="1" x14ac:dyDescent="0.2">
      <c r="A24" s="45"/>
      <c r="B24" s="226" t="s">
        <v>183</v>
      </c>
      <c r="C24" s="226"/>
      <c r="D24" s="68">
        <f t="shared" ref="D24:K24" si="1">SUM(D25:D32)</f>
        <v>1</v>
      </c>
      <c r="E24" s="68">
        <f t="shared" si="1"/>
        <v>0</v>
      </c>
      <c r="F24" s="68">
        <f t="shared" si="1"/>
        <v>0</v>
      </c>
      <c r="G24" s="68">
        <f t="shared" si="1"/>
        <v>0</v>
      </c>
      <c r="H24" s="68">
        <f t="shared" si="1"/>
        <v>1</v>
      </c>
      <c r="I24" s="68">
        <f t="shared" si="1"/>
        <v>0</v>
      </c>
      <c r="J24" s="68">
        <f t="shared" si="1"/>
        <v>2</v>
      </c>
      <c r="K24" s="68">
        <f t="shared" si="1"/>
        <v>0</v>
      </c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</row>
    <row r="25" spans="1:29" s="82" customFormat="1" x14ac:dyDescent="0.2">
      <c r="A25" s="81"/>
      <c r="B25" s="78" t="s">
        <v>279</v>
      </c>
      <c r="C25" s="79" t="s">
        <v>136</v>
      </c>
      <c r="D25" s="76"/>
      <c r="E25" s="76"/>
      <c r="F25" s="76"/>
      <c r="G25" s="76"/>
      <c r="H25" s="76"/>
      <c r="I25" s="76"/>
      <c r="J25" s="76"/>
      <c r="K25" s="76"/>
    </row>
    <row r="26" spans="1:29" s="82" customFormat="1" ht="21" x14ac:dyDescent="0.2">
      <c r="A26" s="81"/>
      <c r="B26" s="78" t="s">
        <v>280</v>
      </c>
      <c r="C26" s="79" t="s">
        <v>137</v>
      </c>
      <c r="D26" s="76"/>
      <c r="E26" s="76"/>
      <c r="F26" s="76"/>
      <c r="G26" s="76"/>
      <c r="H26" s="76"/>
      <c r="I26" s="76"/>
      <c r="J26" s="76"/>
      <c r="K26" s="76"/>
    </row>
    <row r="27" spans="1:29" s="82" customFormat="1" ht="33.75" x14ac:dyDescent="0.2">
      <c r="A27" s="81"/>
      <c r="B27" s="83" t="s">
        <v>281</v>
      </c>
      <c r="C27" s="88" t="s">
        <v>179</v>
      </c>
      <c r="D27" s="221">
        <v>1</v>
      </c>
      <c r="E27" s="76"/>
      <c r="F27" s="76"/>
      <c r="G27" s="76"/>
      <c r="H27" s="76">
        <v>1</v>
      </c>
      <c r="I27" s="76"/>
      <c r="J27" s="76"/>
      <c r="K27" s="76"/>
    </row>
    <row r="28" spans="1:29" s="82" customFormat="1" ht="33" customHeight="1" x14ac:dyDescent="0.2">
      <c r="A28" s="81"/>
      <c r="B28" s="83" t="s">
        <v>282</v>
      </c>
      <c r="C28" s="88" t="s">
        <v>440</v>
      </c>
      <c r="D28" s="222"/>
      <c r="E28" s="87"/>
      <c r="F28" s="76"/>
      <c r="G28" s="87"/>
      <c r="H28" s="87"/>
      <c r="I28" s="87"/>
      <c r="J28" s="87"/>
      <c r="K28" s="87"/>
    </row>
    <row r="29" spans="1:29" s="82" customFormat="1" ht="33" customHeight="1" x14ac:dyDescent="0.2">
      <c r="A29" s="81"/>
      <c r="B29" s="83" t="s">
        <v>283</v>
      </c>
      <c r="C29" s="84" t="s">
        <v>387</v>
      </c>
      <c r="D29" s="223"/>
      <c r="E29" s="87"/>
      <c r="F29" s="76"/>
      <c r="G29" s="87"/>
      <c r="H29" s="87"/>
      <c r="I29" s="87"/>
      <c r="J29" s="87"/>
      <c r="K29" s="87"/>
    </row>
    <row r="30" spans="1:29" s="82" customFormat="1" ht="22.5" x14ac:dyDescent="0.2">
      <c r="A30" s="81"/>
      <c r="B30" s="83" t="s">
        <v>284</v>
      </c>
      <c r="C30" s="84" t="s">
        <v>388</v>
      </c>
      <c r="D30" s="76"/>
      <c r="E30" s="76"/>
      <c r="F30" s="76"/>
      <c r="G30" s="76"/>
      <c r="H30" s="76"/>
      <c r="I30" s="76"/>
      <c r="J30" s="76">
        <v>1</v>
      </c>
      <c r="K30" s="76"/>
    </row>
    <row r="31" spans="1:29" s="82" customFormat="1" ht="67.5" x14ac:dyDescent="0.2">
      <c r="A31" s="81"/>
      <c r="B31" s="83" t="s">
        <v>285</v>
      </c>
      <c r="C31" s="91" t="s">
        <v>111</v>
      </c>
      <c r="D31" s="76"/>
      <c r="E31" s="76"/>
      <c r="F31" s="76"/>
      <c r="G31" s="76"/>
      <c r="H31" s="87"/>
      <c r="I31" s="76"/>
      <c r="J31" s="76">
        <v>1</v>
      </c>
      <c r="K31" s="76"/>
    </row>
    <row r="32" spans="1:29" s="82" customFormat="1" ht="22.5" x14ac:dyDescent="0.2">
      <c r="A32" s="81"/>
      <c r="B32" s="83" t="s">
        <v>286</v>
      </c>
      <c r="C32" s="91" t="s">
        <v>364</v>
      </c>
      <c r="D32" s="92"/>
      <c r="E32" s="92"/>
      <c r="F32" s="92"/>
      <c r="G32" s="92"/>
      <c r="H32" s="92"/>
      <c r="I32" s="93"/>
      <c r="J32" s="92"/>
      <c r="K32" s="76"/>
    </row>
    <row r="33" spans="1:29" s="82" customFormat="1" ht="22.5" x14ac:dyDescent="0.2">
      <c r="A33" s="81"/>
      <c r="B33" s="83" t="s">
        <v>287</v>
      </c>
      <c r="C33" s="88" t="s">
        <v>192</v>
      </c>
      <c r="D33" s="92"/>
      <c r="E33" s="92"/>
      <c r="F33" s="92"/>
      <c r="G33" s="92"/>
      <c r="H33" s="92"/>
      <c r="I33" s="93"/>
      <c r="J33" s="111"/>
      <c r="K33" s="76"/>
    </row>
    <row r="34" spans="1:29" s="42" customFormat="1" ht="10.5" customHeight="1" x14ac:dyDescent="0.2">
      <c r="A34" s="45"/>
      <c r="B34" s="61"/>
      <c r="C34" s="114"/>
      <c r="D34" s="63"/>
      <c r="E34" s="63"/>
      <c r="F34" s="63"/>
      <c r="G34" s="63"/>
      <c r="H34" s="63"/>
      <c r="I34" s="62"/>
      <c r="J34" s="63"/>
      <c r="K34" s="69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</row>
    <row r="35" spans="1:29" s="42" customFormat="1" ht="21.75" customHeight="1" x14ac:dyDescent="0.2">
      <c r="A35" s="45"/>
      <c r="B35" s="226" t="s">
        <v>194</v>
      </c>
      <c r="C35" s="226"/>
      <c r="D35" s="68">
        <f>SUM(D36:D98)</f>
        <v>1</v>
      </c>
      <c r="E35" s="68">
        <f t="shared" ref="E35:K35" si="2">SUM(E36:E98)</f>
        <v>0</v>
      </c>
      <c r="F35" s="68">
        <f t="shared" si="2"/>
        <v>0</v>
      </c>
      <c r="G35" s="68">
        <f t="shared" si="2"/>
        <v>0</v>
      </c>
      <c r="H35" s="68">
        <f t="shared" si="2"/>
        <v>1</v>
      </c>
      <c r="I35" s="68">
        <f t="shared" si="2"/>
        <v>1</v>
      </c>
      <c r="J35" s="68">
        <f t="shared" si="2"/>
        <v>10</v>
      </c>
      <c r="K35" s="68">
        <f t="shared" si="2"/>
        <v>0</v>
      </c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</row>
    <row r="36" spans="1:29" s="56" customFormat="1" x14ac:dyDescent="0.2">
      <c r="A36" s="45"/>
      <c r="B36" s="78" t="s">
        <v>78</v>
      </c>
      <c r="C36" s="94" t="s">
        <v>195</v>
      </c>
      <c r="D36" s="69"/>
      <c r="E36" s="69"/>
      <c r="F36" s="69"/>
      <c r="G36" s="69"/>
      <c r="H36" s="69"/>
      <c r="I36" s="69"/>
      <c r="J36" s="69"/>
      <c r="K36" s="69"/>
      <c r="L36" s="95"/>
      <c r="M36" s="95"/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95"/>
      <c r="AC36" s="95"/>
    </row>
    <row r="37" spans="1:29" s="95" customFormat="1" x14ac:dyDescent="0.2">
      <c r="A37" s="81"/>
      <c r="B37" s="78" t="s">
        <v>79</v>
      </c>
      <c r="C37" s="94" t="s">
        <v>216</v>
      </c>
      <c r="D37" s="76"/>
      <c r="E37" s="76"/>
      <c r="F37" s="76"/>
      <c r="G37" s="76"/>
      <c r="H37" s="76"/>
      <c r="I37" s="76"/>
      <c r="J37" s="76"/>
      <c r="K37" s="76"/>
    </row>
    <row r="38" spans="1:29" s="95" customFormat="1" ht="21" x14ac:dyDescent="0.2">
      <c r="A38" s="81"/>
      <c r="B38" s="78" t="s">
        <v>80</v>
      </c>
      <c r="C38" s="96" t="s">
        <v>138</v>
      </c>
      <c r="D38" s="76"/>
      <c r="E38" s="76"/>
      <c r="F38" s="76"/>
      <c r="G38" s="76"/>
      <c r="H38" s="76"/>
      <c r="I38" s="76"/>
      <c r="J38" s="76"/>
      <c r="K38" s="76"/>
    </row>
    <row r="39" spans="1:29" s="95" customFormat="1" x14ac:dyDescent="0.2">
      <c r="A39" s="81"/>
      <c r="B39" s="83" t="s">
        <v>288</v>
      </c>
      <c r="C39" s="97" t="s">
        <v>95</v>
      </c>
      <c r="D39" s="76"/>
      <c r="E39" s="76"/>
      <c r="F39" s="76"/>
      <c r="G39" s="76"/>
      <c r="H39" s="76"/>
      <c r="I39" s="76"/>
      <c r="J39" s="76"/>
      <c r="K39" s="76"/>
    </row>
    <row r="40" spans="1:29" s="95" customFormat="1" ht="22.5" x14ac:dyDescent="0.2">
      <c r="A40" s="81"/>
      <c r="B40" s="83" t="s">
        <v>289</v>
      </c>
      <c r="C40" s="91" t="s">
        <v>94</v>
      </c>
      <c r="D40" s="76"/>
      <c r="E40" s="76"/>
      <c r="F40" s="76"/>
      <c r="G40" s="76"/>
      <c r="H40" s="76"/>
      <c r="I40" s="76"/>
      <c r="J40" s="76">
        <v>1</v>
      </c>
      <c r="K40" s="76"/>
    </row>
    <row r="41" spans="1:29" s="95" customFormat="1" ht="22.5" x14ac:dyDescent="0.2">
      <c r="A41" s="81"/>
      <c r="B41" s="83" t="s">
        <v>290</v>
      </c>
      <c r="C41" s="84" t="s">
        <v>99</v>
      </c>
      <c r="D41" s="76"/>
      <c r="E41" s="76"/>
      <c r="F41" s="76"/>
      <c r="G41" s="76"/>
      <c r="H41" s="76"/>
      <c r="I41" s="76"/>
      <c r="J41" s="76"/>
      <c r="K41" s="76"/>
    </row>
    <row r="42" spans="1:29" s="95" customFormat="1" ht="22.5" x14ac:dyDescent="0.2">
      <c r="A42" s="81"/>
      <c r="B42" s="83" t="s">
        <v>291</v>
      </c>
      <c r="C42" s="84" t="s">
        <v>115</v>
      </c>
      <c r="D42" s="76"/>
      <c r="E42" s="76"/>
      <c r="F42" s="76"/>
      <c r="G42" s="76"/>
      <c r="H42" s="76"/>
      <c r="I42" s="76"/>
      <c r="J42" s="76"/>
      <c r="K42" s="76"/>
    </row>
    <row r="43" spans="1:29" s="95" customFormat="1" x14ac:dyDescent="0.2">
      <c r="A43" s="81"/>
      <c r="B43" s="83"/>
      <c r="C43" s="84"/>
      <c r="D43" s="76"/>
      <c r="E43" s="76"/>
      <c r="F43" s="76"/>
      <c r="G43" s="76"/>
      <c r="H43" s="76"/>
      <c r="I43" s="76"/>
      <c r="J43" s="76"/>
      <c r="K43" s="76"/>
    </row>
    <row r="44" spans="1:29" s="95" customFormat="1" ht="21" x14ac:dyDescent="0.2">
      <c r="A44" s="81"/>
      <c r="B44" s="78" t="s">
        <v>190</v>
      </c>
      <c r="C44" s="96" t="s">
        <v>199</v>
      </c>
      <c r="D44" s="76"/>
      <c r="E44" s="76"/>
      <c r="F44" s="76"/>
      <c r="G44" s="76"/>
      <c r="H44" s="76"/>
      <c r="I44" s="76"/>
      <c r="J44" s="76"/>
      <c r="K44" s="76"/>
    </row>
    <row r="45" spans="1:29" s="82" customFormat="1" x14ac:dyDescent="0.2">
      <c r="A45" s="81"/>
      <c r="B45" s="83" t="s">
        <v>292</v>
      </c>
      <c r="C45" s="97" t="s">
        <v>365</v>
      </c>
      <c r="D45" s="76"/>
      <c r="E45" s="76"/>
      <c r="F45" s="76"/>
      <c r="G45" s="76"/>
      <c r="H45" s="76"/>
      <c r="I45" s="76"/>
      <c r="J45" s="76"/>
      <c r="K45" s="76"/>
    </row>
    <row r="46" spans="1:29" s="82" customFormat="1" ht="22.5" x14ac:dyDescent="0.2">
      <c r="A46" s="81"/>
      <c r="B46" s="83" t="s">
        <v>293</v>
      </c>
      <c r="C46" s="84" t="s">
        <v>366</v>
      </c>
      <c r="D46" s="76"/>
      <c r="E46" s="76"/>
      <c r="F46" s="76"/>
      <c r="G46" s="76"/>
      <c r="H46" s="76"/>
      <c r="I46" s="76"/>
      <c r="J46" s="76">
        <v>1</v>
      </c>
      <c r="K46" s="76"/>
    </row>
    <row r="47" spans="1:29" s="82" customFormat="1" ht="22.5" x14ac:dyDescent="0.2">
      <c r="A47" s="81"/>
      <c r="B47" s="83" t="s">
        <v>294</v>
      </c>
      <c r="C47" s="84" t="s">
        <v>367</v>
      </c>
      <c r="D47" s="76"/>
      <c r="E47" s="76"/>
      <c r="F47" s="76"/>
      <c r="G47" s="76"/>
      <c r="H47" s="76"/>
      <c r="I47" s="76"/>
      <c r="J47" s="76"/>
      <c r="K47" s="76"/>
    </row>
    <row r="48" spans="1:29" s="82" customFormat="1" ht="22.5" x14ac:dyDescent="0.2">
      <c r="A48" s="81"/>
      <c r="B48" s="83" t="s">
        <v>295</v>
      </c>
      <c r="C48" s="84" t="s">
        <v>116</v>
      </c>
      <c r="D48" s="76"/>
      <c r="E48" s="76"/>
      <c r="F48" s="76"/>
      <c r="G48" s="76"/>
      <c r="H48" s="76"/>
      <c r="I48" s="76"/>
      <c r="J48" s="76"/>
      <c r="K48" s="76"/>
    </row>
    <row r="49" spans="1:11" s="82" customFormat="1" x14ac:dyDescent="0.2">
      <c r="A49" s="81"/>
      <c r="B49" s="83"/>
      <c r="C49" s="84"/>
      <c r="D49" s="76"/>
      <c r="E49" s="76"/>
      <c r="F49" s="76"/>
      <c r="G49" s="76"/>
      <c r="H49" s="76"/>
      <c r="I49" s="76"/>
      <c r="J49" s="76"/>
      <c r="K49" s="76"/>
    </row>
    <row r="50" spans="1:11" s="82" customFormat="1" ht="21" x14ac:dyDescent="0.2">
      <c r="A50" s="81"/>
      <c r="B50" s="78" t="s">
        <v>81</v>
      </c>
      <c r="C50" s="94" t="s">
        <v>139</v>
      </c>
      <c r="D50" s="76"/>
      <c r="E50" s="76"/>
      <c r="F50" s="76"/>
      <c r="G50" s="76"/>
      <c r="H50" s="76"/>
      <c r="I50" s="76"/>
      <c r="J50" s="76"/>
      <c r="K50" s="76"/>
    </row>
    <row r="51" spans="1:11" s="82" customFormat="1" x14ac:dyDescent="0.2">
      <c r="A51" s="81"/>
      <c r="B51" s="83" t="s">
        <v>296</v>
      </c>
      <c r="C51" s="88" t="s">
        <v>368</v>
      </c>
      <c r="D51" s="76"/>
      <c r="E51" s="76"/>
      <c r="F51" s="76"/>
      <c r="G51" s="76"/>
      <c r="H51" s="76"/>
      <c r="I51" s="76"/>
      <c r="J51" s="76"/>
      <c r="K51" s="76"/>
    </row>
    <row r="52" spans="1:11" s="82" customFormat="1" ht="22.5" x14ac:dyDescent="0.2">
      <c r="A52" s="81"/>
      <c r="B52" s="83" t="s">
        <v>297</v>
      </c>
      <c r="C52" s="88" t="s">
        <v>369</v>
      </c>
      <c r="D52" s="76"/>
      <c r="E52" s="76"/>
      <c r="F52" s="76"/>
      <c r="G52" s="76"/>
      <c r="H52" s="76"/>
      <c r="I52" s="76"/>
      <c r="J52" s="76">
        <v>1</v>
      </c>
      <c r="K52" s="76"/>
    </row>
    <row r="53" spans="1:11" s="82" customFormat="1" ht="22.5" x14ac:dyDescent="0.2">
      <c r="A53" s="81"/>
      <c r="B53" s="83" t="s">
        <v>298</v>
      </c>
      <c r="C53" s="88" t="s">
        <v>370</v>
      </c>
      <c r="D53" s="76"/>
      <c r="E53" s="76"/>
      <c r="F53" s="76"/>
      <c r="G53" s="76"/>
      <c r="H53" s="76"/>
      <c r="I53" s="76"/>
      <c r="J53" s="76"/>
      <c r="K53" s="76"/>
    </row>
    <row r="54" spans="1:11" s="82" customFormat="1" ht="22.5" x14ac:dyDescent="0.2">
      <c r="A54" s="81"/>
      <c r="B54" s="83" t="s">
        <v>299</v>
      </c>
      <c r="C54" s="88" t="s">
        <v>117</v>
      </c>
      <c r="D54" s="76"/>
      <c r="E54" s="76"/>
      <c r="F54" s="76"/>
      <c r="G54" s="76"/>
      <c r="H54" s="76"/>
      <c r="I54" s="76"/>
      <c r="J54" s="76"/>
      <c r="K54" s="76"/>
    </row>
    <row r="55" spans="1:11" s="82" customFormat="1" x14ac:dyDescent="0.2">
      <c r="A55" s="81"/>
      <c r="B55" s="83"/>
      <c r="C55" s="88"/>
      <c r="D55" s="76"/>
      <c r="E55" s="76"/>
      <c r="F55" s="76"/>
      <c r="G55" s="76"/>
      <c r="H55" s="76"/>
      <c r="I55" s="76"/>
      <c r="J55" s="76"/>
      <c r="K55" s="76"/>
    </row>
    <row r="56" spans="1:11" s="82" customFormat="1" ht="49.5" customHeight="1" x14ac:dyDescent="0.2">
      <c r="A56" s="81"/>
      <c r="B56" s="78" t="s">
        <v>300</v>
      </c>
      <c r="C56" s="96" t="s">
        <v>200</v>
      </c>
      <c r="D56" s="76"/>
      <c r="E56" s="76"/>
      <c r="F56" s="76"/>
      <c r="G56" s="76"/>
      <c r="H56" s="76"/>
      <c r="I56" s="76"/>
      <c r="J56" s="76"/>
      <c r="K56" s="76"/>
    </row>
    <row r="57" spans="1:11" s="82" customFormat="1" x14ac:dyDescent="0.2">
      <c r="A57" s="81"/>
      <c r="B57" s="83" t="s">
        <v>301</v>
      </c>
      <c r="C57" s="97" t="s">
        <v>98</v>
      </c>
      <c r="D57" s="76"/>
      <c r="E57" s="76"/>
      <c r="F57" s="76"/>
      <c r="G57" s="76"/>
      <c r="H57" s="76"/>
      <c r="I57" s="76"/>
      <c r="J57" s="76"/>
      <c r="K57" s="76"/>
    </row>
    <row r="58" spans="1:11" s="82" customFormat="1" ht="22.5" x14ac:dyDescent="0.2">
      <c r="A58" s="81"/>
      <c r="B58" s="83" t="s">
        <v>302</v>
      </c>
      <c r="C58" s="91" t="s">
        <v>96</v>
      </c>
      <c r="D58" s="76"/>
      <c r="E58" s="76"/>
      <c r="F58" s="76"/>
      <c r="G58" s="76"/>
      <c r="H58" s="76"/>
      <c r="I58" s="76"/>
      <c r="J58" s="76">
        <v>1</v>
      </c>
      <c r="K58" s="76"/>
    </row>
    <row r="59" spans="1:11" s="82" customFormat="1" ht="22.5" x14ac:dyDescent="0.2">
      <c r="A59" s="81"/>
      <c r="B59" s="83" t="s">
        <v>303</v>
      </c>
      <c r="C59" s="84" t="s">
        <v>97</v>
      </c>
      <c r="D59" s="76"/>
      <c r="E59" s="76"/>
      <c r="F59" s="76"/>
      <c r="G59" s="76"/>
      <c r="H59" s="76"/>
      <c r="I59" s="76"/>
      <c r="J59" s="76"/>
      <c r="K59" s="76"/>
    </row>
    <row r="60" spans="1:11" s="82" customFormat="1" ht="22.5" x14ac:dyDescent="0.2">
      <c r="A60" s="81"/>
      <c r="B60" s="83" t="s">
        <v>304</v>
      </c>
      <c r="C60" s="84" t="s">
        <v>118</v>
      </c>
      <c r="D60" s="76"/>
      <c r="E60" s="76"/>
      <c r="F60" s="76"/>
      <c r="G60" s="76"/>
      <c r="H60" s="76"/>
      <c r="I60" s="76"/>
      <c r="J60" s="76"/>
      <c r="K60" s="76"/>
    </row>
    <row r="61" spans="1:11" s="82" customFormat="1" x14ac:dyDescent="0.2">
      <c r="A61" s="81"/>
      <c r="B61" s="83"/>
      <c r="C61" s="84"/>
      <c r="D61" s="76"/>
      <c r="E61" s="76"/>
      <c r="F61" s="76"/>
      <c r="G61" s="76"/>
      <c r="H61" s="76"/>
      <c r="I61" s="76"/>
      <c r="J61" s="76"/>
      <c r="K61" s="76"/>
    </row>
    <row r="62" spans="1:11" s="82" customFormat="1" ht="21" x14ac:dyDescent="0.2">
      <c r="A62" s="81"/>
      <c r="B62" s="78" t="s">
        <v>305</v>
      </c>
      <c r="C62" s="96" t="s">
        <v>140</v>
      </c>
      <c r="D62" s="76"/>
      <c r="E62" s="76"/>
      <c r="F62" s="76"/>
      <c r="G62" s="76"/>
      <c r="H62" s="76"/>
      <c r="I62" s="76"/>
      <c r="J62" s="76"/>
      <c r="K62" s="76"/>
    </row>
    <row r="63" spans="1:11" s="82" customFormat="1" x14ac:dyDescent="0.2">
      <c r="A63" s="81"/>
      <c r="B63" s="83" t="s">
        <v>306</v>
      </c>
      <c r="C63" s="91" t="s">
        <v>371</v>
      </c>
      <c r="D63" s="76"/>
      <c r="E63" s="76"/>
      <c r="F63" s="76"/>
      <c r="G63" s="76"/>
      <c r="H63" s="76"/>
      <c r="I63" s="76"/>
      <c r="J63" s="76"/>
      <c r="K63" s="76"/>
    </row>
    <row r="64" spans="1:11" s="82" customFormat="1" ht="22.5" x14ac:dyDescent="0.2">
      <c r="A64" s="81"/>
      <c r="B64" s="83" t="s">
        <v>307</v>
      </c>
      <c r="C64" s="91" t="s">
        <v>372</v>
      </c>
      <c r="D64" s="76"/>
      <c r="E64" s="76"/>
      <c r="F64" s="76"/>
      <c r="G64" s="76"/>
      <c r="H64" s="76"/>
      <c r="I64" s="76"/>
      <c r="J64" s="76">
        <v>1</v>
      </c>
      <c r="K64" s="76"/>
    </row>
    <row r="65" spans="1:918" s="99" customFormat="1" ht="22.5" x14ac:dyDescent="0.2">
      <c r="A65" s="98"/>
      <c r="B65" s="83" t="s">
        <v>308</v>
      </c>
      <c r="C65" s="91" t="s">
        <v>373</v>
      </c>
      <c r="D65" s="76"/>
      <c r="E65" s="76"/>
      <c r="F65" s="76"/>
      <c r="G65" s="76"/>
      <c r="H65" s="76"/>
      <c r="I65" s="76"/>
      <c r="J65" s="76"/>
      <c r="K65" s="76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82"/>
      <c r="AJ65" s="82"/>
      <c r="AK65" s="82"/>
      <c r="AL65" s="82"/>
      <c r="AM65" s="82"/>
      <c r="AN65" s="82"/>
      <c r="AO65" s="82"/>
      <c r="AP65" s="82"/>
      <c r="AQ65" s="82"/>
      <c r="AR65" s="82"/>
      <c r="AS65" s="82"/>
      <c r="AT65" s="82"/>
      <c r="AU65" s="82"/>
      <c r="AV65" s="82"/>
      <c r="AW65" s="82"/>
      <c r="AX65" s="82"/>
      <c r="AY65" s="82"/>
      <c r="AZ65" s="82"/>
      <c r="BA65" s="82"/>
      <c r="BB65" s="82"/>
      <c r="BC65" s="82"/>
      <c r="BD65" s="82"/>
      <c r="BE65" s="82"/>
      <c r="BF65" s="82"/>
      <c r="BG65" s="82"/>
      <c r="BH65" s="82"/>
      <c r="BI65" s="82"/>
      <c r="BJ65" s="82"/>
      <c r="BK65" s="82"/>
      <c r="BL65" s="82"/>
      <c r="BM65" s="82"/>
      <c r="BN65" s="82"/>
      <c r="BO65" s="82"/>
      <c r="BP65" s="82"/>
      <c r="BQ65" s="82"/>
      <c r="BR65" s="82"/>
      <c r="BS65" s="82"/>
      <c r="BT65" s="82"/>
      <c r="BU65" s="82"/>
      <c r="BV65" s="82"/>
      <c r="BW65" s="82"/>
      <c r="BX65" s="82"/>
      <c r="BY65" s="82"/>
      <c r="BZ65" s="82"/>
      <c r="CA65" s="82"/>
      <c r="CB65" s="82"/>
      <c r="CC65" s="82"/>
      <c r="CD65" s="82"/>
      <c r="CE65" s="82"/>
      <c r="CF65" s="82"/>
      <c r="CG65" s="82"/>
      <c r="CH65" s="82"/>
      <c r="CI65" s="82"/>
      <c r="CJ65" s="82"/>
      <c r="CK65" s="82"/>
      <c r="CL65" s="82"/>
      <c r="CM65" s="82"/>
      <c r="CN65" s="82"/>
      <c r="CO65" s="82"/>
      <c r="CP65" s="82"/>
      <c r="CQ65" s="82"/>
      <c r="CR65" s="82"/>
      <c r="CS65" s="82"/>
      <c r="CT65" s="82"/>
      <c r="CU65" s="82"/>
      <c r="CV65" s="82"/>
      <c r="CW65" s="82"/>
      <c r="CX65" s="82"/>
      <c r="CY65" s="82"/>
      <c r="CZ65" s="82"/>
      <c r="DA65" s="82"/>
      <c r="DB65" s="82"/>
      <c r="DC65" s="82"/>
      <c r="DD65" s="82"/>
      <c r="DE65" s="82"/>
      <c r="DF65" s="82"/>
      <c r="DG65" s="82"/>
      <c r="DH65" s="82"/>
      <c r="DI65" s="82"/>
      <c r="DJ65" s="82"/>
      <c r="DK65" s="82"/>
      <c r="DL65" s="82"/>
      <c r="DM65" s="82"/>
      <c r="DN65" s="82"/>
      <c r="DO65" s="82"/>
      <c r="DP65" s="82"/>
      <c r="DQ65" s="82"/>
      <c r="DR65" s="82"/>
      <c r="DS65" s="82"/>
      <c r="DT65" s="82"/>
      <c r="DU65" s="82"/>
      <c r="DV65" s="82"/>
      <c r="DW65" s="82"/>
      <c r="DX65" s="82"/>
      <c r="DY65" s="82"/>
      <c r="DZ65" s="82"/>
      <c r="EA65" s="82"/>
      <c r="EB65" s="82"/>
      <c r="EC65" s="82"/>
      <c r="ED65" s="82"/>
      <c r="EE65" s="82"/>
      <c r="EF65" s="82"/>
      <c r="EG65" s="82"/>
      <c r="EH65" s="82"/>
      <c r="EI65" s="82"/>
      <c r="EJ65" s="82"/>
      <c r="EK65" s="82"/>
      <c r="EL65" s="82"/>
      <c r="EM65" s="82"/>
      <c r="EN65" s="82"/>
      <c r="EO65" s="82"/>
      <c r="EP65" s="82"/>
      <c r="EQ65" s="82"/>
      <c r="ER65" s="82"/>
      <c r="ES65" s="82"/>
      <c r="ET65" s="82"/>
      <c r="EU65" s="82"/>
      <c r="EV65" s="82"/>
      <c r="EW65" s="82"/>
      <c r="EX65" s="82"/>
      <c r="EY65" s="82"/>
      <c r="EZ65" s="82"/>
      <c r="FA65" s="82"/>
      <c r="FB65" s="82"/>
      <c r="FC65" s="82"/>
      <c r="FD65" s="82"/>
      <c r="FE65" s="82"/>
      <c r="FF65" s="82"/>
      <c r="FG65" s="82"/>
      <c r="FH65" s="82"/>
      <c r="FI65" s="82"/>
      <c r="FJ65" s="82"/>
      <c r="FK65" s="82"/>
      <c r="FL65" s="82"/>
      <c r="FM65" s="82"/>
      <c r="FN65" s="82"/>
      <c r="FO65" s="82"/>
      <c r="FP65" s="82"/>
      <c r="FQ65" s="82"/>
      <c r="FR65" s="82"/>
      <c r="FS65" s="82"/>
      <c r="FT65" s="82"/>
      <c r="FU65" s="82"/>
      <c r="FV65" s="82"/>
      <c r="FW65" s="82"/>
      <c r="FX65" s="82"/>
      <c r="FY65" s="82"/>
      <c r="FZ65" s="82"/>
      <c r="GA65" s="82"/>
      <c r="GB65" s="82"/>
      <c r="GC65" s="82"/>
      <c r="GD65" s="82"/>
      <c r="GE65" s="82"/>
      <c r="GF65" s="82"/>
      <c r="GG65" s="82"/>
      <c r="GH65" s="82"/>
      <c r="GI65" s="82"/>
      <c r="GJ65" s="82"/>
      <c r="GK65" s="82"/>
      <c r="GL65" s="82"/>
      <c r="GM65" s="82"/>
      <c r="GN65" s="82"/>
      <c r="GO65" s="82"/>
      <c r="GP65" s="82"/>
      <c r="GQ65" s="82"/>
      <c r="GR65" s="82"/>
      <c r="GS65" s="82"/>
      <c r="GT65" s="82"/>
      <c r="GU65" s="82"/>
      <c r="GV65" s="82"/>
      <c r="GW65" s="82"/>
      <c r="GX65" s="82"/>
      <c r="GY65" s="82"/>
      <c r="GZ65" s="82"/>
      <c r="HA65" s="82"/>
      <c r="HB65" s="82"/>
      <c r="HC65" s="82"/>
      <c r="HD65" s="82"/>
      <c r="HE65" s="82"/>
      <c r="HF65" s="82"/>
      <c r="HG65" s="82"/>
      <c r="HH65" s="82"/>
      <c r="HI65" s="82"/>
      <c r="HJ65" s="82"/>
      <c r="HK65" s="82"/>
      <c r="HL65" s="82"/>
      <c r="HM65" s="82"/>
      <c r="HN65" s="82"/>
      <c r="HO65" s="82"/>
      <c r="HP65" s="82"/>
      <c r="HQ65" s="82"/>
      <c r="HR65" s="82"/>
      <c r="HS65" s="82"/>
      <c r="HT65" s="82"/>
      <c r="HU65" s="82"/>
      <c r="HV65" s="82"/>
      <c r="HW65" s="82"/>
      <c r="HX65" s="82"/>
      <c r="HY65" s="82"/>
      <c r="HZ65" s="82"/>
      <c r="IA65" s="82"/>
      <c r="IB65" s="82"/>
      <c r="IC65" s="82"/>
      <c r="ID65" s="82"/>
      <c r="IE65" s="82"/>
      <c r="IF65" s="82"/>
      <c r="IG65" s="82"/>
      <c r="IH65" s="82"/>
      <c r="II65" s="82"/>
      <c r="IJ65" s="82"/>
      <c r="IK65" s="82"/>
      <c r="IL65" s="82"/>
      <c r="IM65" s="82"/>
      <c r="IN65" s="82"/>
      <c r="IO65" s="82"/>
      <c r="IP65" s="82"/>
      <c r="IQ65" s="82"/>
      <c r="IR65" s="82"/>
      <c r="IS65" s="82"/>
      <c r="IT65" s="82"/>
      <c r="IU65" s="82"/>
      <c r="IV65" s="82"/>
      <c r="IW65" s="82"/>
      <c r="IX65" s="82"/>
      <c r="IY65" s="82"/>
      <c r="IZ65" s="82"/>
      <c r="JA65" s="82"/>
      <c r="JB65" s="82"/>
      <c r="JC65" s="82"/>
      <c r="JD65" s="82"/>
      <c r="JE65" s="82"/>
      <c r="JF65" s="82"/>
      <c r="JG65" s="82"/>
      <c r="JH65" s="82"/>
      <c r="JI65" s="82"/>
      <c r="JJ65" s="82"/>
      <c r="JK65" s="82"/>
      <c r="JL65" s="82"/>
      <c r="JM65" s="82"/>
      <c r="JN65" s="82"/>
      <c r="JO65" s="82"/>
      <c r="JP65" s="82"/>
      <c r="JQ65" s="82"/>
      <c r="JR65" s="82"/>
      <c r="JS65" s="82"/>
      <c r="JT65" s="82"/>
      <c r="JU65" s="82"/>
      <c r="JV65" s="82"/>
      <c r="JW65" s="82"/>
      <c r="JX65" s="82"/>
      <c r="JY65" s="82"/>
      <c r="JZ65" s="82"/>
      <c r="KA65" s="82"/>
      <c r="KB65" s="82"/>
      <c r="KC65" s="82"/>
      <c r="KD65" s="82"/>
      <c r="KE65" s="82"/>
      <c r="KF65" s="82"/>
      <c r="KG65" s="82"/>
      <c r="KH65" s="82"/>
      <c r="KI65" s="82"/>
      <c r="KJ65" s="82"/>
      <c r="KK65" s="82"/>
      <c r="KL65" s="82"/>
      <c r="KM65" s="82"/>
      <c r="KN65" s="82"/>
      <c r="KO65" s="82"/>
      <c r="KP65" s="82"/>
      <c r="KQ65" s="82"/>
      <c r="KR65" s="82"/>
      <c r="KS65" s="82"/>
      <c r="KT65" s="82"/>
      <c r="KU65" s="82"/>
      <c r="KV65" s="82"/>
      <c r="KW65" s="82"/>
      <c r="KX65" s="82"/>
      <c r="KY65" s="82"/>
      <c r="KZ65" s="82"/>
      <c r="LA65" s="82"/>
      <c r="LB65" s="82"/>
      <c r="LC65" s="82"/>
      <c r="LD65" s="82"/>
      <c r="LE65" s="82"/>
      <c r="LF65" s="82"/>
      <c r="LG65" s="82"/>
      <c r="LH65" s="82"/>
      <c r="LI65" s="82"/>
      <c r="LJ65" s="82"/>
      <c r="LK65" s="82"/>
      <c r="LL65" s="82"/>
      <c r="LM65" s="82"/>
      <c r="LN65" s="82"/>
      <c r="LO65" s="82"/>
      <c r="LP65" s="82"/>
      <c r="LQ65" s="82"/>
      <c r="LR65" s="82"/>
      <c r="LS65" s="82"/>
      <c r="LT65" s="82"/>
      <c r="LU65" s="82"/>
      <c r="LV65" s="82"/>
      <c r="LW65" s="82"/>
      <c r="LX65" s="82"/>
      <c r="LY65" s="82"/>
      <c r="LZ65" s="82"/>
      <c r="MA65" s="82"/>
      <c r="MB65" s="82"/>
      <c r="MC65" s="82"/>
      <c r="MD65" s="82"/>
      <c r="ME65" s="82"/>
      <c r="MF65" s="82"/>
      <c r="MG65" s="82"/>
      <c r="MH65" s="82"/>
      <c r="MI65" s="82"/>
      <c r="MJ65" s="82"/>
      <c r="MK65" s="82"/>
      <c r="ML65" s="82"/>
      <c r="MM65" s="82"/>
      <c r="MN65" s="82"/>
      <c r="MO65" s="82"/>
      <c r="MP65" s="82"/>
      <c r="MQ65" s="82"/>
      <c r="MR65" s="82"/>
      <c r="MS65" s="82"/>
      <c r="MT65" s="82"/>
      <c r="MU65" s="82"/>
      <c r="MV65" s="82"/>
      <c r="MW65" s="82"/>
      <c r="MX65" s="82"/>
      <c r="MY65" s="82"/>
      <c r="MZ65" s="82"/>
      <c r="NA65" s="82"/>
      <c r="NB65" s="82"/>
      <c r="NC65" s="82"/>
      <c r="ND65" s="82"/>
      <c r="NE65" s="82"/>
      <c r="NF65" s="82"/>
      <c r="NG65" s="82"/>
      <c r="NH65" s="82"/>
      <c r="NI65" s="82"/>
      <c r="NJ65" s="82"/>
      <c r="NK65" s="82"/>
      <c r="NL65" s="82"/>
      <c r="NM65" s="82"/>
      <c r="NN65" s="82"/>
      <c r="NO65" s="82"/>
      <c r="NP65" s="82"/>
      <c r="NQ65" s="82"/>
      <c r="NR65" s="82"/>
      <c r="NS65" s="82"/>
      <c r="NT65" s="82"/>
      <c r="NU65" s="82"/>
      <c r="NV65" s="82"/>
      <c r="NW65" s="82"/>
      <c r="NX65" s="82"/>
      <c r="NY65" s="82"/>
      <c r="NZ65" s="82"/>
      <c r="OA65" s="82"/>
      <c r="OB65" s="82"/>
      <c r="OC65" s="82"/>
      <c r="OD65" s="82"/>
      <c r="OE65" s="82"/>
      <c r="OF65" s="82"/>
      <c r="OG65" s="82"/>
      <c r="OH65" s="82"/>
      <c r="OI65" s="82"/>
      <c r="OJ65" s="82"/>
      <c r="OK65" s="82"/>
      <c r="OL65" s="82"/>
      <c r="OM65" s="82"/>
      <c r="ON65" s="82"/>
      <c r="OO65" s="82"/>
      <c r="OP65" s="82"/>
      <c r="OQ65" s="82"/>
      <c r="OR65" s="82"/>
      <c r="OS65" s="82"/>
      <c r="OT65" s="82"/>
      <c r="OU65" s="82"/>
      <c r="OV65" s="82"/>
      <c r="OW65" s="82"/>
      <c r="OX65" s="82"/>
      <c r="OY65" s="82"/>
      <c r="OZ65" s="82"/>
      <c r="PA65" s="82"/>
      <c r="PB65" s="82"/>
      <c r="PC65" s="82"/>
      <c r="PD65" s="82"/>
      <c r="PE65" s="82"/>
      <c r="PF65" s="82"/>
      <c r="PG65" s="82"/>
      <c r="PH65" s="82"/>
      <c r="PI65" s="82"/>
      <c r="PJ65" s="82"/>
      <c r="PK65" s="82"/>
      <c r="PL65" s="82"/>
      <c r="PM65" s="82"/>
      <c r="PN65" s="82"/>
      <c r="PO65" s="82"/>
      <c r="PP65" s="82"/>
      <c r="PQ65" s="82"/>
      <c r="PR65" s="82"/>
      <c r="PS65" s="82"/>
      <c r="PT65" s="82"/>
      <c r="PU65" s="82"/>
      <c r="PV65" s="82"/>
      <c r="PW65" s="82"/>
      <c r="PX65" s="82"/>
      <c r="PY65" s="82"/>
      <c r="PZ65" s="82"/>
      <c r="QA65" s="82"/>
      <c r="QB65" s="82"/>
      <c r="QC65" s="82"/>
      <c r="QD65" s="82"/>
      <c r="QE65" s="82"/>
      <c r="QF65" s="82"/>
      <c r="QG65" s="82"/>
      <c r="QH65" s="82"/>
      <c r="QI65" s="82"/>
      <c r="QJ65" s="82"/>
      <c r="QK65" s="82"/>
      <c r="QL65" s="82"/>
      <c r="QM65" s="82"/>
      <c r="QN65" s="82"/>
      <c r="QO65" s="82"/>
      <c r="QP65" s="82"/>
      <c r="QQ65" s="82"/>
      <c r="QR65" s="82"/>
      <c r="QS65" s="82"/>
      <c r="QT65" s="82"/>
      <c r="QU65" s="82"/>
      <c r="QV65" s="82"/>
      <c r="QW65" s="82"/>
      <c r="QX65" s="82"/>
      <c r="QY65" s="82"/>
      <c r="QZ65" s="82"/>
      <c r="RA65" s="82"/>
      <c r="RB65" s="82"/>
      <c r="RC65" s="82"/>
      <c r="RD65" s="82"/>
      <c r="RE65" s="82"/>
      <c r="RF65" s="82"/>
      <c r="RG65" s="82"/>
      <c r="RH65" s="82"/>
      <c r="RI65" s="82"/>
      <c r="RJ65" s="82"/>
      <c r="RK65" s="82"/>
      <c r="RL65" s="82"/>
      <c r="RM65" s="82"/>
      <c r="RN65" s="82"/>
      <c r="RO65" s="82"/>
      <c r="RP65" s="82"/>
      <c r="RQ65" s="82"/>
      <c r="RR65" s="82"/>
      <c r="RS65" s="82"/>
      <c r="RT65" s="82"/>
      <c r="RU65" s="82"/>
      <c r="RV65" s="82"/>
      <c r="RW65" s="82"/>
      <c r="RX65" s="82"/>
      <c r="RY65" s="82"/>
      <c r="RZ65" s="82"/>
      <c r="SA65" s="82"/>
      <c r="SB65" s="82"/>
      <c r="SC65" s="82"/>
      <c r="SD65" s="82"/>
      <c r="SE65" s="82"/>
      <c r="SF65" s="82"/>
      <c r="SG65" s="82"/>
      <c r="SH65" s="82"/>
      <c r="SI65" s="82"/>
      <c r="SJ65" s="82"/>
      <c r="SK65" s="82"/>
      <c r="SL65" s="82"/>
      <c r="SM65" s="82"/>
      <c r="SN65" s="82"/>
      <c r="SO65" s="82"/>
      <c r="SP65" s="82"/>
      <c r="SQ65" s="82"/>
      <c r="SR65" s="82"/>
      <c r="SS65" s="82"/>
      <c r="ST65" s="82"/>
      <c r="SU65" s="82"/>
      <c r="SV65" s="82"/>
      <c r="SW65" s="82"/>
      <c r="SX65" s="82"/>
      <c r="SY65" s="82"/>
      <c r="SZ65" s="82"/>
      <c r="TA65" s="82"/>
      <c r="TB65" s="82"/>
      <c r="TC65" s="82"/>
      <c r="TD65" s="82"/>
      <c r="TE65" s="82"/>
      <c r="TF65" s="82"/>
      <c r="TG65" s="82"/>
      <c r="TH65" s="82"/>
      <c r="TI65" s="82"/>
      <c r="TJ65" s="82"/>
      <c r="TK65" s="82"/>
      <c r="TL65" s="82"/>
      <c r="TM65" s="82"/>
      <c r="TN65" s="82"/>
      <c r="TO65" s="82"/>
      <c r="TP65" s="82"/>
      <c r="TQ65" s="82"/>
      <c r="TR65" s="82"/>
      <c r="TS65" s="82"/>
      <c r="TT65" s="82"/>
      <c r="TU65" s="82"/>
      <c r="TV65" s="82"/>
      <c r="TW65" s="82"/>
      <c r="TX65" s="82"/>
      <c r="TY65" s="82"/>
      <c r="TZ65" s="82"/>
      <c r="UA65" s="82"/>
      <c r="UB65" s="82"/>
      <c r="UC65" s="82"/>
      <c r="UD65" s="82"/>
      <c r="UE65" s="82"/>
      <c r="UF65" s="82"/>
      <c r="UG65" s="82"/>
      <c r="UH65" s="82"/>
      <c r="UI65" s="82"/>
      <c r="UJ65" s="82"/>
      <c r="UK65" s="82"/>
      <c r="UL65" s="82"/>
      <c r="UM65" s="82"/>
      <c r="UN65" s="82"/>
      <c r="UO65" s="82"/>
      <c r="UP65" s="82"/>
      <c r="UQ65" s="82"/>
      <c r="UR65" s="82"/>
      <c r="US65" s="82"/>
      <c r="UT65" s="82"/>
      <c r="UU65" s="82"/>
      <c r="UV65" s="82"/>
      <c r="UW65" s="82"/>
      <c r="UX65" s="82"/>
      <c r="UY65" s="82"/>
      <c r="UZ65" s="82"/>
      <c r="VA65" s="82"/>
      <c r="VB65" s="82"/>
      <c r="VC65" s="82"/>
      <c r="VD65" s="82"/>
      <c r="VE65" s="82"/>
      <c r="VF65" s="82"/>
      <c r="VG65" s="82"/>
      <c r="VH65" s="82"/>
      <c r="VI65" s="82"/>
      <c r="VJ65" s="82"/>
      <c r="VK65" s="82"/>
      <c r="VL65" s="82"/>
      <c r="VM65" s="82"/>
      <c r="VN65" s="82"/>
      <c r="VO65" s="82"/>
      <c r="VP65" s="82"/>
      <c r="VQ65" s="82"/>
      <c r="VR65" s="82"/>
      <c r="VS65" s="82"/>
      <c r="VT65" s="82"/>
      <c r="VU65" s="82"/>
      <c r="VV65" s="82"/>
      <c r="VW65" s="82"/>
      <c r="VX65" s="82"/>
      <c r="VY65" s="82"/>
      <c r="VZ65" s="82"/>
      <c r="WA65" s="82"/>
      <c r="WB65" s="82"/>
      <c r="WC65" s="82"/>
      <c r="WD65" s="82"/>
      <c r="WE65" s="82"/>
      <c r="WF65" s="82"/>
      <c r="WG65" s="82"/>
      <c r="WH65" s="82"/>
      <c r="WI65" s="82"/>
      <c r="WJ65" s="82"/>
      <c r="WK65" s="82"/>
      <c r="WL65" s="82"/>
      <c r="WM65" s="82"/>
      <c r="WN65" s="82"/>
      <c r="WO65" s="82"/>
      <c r="WP65" s="82"/>
      <c r="WQ65" s="82"/>
      <c r="WR65" s="82"/>
      <c r="WS65" s="82"/>
      <c r="WT65" s="82"/>
      <c r="WU65" s="82"/>
      <c r="WV65" s="82"/>
      <c r="WW65" s="82"/>
      <c r="WX65" s="82"/>
      <c r="WY65" s="82"/>
      <c r="WZ65" s="82"/>
      <c r="XA65" s="82"/>
      <c r="XB65" s="82"/>
      <c r="XC65" s="82"/>
      <c r="XD65" s="82"/>
      <c r="XE65" s="82"/>
      <c r="XF65" s="82"/>
      <c r="XG65" s="82"/>
      <c r="XH65" s="82"/>
      <c r="XI65" s="82"/>
      <c r="XJ65" s="82"/>
      <c r="XK65" s="82"/>
      <c r="XL65" s="82"/>
      <c r="XM65" s="82"/>
      <c r="XN65" s="82"/>
      <c r="XO65" s="82"/>
      <c r="XP65" s="82"/>
      <c r="XQ65" s="82"/>
      <c r="XR65" s="82"/>
      <c r="XS65" s="82"/>
      <c r="XT65" s="82"/>
      <c r="XU65" s="82"/>
      <c r="XV65" s="82"/>
      <c r="XW65" s="82"/>
      <c r="XX65" s="82"/>
      <c r="XY65" s="82"/>
      <c r="XZ65" s="82"/>
      <c r="YA65" s="82"/>
      <c r="YB65" s="82"/>
      <c r="YC65" s="82"/>
      <c r="YD65" s="82"/>
      <c r="YE65" s="82"/>
      <c r="YF65" s="82"/>
      <c r="YG65" s="82"/>
      <c r="YH65" s="82"/>
      <c r="YI65" s="82"/>
      <c r="YJ65" s="82"/>
      <c r="YK65" s="82"/>
      <c r="YL65" s="82"/>
      <c r="YM65" s="82"/>
      <c r="YN65" s="82"/>
      <c r="YO65" s="82"/>
      <c r="YP65" s="82"/>
      <c r="YQ65" s="82"/>
      <c r="YR65" s="82"/>
      <c r="YS65" s="82"/>
      <c r="YT65" s="82"/>
      <c r="YU65" s="82"/>
      <c r="YV65" s="82"/>
      <c r="YW65" s="82"/>
      <c r="YX65" s="82"/>
      <c r="YY65" s="82"/>
      <c r="YZ65" s="82"/>
      <c r="ZA65" s="82"/>
      <c r="ZB65" s="82"/>
      <c r="ZC65" s="82"/>
      <c r="ZD65" s="82"/>
      <c r="ZE65" s="82"/>
      <c r="ZF65" s="82"/>
      <c r="ZG65" s="82"/>
      <c r="ZH65" s="82"/>
      <c r="ZI65" s="82"/>
      <c r="ZJ65" s="82"/>
      <c r="ZK65" s="82"/>
      <c r="ZL65" s="82"/>
      <c r="ZM65" s="82"/>
      <c r="ZN65" s="82"/>
      <c r="ZO65" s="82"/>
      <c r="ZP65" s="82"/>
      <c r="ZQ65" s="82"/>
      <c r="ZR65" s="82"/>
      <c r="ZS65" s="82"/>
      <c r="ZT65" s="82"/>
      <c r="ZU65" s="82"/>
      <c r="ZV65" s="82"/>
      <c r="ZW65" s="82"/>
      <c r="ZX65" s="82"/>
      <c r="ZY65" s="82"/>
      <c r="ZZ65" s="82"/>
      <c r="AAA65" s="82"/>
      <c r="AAB65" s="82"/>
      <c r="AAC65" s="82"/>
      <c r="AAD65" s="82"/>
      <c r="AAE65" s="82"/>
      <c r="AAF65" s="82"/>
      <c r="AAG65" s="82"/>
      <c r="AAH65" s="82"/>
      <c r="AAI65" s="82"/>
      <c r="AAJ65" s="82"/>
      <c r="AAK65" s="82"/>
      <c r="AAL65" s="82"/>
      <c r="AAM65" s="82"/>
      <c r="AAN65" s="82"/>
      <c r="AAO65" s="82"/>
      <c r="AAP65" s="82"/>
      <c r="AAQ65" s="82"/>
      <c r="AAR65" s="82"/>
      <c r="AAS65" s="82"/>
      <c r="AAT65" s="82"/>
      <c r="AAU65" s="82"/>
      <c r="AAV65" s="82"/>
      <c r="AAW65" s="82"/>
      <c r="AAX65" s="82"/>
      <c r="AAY65" s="82"/>
      <c r="AAZ65" s="82"/>
      <c r="ABA65" s="82"/>
      <c r="ABB65" s="82"/>
      <c r="ABC65" s="82"/>
      <c r="ABD65" s="82"/>
      <c r="ABE65" s="82"/>
      <c r="ABF65" s="82"/>
      <c r="ABG65" s="82"/>
      <c r="ABH65" s="82"/>
      <c r="ABI65" s="82"/>
      <c r="ABJ65" s="82"/>
      <c r="ABK65" s="82"/>
      <c r="ABL65" s="82"/>
      <c r="ABM65" s="82"/>
      <c r="ABN65" s="82"/>
      <c r="ABO65" s="82"/>
      <c r="ABP65" s="82"/>
      <c r="ABQ65" s="82"/>
      <c r="ABR65" s="82"/>
      <c r="ABS65" s="82"/>
      <c r="ABT65" s="82"/>
      <c r="ABU65" s="82"/>
      <c r="ABV65" s="82"/>
      <c r="ABW65" s="82"/>
      <c r="ABX65" s="82"/>
      <c r="ABY65" s="82"/>
      <c r="ABZ65" s="82"/>
      <c r="ACA65" s="82"/>
      <c r="ACB65" s="82"/>
      <c r="ACC65" s="82"/>
      <c r="ACD65" s="82"/>
      <c r="ACE65" s="82"/>
      <c r="ACF65" s="82"/>
      <c r="ACG65" s="82"/>
      <c r="ACH65" s="82"/>
      <c r="ACI65" s="82"/>
      <c r="ACJ65" s="82"/>
      <c r="ACK65" s="82"/>
      <c r="ACL65" s="82"/>
      <c r="ACM65" s="82"/>
      <c r="ACN65" s="82"/>
      <c r="ACO65" s="82"/>
      <c r="ACP65" s="82"/>
      <c r="ACQ65" s="82"/>
      <c r="ACR65" s="82"/>
      <c r="ACS65" s="82"/>
      <c r="ACT65" s="82"/>
      <c r="ACU65" s="82"/>
      <c r="ACV65" s="82"/>
      <c r="ACW65" s="82"/>
      <c r="ACX65" s="82"/>
      <c r="ACY65" s="82"/>
      <c r="ACZ65" s="82"/>
      <c r="ADA65" s="82"/>
      <c r="ADB65" s="82"/>
      <c r="ADC65" s="82"/>
      <c r="ADD65" s="82"/>
      <c r="ADE65" s="82"/>
      <c r="ADF65" s="82"/>
      <c r="ADG65" s="82"/>
      <c r="ADH65" s="82"/>
      <c r="ADI65" s="82"/>
      <c r="ADJ65" s="82"/>
      <c r="ADK65" s="82"/>
      <c r="ADL65" s="82"/>
      <c r="ADM65" s="82"/>
      <c r="ADN65" s="82"/>
      <c r="ADO65" s="82"/>
      <c r="ADP65" s="82"/>
      <c r="ADQ65" s="82"/>
      <c r="ADR65" s="82"/>
      <c r="ADS65" s="82"/>
      <c r="ADT65" s="82"/>
      <c r="ADU65" s="82"/>
      <c r="ADV65" s="82"/>
      <c r="ADW65" s="82"/>
      <c r="ADX65" s="82"/>
      <c r="ADY65" s="82"/>
      <c r="ADZ65" s="82"/>
      <c r="AEA65" s="82"/>
      <c r="AEB65" s="82"/>
      <c r="AEC65" s="82"/>
      <c r="AED65" s="82"/>
      <c r="AEE65" s="82"/>
      <c r="AEF65" s="82"/>
      <c r="AEG65" s="82"/>
      <c r="AEH65" s="82"/>
      <c r="AEI65" s="82"/>
      <c r="AEJ65" s="82"/>
      <c r="AEK65" s="82"/>
      <c r="AEL65" s="82"/>
      <c r="AEM65" s="82"/>
      <c r="AEN65" s="82"/>
      <c r="AEO65" s="82"/>
      <c r="AEP65" s="82"/>
      <c r="AEQ65" s="82"/>
      <c r="AER65" s="82"/>
      <c r="AES65" s="82"/>
      <c r="AET65" s="82"/>
      <c r="AEU65" s="82"/>
      <c r="AEV65" s="82"/>
      <c r="AEW65" s="82"/>
      <c r="AEX65" s="82"/>
      <c r="AEY65" s="82"/>
      <c r="AEZ65" s="82"/>
      <c r="AFA65" s="82"/>
      <c r="AFB65" s="82"/>
      <c r="AFC65" s="82"/>
      <c r="AFD65" s="82"/>
      <c r="AFE65" s="82"/>
      <c r="AFF65" s="82"/>
      <c r="AFG65" s="82"/>
      <c r="AFH65" s="82"/>
      <c r="AFI65" s="82"/>
      <c r="AFJ65" s="82"/>
      <c r="AFK65" s="82"/>
      <c r="AFL65" s="82"/>
      <c r="AFM65" s="82"/>
      <c r="AFN65" s="82"/>
      <c r="AFO65" s="82"/>
      <c r="AFP65" s="82"/>
      <c r="AFQ65" s="82"/>
      <c r="AFR65" s="82"/>
      <c r="AFS65" s="82"/>
      <c r="AFT65" s="82"/>
      <c r="AFU65" s="82"/>
      <c r="AFV65" s="82"/>
      <c r="AFW65" s="82"/>
      <c r="AFX65" s="82"/>
      <c r="AFY65" s="82"/>
      <c r="AFZ65" s="82"/>
      <c r="AGA65" s="82"/>
      <c r="AGB65" s="82"/>
      <c r="AGC65" s="82"/>
      <c r="AGD65" s="82"/>
      <c r="AGE65" s="82"/>
      <c r="AGF65" s="82"/>
      <c r="AGG65" s="82"/>
      <c r="AGH65" s="82"/>
      <c r="AGI65" s="82"/>
      <c r="AGJ65" s="82"/>
      <c r="AGK65" s="82"/>
      <c r="AGL65" s="82"/>
      <c r="AGM65" s="82"/>
      <c r="AGN65" s="82"/>
      <c r="AGO65" s="82"/>
      <c r="AGP65" s="82"/>
      <c r="AGQ65" s="82"/>
      <c r="AGR65" s="82"/>
      <c r="AGS65" s="82"/>
      <c r="AGT65" s="82"/>
      <c r="AGU65" s="82"/>
      <c r="AGV65" s="82"/>
      <c r="AGW65" s="82"/>
      <c r="AGX65" s="82"/>
      <c r="AGY65" s="82"/>
      <c r="AGZ65" s="82"/>
      <c r="AHA65" s="82"/>
      <c r="AHB65" s="82"/>
      <c r="AHC65" s="82"/>
      <c r="AHD65" s="82"/>
      <c r="AHE65" s="82"/>
      <c r="AHF65" s="82"/>
      <c r="AHG65" s="82"/>
      <c r="AHH65" s="82"/>
      <c r="AHI65" s="82"/>
      <c r="AHJ65" s="82"/>
      <c r="AHK65" s="82"/>
      <c r="AHL65" s="82"/>
      <c r="AHM65" s="82"/>
      <c r="AHN65" s="82"/>
      <c r="AHO65" s="82"/>
      <c r="AHP65" s="82"/>
      <c r="AHQ65" s="82"/>
      <c r="AHR65" s="82"/>
      <c r="AHS65" s="82"/>
      <c r="AHT65" s="82"/>
      <c r="AHU65" s="82"/>
      <c r="AHV65" s="82"/>
      <c r="AHW65" s="82"/>
      <c r="AHX65" s="82"/>
      <c r="AHY65" s="82"/>
      <c r="AHZ65" s="82"/>
      <c r="AIA65" s="82"/>
      <c r="AIB65" s="82"/>
      <c r="AIC65" s="82"/>
      <c r="AID65" s="82"/>
      <c r="AIE65" s="82"/>
      <c r="AIF65" s="82"/>
      <c r="AIG65" s="82"/>
      <c r="AIH65" s="82"/>
    </row>
    <row r="66" spans="1:918" s="99" customFormat="1" ht="22.5" x14ac:dyDescent="0.2">
      <c r="A66" s="98"/>
      <c r="B66" s="83" t="s">
        <v>309</v>
      </c>
      <c r="C66" s="91" t="s">
        <v>119</v>
      </c>
      <c r="D66" s="76"/>
      <c r="E66" s="76"/>
      <c r="F66" s="76"/>
      <c r="G66" s="76"/>
      <c r="H66" s="76"/>
      <c r="I66" s="76"/>
      <c r="J66" s="76"/>
      <c r="K66" s="76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82"/>
      <c r="W66" s="82"/>
      <c r="X66" s="82"/>
      <c r="Y66" s="82"/>
      <c r="Z66" s="82"/>
      <c r="AA66" s="82"/>
      <c r="AB66" s="82"/>
      <c r="AC66" s="82"/>
      <c r="AD66" s="82"/>
      <c r="AE66" s="82"/>
      <c r="AF66" s="82"/>
      <c r="AG66" s="82"/>
      <c r="AH66" s="82"/>
      <c r="AI66" s="82"/>
      <c r="AJ66" s="82"/>
      <c r="AK66" s="82"/>
      <c r="AL66" s="82"/>
      <c r="AM66" s="82"/>
      <c r="AN66" s="82"/>
      <c r="AO66" s="82"/>
      <c r="AP66" s="82"/>
      <c r="AQ66" s="82"/>
      <c r="AR66" s="82"/>
      <c r="AS66" s="82"/>
      <c r="AT66" s="82"/>
      <c r="AU66" s="82"/>
      <c r="AV66" s="82"/>
      <c r="AW66" s="82"/>
      <c r="AX66" s="82"/>
      <c r="AY66" s="82"/>
      <c r="AZ66" s="82"/>
      <c r="BA66" s="82"/>
      <c r="BB66" s="82"/>
      <c r="BC66" s="82"/>
      <c r="BD66" s="82"/>
      <c r="BE66" s="82"/>
      <c r="BF66" s="82"/>
      <c r="BG66" s="82"/>
      <c r="BH66" s="82"/>
      <c r="BI66" s="82"/>
      <c r="BJ66" s="82"/>
      <c r="BK66" s="82"/>
      <c r="BL66" s="82"/>
      <c r="BM66" s="82"/>
      <c r="BN66" s="82"/>
      <c r="BO66" s="82"/>
      <c r="BP66" s="82"/>
      <c r="BQ66" s="82"/>
      <c r="BR66" s="82"/>
      <c r="BS66" s="82"/>
      <c r="BT66" s="82"/>
      <c r="BU66" s="82"/>
      <c r="BV66" s="82"/>
      <c r="BW66" s="82"/>
      <c r="BX66" s="82"/>
      <c r="BY66" s="82"/>
      <c r="BZ66" s="82"/>
      <c r="CA66" s="82"/>
      <c r="CB66" s="82"/>
      <c r="CC66" s="82"/>
      <c r="CD66" s="82"/>
      <c r="CE66" s="82"/>
      <c r="CF66" s="82"/>
      <c r="CG66" s="82"/>
      <c r="CH66" s="82"/>
      <c r="CI66" s="82"/>
      <c r="CJ66" s="82"/>
      <c r="CK66" s="82"/>
      <c r="CL66" s="82"/>
      <c r="CM66" s="82"/>
      <c r="CN66" s="82"/>
      <c r="CO66" s="82"/>
      <c r="CP66" s="82"/>
      <c r="CQ66" s="82"/>
      <c r="CR66" s="82"/>
      <c r="CS66" s="82"/>
      <c r="CT66" s="82"/>
      <c r="CU66" s="82"/>
      <c r="CV66" s="82"/>
      <c r="CW66" s="82"/>
      <c r="CX66" s="82"/>
      <c r="CY66" s="82"/>
      <c r="CZ66" s="82"/>
      <c r="DA66" s="82"/>
      <c r="DB66" s="82"/>
      <c r="DC66" s="82"/>
      <c r="DD66" s="82"/>
      <c r="DE66" s="82"/>
      <c r="DF66" s="82"/>
      <c r="DG66" s="82"/>
      <c r="DH66" s="82"/>
      <c r="DI66" s="82"/>
      <c r="DJ66" s="82"/>
      <c r="DK66" s="82"/>
      <c r="DL66" s="82"/>
      <c r="DM66" s="82"/>
      <c r="DN66" s="82"/>
      <c r="DO66" s="82"/>
      <c r="DP66" s="82"/>
      <c r="DQ66" s="82"/>
      <c r="DR66" s="82"/>
      <c r="DS66" s="82"/>
      <c r="DT66" s="82"/>
      <c r="DU66" s="82"/>
      <c r="DV66" s="82"/>
      <c r="DW66" s="82"/>
      <c r="DX66" s="82"/>
      <c r="DY66" s="82"/>
      <c r="DZ66" s="82"/>
      <c r="EA66" s="82"/>
      <c r="EB66" s="82"/>
      <c r="EC66" s="82"/>
      <c r="ED66" s="82"/>
      <c r="EE66" s="82"/>
      <c r="EF66" s="82"/>
      <c r="EG66" s="82"/>
      <c r="EH66" s="82"/>
      <c r="EI66" s="82"/>
      <c r="EJ66" s="82"/>
      <c r="EK66" s="82"/>
      <c r="EL66" s="82"/>
      <c r="EM66" s="82"/>
      <c r="EN66" s="82"/>
      <c r="EO66" s="82"/>
      <c r="EP66" s="82"/>
      <c r="EQ66" s="82"/>
      <c r="ER66" s="82"/>
      <c r="ES66" s="82"/>
      <c r="ET66" s="82"/>
      <c r="EU66" s="82"/>
      <c r="EV66" s="82"/>
      <c r="EW66" s="82"/>
      <c r="EX66" s="82"/>
      <c r="EY66" s="82"/>
      <c r="EZ66" s="82"/>
      <c r="FA66" s="82"/>
      <c r="FB66" s="82"/>
      <c r="FC66" s="82"/>
      <c r="FD66" s="82"/>
      <c r="FE66" s="82"/>
      <c r="FF66" s="82"/>
      <c r="FG66" s="82"/>
      <c r="FH66" s="82"/>
      <c r="FI66" s="82"/>
      <c r="FJ66" s="82"/>
      <c r="FK66" s="82"/>
      <c r="FL66" s="82"/>
      <c r="FM66" s="82"/>
      <c r="FN66" s="82"/>
      <c r="FO66" s="82"/>
      <c r="FP66" s="82"/>
      <c r="FQ66" s="82"/>
      <c r="FR66" s="82"/>
      <c r="FS66" s="82"/>
      <c r="FT66" s="82"/>
      <c r="FU66" s="82"/>
      <c r="FV66" s="82"/>
      <c r="FW66" s="82"/>
      <c r="FX66" s="82"/>
      <c r="FY66" s="82"/>
      <c r="FZ66" s="82"/>
      <c r="GA66" s="82"/>
      <c r="GB66" s="82"/>
      <c r="GC66" s="82"/>
      <c r="GD66" s="82"/>
      <c r="GE66" s="82"/>
      <c r="GF66" s="82"/>
      <c r="GG66" s="82"/>
      <c r="GH66" s="82"/>
      <c r="GI66" s="82"/>
      <c r="GJ66" s="82"/>
      <c r="GK66" s="82"/>
      <c r="GL66" s="82"/>
      <c r="GM66" s="82"/>
      <c r="GN66" s="82"/>
      <c r="GO66" s="82"/>
      <c r="GP66" s="82"/>
      <c r="GQ66" s="82"/>
      <c r="GR66" s="82"/>
      <c r="GS66" s="82"/>
      <c r="GT66" s="82"/>
      <c r="GU66" s="82"/>
      <c r="GV66" s="82"/>
      <c r="GW66" s="82"/>
      <c r="GX66" s="82"/>
      <c r="GY66" s="82"/>
      <c r="GZ66" s="82"/>
      <c r="HA66" s="82"/>
      <c r="HB66" s="82"/>
      <c r="HC66" s="82"/>
      <c r="HD66" s="82"/>
      <c r="HE66" s="82"/>
      <c r="HF66" s="82"/>
      <c r="HG66" s="82"/>
      <c r="HH66" s="82"/>
      <c r="HI66" s="82"/>
      <c r="HJ66" s="82"/>
      <c r="HK66" s="82"/>
      <c r="HL66" s="82"/>
      <c r="HM66" s="82"/>
      <c r="HN66" s="82"/>
      <c r="HO66" s="82"/>
      <c r="HP66" s="82"/>
      <c r="HQ66" s="82"/>
      <c r="HR66" s="82"/>
      <c r="HS66" s="82"/>
      <c r="HT66" s="82"/>
      <c r="HU66" s="82"/>
      <c r="HV66" s="82"/>
      <c r="HW66" s="82"/>
      <c r="HX66" s="82"/>
      <c r="HY66" s="82"/>
      <c r="HZ66" s="82"/>
      <c r="IA66" s="82"/>
      <c r="IB66" s="82"/>
      <c r="IC66" s="82"/>
      <c r="ID66" s="82"/>
      <c r="IE66" s="82"/>
      <c r="IF66" s="82"/>
      <c r="IG66" s="82"/>
      <c r="IH66" s="82"/>
      <c r="II66" s="82"/>
      <c r="IJ66" s="82"/>
      <c r="IK66" s="82"/>
      <c r="IL66" s="82"/>
      <c r="IM66" s="82"/>
      <c r="IN66" s="82"/>
      <c r="IO66" s="82"/>
      <c r="IP66" s="82"/>
      <c r="IQ66" s="82"/>
      <c r="IR66" s="82"/>
      <c r="IS66" s="82"/>
      <c r="IT66" s="82"/>
      <c r="IU66" s="82"/>
      <c r="IV66" s="82"/>
      <c r="IW66" s="82"/>
      <c r="IX66" s="82"/>
      <c r="IY66" s="82"/>
      <c r="IZ66" s="82"/>
      <c r="JA66" s="82"/>
      <c r="JB66" s="82"/>
      <c r="JC66" s="82"/>
      <c r="JD66" s="82"/>
      <c r="JE66" s="82"/>
      <c r="JF66" s="82"/>
      <c r="JG66" s="82"/>
      <c r="JH66" s="82"/>
      <c r="JI66" s="82"/>
      <c r="JJ66" s="82"/>
      <c r="JK66" s="82"/>
      <c r="JL66" s="82"/>
      <c r="JM66" s="82"/>
      <c r="JN66" s="82"/>
      <c r="JO66" s="82"/>
      <c r="JP66" s="82"/>
      <c r="JQ66" s="82"/>
      <c r="JR66" s="82"/>
      <c r="JS66" s="82"/>
      <c r="JT66" s="82"/>
      <c r="JU66" s="82"/>
      <c r="JV66" s="82"/>
      <c r="JW66" s="82"/>
      <c r="JX66" s="82"/>
      <c r="JY66" s="82"/>
      <c r="JZ66" s="82"/>
      <c r="KA66" s="82"/>
      <c r="KB66" s="82"/>
      <c r="KC66" s="82"/>
      <c r="KD66" s="82"/>
      <c r="KE66" s="82"/>
      <c r="KF66" s="82"/>
      <c r="KG66" s="82"/>
      <c r="KH66" s="82"/>
      <c r="KI66" s="82"/>
      <c r="KJ66" s="82"/>
      <c r="KK66" s="82"/>
      <c r="KL66" s="82"/>
      <c r="KM66" s="82"/>
      <c r="KN66" s="82"/>
      <c r="KO66" s="82"/>
      <c r="KP66" s="82"/>
      <c r="KQ66" s="82"/>
      <c r="KR66" s="82"/>
      <c r="KS66" s="82"/>
      <c r="KT66" s="82"/>
      <c r="KU66" s="82"/>
      <c r="KV66" s="82"/>
      <c r="KW66" s="82"/>
      <c r="KX66" s="82"/>
      <c r="KY66" s="82"/>
      <c r="KZ66" s="82"/>
      <c r="LA66" s="82"/>
      <c r="LB66" s="82"/>
      <c r="LC66" s="82"/>
      <c r="LD66" s="82"/>
      <c r="LE66" s="82"/>
      <c r="LF66" s="82"/>
      <c r="LG66" s="82"/>
      <c r="LH66" s="82"/>
      <c r="LI66" s="82"/>
      <c r="LJ66" s="82"/>
      <c r="LK66" s="82"/>
      <c r="LL66" s="82"/>
      <c r="LM66" s="82"/>
      <c r="LN66" s="82"/>
      <c r="LO66" s="82"/>
      <c r="LP66" s="82"/>
      <c r="LQ66" s="82"/>
      <c r="LR66" s="82"/>
      <c r="LS66" s="82"/>
      <c r="LT66" s="82"/>
      <c r="LU66" s="82"/>
      <c r="LV66" s="82"/>
      <c r="LW66" s="82"/>
      <c r="LX66" s="82"/>
      <c r="LY66" s="82"/>
      <c r="LZ66" s="82"/>
      <c r="MA66" s="82"/>
      <c r="MB66" s="82"/>
      <c r="MC66" s="82"/>
      <c r="MD66" s="82"/>
      <c r="ME66" s="82"/>
      <c r="MF66" s="82"/>
      <c r="MG66" s="82"/>
      <c r="MH66" s="82"/>
      <c r="MI66" s="82"/>
      <c r="MJ66" s="82"/>
      <c r="MK66" s="82"/>
      <c r="ML66" s="82"/>
      <c r="MM66" s="82"/>
      <c r="MN66" s="82"/>
      <c r="MO66" s="82"/>
      <c r="MP66" s="82"/>
      <c r="MQ66" s="82"/>
      <c r="MR66" s="82"/>
      <c r="MS66" s="82"/>
      <c r="MT66" s="82"/>
      <c r="MU66" s="82"/>
      <c r="MV66" s="82"/>
      <c r="MW66" s="82"/>
      <c r="MX66" s="82"/>
      <c r="MY66" s="82"/>
      <c r="MZ66" s="82"/>
      <c r="NA66" s="82"/>
      <c r="NB66" s="82"/>
      <c r="NC66" s="82"/>
      <c r="ND66" s="82"/>
      <c r="NE66" s="82"/>
      <c r="NF66" s="82"/>
      <c r="NG66" s="82"/>
      <c r="NH66" s="82"/>
      <c r="NI66" s="82"/>
      <c r="NJ66" s="82"/>
      <c r="NK66" s="82"/>
      <c r="NL66" s="82"/>
      <c r="NM66" s="82"/>
      <c r="NN66" s="82"/>
      <c r="NO66" s="82"/>
      <c r="NP66" s="82"/>
      <c r="NQ66" s="82"/>
      <c r="NR66" s="82"/>
      <c r="NS66" s="82"/>
      <c r="NT66" s="82"/>
      <c r="NU66" s="82"/>
      <c r="NV66" s="82"/>
      <c r="NW66" s="82"/>
      <c r="NX66" s="82"/>
      <c r="NY66" s="82"/>
      <c r="NZ66" s="82"/>
      <c r="OA66" s="82"/>
      <c r="OB66" s="82"/>
      <c r="OC66" s="82"/>
      <c r="OD66" s="82"/>
      <c r="OE66" s="82"/>
      <c r="OF66" s="82"/>
      <c r="OG66" s="82"/>
      <c r="OH66" s="82"/>
      <c r="OI66" s="82"/>
      <c r="OJ66" s="82"/>
      <c r="OK66" s="82"/>
      <c r="OL66" s="82"/>
      <c r="OM66" s="82"/>
      <c r="ON66" s="82"/>
      <c r="OO66" s="82"/>
      <c r="OP66" s="82"/>
      <c r="OQ66" s="82"/>
      <c r="OR66" s="82"/>
      <c r="OS66" s="82"/>
      <c r="OT66" s="82"/>
      <c r="OU66" s="82"/>
      <c r="OV66" s="82"/>
      <c r="OW66" s="82"/>
      <c r="OX66" s="82"/>
      <c r="OY66" s="82"/>
      <c r="OZ66" s="82"/>
      <c r="PA66" s="82"/>
      <c r="PB66" s="82"/>
      <c r="PC66" s="82"/>
      <c r="PD66" s="82"/>
      <c r="PE66" s="82"/>
      <c r="PF66" s="82"/>
      <c r="PG66" s="82"/>
      <c r="PH66" s="82"/>
      <c r="PI66" s="82"/>
      <c r="PJ66" s="82"/>
      <c r="PK66" s="82"/>
      <c r="PL66" s="82"/>
      <c r="PM66" s="82"/>
      <c r="PN66" s="82"/>
      <c r="PO66" s="82"/>
      <c r="PP66" s="82"/>
      <c r="PQ66" s="82"/>
      <c r="PR66" s="82"/>
      <c r="PS66" s="82"/>
      <c r="PT66" s="82"/>
      <c r="PU66" s="82"/>
      <c r="PV66" s="82"/>
      <c r="PW66" s="82"/>
      <c r="PX66" s="82"/>
      <c r="PY66" s="82"/>
      <c r="PZ66" s="82"/>
      <c r="QA66" s="82"/>
      <c r="QB66" s="82"/>
      <c r="QC66" s="82"/>
      <c r="QD66" s="82"/>
      <c r="QE66" s="82"/>
      <c r="QF66" s="82"/>
      <c r="QG66" s="82"/>
      <c r="QH66" s="82"/>
      <c r="QI66" s="82"/>
      <c r="QJ66" s="82"/>
      <c r="QK66" s="82"/>
      <c r="QL66" s="82"/>
      <c r="QM66" s="82"/>
      <c r="QN66" s="82"/>
      <c r="QO66" s="82"/>
      <c r="QP66" s="82"/>
      <c r="QQ66" s="82"/>
      <c r="QR66" s="82"/>
      <c r="QS66" s="82"/>
      <c r="QT66" s="82"/>
      <c r="QU66" s="82"/>
      <c r="QV66" s="82"/>
      <c r="QW66" s="82"/>
      <c r="QX66" s="82"/>
      <c r="QY66" s="82"/>
      <c r="QZ66" s="82"/>
      <c r="RA66" s="82"/>
      <c r="RB66" s="82"/>
      <c r="RC66" s="82"/>
      <c r="RD66" s="82"/>
      <c r="RE66" s="82"/>
      <c r="RF66" s="82"/>
      <c r="RG66" s="82"/>
      <c r="RH66" s="82"/>
      <c r="RI66" s="82"/>
      <c r="RJ66" s="82"/>
      <c r="RK66" s="82"/>
      <c r="RL66" s="82"/>
      <c r="RM66" s="82"/>
      <c r="RN66" s="82"/>
      <c r="RO66" s="82"/>
      <c r="RP66" s="82"/>
      <c r="RQ66" s="82"/>
      <c r="RR66" s="82"/>
      <c r="RS66" s="82"/>
      <c r="RT66" s="82"/>
      <c r="RU66" s="82"/>
      <c r="RV66" s="82"/>
      <c r="RW66" s="82"/>
      <c r="RX66" s="82"/>
      <c r="RY66" s="82"/>
      <c r="RZ66" s="82"/>
      <c r="SA66" s="82"/>
      <c r="SB66" s="82"/>
      <c r="SC66" s="82"/>
      <c r="SD66" s="82"/>
      <c r="SE66" s="82"/>
      <c r="SF66" s="82"/>
      <c r="SG66" s="82"/>
      <c r="SH66" s="82"/>
      <c r="SI66" s="82"/>
      <c r="SJ66" s="82"/>
      <c r="SK66" s="82"/>
      <c r="SL66" s="82"/>
      <c r="SM66" s="82"/>
      <c r="SN66" s="82"/>
      <c r="SO66" s="82"/>
      <c r="SP66" s="82"/>
      <c r="SQ66" s="82"/>
      <c r="SR66" s="82"/>
      <c r="SS66" s="82"/>
      <c r="ST66" s="82"/>
      <c r="SU66" s="82"/>
      <c r="SV66" s="82"/>
      <c r="SW66" s="82"/>
      <c r="SX66" s="82"/>
      <c r="SY66" s="82"/>
      <c r="SZ66" s="82"/>
      <c r="TA66" s="82"/>
      <c r="TB66" s="82"/>
      <c r="TC66" s="82"/>
      <c r="TD66" s="82"/>
      <c r="TE66" s="82"/>
      <c r="TF66" s="82"/>
      <c r="TG66" s="82"/>
      <c r="TH66" s="82"/>
      <c r="TI66" s="82"/>
      <c r="TJ66" s="82"/>
      <c r="TK66" s="82"/>
      <c r="TL66" s="82"/>
      <c r="TM66" s="82"/>
      <c r="TN66" s="82"/>
      <c r="TO66" s="82"/>
      <c r="TP66" s="82"/>
      <c r="TQ66" s="82"/>
      <c r="TR66" s="82"/>
      <c r="TS66" s="82"/>
      <c r="TT66" s="82"/>
      <c r="TU66" s="82"/>
      <c r="TV66" s="82"/>
      <c r="TW66" s="82"/>
      <c r="TX66" s="82"/>
      <c r="TY66" s="82"/>
      <c r="TZ66" s="82"/>
      <c r="UA66" s="82"/>
      <c r="UB66" s="82"/>
      <c r="UC66" s="82"/>
      <c r="UD66" s="82"/>
      <c r="UE66" s="82"/>
      <c r="UF66" s="82"/>
      <c r="UG66" s="82"/>
      <c r="UH66" s="82"/>
      <c r="UI66" s="82"/>
      <c r="UJ66" s="82"/>
      <c r="UK66" s="82"/>
      <c r="UL66" s="82"/>
      <c r="UM66" s="82"/>
      <c r="UN66" s="82"/>
      <c r="UO66" s="82"/>
      <c r="UP66" s="82"/>
      <c r="UQ66" s="82"/>
      <c r="UR66" s="82"/>
      <c r="US66" s="82"/>
      <c r="UT66" s="82"/>
      <c r="UU66" s="82"/>
      <c r="UV66" s="82"/>
      <c r="UW66" s="82"/>
      <c r="UX66" s="82"/>
      <c r="UY66" s="82"/>
      <c r="UZ66" s="82"/>
      <c r="VA66" s="82"/>
      <c r="VB66" s="82"/>
      <c r="VC66" s="82"/>
      <c r="VD66" s="82"/>
      <c r="VE66" s="82"/>
      <c r="VF66" s="82"/>
      <c r="VG66" s="82"/>
      <c r="VH66" s="82"/>
      <c r="VI66" s="82"/>
      <c r="VJ66" s="82"/>
      <c r="VK66" s="82"/>
      <c r="VL66" s="82"/>
      <c r="VM66" s="82"/>
      <c r="VN66" s="82"/>
      <c r="VO66" s="82"/>
      <c r="VP66" s="82"/>
      <c r="VQ66" s="82"/>
      <c r="VR66" s="82"/>
      <c r="VS66" s="82"/>
      <c r="VT66" s="82"/>
      <c r="VU66" s="82"/>
      <c r="VV66" s="82"/>
      <c r="VW66" s="82"/>
      <c r="VX66" s="82"/>
      <c r="VY66" s="82"/>
      <c r="VZ66" s="82"/>
      <c r="WA66" s="82"/>
      <c r="WB66" s="82"/>
      <c r="WC66" s="82"/>
      <c r="WD66" s="82"/>
      <c r="WE66" s="82"/>
      <c r="WF66" s="82"/>
      <c r="WG66" s="82"/>
      <c r="WH66" s="82"/>
      <c r="WI66" s="82"/>
      <c r="WJ66" s="82"/>
      <c r="WK66" s="82"/>
      <c r="WL66" s="82"/>
      <c r="WM66" s="82"/>
      <c r="WN66" s="82"/>
      <c r="WO66" s="82"/>
      <c r="WP66" s="82"/>
      <c r="WQ66" s="82"/>
      <c r="WR66" s="82"/>
      <c r="WS66" s="82"/>
      <c r="WT66" s="82"/>
      <c r="WU66" s="82"/>
      <c r="WV66" s="82"/>
      <c r="WW66" s="82"/>
      <c r="WX66" s="82"/>
      <c r="WY66" s="82"/>
      <c r="WZ66" s="82"/>
      <c r="XA66" s="82"/>
      <c r="XB66" s="82"/>
      <c r="XC66" s="82"/>
      <c r="XD66" s="82"/>
      <c r="XE66" s="82"/>
      <c r="XF66" s="82"/>
      <c r="XG66" s="82"/>
      <c r="XH66" s="82"/>
      <c r="XI66" s="82"/>
      <c r="XJ66" s="82"/>
      <c r="XK66" s="82"/>
      <c r="XL66" s="82"/>
      <c r="XM66" s="82"/>
      <c r="XN66" s="82"/>
      <c r="XO66" s="82"/>
      <c r="XP66" s="82"/>
      <c r="XQ66" s="82"/>
      <c r="XR66" s="82"/>
      <c r="XS66" s="82"/>
      <c r="XT66" s="82"/>
      <c r="XU66" s="82"/>
      <c r="XV66" s="82"/>
      <c r="XW66" s="82"/>
      <c r="XX66" s="82"/>
      <c r="XY66" s="82"/>
      <c r="XZ66" s="82"/>
      <c r="YA66" s="82"/>
      <c r="YB66" s="82"/>
      <c r="YC66" s="82"/>
      <c r="YD66" s="82"/>
      <c r="YE66" s="82"/>
      <c r="YF66" s="82"/>
      <c r="YG66" s="82"/>
      <c r="YH66" s="82"/>
      <c r="YI66" s="82"/>
      <c r="YJ66" s="82"/>
      <c r="YK66" s="82"/>
      <c r="YL66" s="82"/>
      <c r="YM66" s="82"/>
      <c r="YN66" s="82"/>
      <c r="YO66" s="82"/>
      <c r="YP66" s="82"/>
      <c r="YQ66" s="82"/>
      <c r="YR66" s="82"/>
      <c r="YS66" s="82"/>
      <c r="YT66" s="82"/>
      <c r="YU66" s="82"/>
      <c r="YV66" s="82"/>
      <c r="YW66" s="82"/>
      <c r="YX66" s="82"/>
      <c r="YY66" s="82"/>
      <c r="YZ66" s="82"/>
      <c r="ZA66" s="82"/>
      <c r="ZB66" s="82"/>
      <c r="ZC66" s="82"/>
      <c r="ZD66" s="82"/>
      <c r="ZE66" s="82"/>
      <c r="ZF66" s="82"/>
      <c r="ZG66" s="82"/>
      <c r="ZH66" s="82"/>
      <c r="ZI66" s="82"/>
      <c r="ZJ66" s="82"/>
      <c r="ZK66" s="82"/>
      <c r="ZL66" s="82"/>
      <c r="ZM66" s="82"/>
      <c r="ZN66" s="82"/>
      <c r="ZO66" s="82"/>
      <c r="ZP66" s="82"/>
      <c r="ZQ66" s="82"/>
      <c r="ZR66" s="82"/>
      <c r="ZS66" s="82"/>
      <c r="ZT66" s="82"/>
      <c r="ZU66" s="82"/>
      <c r="ZV66" s="82"/>
      <c r="ZW66" s="82"/>
      <c r="ZX66" s="82"/>
      <c r="ZY66" s="82"/>
      <c r="ZZ66" s="82"/>
      <c r="AAA66" s="82"/>
      <c r="AAB66" s="82"/>
      <c r="AAC66" s="82"/>
      <c r="AAD66" s="82"/>
      <c r="AAE66" s="82"/>
      <c r="AAF66" s="82"/>
      <c r="AAG66" s="82"/>
      <c r="AAH66" s="82"/>
      <c r="AAI66" s="82"/>
      <c r="AAJ66" s="82"/>
      <c r="AAK66" s="82"/>
      <c r="AAL66" s="82"/>
      <c r="AAM66" s="82"/>
      <c r="AAN66" s="82"/>
      <c r="AAO66" s="82"/>
      <c r="AAP66" s="82"/>
      <c r="AAQ66" s="82"/>
      <c r="AAR66" s="82"/>
      <c r="AAS66" s="82"/>
      <c r="AAT66" s="82"/>
      <c r="AAU66" s="82"/>
      <c r="AAV66" s="82"/>
      <c r="AAW66" s="82"/>
      <c r="AAX66" s="82"/>
      <c r="AAY66" s="82"/>
      <c r="AAZ66" s="82"/>
      <c r="ABA66" s="82"/>
      <c r="ABB66" s="82"/>
      <c r="ABC66" s="82"/>
      <c r="ABD66" s="82"/>
      <c r="ABE66" s="82"/>
      <c r="ABF66" s="82"/>
      <c r="ABG66" s="82"/>
      <c r="ABH66" s="82"/>
      <c r="ABI66" s="82"/>
      <c r="ABJ66" s="82"/>
      <c r="ABK66" s="82"/>
      <c r="ABL66" s="82"/>
      <c r="ABM66" s="82"/>
      <c r="ABN66" s="82"/>
      <c r="ABO66" s="82"/>
      <c r="ABP66" s="82"/>
      <c r="ABQ66" s="82"/>
      <c r="ABR66" s="82"/>
      <c r="ABS66" s="82"/>
      <c r="ABT66" s="82"/>
      <c r="ABU66" s="82"/>
      <c r="ABV66" s="82"/>
      <c r="ABW66" s="82"/>
      <c r="ABX66" s="82"/>
      <c r="ABY66" s="82"/>
      <c r="ABZ66" s="82"/>
      <c r="ACA66" s="82"/>
      <c r="ACB66" s="82"/>
      <c r="ACC66" s="82"/>
      <c r="ACD66" s="82"/>
      <c r="ACE66" s="82"/>
      <c r="ACF66" s="82"/>
      <c r="ACG66" s="82"/>
      <c r="ACH66" s="82"/>
      <c r="ACI66" s="82"/>
      <c r="ACJ66" s="82"/>
      <c r="ACK66" s="82"/>
      <c r="ACL66" s="82"/>
      <c r="ACM66" s="82"/>
      <c r="ACN66" s="82"/>
      <c r="ACO66" s="82"/>
      <c r="ACP66" s="82"/>
      <c r="ACQ66" s="82"/>
      <c r="ACR66" s="82"/>
      <c r="ACS66" s="82"/>
      <c r="ACT66" s="82"/>
      <c r="ACU66" s="82"/>
      <c r="ACV66" s="82"/>
      <c r="ACW66" s="82"/>
      <c r="ACX66" s="82"/>
      <c r="ACY66" s="82"/>
      <c r="ACZ66" s="82"/>
      <c r="ADA66" s="82"/>
      <c r="ADB66" s="82"/>
      <c r="ADC66" s="82"/>
      <c r="ADD66" s="82"/>
      <c r="ADE66" s="82"/>
      <c r="ADF66" s="82"/>
      <c r="ADG66" s="82"/>
      <c r="ADH66" s="82"/>
      <c r="ADI66" s="82"/>
      <c r="ADJ66" s="82"/>
      <c r="ADK66" s="82"/>
      <c r="ADL66" s="82"/>
      <c r="ADM66" s="82"/>
      <c r="ADN66" s="82"/>
      <c r="ADO66" s="82"/>
      <c r="ADP66" s="82"/>
      <c r="ADQ66" s="82"/>
      <c r="ADR66" s="82"/>
      <c r="ADS66" s="82"/>
      <c r="ADT66" s="82"/>
      <c r="ADU66" s="82"/>
      <c r="ADV66" s="82"/>
      <c r="ADW66" s="82"/>
      <c r="ADX66" s="82"/>
      <c r="ADY66" s="82"/>
      <c r="ADZ66" s="82"/>
      <c r="AEA66" s="82"/>
      <c r="AEB66" s="82"/>
      <c r="AEC66" s="82"/>
      <c r="AED66" s="82"/>
      <c r="AEE66" s="82"/>
      <c r="AEF66" s="82"/>
      <c r="AEG66" s="82"/>
      <c r="AEH66" s="82"/>
      <c r="AEI66" s="82"/>
      <c r="AEJ66" s="82"/>
      <c r="AEK66" s="82"/>
      <c r="AEL66" s="82"/>
      <c r="AEM66" s="82"/>
      <c r="AEN66" s="82"/>
      <c r="AEO66" s="82"/>
      <c r="AEP66" s="82"/>
      <c r="AEQ66" s="82"/>
      <c r="AER66" s="82"/>
      <c r="AES66" s="82"/>
      <c r="AET66" s="82"/>
      <c r="AEU66" s="82"/>
      <c r="AEV66" s="82"/>
      <c r="AEW66" s="82"/>
      <c r="AEX66" s="82"/>
      <c r="AEY66" s="82"/>
      <c r="AEZ66" s="82"/>
      <c r="AFA66" s="82"/>
      <c r="AFB66" s="82"/>
      <c r="AFC66" s="82"/>
      <c r="AFD66" s="82"/>
      <c r="AFE66" s="82"/>
      <c r="AFF66" s="82"/>
      <c r="AFG66" s="82"/>
      <c r="AFH66" s="82"/>
      <c r="AFI66" s="82"/>
      <c r="AFJ66" s="82"/>
      <c r="AFK66" s="82"/>
      <c r="AFL66" s="82"/>
      <c r="AFM66" s="82"/>
      <c r="AFN66" s="82"/>
      <c r="AFO66" s="82"/>
      <c r="AFP66" s="82"/>
      <c r="AFQ66" s="82"/>
      <c r="AFR66" s="82"/>
      <c r="AFS66" s="82"/>
      <c r="AFT66" s="82"/>
      <c r="AFU66" s="82"/>
      <c r="AFV66" s="82"/>
      <c r="AFW66" s="82"/>
      <c r="AFX66" s="82"/>
      <c r="AFY66" s="82"/>
      <c r="AFZ66" s="82"/>
      <c r="AGA66" s="82"/>
      <c r="AGB66" s="82"/>
      <c r="AGC66" s="82"/>
      <c r="AGD66" s="82"/>
      <c r="AGE66" s="82"/>
      <c r="AGF66" s="82"/>
      <c r="AGG66" s="82"/>
      <c r="AGH66" s="82"/>
      <c r="AGI66" s="82"/>
      <c r="AGJ66" s="82"/>
      <c r="AGK66" s="82"/>
      <c r="AGL66" s="82"/>
      <c r="AGM66" s="82"/>
      <c r="AGN66" s="82"/>
      <c r="AGO66" s="82"/>
      <c r="AGP66" s="82"/>
      <c r="AGQ66" s="82"/>
      <c r="AGR66" s="82"/>
      <c r="AGS66" s="82"/>
      <c r="AGT66" s="82"/>
      <c r="AGU66" s="82"/>
      <c r="AGV66" s="82"/>
      <c r="AGW66" s="82"/>
      <c r="AGX66" s="82"/>
      <c r="AGY66" s="82"/>
      <c r="AGZ66" s="82"/>
      <c r="AHA66" s="82"/>
      <c r="AHB66" s="82"/>
      <c r="AHC66" s="82"/>
      <c r="AHD66" s="82"/>
      <c r="AHE66" s="82"/>
      <c r="AHF66" s="82"/>
      <c r="AHG66" s="82"/>
      <c r="AHH66" s="82"/>
      <c r="AHI66" s="82"/>
      <c r="AHJ66" s="82"/>
      <c r="AHK66" s="82"/>
      <c r="AHL66" s="82"/>
      <c r="AHM66" s="82"/>
      <c r="AHN66" s="82"/>
      <c r="AHO66" s="82"/>
      <c r="AHP66" s="82"/>
      <c r="AHQ66" s="82"/>
      <c r="AHR66" s="82"/>
      <c r="AHS66" s="82"/>
      <c r="AHT66" s="82"/>
      <c r="AHU66" s="82"/>
      <c r="AHV66" s="82"/>
      <c r="AHW66" s="82"/>
      <c r="AHX66" s="82"/>
      <c r="AHY66" s="82"/>
      <c r="AHZ66" s="82"/>
      <c r="AIA66" s="82"/>
      <c r="AIB66" s="82"/>
      <c r="AIC66" s="82"/>
      <c r="AID66" s="82"/>
      <c r="AIE66" s="82"/>
      <c r="AIF66" s="82"/>
      <c r="AIG66" s="82"/>
      <c r="AIH66" s="82"/>
    </row>
    <row r="67" spans="1:918" s="99" customFormat="1" x14ac:dyDescent="0.2">
      <c r="A67" s="98"/>
      <c r="B67" s="83"/>
      <c r="C67" s="91"/>
      <c r="D67" s="76"/>
      <c r="E67" s="76"/>
      <c r="F67" s="76"/>
      <c r="G67" s="76"/>
      <c r="H67" s="76"/>
      <c r="I67" s="76"/>
      <c r="J67" s="76"/>
      <c r="K67" s="76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2"/>
      <c r="Z67" s="82"/>
      <c r="AA67" s="82"/>
      <c r="AB67" s="82"/>
      <c r="AC67" s="82"/>
      <c r="AD67" s="82"/>
      <c r="AE67" s="82"/>
      <c r="AF67" s="82"/>
      <c r="AG67" s="82"/>
      <c r="AH67" s="82"/>
      <c r="AI67" s="82"/>
      <c r="AJ67" s="82"/>
      <c r="AK67" s="82"/>
      <c r="AL67" s="82"/>
      <c r="AM67" s="82"/>
      <c r="AN67" s="82"/>
      <c r="AO67" s="82"/>
      <c r="AP67" s="82"/>
      <c r="AQ67" s="82"/>
      <c r="AR67" s="82"/>
      <c r="AS67" s="82"/>
      <c r="AT67" s="82"/>
      <c r="AU67" s="82"/>
      <c r="AV67" s="82"/>
      <c r="AW67" s="82"/>
      <c r="AX67" s="82"/>
      <c r="AY67" s="82"/>
      <c r="AZ67" s="82"/>
      <c r="BA67" s="82"/>
      <c r="BB67" s="82"/>
      <c r="BC67" s="82"/>
      <c r="BD67" s="82"/>
      <c r="BE67" s="82"/>
      <c r="BF67" s="82"/>
      <c r="BG67" s="82"/>
      <c r="BH67" s="82"/>
      <c r="BI67" s="82"/>
      <c r="BJ67" s="82"/>
      <c r="BK67" s="82"/>
      <c r="BL67" s="82"/>
      <c r="BM67" s="82"/>
      <c r="BN67" s="82"/>
      <c r="BO67" s="82"/>
      <c r="BP67" s="82"/>
      <c r="BQ67" s="82"/>
      <c r="BR67" s="82"/>
      <c r="BS67" s="82"/>
      <c r="BT67" s="82"/>
      <c r="BU67" s="82"/>
      <c r="BV67" s="82"/>
      <c r="BW67" s="82"/>
      <c r="BX67" s="82"/>
      <c r="BY67" s="82"/>
      <c r="BZ67" s="82"/>
      <c r="CA67" s="82"/>
      <c r="CB67" s="82"/>
      <c r="CC67" s="82"/>
      <c r="CD67" s="82"/>
      <c r="CE67" s="82"/>
      <c r="CF67" s="82"/>
      <c r="CG67" s="82"/>
      <c r="CH67" s="82"/>
      <c r="CI67" s="82"/>
      <c r="CJ67" s="82"/>
      <c r="CK67" s="82"/>
      <c r="CL67" s="82"/>
      <c r="CM67" s="82"/>
      <c r="CN67" s="82"/>
      <c r="CO67" s="82"/>
      <c r="CP67" s="82"/>
      <c r="CQ67" s="82"/>
      <c r="CR67" s="82"/>
      <c r="CS67" s="82"/>
      <c r="CT67" s="82"/>
      <c r="CU67" s="82"/>
      <c r="CV67" s="82"/>
      <c r="CW67" s="82"/>
      <c r="CX67" s="82"/>
      <c r="CY67" s="82"/>
      <c r="CZ67" s="82"/>
      <c r="DA67" s="82"/>
      <c r="DB67" s="82"/>
      <c r="DC67" s="82"/>
      <c r="DD67" s="82"/>
      <c r="DE67" s="82"/>
      <c r="DF67" s="82"/>
      <c r="DG67" s="82"/>
      <c r="DH67" s="82"/>
      <c r="DI67" s="82"/>
      <c r="DJ67" s="82"/>
      <c r="DK67" s="82"/>
      <c r="DL67" s="82"/>
      <c r="DM67" s="82"/>
      <c r="DN67" s="82"/>
      <c r="DO67" s="82"/>
      <c r="DP67" s="82"/>
      <c r="DQ67" s="82"/>
      <c r="DR67" s="82"/>
      <c r="DS67" s="82"/>
      <c r="DT67" s="82"/>
      <c r="DU67" s="82"/>
      <c r="DV67" s="82"/>
      <c r="DW67" s="82"/>
      <c r="DX67" s="82"/>
      <c r="DY67" s="82"/>
      <c r="DZ67" s="82"/>
      <c r="EA67" s="82"/>
      <c r="EB67" s="82"/>
      <c r="EC67" s="82"/>
      <c r="ED67" s="82"/>
      <c r="EE67" s="82"/>
      <c r="EF67" s="82"/>
      <c r="EG67" s="82"/>
      <c r="EH67" s="82"/>
      <c r="EI67" s="82"/>
      <c r="EJ67" s="82"/>
      <c r="EK67" s="82"/>
      <c r="EL67" s="82"/>
      <c r="EM67" s="82"/>
      <c r="EN67" s="82"/>
      <c r="EO67" s="82"/>
      <c r="EP67" s="82"/>
      <c r="EQ67" s="82"/>
      <c r="ER67" s="82"/>
      <c r="ES67" s="82"/>
      <c r="ET67" s="82"/>
      <c r="EU67" s="82"/>
      <c r="EV67" s="82"/>
      <c r="EW67" s="82"/>
      <c r="EX67" s="82"/>
      <c r="EY67" s="82"/>
      <c r="EZ67" s="82"/>
      <c r="FA67" s="82"/>
      <c r="FB67" s="82"/>
      <c r="FC67" s="82"/>
      <c r="FD67" s="82"/>
      <c r="FE67" s="82"/>
      <c r="FF67" s="82"/>
      <c r="FG67" s="82"/>
      <c r="FH67" s="82"/>
      <c r="FI67" s="82"/>
      <c r="FJ67" s="82"/>
      <c r="FK67" s="82"/>
      <c r="FL67" s="82"/>
      <c r="FM67" s="82"/>
      <c r="FN67" s="82"/>
      <c r="FO67" s="82"/>
      <c r="FP67" s="82"/>
      <c r="FQ67" s="82"/>
      <c r="FR67" s="82"/>
      <c r="FS67" s="82"/>
      <c r="FT67" s="82"/>
      <c r="FU67" s="82"/>
      <c r="FV67" s="82"/>
      <c r="FW67" s="82"/>
      <c r="FX67" s="82"/>
      <c r="FY67" s="82"/>
      <c r="FZ67" s="82"/>
      <c r="GA67" s="82"/>
      <c r="GB67" s="82"/>
      <c r="GC67" s="82"/>
      <c r="GD67" s="82"/>
      <c r="GE67" s="82"/>
      <c r="GF67" s="82"/>
      <c r="GG67" s="82"/>
      <c r="GH67" s="82"/>
      <c r="GI67" s="82"/>
      <c r="GJ67" s="82"/>
      <c r="GK67" s="82"/>
      <c r="GL67" s="82"/>
      <c r="GM67" s="82"/>
      <c r="GN67" s="82"/>
      <c r="GO67" s="82"/>
      <c r="GP67" s="82"/>
      <c r="GQ67" s="82"/>
      <c r="GR67" s="82"/>
      <c r="GS67" s="82"/>
      <c r="GT67" s="82"/>
      <c r="GU67" s="82"/>
      <c r="GV67" s="82"/>
      <c r="GW67" s="82"/>
      <c r="GX67" s="82"/>
      <c r="GY67" s="82"/>
      <c r="GZ67" s="82"/>
      <c r="HA67" s="82"/>
      <c r="HB67" s="82"/>
      <c r="HC67" s="82"/>
      <c r="HD67" s="82"/>
      <c r="HE67" s="82"/>
      <c r="HF67" s="82"/>
      <c r="HG67" s="82"/>
      <c r="HH67" s="82"/>
      <c r="HI67" s="82"/>
      <c r="HJ67" s="82"/>
      <c r="HK67" s="82"/>
      <c r="HL67" s="82"/>
      <c r="HM67" s="82"/>
      <c r="HN67" s="82"/>
      <c r="HO67" s="82"/>
      <c r="HP67" s="82"/>
      <c r="HQ67" s="82"/>
      <c r="HR67" s="82"/>
      <c r="HS67" s="82"/>
      <c r="HT67" s="82"/>
      <c r="HU67" s="82"/>
      <c r="HV67" s="82"/>
      <c r="HW67" s="82"/>
      <c r="HX67" s="82"/>
      <c r="HY67" s="82"/>
      <c r="HZ67" s="82"/>
      <c r="IA67" s="82"/>
      <c r="IB67" s="82"/>
      <c r="IC67" s="82"/>
      <c r="ID67" s="82"/>
      <c r="IE67" s="82"/>
      <c r="IF67" s="82"/>
      <c r="IG67" s="82"/>
      <c r="IH67" s="82"/>
      <c r="II67" s="82"/>
      <c r="IJ67" s="82"/>
      <c r="IK67" s="82"/>
      <c r="IL67" s="82"/>
      <c r="IM67" s="82"/>
      <c r="IN67" s="82"/>
      <c r="IO67" s="82"/>
      <c r="IP67" s="82"/>
      <c r="IQ67" s="82"/>
      <c r="IR67" s="82"/>
      <c r="IS67" s="82"/>
      <c r="IT67" s="82"/>
      <c r="IU67" s="82"/>
      <c r="IV67" s="82"/>
      <c r="IW67" s="82"/>
      <c r="IX67" s="82"/>
      <c r="IY67" s="82"/>
      <c r="IZ67" s="82"/>
      <c r="JA67" s="82"/>
      <c r="JB67" s="82"/>
      <c r="JC67" s="82"/>
      <c r="JD67" s="82"/>
      <c r="JE67" s="82"/>
      <c r="JF67" s="82"/>
      <c r="JG67" s="82"/>
      <c r="JH67" s="82"/>
      <c r="JI67" s="82"/>
      <c r="JJ67" s="82"/>
      <c r="JK67" s="82"/>
      <c r="JL67" s="82"/>
      <c r="JM67" s="82"/>
      <c r="JN67" s="82"/>
      <c r="JO67" s="82"/>
      <c r="JP67" s="82"/>
      <c r="JQ67" s="82"/>
      <c r="JR67" s="82"/>
      <c r="JS67" s="82"/>
      <c r="JT67" s="82"/>
      <c r="JU67" s="82"/>
      <c r="JV67" s="82"/>
      <c r="JW67" s="82"/>
      <c r="JX67" s="82"/>
      <c r="JY67" s="82"/>
      <c r="JZ67" s="82"/>
      <c r="KA67" s="82"/>
      <c r="KB67" s="82"/>
      <c r="KC67" s="82"/>
      <c r="KD67" s="82"/>
      <c r="KE67" s="82"/>
      <c r="KF67" s="82"/>
      <c r="KG67" s="82"/>
      <c r="KH67" s="82"/>
      <c r="KI67" s="82"/>
      <c r="KJ67" s="82"/>
      <c r="KK67" s="82"/>
      <c r="KL67" s="82"/>
      <c r="KM67" s="82"/>
      <c r="KN67" s="82"/>
      <c r="KO67" s="82"/>
      <c r="KP67" s="82"/>
      <c r="KQ67" s="82"/>
      <c r="KR67" s="82"/>
      <c r="KS67" s="82"/>
      <c r="KT67" s="82"/>
      <c r="KU67" s="82"/>
      <c r="KV67" s="82"/>
      <c r="KW67" s="82"/>
      <c r="KX67" s="82"/>
      <c r="KY67" s="82"/>
      <c r="KZ67" s="82"/>
      <c r="LA67" s="82"/>
      <c r="LB67" s="82"/>
      <c r="LC67" s="82"/>
      <c r="LD67" s="82"/>
      <c r="LE67" s="82"/>
      <c r="LF67" s="82"/>
      <c r="LG67" s="82"/>
      <c r="LH67" s="82"/>
      <c r="LI67" s="82"/>
      <c r="LJ67" s="82"/>
      <c r="LK67" s="82"/>
      <c r="LL67" s="82"/>
      <c r="LM67" s="82"/>
      <c r="LN67" s="82"/>
      <c r="LO67" s="82"/>
      <c r="LP67" s="82"/>
      <c r="LQ67" s="82"/>
      <c r="LR67" s="82"/>
      <c r="LS67" s="82"/>
      <c r="LT67" s="82"/>
      <c r="LU67" s="82"/>
      <c r="LV67" s="82"/>
      <c r="LW67" s="82"/>
      <c r="LX67" s="82"/>
      <c r="LY67" s="82"/>
      <c r="LZ67" s="82"/>
      <c r="MA67" s="82"/>
      <c r="MB67" s="82"/>
      <c r="MC67" s="82"/>
      <c r="MD67" s="82"/>
      <c r="ME67" s="82"/>
      <c r="MF67" s="82"/>
      <c r="MG67" s="82"/>
      <c r="MH67" s="82"/>
      <c r="MI67" s="82"/>
      <c r="MJ67" s="82"/>
      <c r="MK67" s="82"/>
      <c r="ML67" s="82"/>
      <c r="MM67" s="82"/>
      <c r="MN67" s="82"/>
      <c r="MO67" s="82"/>
      <c r="MP67" s="82"/>
      <c r="MQ67" s="82"/>
      <c r="MR67" s="82"/>
      <c r="MS67" s="82"/>
      <c r="MT67" s="82"/>
      <c r="MU67" s="82"/>
      <c r="MV67" s="82"/>
      <c r="MW67" s="82"/>
      <c r="MX67" s="82"/>
      <c r="MY67" s="82"/>
      <c r="MZ67" s="82"/>
      <c r="NA67" s="82"/>
      <c r="NB67" s="82"/>
      <c r="NC67" s="82"/>
      <c r="ND67" s="82"/>
      <c r="NE67" s="82"/>
      <c r="NF67" s="82"/>
      <c r="NG67" s="82"/>
      <c r="NH67" s="82"/>
      <c r="NI67" s="82"/>
      <c r="NJ67" s="82"/>
      <c r="NK67" s="82"/>
      <c r="NL67" s="82"/>
      <c r="NM67" s="82"/>
      <c r="NN67" s="82"/>
      <c r="NO67" s="82"/>
      <c r="NP67" s="82"/>
      <c r="NQ67" s="82"/>
      <c r="NR67" s="82"/>
      <c r="NS67" s="82"/>
      <c r="NT67" s="82"/>
      <c r="NU67" s="82"/>
      <c r="NV67" s="82"/>
      <c r="NW67" s="82"/>
      <c r="NX67" s="82"/>
      <c r="NY67" s="82"/>
      <c r="NZ67" s="82"/>
      <c r="OA67" s="82"/>
      <c r="OB67" s="82"/>
      <c r="OC67" s="82"/>
      <c r="OD67" s="82"/>
      <c r="OE67" s="82"/>
      <c r="OF67" s="82"/>
      <c r="OG67" s="82"/>
      <c r="OH67" s="82"/>
      <c r="OI67" s="82"/>
      <c r="OJ67" s="82"/>
      <c r="OK67" s="82"/>
      <c r="OL67" s="82"/>
      <c r="OM67" s="82"/>
      <c r="ON67" s="82"/>
      <c r="OO67" s="82"/>
      <c r="OP67" s="82"/>
      <c r="OQ67" s="82"/>
      <c r="OR67" s="82"/>
      <c r="OS67" s="82"/>
      <c r="OT67" s="82"/>
      <c r="OU67" s="82"/>
      <c r="OV67" s="82"/>
      <c r="OW67" s="82"/>
      <c r="OX67" s="82"/>
      <c r="OY67" s="82"/>
      <c r="OZ67" s="82"/>
      <c r="PA67" s="82"/>
      <c r="PB67" s="82"/>
      <c r="PC67" s="82"/>
      <c r="PD67" s="82"/>
      <c r="PE67" s="82"/>
      <c r="PF67" s="82"/>
      <c r="PG67" s="82"/>
      <c r="PH67" s="82"/>
      <c r="PI67" s="82"/>
      <c r="PJ67" s="82"/>
      <c r="PK67" s="82"/>
      <c r="PL67" s="82"/>
      <c r="PM67" s="82"/>
      <c r="PN67" s="82"/>
      <c r="PO67" s="82"/>
      <c r="PP67" s="82"/>
      <c r="PQ67" s="82"/>
      <c r="PR67" s="82"/>
      <c r="PS67" s="82"/>
      <c r="PT67" s="82"/>
      <c r="PU67" s="82"/>
      <c r="PV67" s="82"/>
      <c r="PW67" s="82"/>
      <c r="PX67" s="82"/>
      <c r="PY67" s="82"/>
      <c r="PZ67" s="82"/>
      <c r="QA67" s="82"/>
      <c r="QB67" s="82"/>
      <c r="QC67" s="82"/>
      <c r="QD67" s="82"/>
      <c r="QE67" s="82"/>
      <c r="QF67" s="82"/>
      <c r="QG67" s="82"/>
      <c r="QH67" s="82"/>
      <c r="QI67" s="82"/>
      <c r="QJ67" s="82"/>
      <c r="QK67" s="82"/>
      <c r="QL67" s="82"/>
      <c r="QM67" s="82"/>
      <c r="QN67" s="82"/>
      <c r="QO67" s="82"/>
      <c r="QP67" s="82"/>
      <c r="QQ67" s="82"/>
      <c r="QR67" s="82"/>
      <c r="QS67" s="82"/>
      <c r="QT67" s="82"/>
      <c r="QU67" s="82"/>
      <c r="QV67" s="82"/>
      <c r="QW67" s="82"/>
      <c r="QX67" s="82"/>
      <c r="QY67" s="82"/>
      <c r="QZ67" s="82"/>
      <c r="RA67" s="82"/>
      <c r="RB67" s="82"/>
      <c r="RC67" s="82"/>
      <c r="RD67" s="82"/>
      <c r="RE67" s="82"/>
      <c r="RF67" s="82"/>
      <c r="RG67" s="82"/>
      <c r="RH67" s="82"/>
      <c r="RI67" s="82"/>
      <c r="RJ67" s="82"/>
      <c r="RK67" s="82"/>
      <c r="RL67" s="82"/>
      <c r="RM67" s="82"/>
      <c r="RN67" s="82"/>
      <c r="RO67" s="82"/>
      <c r="RP67" s="82"/>
      <c r="RQ67" s="82"/>
      <c r="RR67" s="82"/>
      <c r="RS67" s="82"/>
      <c r="RT67" s="82"/>
      <c r="RU67" s="82"/>
      <c r="RV67" s="82"/>
      <c r="RW67" s="82"/>
      <c r="RX67" s="82"/>
      <c r="RY67" s="82"/>
      <c r="RZ67" s="82"/>
      <c r="SA67" s="82"/>
      <c r="SB67" s="82"/>
      <c r="SC67" s="82"/>
      <c r="SD67" s="82"/>
      <c r="SE67" s="82"/>
      <c r="SF67" s="82"/>
      <c r="SG67" s="82"/>
      <c r="SH67" s="82"/>
      <c r="SI67" s="82"/>
      <c r="SJ67" s="82"/>
      <c r="SK67" s="82"/>
      <c r="SL67" s="82"/>
      <c r="SM67" s="82"/>
      <c r="SN67" s="82"/>
      <c r="SO67" s="82"/>
      <c r="SP67" s="82"/>
      <c r="SQ67" s="82"/>
      <c r="SR67" s="82"/>
      <c r="SS67" s="82"/>
      <c r="ST67" s="82"/>
      <c r="SU67" s="82"/>
      <c r="SV67" s="82"/>
      <c r="SW67" s="82"/>
      <c r="SX67" s="82"/>
      <c r="SY67" s="82"/>
      <c r="SZ67" s="82"/>
      <c r="TA67" s="82"/>
      <c r="TB67" s="82"/>
      <c r="TC67" s="82"/>
      <c r="TD67" s="82"/>
      <c r="TE67" s="82"/>
      <c r="TF67" s="82"/>
      <c r="TG67" s="82"/>
      <c r="TH67" s="82"/>
      <c r="TI67" s="82"/>
      <c r="TJ67" s="82"/>
      <c r="TK67" s="82"/>
      <c r="TL67" s="82"/>
      <c r="TM67" s="82"/>
      <c r="TN67" s="82"/>
      <c r="TO67" s="82"/>
      <c r="TP67" s="82"/>
      <c r="TQ67" s="82"/>
      <c r="TR67" s="82"/>
      <c r="TS67" s="82"/>
      <c r="TT67" s="82"/>
      <c r="TU67" s="82"/>
      <c r="TV67" s="82"/>
      <c r="TW67" s="82"/>
      <c r="TX67" s="82"/>
      <c r="TY67" s="82"/>
      <c r="TZ67" s="82"/>
      <c r="UA67" s="82"/>
      <c r="UB67" s="82"/>
      <c r="UC67" s="82"/>
      <c r="UD67" s="82"/>
      <c r="UE67" s="82"/>
      <c r="UF67" s="82"/>
      <c r="UG67" s="82"/>
      <c r="UH67" s="82"/>
      <c r="UI67" s="82"/>
      <c r="UJ67" s="82"/>
      <c r="UK67" s="82"/>
      <c r="UL67" s="82"/>
      <c r="UM67" s="82"/>
      <c r="UN67" s="82"/>
      <c r="UO67" s="82"/>
      <c r="UP67" s="82"/>
      <c r="UQ67" s="82"/>
      <c r="UR67" s="82"/>
      <c r="US67" s="82"/>
      <c r="UT67" s="82"/>
      <c r="UU67" s="82"/>
      <c r="UV67" s="82"/>
      <c r="UW67" s="82"/>
      <c r="UX67" s="82"/>
      <c r="UY67" s="82"/>
      <c r="UZ67" s="82"/>
      <c r="VA67" s="82"/>
      <c r="VB67" s="82"/>
      <c r="VC67" s="82"/>
      <c r="VD67" s="82"/>
      <c r="VE67" s="82"/>
      <c r="VF67" s="82"/>
      <c r="VG67" s="82"/>
      <c r="VH67" s="82"/>
      <c r="VI67" s="82"/>
      <c r="VJ67" s="82"/>
      <c r="VK67" s="82"/>
      <c r="VL67" s="82"/>
      <c r="VM67" s="82"/>
      <c r="VN67" s="82"/>
      <c r="VO67" s="82"/>
      <c r="VP67" s="82"/>
      <c r="VQ67" s="82"/>
      <c r="VR67" s="82"/>
      <c r="VS67" s="82"/>
      <c r="VT67" s="82"/>
      <c r="VU67" s="82"/>
      <c r="VV67" s="82"/>
      <c r="VW67" s="82"/>
      <c r="VX67" s="82"/>
      <c r="VY67" s="82"/>
      <c r="VZ67" s="82"/>
      <c r="WA67" s="82"/>
      <c r="WB67" s="82"/>
      <c r="WC67" s="82"/>
      <c r="WD67" s="82"/>
      <c r="WE67" s="82"/>
      <c r="WF67" s="82"/>
      <c r="WG67" s="82"/>
      <c r="WH67" s="82"/>
      <c r="WI67" s="82"/>
      <c r="WJ67" s="82"/>
      <c r="WK67" s="82"/>
      <c r="WL67" s="82"/>
      <c r="WM67" s="82"/>
      <c r="WN67" s="82"/>
      <c r="WO67" s="82"/>
      <c r="WP67" s="82"/>
      <c r="WQ67" s="82"/>
      <c r="WR67" s="82"/>
      <c r="WS67" s="82"/>
      <c r="WT67" s="82"/>
      <c r="WU67" s="82"/>
      <c r="WV67" s="82"/>
      <c r="WW67" s="82"/>
      <c r="WX67" s="82"/>
      <c r="WY67" s="82"/>
      <c r="WZ67" s="82"/>
      <c r="XA67" s="82"/>
      <c r="XB67" s="82"/>
      <c r="XC67" s="82"/>
      <c r="XD67" s="82"/>
      <c r="XE67" s="82"/>
      <c r="XF67" s="82"/>
      <c r="XG67" s="82"/>
      <c r="XH67" s="82"/>
      <c r="XI67" s="82"/>
      <c r="XJ67" s="82"/>
      <c r="XK67" s="82"/>
      <c r="XL67" s="82"/>
      <c r="XM67" s="82"/>
      <c r="XN67" s="82"/>
      <c r="XO67" s="82"/>
      <c r="XP67" s="82"/>
      <c r="XQ67" s="82"/>
      <c r="XR67" s="82"/>
      <c r="XS67" s="82"/>
      <c r="XT67" s="82"/>
      <c r="XU67" s="82"/>
      <c r="XV67" s="82"/>
      <c r="XW67" s="82"/>
      <c r="XX67" s="82"/>
      <c r="XY67" s="82"/>
      <c r="XZ67" s="82"/>
      <c r="YA67" s="82"/>
      <c r="YB67" s="82"/>
      <c r="YC67" s="82"/>
      <c r="YD67" s="82"/>
      <c r="YE67" s="82"/>
      <c r="YF67" s="82"/>
      <c r="YG67" s="82"/>
      <c r="YH67" s="82"/>
      <c r="YI67" s="82"/>
      <c r="YJ67" s="82"/>
      <c r="YK67" s="82"/>
      <c r="YL67" s="82"/>
      <c r="YM67" s="82"/>
      <c r="YN67" s="82"/>
      <c r="YO67" s="82"/>
      <c r="YP67" s="82"/>
      <c r="YQ67" s="82"/>
      <c r="YR67" s="82"/>
      <c r="YS67" s="82"/>
      <c r="YT67" s="82"/>
      <c r="YU67" s="82"/>
      <c r="YV67" s="82"/>
      <c r="YW67" s="82"/>
      <c r="YX67" s="82"/>
      <c r="YY67" s="82"/>
      <c r="YZ67" s="82"/>
      <c r="ZA67" s="82"/>
      <c r="ZB67" s="82"/>
      <c r="ZC67" s="82"/>
      <c r="ZD67" s="82"/>
      <c r="ZE67" s="82"/>
      <c r="ZF67" s="82"/>
      <c r="ZG67" s="82"/>
      <c r="ZH67" s="82"/>
      <c r="ZI67" s="82"/>
      <c r="ZJ67" s="82"/>
      <c r="ZK67" s="82"/>
      <c r="ZL67" s="82"/>
      <c r="ZM67" s="82"/>
      <c r="ZN67" s="82"/>
      <c r="ZO67" s="82"/>
      <c r="ZP67" s="82"/>
      <c r="ZQ67" s="82"/>
      <c r="ZR67" s="82"/>
      <c r="ZS67" s="82"/>
      <c r="ZT67" s="82"/>
      <c r="ZU67" s="82"/>
      <c r="ZV67" s="82"/>
      <c r="ZW67" s="82"/>
      <c r="ZX67" s="82"/>
      <c r="ZY67" s="82"/>
      <c r="ZZ67" s="82"/>
      <c r="AAA67" s="82"/>
      <c r="AAB67" s="82"/>
      <c r="AAC67" s="82"/>
      <c r="AAD67" s="82"/>
      <c r="AAE67" s="82"/>
      <c r="AAF67" s="82"/>
      <c r="AAG67" s="82"/>
      <c r="AAH67" s="82"/>
      <c r="AAI67" s="82"/>
      <c r="AAJ67" s="82"/>
      <c r="AAK67" s="82"/>
      <c r="AAL67" s="82"/>
      <c r="AAM67" s="82"/>
      <c r="AAN67" s="82"/>
      <c r="AAO67" s="82"/>
      <c r="AAP67" s="82"/>
      <c r="AAQ67" s="82"/>
      <c r="AAR67" s="82"/>
      <c r="AAS67" s="82"/>
      <c r="AAT67" s="82"/>
      <c r="AAU67" s="82"/>
      <c r="AAV67" s="82"/>
      <c r="AAW67" s="82"/>
      <c r="AAX67" s="82"/>
      <c r="AAY67" s="82"/>
      <c r="AAZ67" s="82"/>
      <c r="ABA67" s="82"/>
      <c r="ABB67" s="82"/>
      <c r="ABC67" s="82"/>
      <c r="ABD67" s="82"/>
      <c r="ABE67" s="82"/>
      <c r="ABF67" s="82"/>
      <c r="ABG67" s="82"/>
      <c r="ABH67" s="82"/>
      <c r="ABI67" s="82"/>
      <c r="ABJ67" s="82"/>
      <c r="ABK67" s="82"/>
      <c r="ABL67" s="82"/>
      <c r="ABM67" s="82"/>
      <c r="ABN67" s="82"/>
      <c r="ABO67" s="82"/>
      <c r="ABP67" s="82"/>
      <c r="ABQ67" s="82"/>
      <c r="ABR67" s="82"/>
      <c r="ABS67" s="82"/>
      <c r="ABT67" s="82"/>
      <c r="ABU67" s="82"/>
      <c r="ABV67" s="82"/>
      <c r="ABW67" s="82"/>
      <c r="ABX67" s="82"/>
      <c r="ABY67" s="82"/>
      <c r="ABZ67" s="82"/>
      <c r="ACA67" s="82"/>
      <c r="ACB67" s="82"/>
      <c r="ACC67" s="82"/>
      <c r="ACD67" s="82"/>
      <c r="ACE67" s="82"/>
      <c r="ACF67" s="82"/>
      <c r="ACG67" s="82"/>
      <c r="ACH67" s="82"/>
      <c r="ACI67" s="82"/>
      <c r="ACJ67" s="82"/>
      <c r="ACK67" s="82"/>
      <c r="ACL67" s="82"/>
      <c r="ACM67" s="82"/>
      <c r="ACN67" s="82"/>
      <c r="ACO67" s="82"/>
      <c r="ACP67" s="82"/>
      <c r="ACQ67" s="82"/>
      <c r="ACR67" s="82"/>
      <c r="ACS67" s="82"/>
      <c r="ACT67" s="82"/>
      <c r="ACU67" s="82"/>
      <c r="ACV67" s="82"/>
      <c r="ACW67" s="82"/>
      <c r="ACX67" s="82"/>
      <c r="ACY67" s="82"/>
      <c r="ACZ67" s="82"/>
      <c r="ADA67" s="82"/>
      <c r="ADB67" s="82"/>
      <c r="ADC67" s="82"/>
      <c r="ADD67" s="82"/>
      <c r="ADE67" s="82"/>
      <c r="ADF67" s="82"/>
      <c r="ADG67" s="82"/>
      <c r="ADH67" s="82"/>
      <c r="ADI67" s="82"/>
      <c r="ADJ67" s="82"/>
      <c r="ADK67" s="82"/>
      <c r="ADL67" s="82"/>
      <c r="ADM67" s="82"/>
      <c r="ADN67" s="82"/>
      <c r="ADO67" s="82"/>
      <c r="ADP67" s="82"/>
      <c r="ADQ67" s="82"/>
      <c r="ADR67" s="82"/>
      <c r="ADS67" s="82"/>
      <c r="ADT67" s="82"/>
      <c r="ADU67" s="82"/>
      <c r="ADV67" s="82"/>
      <c r="ADW67" s="82"/>
      <c r="ADX67" s="82"/>
      <c r="ADY67" s="82"/>
      <c r="ADZ67" s="82"/>
      <c r="AEA67" s="82"/>
      <c r="AEB67" s="82"/>
      <c r="AEC67" s="82"/>
      <c r="AED67" s="82"/>
      <c r="AEE67" s="82"/>
      <c r="AEF67" s="82"/>
      <c r="AEG67" s="82"/>
      <c r="AEH67" s="82"/>
      <c r="AEI67" s="82"/>
      <c r="AEJ67" s="82"/>
      <c r="AEK67" s="82"/>
      <c r="AEL67" s="82"/>
      <c r="AEM67" s="82"/>
      <c r="AEN67" s="82"/>
      <c r="AEO67" s="82"/>
      <c r="AEP67" s="82"/>
      <c r="AEQ67" s="82"/>
      <c r="AER67" s="82"/>
      <c r="AES67" s="82"/>
      <c r="AET67" s="82"/>
      <c r="AEU67" s="82"/>
      <c r="AEV67" s="82"/>
      <c r="AEW67" s="82"/>
      <c r="AEX67" s="82"/>
      <c r="AEY67" s="82"/>
      <c r="AEZ67" s="82"/>
      <c r="AFA67" s="82"/>
      <c r="AFB67" s="82"/>
      <c r="AFC67" s="82"/>
      <c r="AFD67" s="82"/>
      <c r="AFE67" s="82"/>
      <c r="AFF67" s="82"/>
      <c r="AFG67" s="82"/>
      <c r="AFH67" s="82"/>
      <c r="AFI67" s="82"/>
      <c r="AFJ67" s="82"/>
      <c r="AFK67" s="82"/>
      <c r="AFL67" s="82"/>
      <c r="AFM67" s="82"/>
      <c r="AFN67" s="82"/>
      <c r="AFO67" s="82"/>
      <c r="AFP67" s="82"/>
      <c r="AFQ67" s="82"/>
      <c r="AFR67" s="82"/>
      <c r="AFS67" s="82"/>
      <c r="AFT67" s="82"/>
      <c r="AFU67" s="82"/>
      <c r="AFV67" s="82"/>
      <c r="AFW67" s="82"/>
      <c r="AFX67" s="82"/>
      <c r="AFY67" s="82"/>
      <c r="AFZ67" s="82"/>
      <c r="AGA67" s="82"/>
      <c r="AGB67" s="82"/>
      <c r="AGC67" s="82"/>
      <c r="AGD67" s="82"/>
      <c r="AGE67" s="82"/>
      <c r="AGF67" s="82"/>
      <c r="AGG67" s="82"/>
      <c r="AGH67" s="82"/>
      <c r="AGI67" s="82"/>
      <c r="AGJ67" s="82"/>
      <c r="AGK67" s="82"/>
      <c r="AGL67" s="82"/>
      <c r="AGM67" s="82"/>
      <c r="AGN67" s="82"/>
      <c r="AGO67" s="82"/>
      <c r="AGP67" s="82"/>
      <c r="AGQ67" s="82"/>
      <c r="AGR67" s="82"/>
      <c r="AGS67" s="82"/>
      <c r="AGT67" s="82"/>
      <c r="AGU67" s="82"/>
      <c r="AGV67" s="82"/>
      <c r="AGW67" s="82"/>
      <c r="AGX67" s="82"/>
      <c r="AGY67" s="82"/>
      <c r="AGZ67" s="82"/>
      <c r="AHA67" s="82"/>
      <c r="AHB67" s="82"/>
      <c r="AHC67" s="82"/>
      <c r="AHD67" s="82"/>
      <c r="AHE67" s="82"/>
      <c r="AHF67" s="82"/>
      <c r="AHG67" s="82"/>
      <c r="AHH67" s="82"/>
      <c r="AHI67" s="82"/>
      <c r="AHJ67" s="82"/>
      <c r="AHK67" s="82"/>
      <c r="AHL67" s="82"/>
      <c r="AHM67" s="82"/>
      <c r="AHN67" s="82"/>
      <c r="AHO67" s="82"/>
      <c r="AHP67" s="82"/>
      <c r="AHQ67" s="82"/>
      <c r="AHR67" s="82"/>
      <c r="AHS67" s="82"/>
      <c r="AHT67" s="82"/>
      <c r="AHU67" s="82"/>
      <c r="AHV67" s="82"/>
      <c r="AHW67" s="82"/>
      <c r="AHX67" s="82"/>
      <c r="AHY67" s="82"/>
      <c r="AHZ67" s="82"/>
      <c r="AIA67" s="82"/>
      <c r="AIB67" s="82"/>
      <c r="AIC67" s="82"/>
      <c r="AID67" s="82"/>
      <c r="AIE67" s="82"/>
      <c r="AIF67" s="82"/>
      <c r="AIG67" s="82"/>
      <c r="AIH67" s="82"/>
    </row>
    <row r="68" spans="1:918" s="99" customFormat="1" ht="31.5" x14ac:dyDescent="0.2">
      <c r="A68" s="98"/>
      <c r="B68" s="78" t="s">
        <v>310</v>
      </c>
      <c r="C68" s="96" t="s">
        <v>141</v>
      </c>
      <c r="D68" s="76"/>
      <c r="E68" s="76"/>
      <c r="F68" s="76"/>
      <c r="G68" s="76"/>
      <c r="H68" s="76"/>
      <c r="I68" s="76"/>
      <c r="J68" s="76"/>
      <c r="K68" s="76"/>
      <c r="L68" s="82"/>
      <c r="M68" s="82"/>
      <c r="N68" s="82"/>
      <c r="O68" s="82"/>
      <c r="P68" s="82"/>
      <c r="Q68" s="82"/>
      <c r="R68" s="82"/>
      <c r="S68" s="82"/>
      <c r="T68" s="82"/>
      <c r="U68" s="82"/>
      <c r="V68" s="82"/>
      <c r="W68" s="82"/>
      <c r="X68" s="82"/>
      <c r="Y68" s="82"/>
      <c r="Z68" s="82"/>
      <c r="AA68" s="82"/>
      <c r="AB68" s="82"/>
      <c r="AC68" s="82"/>
      <c r="AD68" s="82"/>
      <c r="AE68" s="82"/>
      <c r="AF68" s="82"/>
      <c r="AG68" s="82"/>
      <c r="AH68" s="82"/>
      <c r="AI68" s="82"/>
      <c r="AJ68" s="82"/>
      <c r="AK68" s="82"/>
      <c r="AL68" s="82"/>
      <c r="AM68" s="82"/>
      <c r="AN68" s="82"/>
      <c r="AO68" s="82"/>
      <c r="AP68" s="82"/>
      <c r="AQ68" s="82"/>
      <c r="AR68" s="82"/>
      <c r="AS68" s="82"/>
      <c r="AT68" s="82"/>
      <c r="AU68" s="82"/>
      <c r="AV68" s="82"/>
      <c r="AW68" s="82"/>
      <c r="AX68" s="82"/>
      <c r="AY68" s="82"/>
      <c r="AZ68" s="82"/>
      <c r="BA68" s="82"/>
      <c r="BB68" s="82"/>
      <c r="BC68" s="82"/>
      <c r="BD68" s="82"/>
      <c r="BE68" s="82"/>
      <c r="BF68" s="82"/>
      <c r="BG68" s="82"/>
      <c r="BH68" s="82"/>
      <c r="BI68" s="82"/>
      <c r="BJ68" s="82"/>
      <c r="BK68" s="82"/>
      <c r="BL68" s="82"/>
      <c r="BM68" s="82"/>
      <c r="BN68" s="82"/>
      <c r="BO68" s="82"/>
      <c r="BP68" s="82"/>
      <c r="BQ68" s="82"/>
      <c r="BR68" s="82"/>
      <c r="BS68" s="82"/>
      <c r="BT68" s="82"/>
      <c r="BU68" s="82"/>
      <c r="BV68" s="82"/>
      <c r="BW68" s="82"/>
      <c r="BX68" s="82"/>
      <c r="BY68" s="82"/>
      <c r="BZ68" s="82"/>
      <c r="CA68" s="82"/>
      <c r="CB68" s="82"/>
      <c r="CC68" s="82"/>
      <c r="CD68" s="82"/>
      <c r="CE68" s="82"/>
      <c r="CF68" s="82"/>
      <c r="CG68" s="82"/>
      <c r="CH68" s="82"/>
      <c r="CI68" s="82"/>
      <c r="CJ68" s="82"/>
      <c r="CK68" s="82"/>
      <c r="CL68" s="82"/>
      <c r="CM68" s="82"/>
      <c r="CN68" s="82"/>
      <c r="CO68" s="82"/>
      <c r="CP68" s="82"/>
      <c r="CQ68" s="82"/>
      <c r="CR68" s="82"/>
      <c r="CS68" s="82"/>
      <c r="CT68" s="82"/>
      <c r="CU68" s="82"/>
      <c r="CV68" s="82"/>
      <c r="CW68" s="82"/>
      <c r="CX68" s="82"/>
      <c r="CY68" s="82"/>
      <c r="CZ68" s="82"/>
      <c r="DA68" s="82"/>
      <c r="DB68" s="82"/>
      <c r="DC68" s="82"/>
      <c r="DD68" s="82"/>
      <c r="DE68" s="82"/>
      <c r="DF68" s="82"/>
      <c r="DG68" s="82"/>
      <c r="DH68" s="82"/>
      <c r="DI68" s="82"/>
      <c r="DJ68" s="82"/>
      <c r="DK68" s="82"/>
      <c r="DL68" s="82"/>
      <c r="DM68" s="82"/>
      <c r="DN68" s="82"/>
      <c r="DO68" s="82"/>
      <c r="DP68" s="82"/>
      <c r="DQ68" s="82"/>
      <c r="DR68" s="82"/>
      <c r="DS68" s="82"/>
      <c r="DT68" s="82"/>
      <c r="DU68" s="82"/>
      <c r="DV68" s="82"/>
      <c r="DW68" s="82"/>
      <c r="DX68" s="82"/>
      <c r="DY68" s="82"/>
      <c r="DZ68" s="82"/>
      <c r="EA68" s="82"/>
      <c r="EB68" s="82"/>
      <c r="EC68" s="82"/>
      <c r="ED68" s="82"/>
      <c r="EE68" s="82"/>
      <c r="EF68" s="82"/>
      <c r="EG68" s="82"/>
      <c r="EH68" s="82"/>
      <c r="EI68" s="82"/>
      <c r="EJ68" s="82"/>
      <c r="EK68" s="82"/>
      <c r="EL68" s="82"/>
      <c r="EM68" s="82"/>
      <c r="EN68" s="82"/>
      <c r="EO68" s="82"/>
      <c r="EP68" s="82"/>
      <c r="EQ68" s="82"/>
      <c r="ER68" s="82"/>
      <c r="ES68" s="82"/>
      <c r="ET68" s="82"/>
      <c r="EU68" s="82"/>
      <c r="EV68" s="82"/>
      <c r="EW68" s="82"/>
      <c r="EX68" s="82"/>
      <c r="EY68" s="82"/>
      <c r="EZ68" s="82"/>
      <c r="FA68" s="82"/>
      <c r="FB68" s="82"/>
      <c r="FC68" s="82"/>
      <c r="FD68" s="82"/>
      <c r="FE68" s="82"/>
      <c r="FF68" s="82"/>
      <c r="FG68" s="82"/>
      <c r="FH68" s="82"/>
      <c r="FI68" s="82"/>
      <c r="FJ68" s="82"/>
      <c r="FK68" s="82"/>
      <c r="FL68" s="82"/>
      <c r="FM68" s="82"/>
      <c r="FN68" s="82"/>
      <c r="FO68" s="82"/>
      <c r="FP68" s="82"/>
      <c r="FQ68" s="82"/>
      <c r="FR68" s="82"/>
      <c r="FS68" s="82"/>
      <c r="FT68" s="82"/>
      <c r="FU68" s="82"/>
      <c r="FV68" s="82"/>
      <c r="FW68" s="82"/>
      <c r="FX68" s="82"/>
      <c r="FY68" s="82"/>
      <c r="FZ68" s="82"/>
      <c r="GA68" s="82"/>
      <c r="GB68" s="82"/>
      <c r="GC68" s="82"/>
      <c r="GD68" s="82"/>
      <c r="GE68" s="82"/>
      <c r="GF68" s="82"/>
      <c r="GG68" s="82"/>
      <c r="GH68" s="82"/>
      <c r="GI68" s="82"/>
      <c r="GJ68" s="82"/>
      <c r="GK68" s="82"/>
      <c r="GL68" s="82"/>
      <c r="GM68" s="82"/>
      <c r="GN68" s="82"/>
      <c r="GO68" s="82"/>
      <c r="GP68" s="82"/>
      <c r="GQ68" s="82"/>
      <c r="GR68" s="82"/>
      <c r="GS68" s="82"/>
      <c r="GT68" s="82"/>
      <c r="GU68" s="82"/>
      <c r="GV68" s="82"/>
      <c r="GW68" s="82"/>
      <c r="GX68" s="82"/>
      <c r="GY68" s="82"/>
      <c r="GZ68" s="82"/>
      <c r="HA68" s="82"/>
      <c r="HB68" s="82"/>
      <c r="HC68" s="82"/>
      <c r="HD68" s="82"/>
      <c r="HE68" s="82"/>
      <c r="HF68" s="82"/>
      <c r="HG68" s="82"/>
      <c r="HH68" s="82"/>
      <c r="HI68" s="82"/>
      <c r="HJ68" s="82"/>
      <c r="HK68" s="82"/>
      <c r="HL68" s="82"/>
      <c r="HM68" s="82"/>
      <c r="HN68" s="82"/>
      <c r="HO68" s="82"/>
      <c r="HP68" s="82"/>
      <c r="HQ68" s="82"/>
      <c r="HR68" s="82"/>
      <c r="HS68" s="82"/>
      <c r="HT68" s="82"/>
      <c r="HU68" s="82"/>
      <c r="HV68" s="82"/>
      <c r="HW68" s="82"/>
      <c r="HX68" s="82"/>
      <c r="HY68" s="82"/>
      <c r="HZ68" s="82"/>
      <c r="IA68" s="82"/>
      <c r="IB68" s="82"/>
      <c r="IC68" s="82"/>
      <c r="ID68" s="82"/>
      <c r="IE68" s="82"/>
      <c r="IF68" s="82"/>
      <c r="IG68" s="82"/>
      <c r="IH68" s="82"/>
      <c r="II68" s="82"/>
      <c r="IJ68" s="82"/>
      <c r="IK68" s="82"/>
      <c r="IL68" s="82"/>
      <c r="IM68" s="82"/>
      <c r="IN68" s="82"/>
      <c r="IO68" s="82"/>
      <c r="IP68" s="82"/>
      <c r="IQ68" s="82"/>
      <c r="IR68" s="82"/>
      <c r="IS68" s="82"/>
      <c r="IT68" s="82"/>
      <c r="IU68" s="82"/>
      <c r="IV68" s="82"/>
      <c r="IW68" s="82"/>
      <c r="IX68" s="82"/>
      <c r="IY68" s="82"/>
      <c r="IZ68" s="82"/>
      <c r="JA68" s="82"/>
      <c r="JB68" s="82"/>
      <c r="JC68" s="82"/>
      <c r="JD68" s="82"/>
      <c r="JE68" s="82"/>
      <c r="JF68" s="82"/>
      <c r="JG68" s="82"/>
      <c r="JH68" s="82"/>
      <c r="JI68" s="82"/>
      <c r="JJ68" s="82"/>
      <c r="JK68" s="82"/>
      <c r="JL68" s="82"/>
      <c r="JM68" s="82"/>
      <c r="JN68" s="82"/>
      <c r="JO68" s="82"/>
      <c r="JP68" s="82"/>
      <c r="JQ68" s="82"/>
      <c r="JR68" s="82"/>
      <c r="JS68" s="82"/>
      <c r="JT68" s="82"/>
      <c r="JU68" s="82"/>
      <c r="JV68" s="82"/>
      <c r="JW68" s="82"/>
      <c r="JX68" s="82"/>
      <c r="JY68" s="82"/>
      <c r="JZ68" s="82"/>
      <c r="KA68" s="82"/>
      <c r="KB68" s="82"/>
      <c r="KC68" s="82"/>
      <c r="KD68" s="82"/>
      <c r="KE68" s="82"/>
      <c r="KF68" s="82"/>
      <c r="KG68" s="82"/>
      <c r="KH68" s="82"/>
      <c r="KI68" s="82"/>
      <c r="KJ68" s="82"/>
      <c r="KK68" s="82"/>
      <c r="KL68" s="82"/>
      <c r="KM68" s="82"/>
      <c r="KN68" s="82"/>
      <c r="KO68" s="82"/>
      <c r="KP68" s="82"/>
      <c r="KQ68" s="82"/>
      <c r="KR68" s="82"/>
      <c r="KS68" s="82"/>
      <c r="KT68" s="82"/>
      <c r="KU68" s="82"/>
      <c r="KV68" s="82"/>
      <c r="KW68" s="82"/>
      <c r="KX68" s="82"/>
      <c r="KY68" s="82"/>
      <c r="KZ68" s="82"/>
      <c r="LA68" s="82"/>
      <c r="LB68" s="82"/>
      <c r="LC68" s="82"/>
      <c r="LD68" s="82"/>
      <c r="LE68" s="82"/>
      <c r="LF68" s="82"/>
      <c r="LG68" s="82"/>
      <c r="LH68" s="82"/>
      <c r="LI68" s="82"/>
      <c r="LJ68" s="82"/>
      <c r="LK68" s="82"/>
      <c r="LL68" s="82"/>
      <c r="LM68" s="82"/>
      <c r="LN68" s="82"/>
      <c r="LO68" s="82"/>
      <c r="LP68" s="82"/>
      <c r="LQ68" s="82"/>
      <c r="LR68" s="82"/>
      <c r="LS68" s="82"/>
      <c r="LT68" s="82"/>
      <c r="LU68" s="82"/>
      <c r="LV68" s="82"/>
      <c r="LW68" s="82"/>
      <c r="LX68" s="82"/>
      <c r="LY68" s="82"/>
      <c r="LZ68" s="82"/>
      <c r="MA68" s="82"/>
      <c r="MB68" s="82"/>
      <c r="MC68" s="82"/>
      <c r="MD68" s="82"/>
      <c r="ME68" s="82"/>
      <c r="MF68" s="82"/>
      <c r="MG68" s="82"/>
      <c r="MH68" s="82"/>
      <c r="MI68" s="82"/>
      <c r="MJ68" s="82"/>
      <c r="MK68" s="82"/>
      <c r="ML68" s="82"/>
      <c r="MM68" s="82"/>
      <c r="MN68" s="82"/>
      <c r="MO68" s="82"/>
      <c r="MP68" s="82"/>
      <c r="MQ68" s="82"/>
      <c r="MR68" s="82"/>
      <c r="MS68" s="82"/>
      <c r="MT68" s="82"/>
      <c r="MU68" s="82"/>
      <c r="MV68" s="82"/>
      <c r="MW68" s="82"/>
      <c r="MX68" s="82"/>
      <c r="MY68" s="82"/>
      <c r="MZ68" s="82"/>
      <c r="NA68" s="82"/>
      <c r="NB68" s="82"/>
      <c r="NC68" s="82"/>
      <c r="ND68" s="82"/>
      <c r="NE68" s="82"/>
      <c r="NF68" s="82"/>
      <c r="NG68" s="82"/>
      <c r="NH68" s="82"/>
      <c r="NI68" s="82"/>
      <c r="NJ68" s="82"/>
      <c r="NK68" s="82"/>
      <c r="NL68" s="82"/>
      <c r="NM68" s="82"/>
      <c r="NN68" s="82"/>
      <c r="NO68" s="82"/>
      <c r="NP68" s="82"/>
      <c r="NQ68" s="82"/>
      <c r="NR68" s="82"/>
      <c r="NS68" s="82"/>
      <c r="NT68" s="82"/>
      <c r="NU68" s="82"/>
      <c r="NV68" s="82"/>
      <c r="NW68" s="82"/>
      <c r="NX68" s="82"/>
      <c r="NY68" s="82"/>
      <c r="NZ68" s="82"/>
      <c r="OA68" s="82"/>
      <c r="OB68" s="82"/>
      <c r="OC68" s="82"/>
      <c r="OD68" s="82"/>
      <c r="OE68" s="82"/>
      <c r="OF68" s="82"/>
      <c r="OG68" s="82"/>
      <c r="OH68" s="82"/>
      <c r="OI68" s="82"/>
      <c r="OJ68" s="82"/>
      <c r="OK68" s="82"/>
      <c r="OL68" s="82"/>
      <c r="OM68" s="82"/>
      <c r="ON68" s="82"/>
      <c r="OO68" s="82"/>
      <c r="OP68" s="82"/>
      <c r="OQ68" s="82"/>
      <c r="OR68" s="82"/>
      <c r="OS68" s="82"/>
      <c r="OT68" s="82"/>
      <c r="OU68" s="82"/>
      <c r="OV68" s="82"/>
      <c r="OW68" s="82"/>
      <c r="OX68" s="82"/>
      <c r="OY68" s="82"/>
      <c r="OZ68" s="82"/>
      <c r="PA68" s="82"/>
      <c r="PB68" s="82"/>
      <c r="PC68" s="82"/>
      <c r="PD68" s="82"/>
      <c r="PE68" s="82"/>
      <c r="PF68" s="82"/>
      <c r="PG68" s="82"/>
      <c r="PH68" s="82"/>
      <c r="PI68" s="82"/>
      <c r="PJ68" s="82"/>
      <c r="PK68" s="82"/>
      <c r="PL68" s="82"/>
      <c r="PM68" s="82"/>
      <c r="PN68" s="82"/>
      <c r="PO68" s="82"/>
      <c r="PP68" s="82"/>
      <c r="PQ68" s="82"/>
      <c r="PR68" s="82"/>
      <c r="PS68" s="82"/>
      <c r="PT68" s="82"/>
      <c r="PU68" s="82"/>
      <c r="PV68" s="82"/>
      <c r="PW68" s="82"/>
      <c r="PX68" s="82"/>
      <c r="PY68" s="82"/>
      <c r="PZ68" s="82"/>
      <c r="QA68" s="82"/>
      <c r="QB68" s="82"/>
      <c r="QC68" s="82"/>
      <c r="QD68" s="82"/>
      <c r="QE68" s="82"/>
      <c r="QF68" s="82"/>
      <c r="QG68" s="82"/>
      <c r="QH68" s="82"/>
      <c r="QI68" s="82"/>
      <c r="QJ68" s="82"/>
      <c r="QK68" s="82"/>
      <c r="QL68" s="82"/>
      <c r="QM68" s="82"/>
      <c r="QN68" s="82"/>
      <c r="QO68" s="82"/>
      <c r="QP68" s="82"/>
      <c r="QQ68" s="82"/>
      <c r="QR68" s="82"/>
      <c r="QS68" s="82"/>
      <c r="QT68" s="82"/>
      <c r="QU68" s="82"/>
      <c r="QV68" s="82"/>
      <c r="QW68" s="82"/>
      <c r="QX68" s="82"/>
      <c r="QY68" s="82"/>
      <c r="QZ68" s="82"/>
      <c r="RA68" s="82"/>
      <c r="RB68" s="82"/>
      <c r="RC68" s="82"/>
      <c r="RD68" s="82"/>
      <c r="RE68" s="82"/>
      <c r="RF68" s="82"/>
      <c r="RG68" s="82"/>
      <c r="RH68" s="82"/>
      <c r="RI68" s="82"/>
      <c r="RJ68" s="82"/>
      <c r="RK68" s="82"/>
      <c r="RL68" s="82"/>
      <c r="RM68" s="82"/>
      <c r="RN68" s="82"/>
      <c r="RO68" s="82"/>
      <c r="RP68" s="82"/>
      <c r="RQ68" s="82"/>
      <c r="RR68" s="82"/>
      <c r="RS68" s="82"/>
      <c r="RT68" s="82"/>
      <c r="RU68" s="82"/>
      <c r="RV68" s="82"/>
      <c r="RW68" s="82"/>
      <c r="RX68" s="82"/>
      <c r="RY68" s="82"/>
      <c r="RZ68" s="82"/>
      <c r="SA68" s="82"/>
      <c r="SB68" s="82"/>
      <c r="SC68" s="82"/>
      <c r="SD68" s="82"/>
      <c r="SE68" s="82"/>
      <c r="SF68" s="82"/>
      <c r="SG68" s="82"/>
      <c r="SH68" s="82"/>
      <c r="SI68" s="82"/>
      <c r="SJ68" s="82"/>
      <c r="SK68" s="82"/>
      <c r="SL68" s="82"/>
      <c r="SM68" s="82"/>
      <c r="SN68" s="82"/>
      <c r="SO68" s="82"/>
      <c r="SP68" s="82"/>
      <c r="SQ68" s="82"/>
      <c r="SR68" s="82"/>
      <c r="SS68" s="82"/>
      <c r="ST68" s="82"/>
      <c r="SU68" s="82"/>
      <c r="SV68" s="82"/>
      <c r="SW68" s="82"/>
      <c r="SX68" s="82"/>
      <c r="SY68" s="82"/>
      <c r="SZ68" s="82"/>
      <c r="TA68" s="82"/>
      <c r="TB68" s="82"/>
      <c r="TC68" s="82"/>
      <c r="TD68" s="82"/>
      <c r="TE68" s="82"/>
      <c r="TF68" s="82"/>
      <c r="TG68" s="82"/>
      <c r="TH68" s="82"/>
      <c r="TI68" s="82"/>
      <c r="TJ68" s="82"/>
      <c r="TK68" s="82"/>
      <c r="TL68" s="82"/>
      <c r="TM68" s="82"/>
      <c r="TN68" s="82"/>
      <c r="TO68" s="82"/>
      <c r="TP68" s="82"/>
      <c r="TQ68" s="82"/>
      <c r="TR68" s="82"/>
      <c r="TS68" s="82"/>
      <c r="TT68" s="82"/>
      <c r="TU68" s="82"/>
      <c r="TV68" s="82"/>
      <c r="TW68" s="82"/>
      <c r="TX68" s="82"/>
      <c r="TY68" s="82"/>
      <c r="TZ68" s="82"/>
      <c r="UA68" s="82"/>
      <c r="UB68" s="82"/>
      <c r="UC68" s="82"/>
      <c r="UD68" s="82"/>
      <c r="UE68" s="82"/>
      <c r="UF68" s="82"/>
      <c r="UG68" s="82"/>
      <c r="UH68" s="82"/>
      <c r="UI68" s="82"/>
      <c r="UJ68" s="82"/>
      <c r="UK68" s="82"/>
      <c r="UL68" s="82"/>
      <c r="UM68" s="82"/>
      <c r="UN68" s="82"/>
      <c r="UO68" s="82"/>
      <c r="UP68" s="82"/>
      <c r="UQ68" s="82"/>
      <c r="UR68" s="82"/>
      <c r="US68" s="82"/>
      <c r="UT68" s="82"/>
      <c r="UU68" s="82"/>
      <c r="UV68" s="82"/>
      <c r="UW68" s="82"/>
      <c r="UX68" s="82"/>
      <c r="UY68" s="82"/>
      <c r="UZ68" s="82"/>
      <c r="VA68" s="82"/>
      <c r="VB68" s="82"/>
      <c r="VC68" s="82"/>
      <c r="VD68" s="82"/>
      <c r="VE68" s="82"/>
      <c r="VF68" s="82"/>
      <c r="VG68" s="82"/>
      <c r="VH68" s="82"/>
      <c r="VI68" s="82"/>
      <c r="VJ68" s="82"/>
      <c r="VK68" s="82"/>
      <c r="VL68" s="82"/>
      <c r="VM68" s="82"/>
      <c r="VN68" s="82"/>
      <c r="VO68" s="82"/>
      <c r="VP68" s="82"/>
      <c r="VQ68" s="82"/>
      <c r="VR68" s="82"/>
      <c r="VS68" s="82"/>
      <c r="VT68" s="82"/>
      <c r="VU68" s="82"/>
      <c r="VV68" s="82"/>
      <c r="VW68" s="82"/>
      <c r="VX68" s="82"/>
      <c r="VY68" s="82"/>
      <c r="VZ68" s="82"/>
      <c r="WA68" s="82"/>
      <c r="WB68" s="82"/>
      <c r="WC68" s="82"/>
      <c r="WD68" s="82"/>
      <c r="WE68" s="82"/>
      <c r="WF68" s="82"/>
      <c r="WG68" s="82"/>
      <c r="WH68" s="82"/>
      <c r="WI68" s="82"/>
      <c r="WJ68" s="82"/>
      <c r="WK68" s="82"/>
      <c r="WL68" s="82"/>
      <c r="WM68" s="82"/>
      <c r="WN68" s="82"/>
      <c r="WO68" s="82"/>
      <c r="WP68" s="82"/>
      <c r="WQ68" s="82"/>
      <c r="WR68" s="82"/>
      <c r="WS68" s="82"/>
      <c r="WT68" s="82"/>
      <c r="WU68" s="82"/>
      <c r="WV68" s="82"/>
      <c r="WW68" s="82"/>
      <c r="WX68" s="82"/>
      <c r="WY68" s="82"/>
      <c r="WZ68" s="82"/>
      <c r="XA68" s="82"/>
      <c r="XB68" s="82"/>
      <c r="XC68" s="82"/>
      <c r="XD68" s="82"/>
      <c r="XE68" s="82"/>
      <c r="XF68" s="82"/>
      <c r="XG68" s="82"/>
      <c r="XH68" s="82"/>
      <c r="XI68" s="82"/>
      <c r="XJ68" s="82"/>
      <c r="XK68" s="82"/>
      <c r="XL68" s="82"/>
      <c r="XM68" s="82"/>
      <c r="XN68" s="82"/>
      <c r="XO68" s="82"/>
      <c r="XP68" s="82"/>
      <c r="XQ68" s="82"/>
      <c r="XR68" s="82"/>
      <c r="XS68" s="82"/>
      <c r="XT68" s="82"/>
      <c r="XU68" s="82"/>
      <c r="XV68" s="82"/>
      <c r="XW68" s="82"/>
      <c r="XX68" s="82"/>
      <c r="XY68" s="82"/>
      <c r="XZ68" s="82"/>
      <c r="YA68" s="82"/>
      <c r="YB68" s="82"/>
      <c r="YC68" s="82"/>
      <c r="YD68" s="82"/>
      <c r="YE68" s="82"/>
      <c r="YF68" s="82"/>
      <c r="YG68" s="82"/>
      <c r="YH68" s="82"/>
      <c r="YI68" s="82"/>
      <c r="YJ68" s="82"/>
      <c r="YK68" s="82"/>
      <c r="YL68" s="82"/>
      <c r="YM68" s="82"/>
      <c r="YN68" s="82"/>
      <c r="YO68" s="82"/>
      <c r="YP68" s="82"/>
      <c r="YQ68" s="82"/>
      <c r="YR68" s="82"/>
      <c r="YS68" s="82"/>
      <c r="YT68" s="82"/>
      <c r="YU68" s="82"/>
      <c r="YV68" s="82"/>
      <c r="YW68" s="82"/>
      <c r="YX68" s="82"/>
      <c r="YY68" s="82"/>
      <c r="YZ68" s="82"/>
      <c r="ZA68" s="82"/>
      <c r="ZB68" s="82"/>
      <c r="ZC68" s="82"/>
      <c r="ZD68" s="82"/>
      <c r="ZE68" s="82"/>
      <c r="ZF68" s="82"/>
      <c r="ZG68" s="82"/>
      <c r="ZH68" s="82"/>
      <c r="ZI68" s="82"/>
      <c r="ZJ68" s="82"/>
      <c r="ZK68" s="82"/>
      <c r="ZL68" s="82"/>
      <c r="ZM68" s="82"/>
      <c r="ZN68" s="82"/>
      <c r="ZO68" s="82"/>
      <c r="ZP68" s="82"/>
      <c r="ZQ68" s="82"/>
      <c r="ZR68" s="82"/>
      <c r="ZS68" s="82"/>
      <c r="ZT68" s="82"/>
      <c r="ZU68" s="82"/>
      <c r="ZV68" s="82"/>
      <c r="ZW68" s="82"/>
      <c r="ZX68" s="82"/>
      <c r="ZY68" s="82"/>
      <c r="ZZ68" s="82"/>
      <c r="AAA68" s="82"/>
      <c r="AAB68" s="82"/>
      <c r="AAC68" s="82"/>
      <c r="AAD68" s="82"/>
      <c r="AAE68" s="82"/>
      <c r="AAF68" s="82"/>
      <c r="AAG68" s="82"/>
      <c r="AAH68" s="82"/>
      <c r="AAI68" s="82"/>
      <c r="AAJ68" s="82"/>
      <c r="AAK68" s="82"/>
      <c r="AAL68" s="82"/>
      <c r="AAM68" s="82"/>
      <c r="AAN68" s="82"/>
      <c r="AAO68" s="82"/>
      <c r="AAP68" s="82"/>
      <c r="AAQ68" s="82"/>
      <c r="AAR68" s="82"/>
      <c r="AAS68" s="82"/>
      <c r="AAT68" s="82"/>
      <c r="AAU68" s="82"/>
      <c r="AAV68" s="82"/>
      <c r="AAW68" s="82"/>
      <c r="AAX68" s="82"/>
      <c r="AAY68" s="82"/>
      <c r="AAZ68" s="82"/>
      <c r="ABA68" s="82"/>
      <c r="ABB68" s="82"/>
      <c r="ABC68" s="82"/>
      <c r="ABD68" s="82"/>
      <c r="ABE68" s="82"/>
      <c r="ABF68" s="82"/>
      <c r="ABG68" s="82"/>
      <c r="ABH68" s="82"/>
      <c r="ABI68" s="82"/>
      <c r="ABJ68" s="82"/>
      <c r="ABK68" s="82"/>
      <c r="ABL68" s="82"/>
      <c r="ABM68" s="82"/>
      <c r="ABN68" s="82"/>
      <c r="ABO68" s="82"/>
      <c r="ABP68" s="82"/>
      <c r="ABQ68" s="82"/>
      <c r="ABR68" s="82"/>
      <c r="ABS68" s="82"/>
      <c r="ABT68" s="82"/>
      <c r="ABU68" s="82"/>
      <c r="ABV68" s="82"/>
      <c r="ABW68" s="82"/>
      <c r="ABX68" s="82"/>
      <c r="ABY68" s="82"/>
      <c r="ABZ68" s="82"/>
      <c r="ACA68" s="82"/>
      <c r="ACB68" s="82"/>
      <c r="ACC68" s="82"/>
      <c r="ACD68" s="82"/>
      <c r="ACE68" s="82"/>
      <c r="ACF68" s="82"/>
      <c r="ACG68" s="82"/>
      <c r="ACH68" s="82"/>
      <c r="ACI68" s="82"/>
      <c r="ACJ68" s="82"/>
      <c r="ACK68" s="82"/>
      <c r="ACL68" s="82"/>
      <c r="ACM68" s="82"/>
      <c r="ACN68" s="82"/>
      <c r="ACO68" s="82"/>
      <c r="ACP68" s="82"/>
      <c r="ACQ68" s="82"/>
      <c r="ACR68" s="82"/>
      <c r="ACS68" s="82"/>
      <c r="ACT68" s="82"/>
      <c r="ACU68" s="82"/>
      <c r="ACV68" s="82"/>
      <c r="ACW68" s="82"/>
      <c r="ACX68" s="82"/>
      <c r="ACY68" s="82"/>
      <c r="ACZ68" s="82"/>
      <c r="ADA68" s="82"/>
      <c r="ADB68" s="82"/>
      <c r="ADC68" s="82"/>
      <c r="ADD68" s="82"/>
      <c r="ADE68" s="82"/>
      <c r="ADF68" s="82"/>
      <c r="ADG68" s="82"/>
      <c r="ADH68" s="82"/>
      <c r="ADI68" s="82"/>
      <c r="ADJ68" s="82"/>
      <c r="ADK68" s="82"/>
      <c r="ADL68" s="82"/>
      <c r="ADM68" s="82"/>
      <c r="ADN68" s="82"/>
      <c r="ADO68" s="82"/>
      <c r="ADP68" s="82"/>
      <c r="ADQ68" s="82"/>
      <c r="ADR68" s="82"/>
      <c r="ADS68" s="82"/>
      <c r="ADT68" s="82"/>
      <c r="ADU68" s="82"/>
      <c r="ADV68" s="82"/>
      <c r="ADW68" s="82"/>
      <c r="ADX68" s="82"/>
      <c r="ADY68" s="82"/>
      <c r="ADZ68" s="82"/>
      <c r="AEA68" s="82"/>
      <c r="AEB68" s="82"/>
      <c r="AEC68" s="82"/>
      <c r="AED68" s="82"/>
      <c r="AEE68" s="82"/>
      <c r="AEF68" s="82"/>
      <c r="AEG68" s="82"/>
      <c r="AEH68" s="82"/>
      <c r="AEI68" s="82"/>
      <c r="AEJ68" s="82"/>
      <c r="AEK68" s="82"/>
      <c r="AEL68" s="82"/>
      <c r="AEM68" s="82"/>
      <c r="AEN68" s="82"/>
      <c r="AEO68" s="82"/>
      <c r="AEP68" s="82"/>
      <c r="AEQ68" s="82"/>
      <c r="AER68" s="82"/>
      <c r="AES68" s="82"/>
      <c r="AET68" s="82"/>
      <c r="AEU68" s="82"/>
      <c r="AEV68" s="82"/>
      <c r="AEW68" s="82"/>
      <c r="AEX68" s="82"/>
      <c r="AEY68" s="82"/>
      <c r="AEZ68" s="82"/>
      <c r="AFA68" s="82"/>
      <c r="AFB68" s="82"/>
      <c r="AFC68" s="82"/>
      <c r="AFD68" s="82"/>
      <c r="AFE68" s="82"/>
      <c r="AFF68" s="82"/>
      <c r="AFG68" s="82"/>
      <c r="AFH68" s="82"/>
      <c r="AFI68" s="82"/>
      <c r="AFJ68" s="82"/>
      <c r="AFK68" s="82"/>
      <c r="AFL68" s="82"/>
      <c r="AFM68" s="82"/>
      <c r="AFN68" s="82"/>
      <c r="AFO68" s="82"/>
      <c r="AFP68" s="82"/>
      <c r="AFQ68" s="82"/>
      <c r="AFR68" s="82"/>
      <c r="AFS68" s="82"/>
      <c r="AFT68" s="82"/>
      <c r="AFU68" s="82"/>
      <c r="AFV68" s="82"/>
      <c r="AFW68" s="82"/>
      <c r="AFX68" s="82"/>
      <c r="AFY68" s="82"/>
      <c r="AFZ68" s="82"/>
      <c r="AGA68" s="82"/>
      <c r="AGB68" s="82"/>
      <c r="AGC68" s="82"/>
      <c r="AGD68" s="82"/>
      <c r="AGE68" s="82"/>
      <c r="AGF68" s="82"/>
      <c r="AGG68" s="82"/>
      <c r="AGH68" s="82"/>
      <c r="AGI68" s="82"/>
      <c r="AGJ68" s="82"/>
      <c r="AGK68" s="82"/>
      <c r="AGL68" s="82"/>
      <c r="AGM68" s="82"/>
      <c r="AGN68" s="82"/>
      <c r="AGO68" s="82"/>
      <c r="AGP68" s="82"/>
      <c r="AGQ68" s="82"/>
      <c r="AGR68" s="82"/>
      <c r="AGS68" s="82"/>
      <c r="AGT68" s="82"/>
      <c r="AGU68" s="82"/>
      <c r="AGV68" s="82"/>
      <c r="AGW68" s="82"/>
      <c r="AGX68" s="82"/>
      <c r="AGY68" s="82"/>
      <c r="AGZ68" s="82"/>
      <c r="AHA68" s="82"/>
      <c r="AHB68" s="82"/>
      <c r="AHC68" s="82"/>
      <c r="AHD68" s="82"/>
      <c r="AHE68" s="82"/>
      <c r="AHF68" s="82"/>
      <c r="AHG68" s="82"/>
      <c r="AHH68" s="82"/>
      <c r="AHI68" s="82"/>
      <c r="AHJ68" s="82"/>
      <c r="AHK68" s="82"/>
      <c r="AHL68" s="82"/>
      <c r="AHM68" s="82"/>
      <c r="AHN68" s="82"/>
      <c r="AHO68" s="82"/>
      <c r="AHP68" s="82"/>
      <c r="AHQ68" s="82"/>
      <c r="AHR68" s="82"/>
      <c r="AHS68" s="82"/>
      <c r="AHT68" s="82"/>
      <c r="AHU68" s="82"/>
      <c r="AHV68" s="82"/>
      <c r="AHW68" s="82"/>
      <c r="AHX68" s="82"/>
      <c r="AHY68" s="82"/>
      <c r="AHZ68" s="82"/>
      <c r="AIA68" s="82"/>
      <c r="AIB68" s="82"/>
      <c r="AIC68" s="82"/>
      <c r="AID68" s="82"/>
      <c r="AIE68" s="82"/>
      <c r="AIF68" s="82"/>
      <c r="AIG68" s="82"/>
      <c r="AIH68" s="82"/>
    </row>
    <row r="69" spans="1:918" s="99" customFormat="1" x14ac:dyDescent="0.2">
      <c r="A69" s="98"/>
      <c r="B69" s="83" t="s">
        <v>311</v>
      </c>
      <c r="C69" s="91" t="s">
        <v>101</v>
      </c>
      <c r="D69" s="76"/>
      <c r="E69" s="76"/>
      <c r="F69" s="76"/>
      <c r="G69" s="76"/>
      <c r="H69" s="76"/>
      <c r="I69" s="76"/>
      <c r="J69" s="76"/>
      <c r="K69" s="76"/>
      <c r="L69" s="82"/>
      <c r="M69" s="82"/>
      <c r="N69" s="82"/>
      <c r="O69" s="82"/>
      <c r="P69" s="82"/>
      <c r="Q69" s="82"/>
      <c r="R69" s="82"/>
      <c r="S69" s="82"/>
      <c r="T69" s="82"/>
      <c r="U69" s="82"/>
      <c r="V69" s="82"/>
      <c r="W69" s="82"/>
      <c r="X69" s="82"/>
      <c r="Y69" s="82"/>
      <c r="Z69" s="82"/>
      <c r="AA69" s="82"/>
      <c r="AB69" s="82"/>
      <c r="AC69" s="82"/>
      <c r="AD69" s="82"/>
      <c r="AE69" s="82"/>
      <c r="AF69" s="82"/>
      <c r="AG69" s="82"/>
      <c r="AH69" s="82"/>
      <c r="AI69" s="82"/>
      <c r="AJ69" s="82"/>
      <c r="AK69" s="82"/>
      <c r="AL69" s="82"/>
      <c r="AM69" s="82"/>
      <c r="AN69" s="82"/>
      <c r="AO69" s="82"/>
      <c r="AP69" s="82"/>
      <c r="AQ69" s="82"/>
      <c r="AR69" s="82"/>
      <c r="AS69" s="82"/>
      <c r="AT69" s="82"/>
      <c r="AU69" s="82"/>
      <c r="AV69" s="82"/>
      <c r="AW69" s="82"/>
      <c r="AX69" s="82"/>
      <c r="AY69" s="82"/>
      <c r="AZ69" s="82"/>
      <c r="BA69" s="82"/>
      <c r="BB69" s="82"/>
      <c r="BC69" s="82"/>
      <c r="BD69" s="82"/>
      <c r="BE69" s="82"/>
      <c r="BF69" s="82"/>
      <c r="BG69" s="82"/>
      <c r="BH69" s="82"/>
      <c r="BI69" s="82"/>
      <c r="BJ69" s="82"/>
      <c r="BK69" s="82"/>
      <c r="BL69" s="82"/>
      <c r="BM69" s="82"/>
      <c r="BN69" s="82"/>
      <c r="BO69" s="82"/>
      <c r="BP69" s="82"/>
      <c r="BQ69" s="82"/>
      <c r="BR69" s="82"/>
      <c r="BS69" s="82"/>
      <c r="BT69" s="82"/>
      <c r="BU69" s="82"/>
      <c r="BV69" s="82"/>
      <c r="BW69" s="82"/>
      <c r="BX69" s="82"/>
      <c r="BY69" s="82"/>
      <c r="BZ69" s="82"/>
      <c r="CA69" s="82"/>
      <c r="CB69" s="82"/>
      <c r="CC69" s="82"/>
      <c r="CD69" s="82"/>
      <c r="CE69" s="82"/>
      <c r="CF69" s="82"/>
      <c r="CG69" s="82"/>
      <c r="CH69" s="82"/>
      <c r="CI69" s="82"/>
      <c r="CJ69" s="82"/>
      <c r="CK69" s="82"/>
      <c r="CL69" s="82"/>
      <c r="CM69" s="82"/>
      <c r="CN69" s="82"/>
      <c r="CO69" s="82"/>
      <c r="CP69" s="82"/>
      <c r="CQ69" s="82"/>
      <c r="CR69" s="82"/>
      <c r="CS69" s="82"/>
      <c r="CT69" s="82"/>
      <c r="CU69" s="82"/>
      <c r="CV69" s="82"/>
      <c r="CW69" s="82"/>
      <c r="CX69" s="82"/>
      <c r="CY69" s="82"/>
      <c r="CZ69" s="82"/>
      <c r="DA69" s="82"/>
      <c r="DB69" s="82"/>
      <c r="DC69" s="82"/>
      <c r="DD69" s="82"/>
      <c r="DE69" s="82"/>
      <c r="DF69" s="82"/>
      <c r="DG69" s="82"/>
      <c r="DH69" s="82"/>
      <c r="DI69" s="82"/>
      <c r="DJ69" s="82"/>
      <c r="DK69" s="82"/>
      <c r="DL69" s="82"/>
      <c r="DM69" s="82"/>
      <c r="DN69" s="82"/>
      <c r="DO69" s="82"/>
      <c r="DP69" s="82"/>
      <c r="DQ69" s="82"/>
      <c r="DR69" s="82"/>
      <c r="DS69" s="82"/>
      <c r="DT69" s="82"/>
      <c r="DU69" s="82"/>
      <c r="DV69" s="82"/>
      <c r="DW69" s="82"/>
      <c r="DX69" s="82"/>
      <c r="DY69" s="82"/>
      <c r="DZ69" s="82"/>
      <c r="EA69" s="82"/>
      <c r="EB69" s="82"/>
      <c r="EC69" s="82"/>
      <c r="ED69" s="82"/>
      <c r="EE69" s="82"/>
      <c r="EF69" s="82"/>
      <c r="EG69" s="82"/>
      <c r="EH69" s="82"/>
      <c r="EI69" s="82"/>
      <c r="EJ69" s="82"/>
      <c r="EK69" s="82"/>
      <c r="EL69" s="82"/>
      <c r="EM69" s="82"/>
      <c r="EN69" s="82"/>
      <c r="EO69" s="82"/>
      <c r="EP69" s="82"/>
      <c r="EQ69" s="82"/>
      <c r="ER69" s="82"/>
      <c r="ES69" s="82"/>
      <c r="ET69" s="82"/>
      <c r="EU69" s="82"/>
      <c r="EV69" s="82"/>
      <c r="EW69" s="82"/>
      <c r="EX69" s="82"/>
      <c r="EY69" s="82"/>
      <c r="EZ69" s="82"/>
      <c r="FA69" s="82"/>
      <c r="FB69" s="82"/>
      <c r="FC69" s="82"/>
      <c r="FD69" s="82"/>
      <c r="FE69" s="82"/>
      <c r="FF69" s="82"/>
      <c r="FG69" s="82"/>
      <c r="FH69" s="82"/>
      <c r="FI69" s="82"/>
      <c r="FJ69" s="82"/>
      <c r="FK69" s="82"/>
      <c r="FL69" s="82"/>
      <c r="FM69" s="82"/>
      <c r="FN69" s="82"/>
      <c r="FO69" s="82"/>
      <c r="FP69" s="82"/>
      <c r="FQ69" s="82"/>
      <c r="FR69" s="82"/>
      <c r="FS69" s="82"/>
      <c r="FT69" s="82"/>
      <c r="FU69" s="82"/>
      <c r="FV69" s="82"/>
      <c r="FW69" s="82"/>
      <c r="FX69" s="82"/>
      <c r="FY69" s="82"/>
      <c r="FZ69" s="82"/>
      <c r="GA69" s="82"/>
      <c r="GB69" s="82"/>
      <c r="GC69" s="82"/>
      <c r="GD69" s="82"/>
      <c r="GE69" s="82"/>
      <c r="GF69" s="82"/>
      <c r="GG69" s="82"/>
      <c r="GH69" s="82"/>
      <c r="GI69" s="82"/>
      <c r="GJ69" s="82"/>
      <c r="GK69" s="82"/>
      <c r="GL69" s="82"/>
      <c r="GM69" s="82"/>
      <c r="GN69" s="82"/>
      <c r="GO69" s="82"/>
      <c r="GP69" s="82"/>
      <c r="GQ69" s="82"/>
      <c r="GR69" s="82"/>
      <c r="GS69" s="82"/>
      <c r="GT69" s="82"/>
      <c r="GU69" s="82"/>
      <c r="GV69" s="82"/>
      <c r="GW69" s="82"/>
      <c r="GX69" s="82"/>
      <c r="GY69" s="82"/>
      <c r="GZ69" s="82"/>
      <c r="HA69" s="82"/>
      <c r="HB69" s="82"/>
      <c r="HC69" s="82"/>
      <c r="HD69" s="82"/>
      <c r="HE69" s="82"/>
      <c r="HF69" s="82"/>
      <c r="HG69" s="82"/>
      <c r="HH69" s="82"/>
      <c r="HI69" s="82"/>
      <c r="HJ69" s="82"/>
      <c r="HK69" s="82"/>
      <c r="HL69" s="82"/>
      <c r="HM69" s="82"/>
      <c r="HN69" s="82"/>
      <c r="HO69" s="82"/>
      <c r="HP69" s="82"/>
      <c r="HQ69" s="82"/>
      <c r="HR69" s="82"/>
      <c r="HS69" s="82"/>
      <c r="HT69" s="82"/>
      <c r="HU69" s="82"/>
      <c r="HV69" s="82"/>
      <c r="HW69" s="82"/>
      <c r="HX69" s="82"/>
      <c r="HY69" s="82"/>
      <c r="HZ69" s="82"/>
      <c r="IA69" s="82"/>
      <c r="IB69" s="82"/>
      <c r="IC69" s="82"/>
      <c r="ID69" s="82"/>
      <c r="IE69" s="82"/>
      <c r="IF69" s="82"/>
      <c r="IG69" s="82"/>
      <c r="IH69" s="82"/>
      <c r="II69" s="82"/>
      <c r="IJ69" s="82"/>
      <c r="IK69" s="82"/>
      <c r="IL69" s="82"/>
      <c r="IM69" s="82"/>
      <c r="IN69" s="82"/>
      <c r="IO69" s="82"/>
      <c r="IP69" s="82"/>
      <c r="IQ69" s="82"/>
      <c r="IR69" s="82"/>
      <c r="IS69" s="82"/>
      <c r="IT69" s="82"/>
      <c r="IU69" s="82"/>
      <c r="IV69" s="82"/>
      <c r="IW69" s="82"/>
      <c r="IX69" s="82"/>
      <c r="IY69" s="82"/>
      <c r="IZ69" s="82"/>
      <c r="JA69" s="82"/>
      <c r="JB69" s="82"/>
      <c r="JC69" s="82"/>
      <c r="JD69" s="82"/>
      <c r="JE69" s="82"/>
      <c r="JF69" s="82"/>
      <c r="JG69" s="82"/>
      <c r="JH69" s="82"/>
      <c r="JI69" s="82"/>
      <c r="JJ69" s="82"/>
      <c r="JK69" s="82"/>
      <c r="JL69" s="82"/>
      <c r="JM69" s="82"/>
      <c r="JN69" s="82"/>
      <c r="JO69" s="82"/>
      <c r="JP69" s="82"/>
      <c r="JQ69" s="82"/>
      <c r="JR69" s="82"/>
      <c r="JS69" s="82"/>
      <c r="JT69" s="82"/>
      <c r="JU69" s="82"/>
      <c r="JV69" s="82"/>
      <c r="JW69" s="82"/>
      <c r="JX69" s="82"/>
      <c r="JY69" s="82"/>
      <c r="JZ69" s="82"/>
      <c r="KA69" s="82"/>
      <c r="KB69" s="82"/>
      <c r="KC69" s="82"/>
      <c r="KD69" s="82"/>
      <c r="KE69" s="82"/>
      <c r="KF69" s="82"/>
      <c r="KG69" s="82"/>
      <c r="KH69" s="82"/>
      <c r="KI69" s="82"/>
      <c r="KJ69" s="82"/>
      <c r="KK69" s="82"/>
      <c r="KL69" s="82"/>
      <c r="KM69" s="82"/>
      <c r="KN69" s="82"/>
      <c r="KO69" s="82"/>
      <c r="KP69" s="82"/>
      <c r="KQ69" s="82"/>
      <c r="KR69" s="82"/>
      <c r="KS69" s="82"/>
      <c r="KT69" s="82"/>
      <c r="KU69" s="82"/>
      <c r="KV69" s="82"/>
      <c r="KW69" s="82"/>
      <c r="KX69" s="82"/>
      <c r="KY69" s="82"/>
      <c r="KZ69" s="82"/>
      <c r="LA69" s="82"/>
      <c r="LB69" s="82"/>
      <c r="LC69" s="82"/>
      <c r="LD69" s="82"/>
      <c r="LE69" s="82"/>
      <c r="LF69" s="82"/>
      <c r="LG69" s="82"/>
      <c r="LH69" s="82"/>
      <c r="LI69" s="82"/>
      <c r="LJ69" s="82"/>
      <c r="LK69" s="82"/>
      <c r="LL69" s="82"/>
      <c r="LM69" s="82"/>
      <c r="LN69" s="82"/>
      <c r="LO69" s="82"/>
      <c r="LP69" s="82"/>
      <c r="LQ69" s="82"/>
      <c r="LR69" s="82"/>
      <c r="LS69" s="82"/>
      <c r="LT69" s="82"/>
      <c r="LU69" s="82"/>
      <c r="LV69" s="82"/>
      <c r="LW69" s="82"/>
      <c r="LX69" s="82"/>
      <c r="LY69" s="82"/>
      <c r="LZ69" s="82"/>
      <c r="MA69" s="82"/>
      <c r="MB69" s="82"/>
      <c r="MC69" s="82"/>
      <c r="MD69" s="82"/>
      <c r="ME69" s="82"/>
      <c r="MF69" s="82"/>
      <c r="MG69" s="82"/>
      <c r="MH69" s="82"/>
      <c r="MI69" s="82"/>
      <c r="MJ69" s="82"/>
      <c r="MK69" s="82"/>
      <c r="ML69" s="82"/>
      <c r="MM69" s="82"/>
      <c r="MN69" s="82"/>
      <c r="MO69" s="82"/>
      <c r="MP69" s="82"/>
      <c r="MQ69" s="82"/>
      <c r="MR69" s="82"/>
      <c r="MS69" s="82"/>
      <c r="MT69" s="82"/>
      <c r="MU69" s="82"/>
      <c r="MV69" s="82"/>
      <c r="MW69" s="82"/>
      <c r="MX69" s="82"/>
      <c r="MY69" s="82"/>
      <c r="MZ69" s="82"/>
      <c r="NA69" s="82"/>
      <c r="NB69" s="82"/>
      <c r="NC69" s="82"/>
      <c r="ND69" s="82"/>
      <c r="NE69" s="82"/>
      <c r="NF69" s="82"/>
      <c r="NG69" s="82"/>
      <c r="NH69" s="82"/>
      <c r="NI69" s="82"/>
      <c r="NJ69" s="82"/>
      <c r="NK69" s="82"/>
      <c r="NL69" s="82"/>
      <c r="NM69" s="82"/>
      <c r="NN69" s="82"/>
      <c r="NO69" s="82"/>
      <c r="NP69" s="82"/>
      <c r="NQ69" s="82"/>
      <c r="NR69" s="82"/>
      <c r="NS69" s="82"/>
      <c r="NT69" s="82"/>
      <c r="NU69" s="82"/>
      <c r="NV69" s="82"/>
      <c r="NW69" s="82"/>
      <c r="NX69" s="82"/>
      <c r="NY69" s="82"/>
      <c r="NZ69" s="82"/>
      <c r="OA69" s="82"/>
      <c r="OB69" s="82"/>
      <c r="OC69" s="82"/>
      <c r="OD69" s="82"/>
      <c r="OE69" s="82"/>
      <c r="OF69" s="82"/>
      <c r="OG69" s="82"/>
      <c r="OH69" s="82"/>
      <c r="OI69" s="82"/>
      <c r="OJ69" s="82"/>
      <c r="OK69" s="82"/>
      <c r="OL69" s="82"/>
      <c r="OM69" s="82"/>
      <c r="ON69" s="82"/>
      <c r="OO69" s="82"/>
      <c r="OP69" s="82"/>
      <c r="OQ69" s="82"/>
      <c r="OR69" s="82"/>
      <c r="OS69" s="82"/>
      <c r="OT69" s="82"/>
      <c r="OU69" s="82"/>
      <c r="OV69" s="82"/>
      <c r="OW69" s="82"/>
      <c r="OX69" s="82"/>
      <c r="OY69" s="82"/>
      <c r="OZ69" s="82"/>
      <c r="PA69" s="82"/>
      <c r="PB69" s="82"/>
      <c r="PC69" s="82"/>
      <c r="PD69" s="82"/>
      <c r="PE69" s="82"/>
      <c r="PF69" s="82"/>
      <c r="PG69" s="82"/>
      <c r="PH69" s="82"/>
      <c r="PI69" s="82"/>
      <c r="PJ69" s="82"/>
      <c r="PK69" s="82"/>
      <c r="PL69" s="82"/>
      <c r="PM69" s="82"/>
      <c r="PN69" s="82"/>
      <c r="PO69" s="82"/>
      <c r="PP69" s="82"/>
      <c r="PQ69" s="82"/>
      <c r="PR69" s="82"/>
      <c r="PS69" s="82"/>
      <c r="PT69" s="82"/>
      <c r="PU69" s="82"/>
      <c r="PV69" s="82"/>
      <c r="PW69" s="82"/>
      <c r="PX69" s="82"/>
      <c r="PY69" s="82"/>
      <c r="PZ69" s="82"/>
      <c r="QA69" s="82"/>
      <c r="QB69" s="82"/>
      <c r="QC69" s="82"/>
      <c r="QD69" s="82"/>
      <c r="QE69" s="82"/>
      <c r="QF69" s="82"/>
      <c r="QG69" s="82"/>
      <c r="QH69" s="82"/>
      <c r="QI69" s="82"/>
      <c r="QJ69" s="82"/>
      <c r="QK69" s="82"/>
      <c r="QL69" s="82"/>
      <c r="QM69" s="82"/>
      <c r="QN69" s="82"/>
      <c r="QO69" s="82"/>
      <c r="QP69" s="82"/>
      <c r="QQ69" s="82"/>
      <c r="QR69" s="82"/>
      <c r="QS69" s="82"/>
      <c r="QT69" s="82"/>
      <c r="QU69" s="82"/>
      <c r="QV69" s="82"/>
      <c r="QW69" s="82"/>
      <c r="QX69" s="82"/>
      <c r="QY69" s="82"/>
      <c r="QZ69" s="82"/>
      <c r="RA69" s="82"/>
      <c r="RB69" s="82"/>
      <c r="RC69" s="82"/>
      <c r="RD69" s="82"/>
      <c r="RE69" s="82"/>
      <c r="RF69" s="82"/>
      <c r="RG69" s="82"/>
      <c r="RH69" s="82"/>
      <c r="RI69" s="82"/>
      <c r="RJ69" s="82"/>
      <c r="RK69" s="82"/>
      <c r="RL69" s="82"/>
      <c r="RM69" s="82"/>
      <c r="RN69" s="82"/>
      <c r="RO69" s="82"/>
      <c r="RP69" s="82"/>
      <c r="RQ69" s="82"/>
      <c r="RR69" s="82"/>
      <c r="RS69" s="82"/>
      <c r="RT69" s="82"/>
      <c r="RU69" s="82"/>
      <c r="RV69" s="82"/>
      <c r="RW69" s="82"/>
      <c r="RX69" s="82"/>
      <c r="RY69" s="82"/>
      <c r="RZ69" s="82"/>
      <c r="SA69" s="82"/>
      <c r="SB69" s="82"/>
      <c r="SC69" s="82"/>
      <c r="SD69" s="82"/>
      <c r="SE69" s="82"/>
      <c r="SF69" s="82"/>
      <c r="SG69" s="82"/>
      <c r="SH69" s="82"/>
      <c r="SI69" s="82"/>
      <c r="SJ69" s="82"/>
      <c r="SK69" s="82"/>
      <c r="SL69" s="82"/>
      <c r="SM69" s="82"/>
      <c r="SN69" s="82"/>
      <c r="SO69" s="82"/>
      <c r="SP69" s="82"/>
      <c r="SQ69" s="82"/>
      <c r="SR69" s="82"/>
      <c r="SS69" s="82"/>
      <c r="ST69" s="82"/>
      <c r="SU69" s="82"/>
      <c r="SV69" s="82"/>
      <c r="SW69" s="82"/>
      <c r="SX69" s="82"/>
      <c r="SY69" s="82"/>
      <c r="SZ69" s="82"/>
      <c r="TA69" s="82"/>
      <c r="TB69" s="82"/>
      <c r="TC69" s="82"/>
      <c r="TD69" s="82"/>
      <c r="TE69" s="82"/>
      <c r="TF69" s="82"/>
      <c r="TG69" s="82"/>
      <c r="TH69" s="82"/>
      <c r="TI69" s="82"/>
      <c r="TJ69" s="82"/>
      <c r="TK69" s="82"/>
      <c r="TL69" s="82"/>
      <c r="TM69" s="82"/>
      <c r="TN69" s="82"/>
      <c r="TO69" s="82"/>
      <c r="TP69" s="82"/>
      <c r="TQ69" s="82"/>
      <c r="TR69" s="82"/>
      <c r="TS69" s="82"/>
      <c r="TT69" s="82"/>
      <c r="TU69" s="82"/>
      <c r="TV69" s="82"/>
      <c r="TW69" s="82"/>
      <c r="TX69" s="82"/>
      <c r="TY69" s="82"/>
      <c r="TZ69" s="82"/>
      <c r="UA69" s="82"/>
      <c r="UB69" s="82"/>
      <c r="UC69" s="82"/>
      <c r="UD69" s="82"/>
      <c r="UE69" s="82"/>
      <c r="UF69" s="82"/>
      <c r="UG69" s="82"/>
      <c r="UH69" s="82"/>
      <c r="UI69" s="82"/>
      <c r="UJ69" s="82"/>
      <c r="UK69" s="82"/>
      <c r="UL69" s="82"/>
      <c r="UM69" s="82"/>
      <c r="UN69" s="82"/>
      <c r="UO69" s="82"/>
      <c r="UP69" s="82"/>
      <c r="UQ69" s="82"/>
      <c r="UR69" s="82"/>
      <c r="US69" s="82"/>
      <c r="UT69" s="82"/>
      <c r="UU69" s="82"/>
      <c r="UV69" s="82"/>
      <c r="UW69" s="82"/>
      <c r="UX69" s="82"/>
      <c r="UY69" s="82"/>
      <c r="UZ69" s="82"/>
      <c r="VA69" s="82"/>
      <c r="VB69" s="82"/>
      <c r="VC69" s="82"/>
      <c r="VD69" s="82"/>
      <c r="VE69" s="82"/>
      <c r="VF69" s="82"/>
      <c r="VG69" s="82"/>
      <c r="VH69" s="82"/>
      <c r="VI69" s="82"/>
      <c r="VJ69" s="82"/>
      <c r="VK69" s="82"/>
      <c r="VL69" s="82"/>
      <c r="VM69" s="82"/>
      <c r="VN69" s="82"/>
      <c r="VO69" s="82"/>
      <c r="VP69" s="82"/>
      <c r="VQ69" s="82"/>
      <c r="VR69" s="82"/>
      <c r="VS69" s="82"/>
      <c r="VT69" s="82"/>
      <c r="VU69" s="82"/>
      <c r="VV69" s="82"/>
      <c r="VW69" s="82"/>
      <c r="VX69" s="82"/>
      <c r="VY69" s="82"/>
      <c r="VZ69" s="82"/>
      <c r="WA69" s="82"/>
      <c r="WB69" s="82"/>
      <c r="WC69" s="82"/>
      <c r="WD69" s="82"/>
      <c r="WE69" s="82"/>
      <c r="WF69" s="82"/>
      <c r="WG69" s="82"/>
      <c r="WH69" s="82"/>
      <c r="WI69" s="82"/>
      <c r="WJ69" s="82"/>
      <c r="WK69" s="82"/>
      <c r="WL69" s="82"/>
      <c r="WM69" s="82"/>
      <c r="WN69" s="82"/>
      <c r="WO69" s="82"/>
      <c r="WP69" s="82"/>
      <c r="WQ69" s="82"/>
      <c r="WR69" s="82"/>
      <c r="WS69" s="82"/>
      <c r="WT69" s="82"/>
      <c r="WU69" s="82"/>
      <c r="WV69" s="82"/>
      <c r="WW69" s="82"/>
      <c r="WX69" s="82"/>
      <c r="WY69" s="82"/>
      <c r="WZ69" s="82"/>
      <c r="XA69" s="82"/>
      <c r="XB69" s="82"/>
      <c r="XC69" s="82"/>
      <c r="XD69" s="82"/>
      <c r="XE69" s="82"/>
      <c r="XF69" s="82"/>
      <c r="XG69" s="82"/>
      <c r="XH69" s="82"/>
      <c r="XI69" s="82"/>
      <c r="XJ69" s="82"/>
      <c r="XK69" s="82"/>
      <c r="XL69" s="82"/>
      <c r="XM69" s="82"/>
      <c r="XN69" s="82"/>
      <c r="XO69" s="82"/>
      <c r="XP69" s="82"/>
      <c r="XQ69" s="82"/>
      <c r="XR69" s="82"/>
      <c r="XS69" s="82"/>
      <c r="XT69" s="82"/>
      <c r="XU69" s="82"/>
      <c r="XV69" s="82"/>
      <c r="XW69" s="82"/>
      <c r="XX69" s="82"/>
      <c r="XY69" s="82"/>
      <c r="XZ69" s="82"/>
      <c r="YA69" s="82"/>
      <c r="YB69" s="82"/>
      <c r="YC69" s="82"/>
      <c r="YD69" s="82"/>
      <c r="YE69" s="82"/>
      <c r="YF69" s="82"/>
      <c r="YG69" s="82"/>
      <c r="YH69" s="82"/>
      <c r="YI69" s="82"/>
      <c r="YJ69" s="82"/>
      <c r="YK69" s="82"/>
      <c r="YL69" s="82"/>
      <c r="YM69" s="82"/>
      <c r="YN69" s="82"/>
      <c r="YO69" s="82"/>
      <c r="YP69" s="82"/>
      <c r="YQ69" s="82"/>
      <c r="YR69" s="82"/>
      <c r="YS69" s="82"/>
      <c r="YT69" s="82"/>
      <c r="YU69" s="82"/>
      <c r="YV69" s="82"/>
      <c r="YW69" s="82"/>
      <c r="YX69" s="82"/>
      <c r="YY69" s="82"/>
      <c r="YZ69" s="82"/>
      <c r="ZA69" s="82"/>
      <c r="ZB69" s="82"/>
      <c r="ZC69" s="82"/>
      <c r="ZD69" s="82"/>
      <c r="ZE69" s="82"/>
      <c r="ZF69" s="82"/>
      <c r="ZG69" s="82"/>
      <c r="ZH69" s="82"/>
      <c r="ZI69" s="82"/>
      <c r="ZJ69" s="82"/>
      <c r="ZK69" s="82"/>
      <c r="ZL69" s="82"/>
      <c r="ZM69" s="82"/>
      <c r="ZN69" s="82"/>
      <c r="ZO69" s="82"/>
      <c r="ZP69" s="82"/>
      <c r="ZQ69" s="82"/>
      <c r="ZR69" s="82"/>
      <c r="ZS69" s="82"/>
      <c r="ZT69" s="82"/>
      <c r="ZU69" s="82"/>
      <c r="ZV69" s="82"/>
      <c r="ZW69" s="82"/>
      <c r="ZX69" s="82"/>
      <c r="ZY69" s="82"/>
      <c r="ZZ69" s="82"/>
      <c r="AAA69" s="82"/>
      <c r="AAB69" s="82"/>
      <c r="AAC69" s="82"/>
      <c r="AAD69" s="82"/>
      <c r="AAE69" s="82"/>
      <c r="AAF69" s="82"/>
      <c r="AAG69" s="82"/>
      <c r="AAH69" s="82"/>
      <c r="AAI69" s="82"/>
      <c r="AAJ69" s="82"/>
      <c r="AAK69" s="82"/>
      <c r="AAL69" s="82"/>
      <c r="AAM69" s="82"/>
      <c r="AAN69" s="82"/>
      <c r="AAO69" s="82"/>
      <c r="AAP69" s="82"/>
      <c r="AAQ69" s="82"/>
      <c r="AAR69" s="82"/>
      <c r="AAS69" s="82"/>
      <c r="AAT69" s="82"/>
      <c r="AAU69" s="82"/>
      <c r="AAV69" s="82"/>
      <c r="AAW69" s="82"/>
      <c r="AAX69" s="82"/>
      <c r="AAY69" s="82"/>
      <c r="AAZ69" s="82"/>
      <c r="ABA69" s="82"/>
      <c r="ABB69" s="82"/>
      <c r="ABC69" s="82"/>
      <c r="ABD69" s="82"/>
      <c r="ABE69" s="82"/>
      <c r="ABF69" s="82"/>
      <c r="ABG69" s="82"/>
      <c r="ABH69" s="82"/>
      <c r="ABI69" s="82"/>
      <c r="ABJ69" s="82"/>
      <c r="ABK69" s="82"/>
      <c r="ABL69" s="82"/>
      <c r="ABM69" s="82"/>
      <c r="ABN69" s="82"/>
      <c r="ABO69" s="82"/>
      <c r="ABP69" s="82"/>
      <c r="ABQ69" s="82"/>
      <c r="ABR69" s="82"/>
      <c r="ABS69" s="82"/>
      <c r="ABT69" s="82"/>
      <c r="ABU69" s="82"/>
      <c r="ABV69" s="82"/>
      <c r="ABW69" s="82"/>
      <c r="ABX69" s="82"/>
      <c r="ABY69" s="82"/>
      <c r="ABZ69" s="82"/>
      <c r="ACA69" s="82"/>
      <c r="ACB69" s="82"/>
      <c r="ACC69" s="82"/>
      <c r="ACD69" s="82"/>
      <c r="ACE69" s="82"/>
      <c r="ACF69" s="82"/>
      <c r="ACG69" s="82"/>
      <c r="ACH69" s="82"/>
      <c r="ACI69" s="82"/>
      <c r="ACJ69" s="82"/>
      <c r="ACK69" s="82"/>
      <c r="ACL69" s="82"/>
      <c r="ACM69" s="82"/>
      <c r="ACN69" s="82"/>
      <c r="ACO69" s="82"/>
      <c r="ACP69" s="82"/>
      <c r="ACQ69" s="82"/>
      <c r="ACR69" s="82"/>
      <c r="ACS69" s="82"/>
      <c r="ACT69" s="82"/>
      <c r="ACU69" s="82"/>
      <c r="ACV69" s="82"/>
      <c r="ACW69" s="82"/>
      <c r="ACX69" s="82"/>
      <c r="ACY69" s="82"/>
      <c r="ACZ69" s="82"/>
      <c r="ADA69" s="82"/>
      <c r="ADB69" s="82"/>
      <c r="ADC69" s="82"/>
      <c r="ADD69" s="82"/>
      <c r="ADE69" s="82"/>
      <c r="ADF69" s="82"/>
      <c r="ADG69" s="82"/>
      <c r="ADH69" s="82"/>
      <c r="ADI69" s="82"/>
      <c r="ADJ69" s="82"/>
      <c r="ADK69" s="82"/>
      <c r="ADL69" s="82"/>
      <c r="ADM69" s="82"/>
      <c r="ADN69" s="82"/>
      <c r="ADO69" s="82"/>
      <c r="ADP69" s="82"/>
      <c r="ADQ69" s="82"/>
      <c r="ADR69" s="82"/>
      <c r="ADS69" s="82"/>
      <c r="ADT69" s="82"/>
      <c r="ADU69" s="82"/>
      <c r="ADV69" s="82"/>
      <c r="ADW69" s="82"/>
      <c r="ADX69" s="82"/>
      <c r="ADY69" s="82"/>
      <c r="ADZ69" s="82"/>
      <c r="AEA69" s="82"/>
      <c r="AEB69" s="82"/>
      <c r="AEC69" s="82"/>
      <c r="AED69" s="82"/>
      <c r="AEE69" s="82"/>
      <c r="AEF69" s="82"/>
      <c r="AEG69" s="82"/>
      <c r="AEH69" s="82"/>
      <c r="AEI69" s="82"/>
      <c r="AEJ69" s="82"/>
      <c r="AEK69" s="82"/>
      <c r="AEL69" s="82"/>
      <c r="AEM69" s="82"/>
      <c r="AEN69" s="82"/>
      <c r="AEO69" s="82"/>
      <c r="AEP69" s="82"/>
      <c r="AEQ69" s="82"/>
      <c r="AER69" s="82"/>
      <c r="AES69" s="82"/>
      <c r="AET69" s="82"/>
      <c r="AEU69" s="82"/>
      <c r="AEV69" s="82"/>
      <c r="AEW69" s="82"/>
      <c r="AEX69" s="82"/>
      <c r="AEY69" s="82"/>
      <c r="AEZ69" s="82"/>
      <c r="AFA69" s="82"/>
      <c r="AFB69" s="82"/>
      <c r="AFC69" s="82"/>
      <c r="AFD69" s="82"/>
      <c r="AFE69" s="82"/>
      <c r="AFF69" s="82"/>
      <c r="AFG69" s="82"/>
      <c r="AFH69" s="82"/>
      <c r="AFI69" s="82"/>
      <c r="AFJ69" s="82"/>
      <c r="AFK69" s="82"/>
      <c r="AFL69" s="82"/>
      <c r="AFM69" s="82"/>
      <c r="AFN69" s="82"/>
      <c r="AFO69" s="82"/>
      <c r="AFP69" s="82"/>
      <c r="AFQ69" s="82"/>
      <c r="AFR69" s="82"/>
      <c r="AFS69" s="82"/>
      <c r="AFT69" s="82"/>
      <c r="AFU69" s="82"/>
      <c r="AFV69" s="82"/>
      <c r="AFW69" s="82"/>
      <c r="AFX69" s="82"/>
      <c r="AFY69" s="82"/>
      <c r="AFZ69" s="82"/>
      <c r="AGA69" s="82"/>
      <c r="AGB69" s="82"/>
      <c r="AGC69" s="82"/>
      <c r="AGD69" s="82"/>
      <c r="AGE69" s="82"/>
      <c r="AGF69" s="82"/>
      <c r="AGG69" s="82"/>
      <c r="AGH69" s="82"/>
      <c r="AGI69" s="82"/>
      <c r="AGJ69" s="82"/>
      <c r="AGK69" s="82"/>
      <c r="AGL69" s="82"/>
      <c r="AGM69" s="82"/>
      <c r="AGN69" s="82"/>
      <c r="AGO69" s="82"/>
      <c r="AGP69" s="82"/>
      <c r="AGQ69" s="82"/>
      <c r="AGR69" s="82"/>
      <c r="AGS69" s="82"/>
      <c r="AGT69" s="82"/>
      <c r="AGU69" s="82"/>
      <c r="AGV69" s="82"/>
      <c r="AGW69" s="82"/>
      <c r="AGX69" s="82"/>
      <c r="AGY69" s="82"/>
      <c r="AGZ69" s="82"/>
      <c r="AHA69" s="82"/>
      <c r="AHB69" s="82"/>
      <c r="AHC69" s="82"/>
      <c r="AHD69" s="82"/>
      <c r="AHE69" s="82"/>
      <c r="AHF69" s="82"/>
      <c r="AHG69" s="82"/>
      <c r="AHH69" s="82"/>
      <c r="AHI69" s="82"/>
      <c r="AHJ69" s="82"/>
      <c r="AHK69" s="82"/>
      <c r="AHL69" s="82"/>
      <c r="AHM69" s="82"/>
      <c r="AHN69" s="82"/>
      <c r="AHO69" s="82"/>
      <c r="AHP69" s="82"/>
      <c r="AHQ69" s="82"/>
      <c r="AHR69" s="82"/>
      <c r="AHS69" s="82"/>
      <c r="AHT69" s="82"/>
      <c r="AHU69" s="82"/>
      <c r="AHV69" s="82"/>
      <c r="AHW69" s="82"/>
      <c r="AHX69" s="82"/>
      <c r="AHY69" s="82"/>
      <c r="AHZ69" s="82"/>
      <c r="AIA69" s="82"/>
      <c r="AIB69" s="82"/>
      <c r="AIC69" s="82"/>
      <c r="AID69" s="82"/>
      <c r="AIE69" s="82"/>
      <c r="AIF69" s="82"/>
      <c r="AIG69" s="82"/>
      <c r="AIH69" s="82"/>
    </row>
    <row r="70" spans="1:918" s="99" customFormat="1" ht="22.5" x14ac:dyDescent="0.2">
      <c r="A70" s="98"/>
      <c r="B70" s="83" t="s">
        <v>312</v>
      </c>
      <c r="C70" s="84" t="s">
        <v>374</v>
      </c>
      <c r="D70" s="76"/>
      <c r="E70" s="76"/>
      <c r="F70" s="76"/>
      <c r="G70" s="76"/>
      <c r="H70" s="76"/>
      <c r="I70" s="76"/>
      <c r="J70" s="76">
        <v>1</v>
      </c>
      <c r="K70" s="76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F70" s="82"/>
      <c r="AG70" s="82"/>
      <c r="AH70" s="82"/>
      <c r="AI70" s="82"/>
      <c r="AJ70" s="82"/>
      <c r="AK70" s="82"/>
      <c r="AL70" s="82"/>
      <c r="AM70" s="82"/>
      <c r="AN70" s="82"/>
      <c r="AO70" s="82"/>
      <c r="AP70" s="82"/>
      <c r="AQ70" s="82"/>
      <c r="AR70" s="82"/>
      <c r="AS70" s="82"/>
      <c r="AT70" s="82"/>
      <c r="AU70" s="82"/>
      <c r="AV70" s="82"/>
      <c r="AW70" s="82"/>
      <c r="AX70" s="82"/>
      <c r="AY70" s="82"/>
      <c r="AZ70" s="82"/>
      <c r="BA70" s="82"/>
      <c r="BB70" s="82"/>
      <c r="BC70" s="82"/>
      <c r="BD70" s="82"/>
      <c r="BE70" s="82"/>
      <c r="BF70" s="82"/>
      <c r="BG70" s="82"/>
      <c r="BH70" s="82"/>
      <c r="BI70" s="82"/>
      <c r="BJ70" s="82"/>
      <c r="BK70" s="82"/>
      <c r="BL70" s="82"/>
      <c r="BM70" s="82"/>
      <c r="BN70" s="82"/>
      <c r="BO70" s="82"/>
      <c r="BP70" s="82"/>
      <c r="BQ70" s="82"/>
      <c r="BR70" s="82"/>
      <c r="BS70" s="82"/>
      <c r="BT70" s="82"/>
      <c r="BU70" s="82"/>
      <c r="BV70" s="82"/>
      <c r="BW70" s="82"/>
      <c r="BX70" s="82"/>
      <c r="BY70" s="82"/>
      <c r="BZ70" s="82"/>
      <c r="CA70" s="82"/>
      <c r="CB70" s="82"/>
      <c r="CC70" s="82"/>
      <c r="CD70" s="82"/>
      <c r="CE70" s="82"/>
      <c r="CF70" s="82"/>
      <c r="CG70" s="82"/>
      <c r="CH70" s="82"/>
      <c r="CI70" s="82"/>
      <c r="CJ70" s="82"/>
      <c r="CK70" s="82"/>
      <c r="CL70" s="82"/>
      <c r="CM70" s="82"/>
      <c r="CN70" s="82"/>
      <c r="CO70" s="82"/>
      <c r="CP70" s="82"/>
      <c r="CQ70" s="82"/>
      <c r="CR70" s="82"/>
      <c r="CS70" s="82"/>
      <c r="CT70" s="82"/>
      <c r="CU70" s="82"/>
      <c r="CV70" s="82"/>
      <c r="CW70" s="82"/>
      <c r="CX70" s="82"/>
      <c r="CY70" s="82"/>
      <c r="CZ70" s="82"/>
      <c r="DA70" s="82"/>
      <c r="DB70" s="82"/>
      <c r="DC70" s="82"/>
      <c r="DD70" s="82"/>
      <c r="DE70" s="82"/>
      <c r="DF70" s="82"/>
      <c r="DG70" s="82"/>
      <c r="DH70" s="82"/>
      <c r="DI70" s="82"/>
      <c r="DJ70" s="82"/>
      <c r="DK70" s="82"/>
      <c r="DL70" s="82"/>
      <c r="DM70" s="82"/>
      <c r="DN70" s="82"/>
      <c r="DO70" s="82"/>
      <c r="DP70" s="82"/>
      <c r="DQ70" s="82"/>
      <c r="DR70" s="82"/>
      <c r="DS70" s="82"/>
      <c r="DT70" s="82"/>
      <c r="DU70" s="82"/>
      <c r="DV70" s="82"/>
      <c r="DW70" s="82"/>
      <c r="DX70" s="82"/>
      <c r="DY70" s="82"/>
      <c r="DZ70" s="82"/>
      <c r="EA70" s="82"/>
      <c r="EB70" s="82"/>
      <c r="EC70" s="82"/>
      <c r="ED70" s="82"/>
      <c r="EE70" s="82"/>
      <c r="EF70" s="82"/>
      <c r="EG70" s="82"/>
      <c r="EH70" s="82"/>
      <c r="EI70" s="82"/>
      <c r="EJ70" s="82"/>
      <c r="EK70" s="82"/>
      <c r="EL70" s="82"/>
      <c r="EM70" s="82"/>
      <c r="EN70" s="82"/>
      <c r="EO70" s="82"/>
      <c r="EP70" s="82"/>
      <c r="EQ70" s="82"/>
      <c r="ER70" s="82"/>
      <c r="ES70" s="82"/>
      <c r="ET70" s="82"/>
      <c r="EU70" s="82"/>
      <c r="EV70" s="82"/>
      <c r="EW70" s="82"/>
      <c r="EX70" s="82"/>
      <c r="EY70" s="82"/>
      <c r="EZ70" s="82"/>
      <c r="FA70" s="82"/>
      <c r="FB70" s="82"/>
      <c r="FC70" s="82"/>
      <c r="FD70" s="82"/>
      <c r="FE70" s="82"/>
      <c r="FF70" s="82"/>
      <c r="FG70" s="82"/>
      <c r="FH70" s="82"/>
      <c r="FI70" s="82"/>
      <c r="FJ70" s="82"/>
      <c r="FK70" s="82"/>
      <c r="FL70" s="82"/>
      <c r="FM70" s="82"/>
      <c r="FN70" s="82"/>
      <c r="FO70" s="82"/>
      <c r="FP70" s="82"/>
      <c r="FQ70" s="82"/>
      <c r="FR70" s="82"/>
      <c r="FS70" s="82"/>
      <c r="FT70" s="82"/>
      <c r="FU70" s="82"/>
      <c r="FV70" s="82"/>
      <c r="FW70" s="82"/>
      <c r="FX70" s="82"/>
      <c r="FY70" s="82"/>
      <c r="FZ70" s="82"/>
      <c r="GA70" s="82"/>
      <c r="GB70" s="82"/>
      <c r="GC70" s="82"/>
      <c r="GD70" s="82"/>
      <c r="GE70" s="82"/>
      <c r="GF70" s="82"/>
      <c r="GG70" s="82"/>
      <c r="GH70" s="82"/>
      <c r="GI70" s="82"/>
      <c r="GJ70" s="82"/>
      <c r="GK70" s="82"/>
      <c r="GL70" s="82"/>
      <c r="GM70" s="82"/>
      <c r="GN70" s="82"/>
      <c r="GO70" s="82"/>
      <c r="GP70" s="82"/>
      <c r="GQ70" s="82"/>
      <c r="GR70" s="82"/>
      <c r="GS70" s="82"/>
      <c r="GT70" s="82"/>
      <c r="GU70" s="82"/>
      <c r="GV70" s="82"/>
      <c r="GW70" s="82"/>
      <c r="GX70" s="82"/>
      <c r="GY70" s="82"/>
      <c r="GZ70" s="82"/>
      <c r="HA70" s="82"/>
      <c r="HB70" s="82"/>
      <c r="HC70" s="82"/>
      <c r="HD70" s="82"/>
      <c r="HE70" s="82"/>
      <c r="HF70" s="82"/>
      <c r="HG70" s="82"/>
      <c r="HH70" s="82"/>
      <c r="HI70" s="82"/>
      <c r="HJ70" s="82"/>
      <c r="HK70" s="82"/>
      <c r="HL70" s="82"/>
      <c r="HM70" s="82"/>
      <c r="HN70" s="82"/>
      <c r="HO70" s="82"/>
      <c r="HP70" s="82"/>
      <c r="HQ70" s="82"/>
      <c r="HR70" s="82"/>
      <c r="HS70" s="82"/>
      <c r="HT70" s="82"/>
      <c r="HU70" s="82"/>
      <c r="HV70" s="82"/>
      <c r="HW70" s="82"/>
      <c r="HX70" s="82"/>
      <c r="HY70" s="82"/>
      <c r="HZ70" s="82"/>
      <c r="IA70" s="82"/>
      <c r="IB70" s="82"/>
      <c r="IC70" s="82"/>
      <c r="ID70" s="82"/>
      <c r="IE70" s="82"/>
      <c r="IF70" s="82"/>
      <c r="IG70" s="82"/>
      <c r="IH70" s="82"/>
      <c r="II70" s="82"/>
      <c r="IJ70" s="82"/>
      <c r="IK70" s="82"/>
      <c r="IL70" s="82"/>
      <c r="IM70" s="82"/>
      <c r="IN70" s="82"/>
      <c r="IO70" s="82"/>
      <c r="IP70" s="82"/>
      <c r="IQ70" s="82"/>
      <c r="IR70" s="82"/>
      <c r="IS70" s="82"/>
      <c r="IT70" s="82"/>
      <c r="IU70" s="82"/>
      <c r="IV70" s="82"/>
      <c r="IW70" s="82"/>
      <c r="IX70" s="82"/>
      <c r="IY70" s="82"/>
      <c r="IZ70" s="82"/>
      <c r="JA70" s="82"/>
      <c r="JB70" s="82"/>
      <c r="JC70" s="82"/>
      <c r="JD70" s="82"/>
      <c r="JE70" s="82"/>
      <c r="JF70" s="82"/>
      <c r="JG70" s="82"/>
      <c r="JH70" s="82"/>
      <c r="JI70" s="82"/>
      <c r="JJ70" s="82"/>
      <c r="JK70" s="82"/>
      <c r="JL70" s="82"/>
      <c r="JM70" s="82"/>
      <c r="JN70" s="82"/>
      <c r="JO70" s="82"/>
      <c r="JP70" s="82"/>
      <c r="JQ70" s="82"/>
      <c r="JR70" s="82"/>
      <c r="JS70" s="82"/>
      <c r="JT70" s="82"/>
      <c r="JU70" s="82"/>
      <c r="JV70" s="82"/>
      <c r="JW70" s="82"/>
      <c r="JX70" s="82"/>
      <c r="JY70" s="82"/>
      <c r="JZ70" s="82"/>
      <c r="KA70" s="82"/>
      <c r="KB70" s="82"/>
      <c r="KC70" s="82"/>
      <c r="KD70" s="82"/>
      <c r="KE70" s="82"/>
      <c r="KF70" s="82"/>
      <c r="KG70" s="82"/>
      <c r="KH70" s="82"/>
      <c r="KI70" s="82"/>
      <c r="KJ70" s="82"/>
      <c r="KK70" s="82"/>
      <c r="KL70" s="82"/>
      <c r="KM70" s="82"/>
      <c r="KN70" s="82"/>
      <c r="KO70" s="82"/>
      <c r="KP70" s="82"/>
      <c r="KQ70" s="82"/>
      <c r="KR70" s="82"/>
      <c r="KS70" s="82"/>
      <c r="KT70" s="82"/>
      <c r="KU70" s="82"/>
      <c r="KV70" s="82"/>
      <c r="KW70" s="82"/>
      <c r="KX70" s="82"/>
      <c r="KY70" s="82"/>
      <c r="KZ70" s="82"/>
      <c r="LA70" s="82"/>
      <c r="LB70" s="82"/>
      <c r="LC70" s="82"/>
      <c r="LD70" s="82"/>
      <c r="LE70" s="82"/>
      <c r="LF70" s="82"/>
      <c r="LG70" s="82"/>
      <c r="LH70" s="82"/>
      <c r="LI70" s="82"/>
      <c r="LJ70" s="82"/>
      <c r="LK70" s="82"/>
      <c r="LL70" s="82"/>
      <c r="LM70" s="82"/>
      <c r="LN70" s="82"/>
      <c r="LO70" s="82"/>
      <c r="LP70" s="82"/>
      <c r="LQ70" s="82"/>
      <c r="LR70" s="82"/>
      <c r="LS70" s="82"/>
      <c r="LT70" s="82"/>
      <c r="LU70" s="82"/>
      <c r="LV70" s="82"/>
      <c r="LW70" s="82"/>
      <c r="LX70" s="82"/>
      <c r="LY70" s="82"/>
      <c r="LZ70" s="82"/>
      <c r="MA70" s="82"/>
      <c r="MB70" s="82"/>
      <c r="MC70" s="82"/>
      <c r="MD70" s="82"/>
      <c r="ME70" s="82"/>
      <c r="MF70" s="82"/>
      <c r="MG70" s="82"/>
      <c r="MH70" s="82"/>
      <c r="MI70" s="82"/>
      <c r="MJ70" s="82"/>
      <c r="MK70" s="82"/>
      <c r="ML70" s="82"/>
      <c r="MM70" s="82"/>
      <c r="MN70" s="82"/>
      <c r="MO70" s="82"/>
      <c r="MP70" s="82"/>
      <c r="MQ70" s="82"/>
      <c r="MR70" s="82"/>
      <c r="MS70" s="82"/>
      <c r="MT70" s="82"/>
      <c r="MU70" s="82"/>
      <c r="MV70" s="82"/>
      <c r="MW70" s="82"/>
      <c r="MX70" s="82"/>
      <c r="MY70" s="82"/>
      <c r="MZ70" s="82"/>
      <c r="NA70" s="82"/>
      <c r="NB70" s="82"/>
      <c r="NC70" s="82"/>
      <c r="ND70" s="82"/>
      <c r="NE70" s="82"/>
      <c r="NF70" s="82"/>
      <c r="NG70" s="82"/>
      <c r="NH70" s="82"/>
      <c r="NI70" s="82"/>
      <c r="NJ70" s="82"/>
      <c r="NK70" s="82"/>
      <c r="NL70" s="82"/>
      <c r="NM70" s="82"/>
      <c r="NN70" s="82"/>
      <c r="NO70" s="82"/>
      <c r="NP70" s="82"/>
      <c r="NQ70" s="82"/>
      <c r="NR70" s="82"/>
      <c r="NS70" s="82"/>
      <c r="NT70" s="82"/>
      <c r="NU70" s="82"/>
      <c r="NV70" s="82"/>
      <c r="NW70" s="82"/>
      <c r="NX70" s="82"/>
      <c r="NY70" s="82"/>
      <c r="NZ70" s="82"/>
      <c r="OA70" s="82"/>
      <c r="OB70" s="82"/>
      <c r="OC70" s="82"/>
      <c r="OD70" s="82"/>
      <c r="OE70" s="82"/>
      <c r="OF70" s="82"/>
      <c r="OG70" s="82"/>
      <c r="OH70" s="82"/>
      <c r="OI70" s="82"/>
      <c r="OJ70" s="82"/>
      <c r="OK70" s="82"/>
      <c r="OL70" s="82"/>
      <c r="OM70" s="82"/>
      <c r="ON70" s="82"/>
      <c r="OO70" s="82"/>
      <c r="OP70" s="82"/>
      <c r="OQ70" s="82"/>
      <c r="OR70" s="82"/>
      <c r="OS70" s="82"/>
      <c r="OT70" s="82"/>
      <c r="OU70" s="82"/>
      <c r="OV70" s="82"/>
      <c r="OW70" s="82"/>
      <c r="OX70" s="82"/>
      <c r="OY70" s="82"/>
      <c r="OZ70" s="82"/>
      <c r="PA70" s="82"/>
      <c r="PB70" s="82"/>
      <c r="PC70" s="82"/>
      <c r="PD70" s="82"/>
      <c r="PE70" s="82"/>
      <c r="PF70" s="82"/>
      <c r="PG70" s="82"/>
      <c r="PH70" s="82"/>
      <c r="PI70" s="82"/>
      <c r="PJ70" s="82"/>
      <c r="PK70" s="82"/>
      <c r="PL70" s="82"/>
      <c r="PM70" s="82"/>
      <c r="PN70" s="82"/>
      <c r="PO70" s="82"/>
      <c r="PP70" s="82"/>
      <c r="PQ70" s="82"/>
      <c r="PR70" s="82"/>
      <c r="PS70" s="82"/>
      <c r="PT70" s="82"/>
      <c r="PU70" s="82"/>
      <c r="PV70" s="82"/>
      <c r="PW70" s="82"/>
      <c r="PX70" s="82"/>
      <c r="PY70" s="82"/>
      <c r="PZ70" s="82"/>
      <c r="QA70" s="82"/>
      <c r="QB70" s="82"/>
      <c r="QC70" s="82"/>
      <c r="QD70" s="82"/>
      <c r="QE70" s="82"/>
      <c r="QF70" s="82"/>
      <c r="QG70" s="82"/>
      <c r="QH70" s="82"/>
      <c r="QI70" s="82"/>
      <c r="QJ70" s="82"/>
      <c r="QK70" s="82"/>
      <c r="QL70" s="82"/>
      <c r="QM70" s="82"/>
      <c r="QN70" s="82"/>
      <c r="QO70" s="82"/>
      <c r="QP70" s="82"/>
      <c r="QQ70" s="82"/>
      <c r="QR70" s="82"/>
      <c r="QS70" s="82"/>
      <c r="QT70" s="82"/>
      <c r="QU70" s="82"/>
      <c r="QV70" s="82"/>
      <c r="QW70" s="82"/>
      <c r="QX70" s="82"/>
      <c r="QY70" s="82"/>
      <c r="QZ70" s="82"/>
      <c r="RA70" s="82"/>
      <c r="RB70" s="82"/>
      <c r="RC70" s="82"/>
      <c r="RD70" s="82"/>
      <c r="RE70" s="82"/>
      <c r="RF70" s="82"/>
      <c r="RG70" s="82"/>
      <c r="RH70" s="82"/>
      <c r="RI70" s="82"/>
      <c r="RJ70" s="82"/>
      <c r="RK70" s="82"/>
      <c r="RL70" s="82"/>
      <c r="RM70" s="82"/>
      <c r="RN70" s="82"/>
      <c r="RO70" s="82"/>
      <c r="RP70" s="82"/>
      <c r="RQ70" s="82"/>
      <c r="RR70" s="82"/>
      <c r="RS70" s="82"/>
      <c r="RT70" s="82"/>
      <c r="RU70" s="82"/>
      <c r="RV70" s="82"/>
      <c r="RW70" s="82"/>
      <c r="RX70" s="82"/>
      <c r="RY70" s="82"/>
      <c r="RZ70" s="82"/>
      <c r="SA70" s="82"/>
      <c r="SB70" s="82"/>
      <c r="SC70" s="82"/>
      <c r="SD70" s="82"/>
      <c r="SE70" s="82"/>
      <c r="SF70" s="82"/>
      <c r="SG70" s="82"/>
      <c r="SH70" s="82"/>
      <c r="SI70" s="82"/>
      <c r="SJ70" s="82"/>
      <c r="SK70" s="82"/>
      <c r="SL70" s="82"/>
      <c r="SM70" s="82"/>
      <c r="SN70" s="82"/>
      <c r="SO70" s="82"/>
      <c r="SP70" s="82"/>
      <c r="SQ70" s="82"/>
      <c r="SR70" s="82"/>
      <c r="SS70" s="82"/>
      <c r="ST70" s="82"/>
      <c r="SU70" s="82"/>
      <c r="SV70" s="82"/>
      <c r="SW70" s="82"/>
      <c r="SX70" s="82"/>
      <c r="SY70" s="82"/>
      <c r="SZ70" s="82"/>
      <c r="TA70" s="82"/>
      <c r="TB70" s="82"/>
      <c r="TC70" s="82"/>
      <c r="TD70" s="82"/>
      <c r="TE70" s="82"/>
      <c r="TF70" s="82"/>
      <c r="TG70" s="82"/>
      <c r="TH70" s="82"/>
      <c r="TI70" s="82"/>
      <c r="TJ70" s="82"/>
      <c r="TK70" s="82"/>
      <c r="TL70" s="82"/>
      <c r="TM70" s="82"/>
      <c r="TN70" s="82"/>
      <c r="TO70" s="82"/>
      <c r="TP70" s="82"/>
      <c r="TQ70" s="82"/>
      <c r="TR70" s="82"/>
      <c r="TS70" s="82"/>
      <c r="TT70" s="82"/>
      <c r="TU70" s="82"/>
      <c r="TV70" s="82"/>
      <c r="TW70" s="82"/>
      <c r="TX70" s="82"/>
      <c r="TY70" s="82"/>
      <c r="TZ70" s="82"/>
      <c r="UA70" s="82"/>
      <c r="UB70" s="82"/>
      <c r="UC70" s="82"/>
      <c r="UD70" s="82"/>
      <c r="UE70" s="82"/>
      <c r="UF70" s="82"/>
      <c r="UG70" s="82"/>
      <c r="UH70" s="82"/>
      <c r="UI70" s="82"/>
      <c r="UJ70" s="82"/>
      <c r="UK70" s="82"/>
      <c r="UL70" s="82"/>
      <c r="UM70" s="82"/>
      <c r="UN70" s="82"/>
      <c r="UO70" s="82"/>
      <c r="UP70" s="82"/>
      <c r="UQ70" s="82"/>
      <c r="UR70" s="82"/>
      <c r="US70" s="82"/>
      <c r="UT70" s="82"/>
      <c r="UU70" s="82"/>
      <c r="UV70" s="82"/>
      <c r="UW70" s="82"/>
      <c r="UX70" s="82"/>
      <c r="UY70" s="82"/>
      <c r="UZ70" s="82"/>
      <c r="VA70" s="82"/>
      <c r="VB70" s="82"/>
      <c r="VC70" s="82"/>
      <c r="VD70" s="82"/>
      <c r="VE70" s="82"/>
      <c r="VF70" s="82"/>
      <c r="VG70" s="82"/>
      <c r="VH70" s="82"/>
      <c r="VI70" s="82"/>
      <c r="VJ70" s="82"/>
      <c r="VK70" s="82"/>
      <c r="VL70" s="82"/>
      <c r="VM70" s="82"/>
      <c r="VN70" s="82"/>
      <c r="VO70" s="82"/>
      <c r="VP70" s="82"/>
      <c r="VQ70" s="82"/>
      <c r="VR70" s="82"/>
      <c r="VS70" s="82"/>
      <c r="VT70" s="82"/>
      <c r="VU70" s="82"/>
      <c r="VV70" s="82"/>
      <c r="VW70" s="82"/>
      <c r="VX70" s="82"/>
      <c r="VY70" s="82"/>
      <c r="VZ70" s="82"/>
      <c r="WA70" s="82"/>
      <c r="WB70" s="82"/>
      <c r="WC70" s="82"/>
      <c r="WD70" s="82"/>
      <c r="WE70" s="82"/>
      <c r="WF70" s="82"/>
      <c r="WG70" s="82"/>
      <c r="WH70" s="82"/>
      <c r="WI70" s="82"/>
      <c r="WJ70" s="82"/>
      <c r="WK70" s="82"/>
      <c r="WL70" s="82"/>
      <c r="WM70" s="82"/>
      <c r="WN70" s="82"/>
      <c r="WO70" s="82"/>
      <c r="WP70" s="82"/>
      <c r="WQ70" s="82"/>
      <c r="WR70" s="82"/>
      <c r="WS70" s="82"/>
      <c r="WT70" s="82"/>
      <c r="WU70" s="82"/>
      <c r="WV70" s="82"/>
      <c r="WW70" s="82"/>
      <c r="WX70" s="82"/>
      <c r="WY70" s="82"/>
      <c r="WZ70" s="82"/>
      <c r="XA70" s="82"/>
      <c r="XB70" s="82"/>
      <c r="XC70" s="82"/>
      <c r="XD70" s="82"/>
      <c r="XE70" s="82"/>
      <c r="XF70" s="82"/>
      <c r="XG70" s="82"/>
      <c r="XH70" s="82"/>
      <c r="XI70" s="82"/>
      <c r="XJ70" s="82"/>
      <c r="XK70" s="82"/>
      <c r="XL70" s="82"/>
      <c r="XM70" s="82"/>
      <c r="XN70" s="82"/>
      <c r="XO70" s="82"/>
      <c r="XP70" s="82"/>
      <c r="XQ70" s="82"/>
      <c r="XR70" s="82"/>
      <c r="XS70" s="82"/>
      <c r="XT70" s="82"/>
      <c r="XU70" s="82"/>
      <c r="XV70" s="82"/>
      <c r="XW70" s="82"/>
      <c r="XX70" s="82"/>
      <c r="XY70" s="82"/>
      <c r="XZ70" s="82"/>
      <c r="YA70" s="82"/>
      <c r="YB70" s="82"/>
      <c r="YC70" s="82"/>
      <c r="YD70" s="82"/>
      <c r="YE70" s="82"/>
      <c r="YF70" s="82"/>
      <c r="YG70" s="82"/>
      <c r="YH70" s="82"/>
      <c r="YI70" s="82"/>
      <c r="YJ70" s="82"/>
      <c r="YK70" s="82"/>
      <c r="YL70" s="82"/>
      <c r="YM70" s="82"/>
      <c r="YN70" s="82"/>
      <c r="YO70" s="82"/>
      <c r="YP70" s="82"/>
      <c r="YQ70" s="82"/>
      <c r="YR70" s="82"/>
      <c r="YS70" s="82"/>
      <c r="YT70" s="82"/>
      <c r="YU70" s="82"/>
      <c r="YV70" s="82"/>
      <c r="YW70" s="82"/>
      <c r="YX70" s="82"/>
      <c r="YY70" s="82"/>
      <c r="YZ70" s="82"/>
      <c r="ZA70" s="82"/>
      <c r="ZB70" s="82"/>
      <c r="ZC70" s="82"/>
      <c r="ZD70" s="82"/>
      <c r="ZE70" s="82"/>
      <c r="ZF70" s="82"/>
      <c r="ZG70" s="82"/>
      <c r="ZH70" s="82"/>
      <c r="ZI70" s="82"/>
      <c r="ZJ70" s="82"/>
      <c r="ZK70" s="82"/>
      <c r="ZL70" s="82"/>
      <c r="ZM70" s="82"/>
      <c r="ZN70" s="82"/>
      <c r="ZO70" s="82"/>
      <c r="ZP70" s="82"/>
      <c r="ZQ70" s="82"/>
      <c r="ZR70" s="82"/>
      <c r="ZS70" s="82"/>
      <c r="ZT70" s="82"/>
      <c r="ZU70" s="82"/>
      <c r="ZV70" s="82"/>
      <c r="ZW70" s="82"/>
      <c r="ZX70" s="82"/>
      <c r="ZY70" s="82"/>
      <c r="ZZ70" s="82"/>
      <c r="AAA70" s="82"/>
      <c r="AAB70" s="82"/>
      <c r="AAC70" s="82"/>
      <c r="AAD70" s="82"/>
      <c r="AAE70" s="82"/>
      <c r="AAF70" s="82"/>
      <c r="AAG70" s="82"/>
      <c r="AAH70" s="82"/>
      <c r="AAI70" s="82"/>
      <c r="AAJ70" s="82"/>
      <c r="AAK70" s="82"/>
      <c r="AAL70" s="82"/>
      <c r="AAM70" s="82"/>
      <c r="AAN70" s="82"/>
      <c r="AAO70" s="82"/>
      <c r="AAP70" s="82"/>
      <c r="AAQ70" s="82"/>
      <c r="AAR70" s="82"/>
      <c r="AAS70" s="82"/>
      <c r="AAT70" s="82"/>
      <c r="AAU70" s="82"/>
      <c r="AAV70" s="82"/>
      <c r="AAW70" s="82"/>
      <c r="AAX70" s="82"/>
      <c r="AAY70" s="82"/>
      <c r="AAZ70" s="82"/>
      <c r="ABA70" s="82"/>
      <c r="ABB70" s="82"/>
      <c r="ABC70" s="82"/>
      <c r="ABD70" s="82"/>
      <c r="ABE70" s="82"/>
      <c r="ABF70" s="82"/>
      <c r="ABG70" s="82"/>
      <c r="ABH70" s="82"/>
      <c r="ABI70" s="82"/>
      <c r="ABJ70" s="82"/>
      <c r="ABK70" s="82"/>
      <c r="ABL70" s="82"/>
      <c r="ABM70" s="82"/>
      <c r="ABN70" s="82"/>
      <c r="ABO70" s="82"/>
      <c r="ABP70" s="82"/>
      <c r="ABQ70" s="82"/>
      <c r="ABR70" s="82"/>
      <c r="ABS70" s="82"/>
      <c r="ABT70" s="82"/>
      <c r="ABU70" s="82"/>
      <c r="ABV70" s="82"/>
      <c r="ABW70" s="82"/>
      <c r="ABX70" s="82"/>
      <c r="ABY70" s="82"/>
      <c r="ABZ70" s="82"/>
      <c r="ACA70" s="82"/>
      <c r="ACB70" s="82"/>
      <c r="ACC70" s="82"/>
      <c r="ACD70" s="82"/>
      <c r="ACE70" s="82"/>
      <c r="ACF70" s="82"/>
      <c r="ACG70" s="82"/>
      <c r="ACH70" s="82"/>
      <c r="ACI70" s="82"/>
      <c r="ACJ70" s="82"/>
      <c r="ACK70" s="82"/>
      <c r="ACL70" s="82"/>
      <c r="ACM70" s="82"/>
      <c r="ACN70" s="82"/>
      <c r="ACO70" s="82"/>
      <c r="ACP70" s="82"/>
      <c r="ACQ70" s="82"/>
      <c r="ACR70" s="82"/>
      <c r="ACS70" s="82"/>
      <c r="ACT70" s="82"/>
      <c r="ACU70" s="82"/>
      <c r="ACV70" s="82"/>
      <c r="ACW70" s="82"/>
      <c r="ACX70" s="82"/>
      <c r="ACY70" s="82"/>
      <c r="ACZ70" s="82"/>
      <c r="ADA70" s="82"/>
      <c r="ADB70" s="82"/>
      <c r="ADC70" s="82"/>
      <c r="ADD70" s="82"/>
      <c r="ADE70" s="82"/>
      <c r="ADF70" s="82"/>
      <c r="ADG70" s="82"/>
      <c r="ADH70" s="82"/>
      <c r="ADI70" s="82"/>
      <c r="ADJ70" s="82"/>
      <c r="ADK70" s="82"/>
      <c r="ADL70" s="82"/>
      <c r="ADM70" s="82"/>
      <c r="ADN70" s="82"/>
      <c r="ADO70" s="82"/>
      <c r="ADP70" s="82"/>
      <c r="ADQ70" s="82"/>
      <c r="ADR70" s="82"/>
      <c r="ADS70" s="82"/>
      <c r="ADT70" s="82"/>
      <c r="ADU70" s="82"/>
      <c r="ADV70" s="82"/>
      <c r="ADW70" s="82"/>
      <c r="ADX70" s="82"/>
      <c r="ADY70" s="82"/>
      <c r="ADZ70" s="82"/>
      <c r="AEA70" s="82"/>
      <c r="AEB70" s="82"/>
      <c r="AEC70" s="82"/>
      <c r="AED70" s="82"/>
      <c r="AEE70" s="82"/>
      <c r="AEF70" s="82"/>
      <c r="AEG70" s="82"/>
      <c r="AEH70" s="82"/>
      <c r="AEI70" s="82"/>
      <c r="AEJ70" s="82"/>
      <c r="AEK70" s="82"/>
      <c r="AEL70" s="82"/>
      <c r="AEM70" s="82"/>
      <c r="AEN70" s="82"/>
      <c r="AEO70" s="82"/>
      <c r="AEP70" s="82"/>
      <c r="AEQ70" s="82"/>
      <c r="AER70" s="82"/>
      <c r="AES70" s="82"/>
      <c r="AET70" s="82"/>
      <c r="AEU70" s="82"/>
      <c r="AEV70" s="82"/>
      <c r="AEW70" s="82"/>
      <c r="AEX70" s="82"/>
      <c r="AEY70" s="82"/>
      <c r="AEZ70" s="82"/>
      <c r="AFA70" s="82"/>
      <c r="AFB70" s="82"/>
      <c r="AFC70" s="82"/>
      <c r="AFD70" s="82"/>
      <c r="AFE70" s="82"/>
      <c r="AFF70" s="82"/>
      <c r="AFG70" s="82"/>
      <c r="AFH70" s="82"/>
      <c r="AFI70" s="82"/>
      <c r="AFJ70" s="82"/>
      <c r="AFK70" s="82"/>
      <c r="AFL70" s="82"/>
      <c r="AFM70" s="82"/>
      <c r="AFN70" s="82"/>
      <c r="AFO70" s="82"/>
      <c r="AFP70" s="82"/>
      <c r="AFQ70" s="82"/>
      <c r="AFR70" s="82"/>
      <c r="AFS70" s="82"/>
      <c r="AFT70" s="82"/>
      <c r="AFU70" s="82"/>
      <c r="AFV70" s="82"/>
      <c r="AFW70" s="82"/>
      <c r="AFX70" s="82"/>
      <c r="AFY70" s="82"/>
      <c r="AFZ70" s="82"/>
      <c r="AGA70" s="82"/>
      <c r="AGB70" s="82"/>
      <c r="AGC70" s="82"/>
      <c r="AGD70" s="82"/>
      <c r="AGE70" s="82"/>
      <c r="AGF70" s="82"/>
      <c r="AGG70" s="82"/>
      <c r="AGH70" s="82"/>
      <c r="AGI70" s="82"/>
      <c r="AGJ70" s="82"/>
      <c r="AGK70" s="82"/>
      <c r="AGL70" s="82"/>
      <c r="AGM70" s="82"/>
      <c r="AGN70" s="82"/>
      <c r="AGO70" s="82"/>
      <c r="AGP70" s="82"/>
      <c r="AGQ70" s="82"/>
      <c r="AGR70" s="82"/>
      <c r="AGS70" s="82"/>
      <c r="AGT70" s="82"/>
      <c r="AGU70" s="82"/>
      <c r="AGV70" s="82"/>
      <c r="AGW70" s="82"/>
      <c r="AGX70" s="82"/>
      <c r="AGY70" s="82"/>
      <c r="AGZ70" s="82"/>
      <c r="AHA70" s="82"/>
      <c r="AHB70" s="82"/>
      <c r="AHC70" s="82"/>
      <c r="AHD70" s="82"/>
      <c r="AHE70" s="82"/>
      <c r="AHF70" s="82"/>
      <c r="AHG70" s="82"/>
      <c r="AHH70" s="82"/>
      <c r="AHI70" s="82"/>
      <c r="AHJ70" s="82"/>
      <c r="AHK70" s="82"/>
      <c r="AHL70" s="82"/>
      <c r="AHM70" s="82"/>
      <c r="AHN70" s="82"/>
      <c r="AHO70" s="82"/>
      <c r="AHP70" s="82"/>
      <c r="AHQ70" s="82"/>
      <c r="AHR70" s="82"/>
      <c r="AHS70" s="82"/>
      <c r="AHT70" s="82"/>
      <c r="AHU70" s="82"/>
      <c r="AHV70" s="82"/>
      <c r="AHW70" s="82"/>
      <c r="AHX70" s="82"/>
      <c r="AHY70" s="82"/>
      <c r="AHZ70" s="82"/>
      <c r="AIA70" s="82"/>
      <c r="AIB70" s="82"/>
      <c r="AIC70" s="82"/>
      <c r="AID70" s="82"/>
      <c r="AIE70" s="82"/>
      <c r="AIF70" s="82"/>
      <c r="AIG70" s="82"/>
      <c r="AIH70" s="82"/>
    </row>
    <row r="71" spans="1:918" s="99" customFormat="1" ht="22.5" x14ac:dyDescent="0.2">
      <c r="A71" s="98"/>
      <c r="B71" s="83" t="s">
        <v>313</v>
      </c>
      <c r="C71" s="91" t="s">
        <v>104</v>
      </c>
      <c r="D71" s="76"/>
      <c r="E71" s="76"/>
      <c r="F71" s="76"/>
      <c r="G71" s="76"/>
      <c r="H71" s="76"/>
      <c r="I71" s="76"/>
      <c r="J71" s="76"/>
      <c r="K71" s="76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2"/>
      <c r="Z71" s="82"/>
      <c r="AA71" s="82"/>
      <c r="AB71" s="82"/>
      <c r="AC71" s="82"/>
      <c r="AD71" s="82"/>
      <c r="AE71" s="82"/>
      <c r="AF71" s="82"/>
      <c r="AG71" s="82"/>
      <c r="AH71" s="82"/>
      <c r="AI71" s="82"/>
      <c r="AJ71" s="82"/>
      <c r="AK71" s="82"/>
      <c r="AL71" s="82"/>
      <c r="AM71" s="82"/>
      <c r="AN71" s="82"/>
      <c r="AO71" s="82"/>
      <c r="AP71" s="82"/>
      <c r="AQ71" s="82"/>
      <c r="AR71" s="82"/>
      <c r="AS71" s="82"/>
      <c r="AT71" s="82"/>
      <c r="AU71" s="82"/>
      <c r="AV71" s="82"/>
      <c r="AW71" s="82"/>
      <c r="AX71" s="82"/>
      <c r="AY71" s="82"/>
      <c r="AZ71" s="82"/>
      <c r="BA71" s="82"/>
      <c r="BB71" s="82"/>
      <c r="BC71" s="82"/>
      <c r="BD71" s="82"/>
      <c r="BE71" s="82"/>
      <c r="BF71" s="82"/>
      <c r="BG71" s="82"/>
      <c r="BH71" s="82"/>
      <c r="BI71" s="82"/>
      <c r="BJ71" s="82"/>
      <c r="BK71" s="82"/>
      <c r="BL71" s="82"/>
      <c r="BM71" s="82"/>
      <c r="BN71" s="82"/>
      <c r="BO71" s="82"/>
      <c r="BP71" s="82"/>
      <c r="BQ71" s="82"/>
      <c r="BR71" s="82"/>
      <c r="BS71" s="82"/>
      <c r="BT71" s="82"/>
      <c r="BU71" s="82"/>
      <c r="BV71" s="82"/>
      <c r="BW71" s="82"/>
      <c r="BX71" s="82"/>
      <c r="BY71" s="82"/>
      <c r="BZ71" s="82"/>
      <c r="CA71" s="82"/>
      <c r="CB71" s="82"/>
      <c r="CC71" s="82"/>
      <c r="CD71" s="82"/>
      <c r="CE71" s="82"/>
      <c r="CF71" s="82"/>
      <c r="CG71" s="82"/>
      <c r="CH71" s="82"/>
      <c r="CI71" s="82"/>
      <c r="CJ71" s="82"/>
      <c r="CK71" s="82"/>
      <c r="CL71" s="82"/>
      <c r="CM71" s="82"/>
      <c r="CN71" s="82"/>
      <c r="CO71" s="82"/>
      <c r="CP71" s="82"/>
      <c r="CQ71" s="82"/>
      <c r="CR71" s="82"/>
      <c r="CS71" s="82"/>
      <c r="CT71" s="82"/>
      <c r="CU71" s="82"/>
      <c r="CV71" s="82"/>
      <c r="CW71" s="82"/>
      <c r="CX71" s="82"/>
      <c r="CY71" s="82"/>
      <c r="CZ71" s="82"/>
      <c r="DA71" s="82"/>
      <c r="DB71" s="82"/>
      <c r="DC71" s="82"/>
      <c r="DD71" s="82"/>
      <c r="DE71" s="82"/>
      <c r="DF71" s="82"/>
      <c r="DG71" s="82"/>
      <c r="DH71" s="82"/>
      <c r="DI71" s="82"/>
      <c r="DJ71" s="82"/>
      <c r="DK71" s="82"/>
      <c r="DL71" s="82"/>
      <c r="DM71" s="82"/>
      <c r="DN71" s="82"/>
      <c r="DO71" s="82"/>
      <c r="DP71" s="82"/>
      <c r="DQ71" s="82"/>
      <c r="DR71" s="82"/>
      <c r="DS71" s="82"/>
      <c r="DT71" s="82"/>
      <c r="DU71" s="82"/>
      <c r="DV71" s="82"/>
      <c r="DW71" s="82"/>
      <c r="DX71" s="82"/>
      <c r="DY71" s="82"/>
      <c r="DZ71" s="82"/>
      <c r="EA71" s="82"/>
      <c r="EB71" s="82"/>
      <c r="EC71" s="82"/>
      <c r="ED71" s="82"/>
      <c r="EE71" s="82"/>
      <c r="EF71" s="82"/>
      <c r="EG71" s="82"/>
      <c r="EH71" s="82"/>
      <c r="EI71" s="82"/>
      <c r="EJ71" s="82"/>
      <c r="EK71" s="82"/>
      <c r="EL71" s="82"/>
      <c r="EM71" s="82"/>
      <c r="EN71" s="82"/>
      <c r="EO71" s="82"/>
      <c r="EP71" s="82"/>
      <c r="EQ71" s="82"/>
      <c r="ER71" s="82"/>
      <c r="ES71" s="82"/>
      <c r="ET71" s="82"/>
      <c r="EU71" s="82"/>
      <c r="EV71" s="82"/>
      <c r="EW71" s="82"/>
      <c r="EX71" s="82"/>
      <c r="EY71" s="82"/>
      <c r="EZ71" s="82"/>
      <c r="FA71" s="82"/>
      <c r="FB71" s="82"/>
      <c r="FC71" s="82"/>
      <c r="FD71" s="82"/>
      <c r="FE71" s="82"/>
      <c r="FF71" s="82"/>
      <c r="FG71" s="82"/>
      <c r="FH71" s="82"/>
      <c r="FI71" s="82"/>
      <c r="FJ71" s="82"/>
      <c r="FK71" s="82"/>
      <c r="FL71" s="82"/>
      <c r="FM71" s="82"/>
      <c r="FN71" s="82"/>
      <c r="FO71" s="82"/>
      <c r="FP71" s="82"/>
      <c r="FQ71" s="82"/>
      <c r="FR71" s="82"/>
      <c r="FS71" s="82"/>
      <c r="FT71" s="82"/>
      <c r="FU71" s="82"/>
      <c r="FV71" s="82"/>
      <c r="FW71" s="82"/>
      <c r="FX71" s="82"/>
      <c r="FY71" s="82"/>
      <c r="FZ71" s="82"/>
      <c r="GA71" s="82"/>
      <c r="GB71" s="82"/>
      <c r="GC71" s="82"/>
      <c r="GD71" s="82"/>
      <c r="GE71" s="82"/>
      <c r="GF71" s="82"/>
      <c r="GG71" s="82"/>
      <c r="GH71" s="82"/>
      <c r="GI71" s="82"/>
      <c r="GJ71" s="82"/>
      <c r="GK71" s="82"/>
      <c r="GL71" s="82"/>
      <c r="GM71" s="82"/>
      <c r="GN71" s="82"/>
      <c r="GO71" s="82"/>
      <c r="GP71" s="82"/>
      <c r="GQ71" s="82"/>
      <c r="GR71" s="82"/>
      <c r="GS71" s="82"/>
      <c r="GT71" s="82"/>
      <c r="GU71" s="82"/>
      <c r="GV71" s="82"/>
      <c r="GW71" s="82"/>
      <c r="GX71" s="82"/>
      <c r="GY71" s="82"/>
      <c r="GZ71" s="82"/>
      <c r="HA71" s="82"/>
      <c r="HB71" s="82"/>
      <c r="HC71" s="82"/>
      <c r="HD71" s="82"/>
      <c r="HE71" s="82"/>
      <c r="HF71" s="82"/>
      <c r="HG71" s="82"/>
      <c r="HH71" s="82"/>
      <c r="HI71" s="82"/>
      <c r="HJ71" s="82"/>
      <c r="HK71" s="82"/>
      <c r="HL71" s="82"/>
      <c r="HM71" s="82"/>
      <c r="HN71" s="82"/>
      <c r="HO71" s="82"/>
      <c r="HP71" s="82"/>
      <c r="HQ71" s="82"/>
      <c r="HR71" s="82"/>
      <c r="HS71" s="82"/>
      <c r="HT71" s="82"/>
      <c r="HU71" s="82"/>
      <c r="HV71" s="82"/>
      <c r="HW71" s="82"/>
      <c r="HX71" s="82"/>
      <c r="HY71" s="82"/>
      <c r="HZ71" s="82"/>
      <c r="IA71" s="82"/>
      <c r="IB71" s="82"/>
      <c r="IC71" s="82"/>
      <c r="ID71" s="82"/>
      <c r="IE71" s="82"/>
      <c r="IF71" s="82"/>
      <c r="IG71" s="82"/>
      <c r="IH71" s="82"/>
      <c r="II71" s="82"/>
      <c r="IJ71" s="82"/>
      <c r="IK71" s="82"/>
      <c r="IL71" s="82"/>
      <c r="IM71" s="82"/>
      <c r="IN71" s="82"/>
      <c r="IO71" s="82"/>
      <c r="IP71" s="82"/>
      <c r="IQ71" s="82"/>
      <c r="IR71" s="82"/>
      <c r="IS71" s="82"/>
      <c r="IT71" s="82"/>
      <c r="IU71" s="82"/>
      <c r="IV71" s="82"/>
      <c r="IW71" s="82"/>
      <c r="IX71" s="82"/>
      <c r="IY71" s="82"/>
      <c r="IZ71" s="82"/>
      <c r="JA71" s="82"/>
      <c r="JB71" s="82"/>
      <c r="JC71" s="82"/>
      <c r="JD71" s="82"/>
      <c r="JE71" s="82"/>
      <c r="JF71" s="82"/>
      <c r="JG71" s="82"/>
      <c r="JH71" s="82"/>
      <c r="JI71" s="82"/>
      <c r="JJ71" s="82"/>
      <c r="JK71" s="82"/>
      <c r="JL71" s="82"/>
      <c r="JM71" s="82"/>
      <c r="JN71" s="82"/>
      <c r="JO71" s="82"/>
      <c r="JP71" s="82"/>
      <c r="JQ71" s="82"/>
      <c r="JR71" s="82"/>
      <c r="JS71" s="82"/>
      <c r="JT71" s="82"/>
      <c r="JU71" s="82"/>
      <c r="JV71" s="82"/>
      <c r="JW71" s="82"/>
      <c r="JX71" s="82"/>
      <c r="JY71" s="82"/>
      <c r="JZ71" s="82"/>
      <c r="KA71" s="82"/>
      <c r="KB71" s="82"/>
      <c r="KC71" s="82"/>
      <c r="KD71" s="82"/>
      <c r="KE71" s="82"/>
      <c r="KF71" s="82"/>
      <c r="KG71" s="82"/>
      <c r="KH71" s="82"/>
      <c r="KI71" s="82"/>
      <c r="KJ71" s="82"/>
      <c r="KK71" s="82"/>
      <c r="KL71" s="82"/>
      <c r="KM71" s="82"/>
      <c r="KN71" s="82"/>
      <c r="KO71" s="82"/>
      <c r="KP71" s="82"/>
      <c r="KQ71" s="82"/>
      <c r="KR71" s="82"/>
      <c r="KS71" s="82"/>
      <c r="KT71" s="82"/>
      <c r="KU71" s="82"/>
      <c r="KV71" s="82"/>
      <c r="KW71" s="82"/>
      <c r="KX71" s="82"/>
      <c r="KY71" s="82"/>
      <c r="KZ71" s="82"/>
      <c r="LA71" s="82"/>
      <c r="LB71" s="82"/>
      <c r="LC71" s="82"/>
      <c r="LD71" s="82"/>
      <c r="LE71" s="82"/>
      <c r="LF71" s="82"/>
      <c r="LG71" s="82"/>
      <c r="LH71" s="82"/>
      <c r="LI71" s="82"/>
      <c r="LJ71" s="82"/>
      <c r="LK71" s="82"/>
      <c r="LL71" s="82"/>
      <c r="LM71" s="82"/>
      <c r="LN71" s="82"/>
      <c r="LO71" s="82"/>
      <c r="LP71" s="82"/>
      <c r="LQ71" s="82"/>
      <c r="LR71" s="82"/>
      <c r="LS71" s="82"/>
      <c r="LT71" s="82"/>
      <c r="LU71" s="82"/>
      <c r="LV71" s="82"/>
      <c r="LW71" s="82"/>
      <c r="LX71" s="82"/>
      <c r="LY71" s="82"/>
      <c r="LZ71" s="82"/>
      <c r="MA71" s="82"/>
      <c r="MB71" s="82"/>
      <c r="MC71" s="82"/>
      <c r="MD71" s="82"/>
      <c r="ME71" s="82"/>
      <c r="MF71" s="82"/>
      <c r="MG71" s="82"/>
      <c r="MH71" s="82"/>
      <c r="MI71" s="82"/>
      <c r="MJ71" s="82"/>
      <c r="MK71" s="82"/>
      <c r="ML71" s="82"/>
      <c r="MM71" s="82"/>
      <c r="MN71" s="82"/>
      <c r="MO71" s="82"/>
      <c r="MP71" s="82"/>
      <c r="MQ71" s="82"/>
      <c r="MR71" s="82"/>
      <c r="MS71" s="82"/>
      <c r="MT71" s="82"/>
      <c r="MU71" s="82"/>
      <c r="MV71" s="82"/>
      <c r="MW71" s="82"/>
      <c r="MX71" s="82"/>
      <c r="MY71" s="82"/>
      <c r="MZ71" s="82"/>
      <c r="NA71" s="82"/>
      <c r="NB71" s="82"/>
      <c r="NC71" s="82"/>
      <c r="ND71" s="82"/>
      <c r="NE71" s="82"/>
      <c r="NF71" s="82"/>
      <c r="NG71" s="82"/>
      <c r="NH71" s="82"/>
      <c r="NI71" s="82"/>
      <c r="NJ71" s="82"/>
      <c r="NK71" s="82"/>
      <c r="NL71" s="82"/>
      <c r="NM71" s="82"/>
      <c r="NN71" s="82"/>
      <c r="NO71" s="82"/>
      <c r="NP71" s="82"/>
      <c r="NQ71" s="82"/>
      <c r="NR71" s="82"/>
      <c r="NS71" s="82"/>
      <c r="NT71" s="82"/>
      <c r="NU71" s="82"/>
      <c r="NV71" s="82"/>
      <c r="NW71" s="82"/>
      <c r="NX71" s="82"/>
      <c r="NY71" s="82"/>
      <c r="NZ71" s="82"/>
      <c r="OA71" s="82"/>
      <c r="OB71" s="82"/>
      <c r="OC71" s="82"/>
      <c r="OD71" s="82"/>
      <c r="OE71" s="82"/>
      <c r="OF71" s="82"/>
      <c r="OG71" s="82"/>
      <c r="OH71" s="82"/>
      <c r="OI71" s="82"/>
      <c r="OJ71" s="82"/>
      <c r="OK71" s="82"/>
      <c r="OL71" s="82"/>
      <c r="OM71" s="82"/>
      <c r="ON71" s="82"/>
      <c r="OO71" s="82"/>
      <c r="OP71" s="82"/>
      <c r="OQ71" s="82"/>
      <c r="OR71" s="82"/>
      <c r="OS71" s="82"/>
      <c r="OT71" s="82"/>
      <c r="OU71" s="82"/>
      <c r="OV71" s="82"/>
      <c r="OW71" s="82"/>
      <c r="OX71" s="82"/>
      <c r="OY71" s="82"/>
      <c r="OZ71" s="82"/>
      <c r="PA71" s="82"/>
      <c r="PB71" s="82"/>
      <c r="PC71" s="82"/>
      <c r="PD71" s="82"/>
      <c r="PE71" s="82"/>
      <c r="PF71" s="82"/>
      <c r="PG71" s="82"/>
      <c r="PH71" s="82"/>
      <c r="PI71" s="82"/>
      <c r="PJ71" s="82"/>
      <c r="PK71" s="82"/>
      <c r="PL71" s="82"/>
      <c r="PM71" s="82"/>
      <c r="PN71" s="82"/>
      <c r="PO71" s="82"/>
      <c r="PP71" s="82"/>
      <c r="PQ71" s="82"/>
      <c r="PR71" s="82"/>
      <c r="PS71" s="82"/>
      <c r="PT71" s="82"/>
      <c r="PU71" s="82"/>
      <c r="PV71" s="82"/>
      <c r="PW71" s="82"/>
      <c r="PX71" s="82"/>
      <c r="PY71" s="82"/>
      <c r="PZ71" s="82"/>
      <c r="QA71" s="82"/>
      <c r="QB71" s="82"/>
      <c r="QC71" s="82"/>
      <c r="QD71" s="82"/>
      <c r="QE71" s="82"/>
      <c r="QF71" s="82"/>
      <c r="QG71" s="82"/>
      <c r="QH71" s="82"/>
      <c r="QI71" s="82"/>
      <c r="QJ71" s="82"/>
      <c r="QK71" s="82"/>
      <c r="QL71" s="82"/>
      <c r="QM71" s="82"/>
      <c r="QN71" s="82"/>
      <c r="QO71" s="82"/>
      <c r="QP71" s="82"/>
      <c r="QQ71" s="82"/>
      <c r="QR71" s="82"/>
      <c r="QS71" s="82"/>
      <c r="QT71" s="82"/>
      <c r="QU71" s="82"/>
      <c r="QV71" s="82"/>
      <c r="QW71" s="82"/>
      <c r="QX71" s="82"/>
      <c r="QY71" s="82"/>
      <c r="QZ71" s="82"/>
      <c r="RA71" s="82"/>
      <c r="RB71" s="82"/>
      <c r="RC71" s="82"/>
      <c r="RD71" s="82"/>
      <c r="RE71" s="82"/>
      <c r="RF71" s="82"/>
      <c r="RG71" s="82"/>
      <c r="RH71" s="82"/>
      <c r="RI71" s="82"/>
      <c r="RJ71" s="82"/>
      <c r="RK71" s="82"/>
      <c r="RL71" s="82"/>
      <c r="RM71" s="82"/>
      <c r="RN71" s="82"/>
      <c r="RO71" s="82"/>
      <c r="RP71" s="82"/>
      <c r="RQ71" s="82"/>
      <c r="RR71" s="82"/>
      <c r="RS71" s="82"/>
      <c r="RT71" s="82"/>
      <c r="RU71" s="82"/>
      <c r="RV71" s="82"/>
      <c r="RW71" s="82"/>
      <c r="RX71" s="82"/>
      <c r="RY71" s="82"/>
      <c r="RZ71" s="82"/>
      <c r="SA71" s="82"/>
      <c r="SB71" s="82"/>
      <c r="SC71" s="82"/>
      <c r="SD71" s="82"/>
      <c r="SE71" s="82"/>
      <c r="SF71" s="82"/>
      <c r="SG71" s="82"/>
      <c r="SH71" s="82"/>
      <c r="SI71" s="82"/>
      <c r="SJ71" s="82"/>
      <c r="SK71" s="82"/>
      <c r="SL71" s="82"/>
      <c r="SM71" s="82"/>
      <c r="SN71" s="82"/>
      <c r="SO71" s="82"/>
      <c r="SP71" s="82"/>
      <c r="SQ71" s="82"/>
      <c r="SR71" s="82"/>
      <c r="SS71" s="82"/>
      <c r="ST71" s="82"/>
      <c r="SU71" s="82"/>
      <c r="SV71" s="82"/>
      <c r="SW71" s="82"/>
      <c r="SX71" s="82"/>
      <c r="SY71" s="82"/>
      <c r="SZ71" s="82"/>
      <c r="TA71" s="82"/>
      <c r="TB71" s="82"/>
      <c r="TC71" s="82"/>
      <c r="TD71" s="82"/>
      <c r="TE71" s="82"/>
      <c r="TF71" s="82"/>
      <c r="TG71" s="82"/>
      <c r="TH71" s="82"/>
      <c r="TI71" s="82"/>
      <c r="TJ71" s="82"/>
      <c r="TK71" s="82"/>
      <c r="TL71" s="82"/>
      <c r="TM71" s="82"/>
      <c r="TN71" s="82"/>
      <c r="TO71" s="82"/>
      <c r="TP71" s="82"/>
      <c r="TQ71" s="82"/>
      <c r="TR71" s="82"/>
      <c r="TS71" s="82"/>
      <c r="TT71" s="82"/>
      <c r="TU71" s="82"/>
      <c r="TV71" s="82"/>
      <c r="TW71" s="82"/>
      <c r="TX71" s="82"/>
      <c r="TY71" s="82"/>
      <c r="TZ71" s="82"/>
      <c r="UA71" s="82"/>
      <c r="UB71" s="82"/>
      <c r="UC71" s="82"/>
      <c r="UD71" s="82"/>
      <c r="UE71" s="82"/>
      <c r="UF71" s="82"/>
      <c r="UG71" s="82"/>
      <c r="UH71" s="82"/>
      <c r="UI71" s="82"/>
      <c r="UJ71" s="82"/>
      <c r="UK71" s="82"/>
      <c r="UL71" s="82"/>
      <c r="UM71" s="82"/>
      <c r="UN71" s="82"/>
      <c r="UO71" s="82"/>
      <c r="UP71" s="82"/>
      <c r="UQ71" s="82"/>
      <c r="UR71" s="82"/>
      <c r="US71" s="82"/>
      <c r="UT71" s="82"/>
      <c r="UU71" s="82"/>
      <c r="UV71" s="82"/>
      <c r="UW71" s="82"/>
      <c r="UX71" s="82"/>
      <c r="UY71" s="82"/>
      <c r="UZ71" s="82"/>
      <c r="VA71" s="82"/>
      <c r="VB71" s="82"/>
      <c r="VC71" s="82"/>
      <c r="VD71" s="82"/>
      <c r="VE71" s="82"/>
      <c r="VF71" s="82"/>
      <c r="VG71" s="82"/>
      <c r="VH71" s="82"/>
      <c r="VI71" s="82"/>
      <c r="VJ71" s="82"/>
      <c r="VK71" s="82"/>
      <c r="VL71" s="82"/>
      <c r="VM71" s="82"/>
      <c r="VN71" s="82"/>
      <c r="VO71" s="82"/>
      <c r="VP71" s="82"/>
      <c r="VQ71" s="82"/>
      <c r="VR71" s="82"/>
      <c r="VS71" s="82"/>
      <c r="VT71" s="82"/>
      <c r="VU71" s="82"/>
      <c r="VV71" s="82"/>
      <c r="VW71" s="82"/>
      <c r="VX71" s="82"/>
      <c r="VY71" s="82"/>
      <c r="VZ71" s="82"/>
      <c r="WA71" s="82"/>
      <c r="WB71" s="82"/>
      <c r="WC71" s="82"/>
      <c r="WD71" s="82"/>
      <c r="WE71" s="82"/>
      <c r="WF71" s="82"/>
      <c r="WG71" s="82"/>
      <c r="WH71" s="82"/>
      <c r="WI71" s="82"/>
      <c r="WJ71" s="82"/>
      <c r="WK71" s="82"/>
      <c r="WL71" s="82"/>
      <c r="WM71" s="82"/>
      <c r="WN71" s="82"/>
      <c r="WO71" s="82"/>
      <c r="WP71" s="82"/>
      <c r="WQ71" s="82"/>
      <c r="WR71" s="82"/>
      <c r="WS71" s="82"/>
      <c r="WT71" s="82"/>
      <c r="WU71" s="82"/>
      <c r="WV71" s="82"/>
      <c r="WW71" s="82"/>
      <c r="WX71" s="82"/>
      <c r="WY71" s="82"/>
      <c r="WZ71" s="82"/>
      <c r="XA71" s="82"/>
      <c r="XB71" s="82"/>
      <c r="XC71" s="82"/>
      <c r="XD71" s="82"/>
      <c r="XE71" s="82"/>
      <c r="XF71" s="82"/>
      <c r="XG71" s="82"/>
      <c r="XH71" s="82"/>
      <c r="XI71" s="82"/>
      <c r="XJ71" s="82"/>
      <c r="XK71" s="82"/>
      <c r="XL71" s="82"/>
      <c r="XM71" s="82"/>
      <c r="XN71" s="82"/>
      <c r="XO71" s="82"/>
      <c r="XP71" s="82"/>
      <c r="XQ71" s="82"/>
      <c r="XR71" s="82"/>
      <c r="XS71" s="82"/>
      <c r="XT71" s="82"/>
      <c r="XU71" s="82"/>
      <c r="XV71" s="82"/>
      <c r="XW71" s="82"/>
      <c r="XX71" s="82"/>
      <c r="XY71" s="82"/>
      <c r="XZ71" s="82"/>
      <c r="YA71" s="82"/>
      <c r="YB71" s="82"/>
      <c r="YC71" s="82"/>
      <c r="YD71" s="82"/>
      <c r="YE71" s="82"/>
      <c r="YF71" s="82"/>
      <c r="YG71" s="82"/>
      <c r="YH71" s="82"/>
      <c r="YI71" s="82"/>
      <c r="YJ71" s="82"/>
      <c r="YK71" s="82"/>
      <c r="YL71" s="82"/>
      <c r="YM71" s="82"/>
      <c r="YN71" s="82"/>
      <c r="YO71" s="82"/>
      <c r="YP71" s="82"/>
      <c r="YQ71" s="82"/>
      <c r="YR71" s="82"/>
      <c r="YS71" s="82"/>
      <c r="YT71" s="82"/>
      <c r="YU71" s="82"/>
      <c r="YV71" s="82"/>
      <c r="YW71" s="82"/>
      <c r="YX71" s="82"/>
      <c r="YY71" s="82"/>
      <c r="YZ71" s="82"/>
      <c r="ZA71" s="82"/>
      <c r="ZB71" s="82"/>
      <c r="ZC71" s="82"/>
      <c r="ZD71" s="82"/>
      <c r="ZE71" s="82"/>
      <c r="ZF71" s="82"/>
      <c r="ZG71" s="82"/>
      <c r="ZH71" s="82"/>
      <c r="ZI71" s="82"/>
      <c r="ZJ71" s="82"/>
      <c r="ZK71" s="82"/>
      <c r="ZL71" s="82"/>
      <c r="ZM71" s="82"/>
      <c r="ZN71" s="82"/>
      <c r="ZO71" s="82"/>
      <c r="ZP71" s="82"/>
      <c r="ZQ71" s="82"/>
      <c r="ZR71" s="82"/>
      <c r="ZS71" s="82"/>
      <c r="ZT71" s="82"/>
      <c r="ZU71" s="82"/>
      <c r="ZV71" s="82"/>
      <c r="ZW71" s="82"/>
      <c r="ZX71" s="82"/>
      <c r="ZY71" s="82"/>
      <c r="ZZ71" s="82"/>
      <c r="AAA71" s="82"/>
      <c r="AAB71" s="82"/>
      <c r="AAC71" s="82"/>
      <c r="AAD71" s="82"/>
      <c r="AAE71" s="82"/>
      <c r="AAF71" s="82"/>
      <c r="AAG71" s="82"/>
      <c r="AAH71" s="82"/>
      <c r="AAI71" s="82"/>
      <c r="AAJ71" s="82"/>
      <c r="AAK71" s="82"/>
      <c r="AAL71" s="82"/>
      <c r="AAM71" s="82"/>
      <c r="AAN71" s="82"/>
      <c r="AAO71" s="82"/>
      <c r="AAP71" s="82"/>
      <c r="AAQ71" s="82"/>
      <c r="AAR71" s="82"/>
      <c r="AAS71" s="82"/>
      <c r="AAT71" s="82"/>
      <c r="AAU71" s="82"/>
      <c r="AAV71" s="82"/>
      <c r="AAW71" s="82"/>
      <c r="AAX71" s="82"/>
      <c r="AAY71" s="82"/>
      <c r="AAZ71" s="82"/>
      <c r="ABA71" s="82"/>
      <c r="ABB71" s="82"/>
      <c r="ABC71" s="82"/>
      <c r="ABD71" s="82"/>
      <c r="ABE71" s="82"/>
      <c r="ABF71" s="82"/>
      <c r="ABG71" s="82"/>
      <c r="ABH71" s="82"/>
      <c r="ABI71" s="82"/>
      <c r="ABJ71" s="82"/>
      <c r="ABK71" s="82"/>
      <c r="ABL71" s="82"/>
      <c r="ABM71" s="82"/>
      <c r="ABN71" s="82"/>
      <c r="ABO71" s="82"/>
      <c r="ABP71" s="82"/>
      <c r="ABQ71" s="82"/>
      <c r="ABR71" s="82"/>
      <c r="ABS71" s="82"/>
      <c r="ABT71" s="82"/>
      <c r="ABU71" s="82"/>
      <c r="ABV71" s="82"/>
      <c r="ABW71" s="82"/>
      <c r="ABX71" s="82"/>
      <c r="ABY71" s="82"/>
      <c r="ABZ71" s="82"/>
      <c r="ACA71" s="82"/>
      <c r="ACB71" s="82"/>
      <c r="ACC71" s="82"/>
      <c r="ACD71" s="82"/>
      <c r="ACE71" s="82"/>
      <c r="ACF71" s="82"/>
      <c r="ACG71" s="82"/>
      <c r="ACH71" s="82"/>
      <c r="ACI71" s="82"/>
      <c r="ACJ71" s="82"/>
      <c r="ACK71" s="82"/>
      <c r="ACL71" s="82"/>
      <c r="ACM71" s="82"/>
      <c r="ACN71" s="82"/>
      <c r="ACO71" s="82"/>
      <c r="ACP71" s="82"/>
      <c r="ACQ71" s="82"/>
      <c r="ACR71" s="82"/>
      <c r="ACS71" s="82"/>
      <c r="ACT71" s="82"/>
      <c r="ACU71" s="82"/>
      <c r="ACV71" s="82"/>
      <c r="ACW71" s="82"/>
      <c r="ACX71" s="82"/>
      <c r="ACY71" s="82"/>
      <c r="ACZ71" s="82"/>
      <c r="ADA71" s="82"/>
      <c r="ADB71" s="82"/>
      <c r="ADC71" s="82"/>
      <c r="ADD71" s="82"/>
      <c r="ADE71" s="82"/>
      <c r="ADF71" s="82"/>
      <c r="ADG71" s="82"/>
      <c r="ADH71" s="82"/>
      <c r="ADI71" s="82"/>
      <c r="ADJ71" s="82"/>
      <c r="ADK71" s="82"/>
      <c r="ADL71" s="82"/>
      <c r="ADM71" s="82"/>
      <c r="ADN71" s="82"/>
      <c r="ADO71" s="82"/>
      <c r="ADP71" s="82"/>
      <c r="ADQ71" s="82"/>
      <c r="ADR71" s="82"/>
      <c r="ADS71" s="82"/>
      <c r="ADT71" s="82"/>
      <c r="ADU71" s="82"/>
      <c r="ADV71" s="82"/>
      <c r="ADW71" s="82"/>
      <c r="ADX71" s="82"/>
      <c r="ADY71" s="82"/>
      <c r="ADZ71" s="82"/>
      <c r="AEA71" s="82"/>
      <c r="AEB71" s="82"/>
      <c r="AEC71" s="82"/>
      <c r="AED71" s="82"/>
      <c r="AEE71" s="82"/>
      <c r="AEF71" s="82"/>
      <c r="AEG71" s="82"/>
      <c r="AEH71" s="82"/>
      <c r="AEI71" s="82"/>
      <c r="AEJ71" s="82"/>
      <c r="AEK71" s="82"/>
      <c r="AEL71" s="82"/>
      <c r="AEM71" s="82"/>
      <c r="AEN71" s="82"/>
      <c r="AEO71" s="82"/>
      <c r="AEP71" s="82"/>
      <c r="AEQ71" s="82"/>
      <c r="AER71" s="82"/>
      <c r="AES71" s="82"/>
      <c r="AET71" s="82"/>
      <c r="AEU71" s="82"/>
      <c r="AEV71" s="82"/>
      <c r="AEW71" s="82"/>
      <c r="AEX71" s="82"/>
      <c r="AEY71" s="82"/>
      <c r="AEZ71" s="82"/>
      <c r="AFA71" s="82"/>
      <c r="AFB71" s="82"/>
      <c r="AFC71" s="82"/>
      <c r="AFD71" s="82"/>
      <c r="AFE71" s="82"/>
      <c r="AFF71" s="82"/>
      <c r="AFG71" s="82"/>
      <c r="AFH71" s="82"/>
      <c r="AFI71" s="82"/>
      <c r="AFJ71" s="82"/>
      <c r="AFK71" s="82"/>
      <c r="AFL71" s="82"/>
      <c r="AFM71" s="82"/>
      <c r="AFN71" s="82"/>
      <c r="AFO71" s="82"/>
      <c r="AFP71" s="82"/>
      <c r="AFQ71" s="82"/>
      <c r="AFR71" s="82"/>
      <c r="AFS71" s="82"/>
      <c r="AFT71" s="82"/>
      <c r="AFU71" s="82"/>
      <c r="AFV71" s="82"/>
      <c r="AFW71" s="82"/>
      <c r="AFX71" s="82"/>
      <c r="AFY71" s="82"/>
      <c r="AFZ71" s="82"/>
      <c r="AGA71" s="82"/>
      <c r="AGB71" s="82"/>
      <c r="AGC71" s="82"/>
      <c r="AGD71" s="82"/>
      <c r="AGE71" s="82"/>
      <c r="AGF71" s="82"/>
      <c r="AGG71" s="82"/>
      <c r="AGH71" s="82"/>
      <c r="AGI71" s="82"/>
      <c r="AGJ71" s="82"/>
      <c r="AGK71" s="82"/>
      <c r="AGL71" s="82"/>
      <c r="AGM71" s="82"/>
      <c r="AGN71" s="82"/>
      <c r="AGO71" s="82"/>
      <c r="AGP71" s="82"/>
      <c r="AGQ71" s="82"/>
      <c r="AGR71" s="82"/>
      <c r="AGS71" s="82"/>
      <c r="AGT71" s="82"/>
      <c r="AGU71" s="82"/>
      <c r="AGV71" s="82"/>
      <c r="AGW71" s="82"/>
      <c r="AGX71" s="82"/>
      <c r="AGY71" s="82"/>
      <c r="AGZ71" s="82"/>
      <c r="AHA71" s="82"/>
      <c r="AHB71" s="82"/>
      <c r="AHC71" s="82"/>
      <c r="AHD71" s="82"/>
      <c r="AHE71" s="82"/>
      <c r="AHF71" s="82"/>
      <c r="AHG71" s="82"/>
      <c r="AHH71" s="82"/>
      <c r="AHI71" s="82"/>
      <c r="AHJ71" s="82"/>
      <c r="AHK71" s="82"/>
      <c r="AHL71" s="82"/>
      <c r="AHM71" s="82"/>
      <c r="AHN71" s="82"/>
      <c r="AHO71" s="82"/>
      <c r="AHP71" s="82"/>
      <c r="AHQ71" s="82"/>
      <c r="AHR71" s="82"/>
      <c r="AHS71" s="82"/>
      <c r="AHT71" s="82"/>
      <c r="AHU71" s="82"/>
      <c r="AHV71" s="82"/>
      <c r="AHW71" s="82"/>
      <c r="AHX71" s="82"/>
      <c r="AHY71" s="82"/>
      <c r="AHZ71" s="82"/>
      <c r="AIA71" s="82"/>
      <c r="AIB71" s="82"/>
      <c r="AIC71" s="82"/>
      <c r="AID71" s="82"/>
      <c r="AIE71" s="82"/>
      <c r="AIF71" s="82"/>
      <c r="AIG71" s="82"/>
      <c r="AIH71" s="82"/>
    </row>
    <row r="72" spans="1:918" s="99" customFormat="1" ht="22.5" x14ac:dyDescent="0.2">
      <c r="A72" s="98"/>
      <c r="B72" s="83" t="s">
        <v>314</v>
      </c>
      <c r="C72" s="91" t="s">
        <v>120</v>
      </c>
      <c r="D72" s="76"/>
      <c r="E72" s="76"/>
      <c r="F72" s="76"/>
      <c r="G72" s="76"/>
      <c r="H72" s="76"/>
      <c r="I72" s="76"/>
      <c r="J72" s="76"/>
      <c r="K72" s="76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82"/>
      <c r="AI72" s="82"/>
      <c r="AJ72" s="82"/>
      <c r="AK72" s="82"/>
      <c r="AL72" s="82"/>
      <c r="AM72" s="82"/>
      <c r="AN72" s="82"/>
      <c r="AO72" s="82"/>
      <c r="AP72" s="82"/>
      <c r="AQ72" s="82"/>
      <c r="AR72" s="82"/>
      <c r="AS72" s="82"/>
      <c r="AT72" s="82"/>
      <c r="AU72" s="82"/>
      <c r="AV72" s="82"/>
      <c r="AW72" s="82"/>
      <c r="AX72" s="82"/>
      <c r="AY72" s="82"/>
      <c r="AZ72" s="82"/>
      <c r="BA72" s="82"/>
      <c r="BB72" s="82"/>
      <c r="BC72" s="82"/>
      <c r="BD72" s="82"/>
      <c r="BE72" s="82"/>
      <c r="BF72" s="82"/>
      <c r="BG72" s="82"/>
      <c r="BH72" s="82"/>
      <c r="BI72" s="82"/>
      <c r="BJ72" s="82"/>
      <c r="BK72" s="82"/>
      <c r="BL72" s="82"/>
      <c r="BM72" s="82"/>
      <c r="BN72" s="82"/>
      <c r="BO72" s="82"/>
      <c r="BP72" s="82"/>
      <c r="BQ72" s="82"/>
      <c r="BR72" s="82"/>
      <c r="BS72" s="82"/>
      <c r="BT72" s="82"/>
      <c r="BU72" s="82"/>
      <c r="BV72" s="82"/>
      <c r="BW72" s="82"/>
      <c r="BX72" s="82"/>
      <c r="BY72" s="82"/>
      <c r="BZ72" s="82"/>
      <c r="CA72" s="82"/>
      <c r="CB72" s="82"/>
      <c r="CC72" s="82"/>
      <c r="CD72" s="82"/>
      <c r="CE72" s="82"/>
      <c r="CF72" s="82"/>
      <c r="CG72" s="82"/>
      <c r="CH72" s="82"/>
      <c r="CI72" s="82"/>
      <c r="CJ72" s="82"/>
      <c r="CK72" s="82"/>
      <c r="CL72" s="82"/>
      <c r="CM72" s="82"/>
      <c r="CN72" s="82"/>
      <c r="CO72" s="82"/>
      <c r="CP72" s="82"/>
      <c r="CQ72" s="82"/>
      <c r="CR72" s="82"/>
      <c r="CS72" s="82"/>
      <c r="CT72" s="82"/>
      <c r="CU72" s="82"/>
      <c r="CV72" s="82"/>
      <c r="CW72" s="82"/>
      <c r="CX72" s="82"/>
      <c r="CY72" s="82"/>
      <c r="CZ72" s="82"/>
      <c r="DA72" s="82"/>
      <c r="DB72" s="82"/>
      <c r="DC72" s="82"/>
      <c r="DD72" s="82"/>
      <c r="DE72" s="82"/>
      <c r="DF72" s="82"/>
      <c r="DG72" s="82"/>
      <c r="DH72" s="82"/>
      <c r="DI72" s="82"/>
      <c r="DJ72" s="82"/>
      <c r="DK72" s="82"/>
      <c r="DL72" s="82"/>
      <c r="DM72" s="82"/>
      <c r="DN72" s="82"/>
      <c r="DO72" s="82"/>
      <c r="DP72" s="82"/>
      <c r="DQ72" s="82"/>
      <c r="DR72" s="82"/>
      <c r="DS72" s="82"/>
      <c r="DT72" s="82"/>
      <c r="DU72" s="82"/>
      <c r="DV72" s="82"/>
      <c r="DW72" s="82"/>
      <c r="DX72" s="82"/>
      <c r="DY72" s="82"/>
      <c r="DZ72" s="82"/>
      <c r="EA72" s="82"/>
      <c r="EB72" s="82"/>
      <c r="EC72" s="82"/>
      <c r="ED72" s="82"/>
      <c r="EE72" s="82"/>
      <c r="EF72" s="82"/>
      <c r="EG72" s="82"/>
      <c r="EH72" s="82"/>
      <c r="EI72" s="82"/>
      <c r="EJ72" s="82"/>
      <c r="EK72" s="82"/>
      <c r="EL72" s="82"/>
      <c r="EM72" s="82"/>
      <c r="EN72" s="82"/>
      <c r="EO72" s="82"/>
      <c r="EP72" s="82"/>
      <c r="EQ72" s="82"/>
      <c r="ER72" s="82"/>
      <c r="ES72" s="82"/>
      <c r="ET72" s="82"/>
      <c r="EU72" s="82"/>
      <c r="EV72" s="82"/>
      <c r="EW72" s="82"/>
      <c r="EX72" s="82"/>
      <c r="EY72" s="82"/>
      <c r="EZ72" s="82"/>
      <c r="FA72" s="82"/>
      <c r="FB72" s="82"/>
      <c r="FC72" s="82"/>
      <c r="FD72" s="82"/>
      <c r="FE72" s="82"/>
      <c r="FF72" s="82"/>
      <c r="FG72" s="82"/>
      <c r="FH72" s="82"/>
      <c r="FI72" s="82"/>
      <c r="FJ72" s="82"/>
      <c r="FK72" s="82"/>
      <c r="FL72" s="82"/>
      <c r="FM72" s="82"/>
      <c r="FN72" s="82"/>
      <c r="FO72" s="82"/>
      <c r="FP72" s="82"/>
      <c r="FQ72" s="82"/>
      <c r="FR72" s="82"/>
      <c r="FS72" s="82"/>
      <c r="FT72" s="82"/>
      <c r="FU72" s="82"/>
      <c r="FV72" s="82"/>
      <c r="FW72" s="82"/>
      <c r="FX72" s="82"/>
      <c r="FY72" s="82"/>
      <c r="FZ72" s="82"/>
      <c r="GA72" s="82"/>
      <c r="GB72" s="82"/>
      <c r="GC72" s="82"/>
      <c r="GD72" s="82"/>
      <c r="GE72" s="82"/>
      <c r="GF72" s="82"/>
      <c r="GG72" s="82"/>
      <c r="GH72" s="82"/>
      <c r="GI72" s="82"/>
      <c r="GJ72" s="82"/>
      <c r="GK72" s="82"/>
      <c r="GL72" s="82"/>
      <c r="GM72" s="82"/>
      <c r="GN72" s="82"/>
      <c r="GO72" s="82"/>
      <c r="GP72" s="82"/>
      <c r="GQ72" s="82"/>
      <c r="GR72" s="82"/>
      <c r="GS72" s="82"/>
      <c r="GT72" s="82"/>
      <c r="GU72" s="82"/>
      <c r="GV72" s="82"/>
      <c r="GW72" s="82"/>
      <c r="GX72" s="82"/>
      <c r="GY72" s="82"/>
      <c r="GZ72" s="82"/>
      <c r="HA72" s="82"/>
      <c r="HB72" s="82"/>
      <c r="HC72" s="82"/>
      <c r="HD72" s="82"/>
      <c r="HE72" s="82"/>
      <c r="HF72" s="82"/>
      <c r="HG72" s="82"/>
      <c r="HH72" s="82"/>
      <c r="HI72" s="82"/>
      <c r="HJ72" s="82"/>
      <c r="HK72" s="82"/>
      <c r="HL72" s="82"/>
      <c r="HM72" s="82"/>
      <c r="HN72" s="82"/>
      <c r="HO72" s="82"/>
      <c r="HP72" s="82"/>
      <c r="HQ72" s="82"/>
      <c r="HR72" s="82"/>
      <c r="HS72" s="82"/>
      <c r="HT72" s="82"/>
      <c r="HU72" s="82"/>
      <c r="HV72" s="82"/>
      <c r="HW72" s="82"/>
      <c r="HX72" s="82"/>
      <c r="HY72" s="82"/>
      <c r="HZ72" s="82"/>
      <c r="IA72" s="82"/>
      <c r="IB72" s="82"/>
      <c r="IC72" s="82"/>
      <c r="ID72" s="82"/>
      <c r="IE72" s="82"/>
      <c r="IF72" s="82"/>
      <c r="IG72" s="82"/>
      <c r="IH72" s="82"/>
      <c r="II72" s="82"/>
      <c r="IJ72" s="82"/>
      <c r="IK72" s="82"/>
      <c r="IL72" s="82"/>
      <c r="IM72" s="82"/>
      <c r="IN72" s="82"/>
      <c r="IO72" s="82"/>
      <c r="IP72" s="82"/>
      <c r="IQ72" s="82"/>
      <c r="IR72" s="82"/>
      <c r="IS72" s="82"/>
      <c r="IT72" s="82"/>
      <c r="IU72" s="82"/>
      <c r="IV72" s="82"/>
      <c r="IW72" s="82"/>
      <c r="IX72" s="82"/>
      <c r="IY72" s="82"/>
      <c r="IZ72" s="82"/>
      <c r="JA72" s="82"/>
      <c r="JB72" s="82"/>
      <c r="JC72" s="82"/>
      <c r="JD72" s="82"/>
      <c r="JE72" s="82"/>
      <c r="JF72" s="82"/>
      <c r="JG72" s="82"/>
      <c r="JH72" s="82"/>
      <c r="JI72" s="82"/>
      <c r="JJ72" s="82"/>
      <c r="JK72" s="82"/>
      <c r="JL72" s="82"/>
      <c r="JM72" s="82"/>
      <c r="JN72" s="82"/>
      <c r="JO72" s="82"/>
      <c r="JP72" s="82"/>
      <c r="JQ72" s="82"/>
      <c r="JR72" s="82"/>
      <c r="JS72" s="82"/>
      <c r="JT72" s="82"/>
      <c r="JU72" s="82"/>
      <c r="JV72" s="82"/>
      <c r="JW72" s="82"/>
      <c r="JX72" s="82"/>
      <c r="JY72" s="82"/>
      <c r="JZ72" s="82"/>
      <c r="KA72" s="82"/>
      <c r="KB72" s="82"/>
      <c r="KC72" s="82"/>
      <c r="KD72" s="82"/>
      <c r="KE72" s="82"/>
      <c r="KF72" s="82"/>
      <c r="KG72" s="82"/>
      <c r="KH72" s="82"/>
      <c r="KI72" s="82"/>
      <c r="KJ72" s="82"/>
      <c r="KK72" s="82"/>
      <c r="KL72" s="82"/>
      <c r="KM72" s="82"/>
      <c r="KN72" s="82"/>
      <c r="KO72" s="82"/>
      <c r="KP72" s="82"/>
      <c r="KQ72" s="82"/>
      <c r="KR72" s="82"/>
      <c r="KS72" s="82"/>
      <c r="KT72" s="82"/>
      <c r="KU72" s="82"/>
      <c r="KV72" s="82"/>
      <c r="KW72" s="82"/>
      <c r="KX72" s="82"/>
      <c r="KY72" s="82"/>
      <c r="KZ72" s="82"/>
      <c r="LA72" s="82"/>
      <c r="LB72" s="82"/>
      <c r="LC72" s="82"/>
      <c r="LD72" s="82"/>
      <c r="LE72" s="82"/>
      <c r="LF72" s="82"/>
      <c r="LG72" s="82"/>
      <c r="LH72" s="82"/>
      <c r="LI72" s="82"/>
      <c r="LJ72" s="82"/>
      <c r="LK72" s="82"/>
      <c r="LL72" s="82"/>
      <c r="LM72" s="82"/>
      <c r="LN72" s="82"/>
      <c r="LO72" s="82"/>
      <c r="LP72" s="82"/>
      <c r="LQ72" s="82"/>
      <c r="LR72" s="82"/>
      <c r="LS72" s="82"/>
      <c r="LT72" s="82"/>
      <c r="LU72" s="82"/>
      <c r="LV72" s="82"/>
      <c r="LW72" s="82"/>
      <c r="LX72" s="82"/>
      <c r="LY72" s="82"/>
      <c r="LZ72" s="82"/>
      <c r="MA72" s="82"/>
      <c r="MB72" s="82"/>
      <c r="MC72" s="82"/>
      <c r="MD72" s="82"/>
      <c r="ME72" s="82"/>
      <c r="MF72" s="82"/>
      <c r="MG72" s="82"/>
      <c r="MH72" s="82"/>
      <c r="MI72" s="82"/>
      <c r="MJ72" s="82"/>
      <c r="MK72" s="82"/>
      <c r="ML72" s="82"/>
      <c r="MM72" s="82"/>
      <c r="MN72" s="82"/>
      <c r="MO72" s="82"/>
      <c r="MP72" s="82"/>
      <c r="MQ72" s="82"/>
      <c r="MR72" s="82"/>
      <c r="MS72" s="82"/>
      <c r="MT72" s="82"/>
      <c r="MU72" s="82"/>
      <c r="MV72" s="82"/>
      <c r="MW72" s="82"/>
      <c r="MX72" s="82"/>
      <c r="MY72" s="82"/>
      <c r="MZ72" s="82"/>
      <c r="NA72" s="82"/>
      <c r="NB72" s="82"/>
      <c r="NC72" s="82"/>
      <c r="ND72" s="82"/>
      <c r="NE72" s="82"/>
      <c r="NF72" s="82"/>
      <c r="NG72" s="82"/>
      <c r="NH72" s="82"/>
      <c r="NI72" s="82"/>
      <c r="NJ72" s="82"/>
      <c r="NK72" s="82"/>
      <c r="NL72" s="82"/>
      <c r="NM72" s="82"/>
      <c r="NN72" s="82"/>
      <c r="NO72" s="82"/>
      <c r="NP72" s="82"/>
      <c r="NQ72" s="82"/>
      <c r="NR72" s="82"/>
      <c r="NS72" s="82"/>
      <c r="NT72" s="82"/>
      <c r="NU72" s="82"/>
      <c r="NV72" s="82"/>
      <c r="NW72" s="82"/>
      <c r="NX72" s="82"/>
      <c r="NY72" s="82"/>
      <c r="NZ72" s="82"/>
      <c r="OA72" s="82"/>
      <c r="OB72" s="82"/>
      <c r="OC72" s="82"/>
      <c r="OD72" s="82"/>
      <c r="OE72" s="82"/>
      <c r="OF72" s="82"/>
      <c r="OG72" s="82"/>
      <c r="OH72" s="82"/>
      <c r="OI72" s="82"/>
      <c r="OJ72" s="82"/>
      <c r="OK72" s="82"/>
      <c r="OL72" s="82"/>
      <c r="OM72" s="82"/>
      <c r="ON72" s="82"/>
      <c r="OO72" s="82"/>
      <c r="OP72" s="82"/>
      <c r="OQ72" s="82"/>
      <c r="OR72" s="82"/>
      <c r="OS72" s="82"/>
      <c r="OT72" s="82"/>
      <c r="OU72" s="82"/>
      <c r="OV72" s="82"/>
      <c r="OW72" s="82"/>
      <c r="OX72" s="82"/>
      <c r="OY72" s="82"/>
      <c r="OZ72" s="82"/>
      <c r="PA72" s="82"/>
      <c r="PB72" s="82"/>
      <c r="PC72" s="82"/>
      <c r="PD72" s="82"/>
      <c r="PE72" s="82"/>
      <c r="PF72" s="82"/>
      <c r="PG72" s="82"/>
      <c r="PH72" s="82"/>
      <c r="PI72" s="82"/>
      <c r="PJ72" s="82"/>
      <c r="PK72" s="82"/>
      <c r="PL72" s="82"/>
      <c r="PM72" s="82"/>
      <c r="PN72" s="82"/>
      <c r="PO72" s="82"/>
      <c r="PP72" s="82"/>
      <c r="PQ72" s="82"/>
      <c r="PR72" s="82"/>
      <c r="PS72" s="82"/>
      <c r="PT72" s="82"/>
      <c r="PU72" s="82"/>
      <c r="PV72" s="82"/>
      <c r="PW72" s="82"/>
      <c r="PX72" s="82"/>
      <c r="PY72" s="82"/>
      <c r="PZ72" s="82"/>
      <c r="QA72" s="82"/>
      <c r="QB72" s="82"/>
      <c r="QC72" s="82"/>
      <c r="QD72" s="82"/>
      <c r="QE72" s="82"/>
      <c r="QF72" s="82"/>
      <c r="QG72" s="82"/>
      <c r="QH72" s="82"/>
      <c r="QI72" s="82"/>
      <c r="QJ72" s="82"/>
      <c r="QK72" s="82"/>
      <c r="QL72" s="82"/>
      <c r="QM72" s="82"/>
      <c r="QN72" s="82"/>
      <c r="QO72" s="82"/>
      <c r="QP72" s="82"/>
      <c r="QQ72" s="82"/>
      <c r="QR72" s="82"/>
      <c r="QS72" s="82"/>
      <c r="QT72" s="82"/>
      <c r="QU72" s="82"/>
      <c r="QV72" s="82"/>
      <c r="QW72" s="82"/>
      <c r="QX72" s="82"/>
      <c r="QY72" s="82"/>
      <c r="QZ72" s="82"/>
      <c r="RA72" s="82"/>
      <c r="RB72" s="82"/>
      <c r="RC72" s="82"/>
      <c r="RD72" s="82"/>
      <c r="RE72" s="82"/>
      <c r="RF72" s="82"/>
      <c r="RG72" s="82"/>
      <c r="RH72" s="82"/>
      <c r="RI72" s="82"/>
      <c r="RJ72" s="82"/>
      <c r="RK72" s="82"/>
      <c r="RL72" s="82"/>
      <c r="RM72" s="82"/>
      <c r="RN72" s="82"/>
      <c r="RO72" s="82"/>
      <c r="RP72" s="82"/>
      <c r="RQ72" s="82"/>
      <c r="RR72" s="82"/>
      <c r="RS72" s="82"/>
      <c r="RT72" s="82"/>
      <c r="RU72" s="82"/>
      <c r="RV72" s="82"/>
      <c r="RW72" s="82"/>
      <c r="RX72" s="82"/>
      <c r="RY72" s="82"/>
      <c r="RZ72" s="82"/>
      <c r="SA72" s="82"/>
      <c r="SB72" s="82"/>
      <c r="SC72" s="82"/>
      <c r="SD72" s="82"/>
      <c r="SE72" s="82"/>
      <c r="SF72" s="82"/>
      <c r="SG72" s="82"/>
      <c r="SH72" s="82"/>
      <c r="SI72" s="82"/>
      <c r="SJ72" s="82"/>
      <c r="SK72" s="82"/>
      <c r="SL72" s="82"/>
      <c r="SM72" s="82"/>
      <c r="SN72" s="82"/>
      <c r="SO72" s="82"/>
      <c r="SP72" s="82"/>
      <c r="SQ72" s="82"/>
      <c r="SR72" s="82"/>
      <c r="SS72" s="82"/>
      <c r="ST72" s="82"/>
      <c r="SU72" s="82"/>
      <c r="SV72" s="82"/>
      <c r="SW72" s="82"/>
      <c r="SX72" s="82"/>
      <c r="SY72" s="82"/>
      <c r="SZ72" s="82"/>
      <c r="TA72" s="82"/>
      <c r="TB72" s="82"/>
      <c r="TC72" s="82"/>
      <c r="TD72" s="82"/>
      <c r="TE72" s="82"/>
      <c r="TF72" s="82"/>
      <c r="TG72" s="82"/>
      <c r="TH72" s="82"/>
      <c r="TI72" s="82"/>
      <c r="TJ72" s="82"/>
      <c r="TK72" s="82"/>
      <c r="TL72" s="82"/>
      <c r="TM72" s="82"/>
      <c r="TN72" s="82"/>
      <c r="TO72" s="82"/>
      <c r="TP72" s="82"/>
      <c r="TQ72" s="82"/>
      <c r="TR72" s="82"/>
      <c r="TS72" s="82"/>
      <c r="TT72" s="82"/>
      <c r="TU72" s="82"/>
      <c r="TV72" s="82"/>
      <c r="TW72" s="82"/>
      <c r="TX72" s="82"/>
      <c r="TY72" s="82"/>
      <c r="TZ72" s="82"/>
      <c r="UA72" s="82"/>
      <c r="UB72" s="82"/>
      <c r="UC72" s="82"/>
      <c r="UD72" s="82"/>
      <c r="UE72" s="82"/>
      <c r="UF72" s="82"/>
      <c r="UG72" s="82"/>
      <c r="UH72" s="82"/>
      <c r="UI72" s="82"/>
      <c r="UJ72" s="82"/>
      <c r="UK72" s="82"/>
      <c r="UL72" s="82"/>
      <c r="UM72" s="82"/>
      <c r="UN72" s="82"/>
      <c r="UO72" s="82"/>
      <c r="UP72" s="82"/>
      <c r="UQ72" s="82"/>
      <c r="UR72" s="82"/>
      <c r="US72" s="82"/>
      <c r="UT72" s="82"/>
      <c r="UU72" s="82"/>
      <c r="UV72" s="82"/>
      <c r="UW72" s="82"/>
      <c r="UX72" s="82"/>
      <c r="UY72" s="82"/>
      <c r="UZ72" s="82"/>
      <c r="VA72" s="82"/>
      <c r="VB72" s="82"/>
      <c r="VC72" s="82"/>
      <c r="VD72" s="82"/>
      <c r="VE72" s="82"/>
      <c r="VF72" s="82"/>
      <c r="VG72" s="82"/>
      <c r="VH72" s="82"/>
      <c r="VI72" s="82"/>
      <c r="VJ72" s="82"/>
      <c r="VK72" s="82"/>
      <c r="VL72" s="82"/>
      <c r="VM72" s="82"/>
      <c r="VN72" s="82"/>
      <c r="VO72" s="82"/>
      <c r="VP72" s="82"/>
      <c r="VQ72" s="82"/>
      <c r="VR72" s="82"/>
      <c r="VS72" s="82"/>
      <c r="VT72" s="82"/>
      <c r="VU72" s="82"/>
      <c r="VV72" s="82"/>
      <c r="VW72" s="82"/>
      <c r="VX72" s="82"/>
      <c r="VY72" s="82"/>
      <c r="VZ72" s="82"/>
      <c r="WA72" s="82"/>
      <c r="WB72" s="82"/>
      <c r="WC72" s="82"/>
      <c r="WD72" s="82"/>
      <c r="WE72" s="82"/>
      <c r="WF72" s="82"/>
      <c r="WG72" s="82"/>
      <c r="WH72" s="82"/>
      <c r="WI72" s="82"/>
      <c r="WJ72" s="82"/>
      <c r="WK72" s="82"/>
      <c r="WL72" s="82"/>
      <c r="WM72" s="82"/>
      <c r="WN72" s="82"/>
      <c r="WO72" s="82"/>
      <c r="WP72" s="82"/>
      <c r="WQ72" s="82"/>
      <c r="WR72" s="82"/>
      <c r="WS72" s="82"/>
      <c r="WT72" s="82"/>
      <c r="WU72" s="82"/>
      <c r="WV72" s="82"/>
      <c r="WW72" s="82"/>
      <c r="WX72" s="82"/>
      <c r="WY72" s="82"/>
      <c r="WZ72" s="82"/>
      <c r="XA72" s="82"/>
      <c r="XB72" s="82"/>
      <c r="XC72" s="82"/>
      <c r="XD72" s="82"/>
      <c r="XE72" s="82"/>
      <c r="XF72" s="82"/>
      <c r="XG72" s="82"/>
      <c r="XH72" s="82"/>
      <c r="XI72" s="82"/>
      <c r="XJ72" s="82"/>
      <c r="XK72" s="82"/>
      <c r="XL72" s="82"/>
      <c r="XM72" s="82"/>
      <c r="XN72" s="82"/>
      <c r="XO72" s="82"/>
      <c r="XP72" s="82"/>
      <c r="XQ72" s="82"/>
      <c r="XR72" s="82"/>
      <c r="XS72" s="82"/>
      <c r="XT72" s="82"/>
      <c r="XU72" s="82"/>
      <c r="XV72" s="82"/>
      <c r="XW72" s="82"/>
      <c r="XX72" s="82"/>
      <c r="XY72" s="82"/>
      <c r="XZ72" s="82"/>
      <c r="YA72" s="82"/>
      <c r="YB72" s="82"/>
      <c r="YC72" s="82"/>
      <c r="YD72" s="82"/>
      <c r="YE72" s="82"/>
      <c r="YF72" s="82"/>
      <c r="YG72" s="82"/>
      <c r="YH72" s="82"/>
      <c r="YI72" s="82"/>
      <c r="YJ72" s="82"/>
      <c r="YK72" s="82"/>
      <c r="YL72" s="82"/>
      <c r="YM72" s="82"/>
      <c r="YN72" s="82"/>
      <c r="YO72" s="82"/>
      <c r="YP72" s="82"/>
      <c r="YQ72" s="82"/>
      <c r="YR72" s="82"/>
      <c r="YS72" s="82"/>
      <c r="YT72" s="82"/>
      <c r="YU72" s="82"/>
      <c r="YV72" s="82"/>
      <c r="YW72" s="82"/>
      <c r="YX72" s="82"/>
      <c r="YY72" s="82"/>
      <c r="YZ72" s="82"/>
      <c r="ZA72" s="82"/>
      <c r="ZB72" s="82"/>
      <c r="ZC72" s="82"/>
      <c r="ZD72" s="82"/>
      <c r="ZE72" s="82"/>
      <c r="ZF72" s="82"/>
      <c r="ZG72" s="82"/>
      <c r="ZH72" s="82"/>
      <c r="ZI72" s="82"/>
      <c r="ZJ72" s="82"/>
      <c r="ZK72" s="82"/>
      <c r="ZL72" s="82"/>
      <c r="ZM72" s="82"/>
      <c r="ZN72" s="82"/>
      <c r="ZO72" s="82"/>
      <c r="ZP72" s="82"/>
      <c r="ZQ72" s="82"/>
      <c r="ZR72" s="82"/>
      <c r="ZS72" s="82"/>
      <c r="ZT72" s="82"/>
      <c r="ZU72" s="82"/>
      <c r="ZV72" s="82"/>
      <c r="ZW72" s="82"/>
      <c r="ZX72" s="82"/>
      <c r="ZY72" s="82"/>
      <c r="ZZ72" s="82"/>
      <c r="AAA72" s="82"/>
      <c r="AAB72" s="82"/>
      <c r="AAC72" s="82"/>
      <c r="AAD72" s="82"/>
      <c r="AAE72" s="82"/>
      <c r="AAF72" s="82"/>
      <c r="AAG72" s="82"/>
      <c r="AAH72" s="82"/>
      <c r="AAI72" s="82"/>
      <c r="AAJ72" s="82"/>
      <c r="AAK72" s="82"/>
      <c r="AAL72" s="82"/>
      <c r="AAM72" s="82"/>
      <c r="AAN72" s="82"/>
      <c r="AAO72" s="82"/>
      <c r="AAP72" s="82"/>
      <c r="AAQ72" s="82"/>
      <c r="AAR72" s="82"/>
      <c r="AAS72" s="82"/>
      <c r="AAT72" s="82"/>
      <c r="AAU72" s="82"/>
      <c r="AAV72" s="82"/>
      <c r="AAW72" s="82"/>
      <c r="AAX72" s="82"/>
      <c r="AAY72" s="82"/>
      <c r="AAZ72" s="82"/>
      <c r="ABA72" s="82"/>
      <c r="ABB72" s="82"/>
      <c r="ABC72" s="82"/>
      <c r="ABD72" s="82"/>
      <c r="ABE72" s="82"/>
      <c r="ABF72" s="82"/>
      <c r="ABG72" s="82"/>
      <c r="ABH72" s="82"/>
      <c r="ABI72" s="82"/>
      <c r="ABJ72" s="82"/>
      <c r="ABK72" s="82"/>
      <c r="ABL72" s="82"/>
      <c r="ABM72" s="82"/>
      <c r="ABN72" s="82"/>
      <c r="ABO72" s="82"/>
      <c r="ABP72" s="82"/>
      <c r="ABQ72" s="82"/>
      <c r="ABR72" s="82"/>
      <c r="ABS72" s="82"/>
      <c r="ABT72" s="82"/>
      <c r="ABU72" s="82"/>
      <c r="ABV72" s="82"/>
      <c r="ABW72" s="82"/>
      <c r="ABX72" s="82"/>
      <c r="ABY72" s="82"/>
      <c r="ABZ72" s="82"/>
      <c r="ACA72" s="82"/>
      <c r="ACB72" s="82"/>
      <c r="ACC72" s="82"/>
      <c r="ACD72" s="82"/>
      <c r="ACE72" s="82"/>
      <c r="ACF72" s="82"/>
      <c r="ACG72" s="82"/>
      <c r="ACH72" s="82"/>
      <c r="ACI72" s="82"/>
      <c r="ACJ72" s="82"/>
      <c r="ACK72" s="82"/>
      <c r="ACL72" s="82"/>
      <c r="ACM72" s="82"/>
      <c r="ACN72" s="82"/>
      <c r="ACO72" s="82"/>
      <c r="ACP72" s="82"/>
      <c r="ACQ72" s="82"/>
      <c r="ACR72" s="82"/>
      <c r="ACS72" s="82"/>
      <c r="ACT72" s="82"/>
      <c r="ACU72" s="82"/>
      <c r="ACV72" s="82"/>
      <c r="ACW72" s="82"/>
      <c r="ACX72" s="82"/>
      <c r="ACY72" s="82"/>
      <c r="ACZ72" s="82"/>
      <c r="ADA72" s="82"/>
      <c r="ADB72" s="82"/>
      <c r="ADC72" s="82"/>
      <c r="ADD72" s="82"/>
      <c r="ADE72" s="82"/>
      <c r="ADF72" s="82"/>
      <c r="ADG72" s="82"/>
      <c r="ADH72" s="82"/>
      <c r="ADI72" s="82"/>
      <c r="ADJ72" s="82"/>
      <c r="ADK72" s="82"/>
      <c r="ADL72" s="82"/>
      <c r="ADM72" s="82"/>
      <c r="ADN72" s="82"/>
      <c r="ADO72" s="82"/>
      <c r="ADP72" s="82"/>
      <c r="ADQ72" s="82"/>
      <c r="ADR72" s="82"/>
      <c r="ADS72" s="82"/>
      <c r="ADT72" s="82"/>
      <c r="ADU72" s="82"/>
      <c r="ADV72" s="82"/>
      <c r="ADW72" s="82"/>
      <c r="ADX72" s="82"/>
      <c r="ADY72" s="82"/>
      <c r="ADZ72" s="82"/>
      <c r="AEA72" s="82"/>
      <c r="AEB72" s="82"/>
      <c r="AEC72" s="82"/>
      <c r="AED72" s="82"/>
      <c r="AEE72" s="82"/>
      <c r="AEF72" s="82"/>
      <c r="AEG72" s="82"/>
      <c r="AEH72" s="82"/>
      <c r="AEI72" s="82"/>
      <c r="AEJ72" s="82"/>
      <c r="AEK72" s="82"/>
      <c r="AEL72" s="82"/>
      <c r="AEM72" s="82"/>
      <c r="AEN72" s="82"/>
      <c r="AEO72" s="82"/>
      <c r="AEP72" s="82"/>
      <c r="AEQ72" s="82"/>
      <c r="AER72" s="82"/>
      <c r="AES72" s="82"/>
      <c r="AET72" s="82"/>
      <c r="AEU72" s="82"/>
      <c r="AEV72" s="82"/>
      <c r="AEW72" s="82"/>
      <c r="AEX72" s="82"/>
      <c r="AEY72" s="82"/>
      <c r="AEZ72" s="82"/>
      <c r="AFA72" s="82"/>
      <c r="AFB72" s="82"/>
      <c r="AFC72" s="82"/>
      <c r="AFD72" s="82"/>
      <c r="AFE72" s="82"/>
      <c r="AFF72" s="82"/>
      <c r="AFG72" s="82"/>
      <c r="AFH72" s="82"/>
      <c r="AFI72" s="82"/>
      <c r="AFJ72" s="82"/>
      <c r="AFK72" s="82"/>
      <c r="AFL72" s="82"/>
      <c r="AFM72" s="82"/>
      <c r="AFN72" s="82"/>
      <c r="AFO72" s="82"/>
      <c r="AFP72" s="82"/>
      <c r="AFQ72" s="82"/>
      <c r="AFR72" s="82"/>
      <c r="AFS72" s="82"/>
      <c r="AFT72" s="82"/>
      <c r="AFU72" s="82"/>
      <c r="AFV72" s="82"/>
      <c r="AFW72" s="82"/>
      <c r="AFX72" s="82"/>
      <c r="AFY72" s="82"/>
      <c r="AFZ72" s="82"/>
      <c r="AGA72" s="82"/>
      <c r="AGB72" s="82"/>
      <c r="AGC72" s="82"/>
      <c r="AGD72" s="82"/>
      <c r="AGE72" s="82"/>
      <c r="AGF72" s="82"/>
      <c r="AGG72" s="82"/>
      <c r="AGH72" s="82"/>
      <c r="AGI72" s="82"/>
      <c r="AGJ72" s="82"/>
      <c r="AGK72" s="82"/>
      <c r="AGL72" s="82"/>
      <c r="AGM72" s="82"/>
      <c r="AGN72" s="82"/>
      <c r="AGO72" s="82"/>
      <c r="AGP72" s="82"/>
      <c r="AGQ72" s="82"/>
      <c r="AGR72" s="82"/>
      <c r="AGS72" s="82"/>
      <c r="AGT72" s="82"/>
      <c r="AGU72" s="82"/>
      <c r="AGV72" s="82"/>
      <c r="AGW72" s="82"/>
      <c r="AGX72" s="82"/>
      <c r="AGY72" s="82"/>
      <c r="AGZ72" s="82"/>
      <c r="AHA72" s="82"/>
      <c r="AHB72" s="82"/>
      <c r="AHC72" s="82"/>
      <c r="AHD72" s="82"/>
      <c r="AHE72" s="82"/>
      <c r="AHF72" s="82"/>
      <c r="AHG72" s="82"/>
      <c r="AHH72" s="82"/>
      <c r="AHI72" s="82"/>
      <c r="AHJ72" s="82"/>
      <c r="AHK72" s="82"/>
      <c r="AHL72" s="82"/>
      <c r="AHM72" s="82"/>
      <c r="AHN72" s="82"/>
      <c r="AHO72" s="82"/>
      <c r="AHP72" s="82"/>
      <c r="AHQ72" s="82"/>
      <c r="AHR72" s="82"/>
      <c r="AHS72" s="82"/>
      <c r="AHT72" s="82"/>
      <c r="AHU72" s="82"/>
      <c r="AHV72" s="82"/>
      <c r="AHW72" s="82"/>
      <c r="AHX72" s="82"/>
      <c r="AHY72" s="82"/>
      <c r="AHZ72" s="82"/>
      <c r="AIA72" s="82"/>
      <c r="AIB72" s="82"/>
      <c r="AIC72" s="82"/>
      <c r="AID72" s="82"/>
      <c r="AIE72" s="82"/>
      <c r="AIF72" s="82"/>
      <c r="AIG72" s="82"/>
      <c r="AIH72" s="82"/>
    </row>
    <row r="73" spans="1:918" s="99" customFormat="1" x14ac:dyDescent="0.2">
      <c r="A73" s="98"/>
      <c r="B73" s="83"/>
      <c r="C73" s="91"/>
      <c r="D73" s="76"/>
      <c r="E73" s="76"/>
      <c r="F73" s="76"/>
      <c r="G73" s="76"/>
      <c r="H73" s="76"/>
      <c r="I73" s="76"/>
      <c r="J73" s="76"/>
      <c r="K73" s="76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  <c r="AH73" s="82"/>
      <c r="AI73" s="82"/>
      <c r="AJ73" s="82"/>
      <c r="AK73" s="82"/>
      <c r="AL73" s="82"/>
      <c r="AM73" s="82"/>
      <c r="AN73" s="82"/>
      <c r="AO73" s="82"/>
      <c r="AP73" s="82"/>
      <c r="AQ73" s="82"/>
      <c r="AR73" s="82"/>
      <c r="AS73" s="82"/>
      <c r="AT73" s="82"/>
      <c r="AU73" s="82"/>
      <c r="AV73" s="82"/>
      <c r="AW73" s="82"/>
      <c r="AX73" s="82"/>
      <c r="AY73" s="82"/>
      <c r="AZ73" s="82"/>
      <c r="BA73" s="82"/>
      <c r="BB73" s="82"/>
      <c r="BC73" s="82"/>
      <c r="BD73" s="82"/>
      <c r="BE73" s="82"/>
      <c r="BF73" s="82"/>
      <c r="BG73" s="82"/>
      <c r="BH73" s="82"/>
      <c r="BI73" s="82"/>
      <c r="BJ73" s="82"/>
      <c r="BK73" s="82"/>
      <c r="BL73" s="82"/>
      <c r="BM73" s="82"/>
      <c r="BN73" s="82"/>
      <c r="BO73" s="82"/>
      <c r="BP73" s="82"/>
      <c r="BQ73" s="82"/>
      <c r="BR73" s="82"/>
      <c r="BS73" s="82"/>
      <c r="BT73" s="82"/>
      <c r="BU73" s="82"/>
      <c r="BV73" s="82"/>
      <c r="BW73" s="82"/>
      <c r="BX73" s="82"/>
      <c r="BY73" s="82"/>
      <c r="BZ73" s="82"/>
      <c r="CA73" s="82"/>
      <c r="CB73" s="82"/>
      <c r="CC73" s="82"/>
      <c r="CD73" s="82"/>
      <c r="CE73" s="82"/>
      <c r="CF73" s="82"/>
      <c r="CG73" s="82"/>
      <c r="CH73" s="82"/>
      <c r="CI73" s="82"/>
      <c r="CJ73" s="82"/>
      <c r="CK73" s="82"/>
      <c r="CL73" s="82"/>
      <c r="CM73" s="82"/>
      <c r="CN73" s="82"/>
      <c r="CO73" s="82"/>
      <c r="CP73" s="82"/>
      <c r="CQ73" s="82"/>
      <c r="CR73" s="82"/>
      <c r="CS73" s="82"/>
      <c r="CT73" s="82"/>
      <c r="CU73" s="82"/>
      <c r="CV73" s="82"/>
      <c r="CW73" s="82"/>
      <c r="CX73" s="82"/>
      <c r="CY73" s="82"/>
      <c r="CZ73" s="82"/>
      <c r="DA73" s="82"/>
      <c r="DB73" s="82"/>
      <c r="DC73" s="82"/>
      <c r="DD73" s="82"/>
      <c r="DE73" s="82"/>
      <c r="DF73" s="82"/>
      <c r="DG73" s="82"/>
      <c r="DH73" s="82"/>
      <c r="DI73" s="82"/>
      <c r="DJ73" s="82"/>
      <c r="DK73" s="82"/>
      <c r="DL73" s="82"/>
      <c r="DM73" s="82"/>
      <c r="DN73" s="82"/>
      <c r="DO73" s="82"/>
      <c r="DP73" s="82"/>
      <c r="DQ73" s="82"/>
      <c r="DR73" s="82"/>
      <c r="DS73" s="82"/>
      <c r="DT73" s="82"/>
      <c r="DU73" s="82"/>
      <c r="DV73" s="82"/>
      <c r="DW73" s="82"/>
      <c r="DX73" s="82"/>
      <c r="DY73" s="82"/>
      <c r="DZ73" s="82"/>
      <c r="EA73" s="82"/>
      <c r="EB73" s="82"/>
      <c r="EC73" s="82"/>
      <c r="ED73" s="82"/>
      <c r="EE73" s="82"/>
      <c r="EF73" s="82"/>
      <c r="EG73" s="82"/>
      <c r="EH73" s="82"/>
      <c r="EI73" s="82"/>
      <c r="EJ73" s="82"/>
      <c r="EK73" s="82"/>
      <c r="EL73" s="82"/>
      <c r="EM73" s="82"/>
      <c r="EN73" s="82"/>
      <c r="EO73" s="82"/>
      <c r="EP73" s="82"/>
      <c r="EQ73" s="82"/>
      <c r="ER73" s="82"/>
      <c r="ES73" s="82"/>
      <c r="ET73" s="82"/>
      <c r="EU73" s="82"/>
      <c r="EV73" s="82"/>
      <c r="EW73" s="82"/>
      <c r="EX73" s="82"/>
      <c r="EY73" s="82"/>
      <c r="EZ73" s="82"/>
      <c r="FA73" s="82"/>
      <c r="FB73" s="82"/>
      <c r="FC73" s="82"/>
      <c r="FD73" s="82"/>
      <c r="FE73" s="82"/>
      <c r="FF73" s="82"/>
      <c r="FG73" s="82"/>
      <c r="FH73" s="82"/>
      <c r="FI73" s="82"/>
      <c r="FJ73" s="82"/>
      <c r="FK73" s="82"/>
      <c r="FL73" s="82"/>
      <c r="FM73" s="82"/>
      <c r="FN73" s="82"/>
      <c r="FO73" s="82"/>
      <c r="FP73" s="82"/>
      <c r="FQ73" s="82"/>
      <c r="FR73" s="82"/>
      <c r="FS73" s="82"/>
      <c r="FT73" s="82"/>
      <c r="FU73" s="82"/>
      <c r="FV73" s="82"/>
      <c r="FW73" s="82"/>
      <c r="FX73" s="82"/>
      <c r="FY73" s="82"/>
      <c r="FZ73" s="82"/>
      <c r="GA73" s="82"/>
      <c r="GB73" s="82"/>
      <c r="GC73" s="82"/>
      <c r="GD73" s="82"/>
      <c r="GE73" s="82"/>
      <c r="GF73" s="82"/>
      <c r="GG73" s="82"/>
      <c r="GH73" s="82"/>
      <c r="GI73" s="82"/>
      <c r="GJ73" s="82"/>
      <c r="GK73" s="82"/>
      <c r="GL73" s="82"/>
      <c r="GM73" s="82"/>
      <c r="GN73" s="82"/>
      <c r="GO73" s="82"/>
      <c r="GP73" s="82"/>
      <c r="GQ73" s="82"/>
      <c r="GR73" s="82"/>
      <c r="GS73" s="82"/>
      <c r="GT73" s="82"/>
      <c r="GU73" s="82"/>
      <c r="GV73" s="82"/>
      <c r="GW73" s="82"/>
      <c r="GX73" s="82"/>
      <c r="GY73" s="82"/>
      <c r="GZ73" s="82"/>
      <c r="HA73" s="82"/>
      <c r="HB73" s="82"/>
      <c r="HC73" s="82"/>
      <c r="HD73" s="82"/>
      <c r="HE73" s="82"/>
      <c r="HF73" s="82"/>
      <c r="HG73" s="82"/>
      <c r="HH73" s="82"/>
      <c r="HI73" s="82"/>
      <c r="HJ73" s="82"/>
      <c r="HK73" s="82"/>
      <c r="HL73" s="82"/>
      <c r="HM73" s="82"/>
      <c r="HN73" s="82"/>
      <c r="HO73" s="82"/>
      <c r="HP73" s="82"/>
      <c r="HQ73" s="82"/>
      <c r="HR73" s="82"/>
      <c r="HS73" s="82"/>
      <c r="HT73" s="82"/>
      <c r="HU73" s="82"/>
      <c r="HV73" s="82"/>
      <c r="HW73" s="82"/>
      <c r="HX73" s="82"/>
      <c r="HY73" s="82"/>
      <c r="HZ73" s="82"/>
      <c r="IA73" s="82"/>
      <c r="IB73" s="82"/>
      <c r="IC73" s="82"/>
      <c r="ID73" s="82"/>
      <c r="IE73" s="82"/>
      <c r="IF73" s="82"/>
      <c r="IG73" s="82"/>
      <c r="IH73" s="82"/>
      <c r="II73" s="82"/>
      <c r="IJ73" s="82"/>
      <c r="IK73" s="82"/>
      <c r="IL73" s="82"/>
      <c r="IM73" s="82"/>
      <c r="IN73" s="82"/>
      <c r="IO73" s="82"/>
      <c r="IP73" s="82"/>
      <c r="IQ73" s="82"/>
      <c r="IR73" s="82"/>
      <c r="IS73" s="82"/>
      <c r="IT73" s="82"/>
      <c r="IU73" s="82"/>
      <c r="IV73" s="82"/>
      <c r="IW73" s="82"/>
      <c r="IX73" s="82"/>
      <c r="IY73" s="82"/>
      <c r="IZ73" s="82"/>
      <c r="JA73" s="82"/>
      <c r="JB73" s="82"/>
      <c r="JC73" s="82"/>
      <c r="JD73" s="82"/>
      <c r="JE73" s="82"/>
      <c r="JF73" s="82"/>
      <c r="JG73" s="82"/>
      <c r="JH73" s="82"/>
      <c r="JI73" s="82"/>
      <c r="JJ73" s="82"/>
      <c r="JK73" s="82"/>
      <c r="JL73" s="82"/>
      <c r="JM73" s="82"/>
      <c r="JN73" s="82"/>
      <c r="JO73" s="82"/>
      <c r="JP73" s="82"/>
      <c r="JQ73" s="82"/>
      <c r="JR73" s="82"/>
      <c r="JS73" s="82"/>
      <c r="JT73" s="82"/>
      <c r="JU73" s="82"/>
      <c r="JV73" s="82"/>
      <c r="JW73" s="82"/>
      <c r="JX73" s="82"/>
      <c r="JY73" s="82"/>
      <c r="JZ73" s="82"/>
      <c r="KA73" s="82"/>
      <c r="KB73" s="82"/>
      <c r="KC73" s="82"/>
      <c r="KD73" s="82"/>
      <c r="KE73" s="82"/>
      <c r="KF73" s="82"/>
      <c r="KG73" s="82"/>
      <c r="KH73" s="82"/>
      <c r="KI73" s="82"/>
      <c r="KJ73" s="82"/>
      <c r="KK73" s="82"/>
      <c r="KL73" s="82"/>
      <c r="KM73" s="82"/>
      <c r="KN73" s="82"/>
      <c r="KO73" s="82"/>
      <c r="KP73" s="82"/>
      <c r="KQ73" s="82"/>
      <c r="KR73" s="82"/>
      <c r="KS73" s="82"/>
      <c r="KT73" s="82"/>
      <c r="KU73" s="82"/>
      <c r="KV73" s="82"/>
      <c r="KW73" s="82"/>
      <c r="KX73" s="82"/>
      <c r="KY73" s="82"/>
      <c r="KZ73" s="82"/>
      <c r="LA73" s="82"/>
      <c r="LB73" s="82"/>
      <c r="LC73" s="82"/>
      <c r="LD73" s="82"/>
      <c r="LE73" s="82"/>
      <c r="LF73" s="82"/>
      <c r="LG73" s="82"/>
      <c r="LH73" s="82"/>
      <c r="LI73" s="82"/>
      <c r="LJ73" s="82"/>
      <c r="LK73" s="82"/>
      <c r="LL73" s="82"/>
      <c r="LM73" s="82"/>
      <c r="LN73" s="82"/>
      <c r="LO73" s="82"/>
      <c r="LP73" s="82"/>
      <c r="LQ73" s="82"/>
      <c r="LR73" s="82"/>
      <c r="LS73" s="82"/>
      <c r="LT73" s="82"/>
      <c r="LU73" s="82"/>
      <c r="LV73" s="82"/>
      <c r="LW73" s="82"/>
      <c r="LX73" s="82"/>
      <c r="LY73" s="82"/>
      <c r="LZ73" s="82"/>
      <c r="MA73" s="82"/>
      <c r="MB73" s="82"/>
      <c r="MC73" s="82"/>
      <c r="MD73" s="82"/>
      <c r="ME73" s="82"/>
      <c r="MF73" s="82"/>
      <c r="MG73" s="82"/>
      <c r="MH73" s="82"/>
      <c r="MI73" s="82"/>
      <c r="MJ73" s="82"/>
      <c r="MK73" s="82"/>
      <c r="ML73" s="82"/>
      <c r="MM73" s="82"/>
      <c r="MN73" s="82"/>
      <c r="MO73" s="82"/>
      <c r="MP73" s="82"/>
      <c r="MQ73" s="82"/>
      <c r="MR73" s="82"/>
      <c r="MS73" s="82"/>
      <c r="MT73" s="82"/>
      <c r="MU73" s="82"/>
      <c r="MV73" s="82"/>
      <c r="MW73" s="82"/>
      <c r="MX73" s="82"/>
      <c r="MY73" s="82"/>
      <c r="MZ73" s="82"/>
      <c r="NA73" s="82"/>
      <c r="NB73" s="82"/>
      <c r="NC73" s="82"/>
      <c r="ND73" s="82"/>
      <c r="NE73" s="82"/>
      <c r="NF73" s="82"/>
      <c r="NG73" s="82"/>
      <c r="NH73" s="82"/>
      <c r="NI73" s="82"/>
      <c r="NJ73" s="82"/>
      <c r="NK73" s="82"/>
      <c r="NL73" s="82"/>
      <c r="NM73" s="82"/>
      <c r="NN73" s="82"/>
      <c r="NO73" s="82"/>
      <c r="NP73" s="82"/>
      <c r="NQ73" s="82"/>
      <c r="NR73" s="82"/>
      <c r="NS73" s="82"/>
      <c r="NT73" s="82"/>
      <c r="NU73" s="82"/>
      <c r="NV73" s="82"/>
      <c r="NW73" s="82"/>
      <c r="NX73" s="82"/>
      <c r="NY73" s="82"/>
      <c r="NZ73" s="82"/>
      <c r="OA73" s="82"/>
      <c r="OB73" s="82"/>
      <c r="OC73" s="82"/>
      <c r="OD73" s="82"/>
      <c r="OE73" s="82"/>
      <c r="OF73" s="82"/>
      <c r="OG73" s="82"/>
      <c r="OH73" s="82"/>
      <c r="OI73" s="82"/>
      <c r="OJ73" s="82"/>
      <c r="OK73" s="82"/>
      <c r="OL73" s="82"/>
      <c r="OM73" s="82"/>
      <c r="ON73" s="82"/>
      <c r="OO73" s="82"/>
      <c r="OP73" s="82"/>
      <c r="OQ73" s="82"/>
      <c r="OR73" s="82"/>
      <c r="OS73" s="82"/>
      <c r="OT73" s="82"/>
      <c r="OU73" s="82"/>
      <c r="OV73" s="82"/>
      <c r="OW73" s="82"/>
      <c r="OX73" s="82"/>
      <c r="OY73" s="82"/>
      <c r="OZ73" s="82"/>
      <c r="PA73" s="82"/>
      <c r="PB73" s="82"/>
      <c r="PC73" s="82"/>
      <c r="PD73" s="82"/>
      <c r="PE73" s="82"/>
      <c r="PF73" s="82"/>
      <c r="PG73" s="82"/>
      <c r="PH73" s="82"/>
      <c r="PI73" s="82"/>
      <c r="PJ73" s="82"/>
      <c r="PK73" s="82"/>
      <c r="PL73" s="82"/>
      <c r="PM73" s="82"/>
      <c r="PN73" s="82"/>
      <c r="PO73" s="82"/>
      <c r="PP73" s="82"/>
      <c r="PQ73" s="82"/>
      <c r="PR73" s="82"/>
      <c r="PS73" s="82"/>
      <c r="PT73" s="82"/>
      <c r="PU73" s="82"/>
      <c r="PV73" s="82"/>
      <c r="PW73" s="82"/>
      <c r="PX73" s="82"/>
      <c r="PY73" s="82"/>
      <c r="PZ73" s="82"/>
      <c r="QA73" s="82"/>
      <c r="QB73" s="82"/>
      <c r="QC73" s="82"/>
      <c r="QD73" s="82"/>
      <c r="QE73" s="82"/>
      <c r="QF73" s="82"/>
      <c r="QG73" s="82"/>
      <c r="QH73" s="82"/>
      <c r="QI73" s="82"/>
      <c r="QJ73" s="82"/>
      <c r="QK73" s="82"/>
      <c r="QL73" s="82"/>
      <c r="QM73" s="82"/>
      <c r="QN73" s="82"/>
      <c r="QO73" s="82"/>
      <c r="QP73" s="82"/>
      <c r="QQ73" s="82"/>
      <c r="QR73" s="82"/>
      <c r="QS73" s="82"/>
      <c r="QT73" s="82"/>
      <c r="QU73" s="82"/>
      <c r="QV73" s="82"/>
      <c r="QW73" s="82"/>
      <c r="QX73" s="82"/>
      <c r="QY73" s="82"/>
      <c r="QZ73" s="82"/>
      <c r="RA73" s="82"/>
      <c r="RB73" s="82"/>
      <c r="RC73" s="82"/>
      <c r="RD73" s="82"/>
      <c r="RE73" s="82"/>
      <c r="RF73" s="82"/>
      <c r="RG73" s="82"/>
      <c r="RH73" s="82"/>
      <c r="RI73" s="82"/>
      <c r="RJ73" s="82"/>
      <c r="RK73" s="82"/>
      <c r="RL73" s="82"/>
      <c r="RM73" s="82"/>
      <c r="RN73" s="82"/>
      <c r="RO73" s="82"/>
      <c r="RP73" s="82"/>
      <c r="RQ73" s="82"/>
      <c r="RR73" s="82"/>
      <c r="RS73" s="82"/>
      <c r="RT73" s="82"/>
      <c r="RU73" s="82"/>
      <c r="RV73" s="82"/>
      <c r="RW73" s="82"/>
      <c r="RX73" s="82"/>
      <c r="RY73" s="82"/>
      <c r="RZ73" s="82"/>
      <c r="SA73" s="82"/>
      <c r="SB73" s="82"/>
      <c r="SC73" s="82"/>
      <c r="SD73" s="82"/>
      <c r="SE73" s="82"/>
      <c r="SF73" s="82"/>
      <c r="SG73" s="82"/>
      <c r="SH73" s="82"/>
      <c r="SI73" s="82"/>
      <c r="SJ73" s="82"/>
      <c r="SK73" s="82"/>
      <c r="SL73" s="82"/>
      <c r="SM73" s="82"/>
      <c r="SN73" s="82"/>
      <c r="SO73" s="82"/>
      <c r="SP73" s="82"/>
      <c r="SQ73" s="82"/>
      <c r="SR73" s="82"/>
      <c r="SS73" s="82"/>
      <c r="ST73" s="82"/>
      <c r="SU73" s="82"/>
      <c r="SV73" s="82"/>
      <c r="SW73" s="82"/>
      <c r="SX73" s="82"/>
      <c r="SY73" s="82"/>
      <c r="SZ73" s="82"/>
      <c r="TA73" s="82"/>
      <c r="TB73" s="82"/>
      <c r="TC73" s="82"/>
      <c r="TD73" s="82"/>
      <c r="TE73" s="82"/>
      <c r="TF73" s="82"/>
      <c r="TG73" s="82"/>
      <c r="TH73" s="82"/>
      <c r="TI73" s="82"/>
      <c r="TJ73" s="82"/>
      <c r="TK73" s="82"/>
      <c r="TL73" s="82"/>
      <c r="TM73" s="82"/>
      <c r="TN73" s="82"/>
      <c r="TO73" s="82"/>
      <c r="TP73" s="82"/>
      <c r="TQ73" s="82"/>
      <c r="TR73" s="82"/>
      <c r="TS73" s="82"/>
      <c r="TT73" s="82"/>
      <c r="TU73" s="82"/>
      <c r="TV73" s="82"/>
      <c r="TW73" s="82"/>
      <c r="TX73" s="82"/>
      <c r="TY73" s="82"/>
      <c r="TZ73" s="82"/>
      <c r="UA73" s="82"/>
      <c r="UB73" s="82"/>
      <c r="UC73" s="82"/>
      <c r="UD73" s="82"/>
      <c r="UE73" s="82"/>
      <c r="UF73" s="82"/>
      <c r="UG73" s="82"/>
      <c r="UH73" s="82"/>
      <c r="UI73" s="82"/>
      <c r="UJ73" s="82"/>
      <c r="UK73" s="82"/>
      <c r="UL73" s="82"/>
      <c r="UM73" s="82"/>
      <c r="UN73" s="82"/>
      <c r="UO73" s="82"/>
      <c r="UP73" s="82"/>
      <c r="UQ73" s="82"/>
      <c r="UR73" s="82"/>
      <c r="US73" s="82"/>
      <c r="UT73" s="82"/>
      <c r="UU73" s="82"/>
      <c r="UV73" s="82"/>
      <c r="UW73" s="82"/>
      <c r="UX73" s="82"/>
      <c r="UY73" s="82"/>
      <c r="UZ73" s="82"/>
      <c r="VA73" s="82"/>
      <c r="VB73" s="82"/>
      <c r="VC73" s="82"/>
      <c r="VD73" s="82"/>
      <c r="VE73" s="82"/>
      <c r="VF73" s="82"/>
      <c r="VG73" s="82"/>
      <c r="VH73" s="82"/>
      <c r="VI73" s="82"/>
      <c r="VJ73" s="82"/>
      <c r="VK73" s="82"/>
      <c r="VL73" s="82"/>
      <c r="VM73" s="82"/>
      <c r="VN73" s="82"/>
      <c r="VO73" s="82"/>
      <c r="VP73" s="82"/>
      <c r="VQ73" s="82"/>
      <c r="VR73" s="82"/>
      <c r="VS73" s="82"/>
      <c r="VT73" s="82"/>
      <c r="VU73" s="82"/>
      <c r="VV73" s="82"/>
      <c r="VW73" s="82"/>
      <c r="VX73" s="82"/>
      <c r="VY73" s="82"/>
      <c r="VZ73" s="82"/>
      <c r="WA73" s="82"/>
      <c r="WB73" s="82"/>
      <c r="WC73" s="82"/>
      <c r="WD73" s="82"/>
      <c r="WE73" s="82"/>
      <c r="WF73" s="82"/>
      <c r="WG73" s="82"/>
      <c r="WH73" s="82"/>
      <c r="WI73" s="82"/>
      <c r="WJ73" s="82"/>
      <c r="WK73" s="82"/>
      <c r="WL73" s="82"/>
      <c r="WM73" s="82"/>
      <c r="WN73" s="82"/>
      <c r="WO73" s="82"/>
      <c r="WP73" s="82"/>
      <c r="WQ73" s="82"/>
      <c r="WR73" s="82"/>
      <c r="WS73" s="82"/>
      <c r="WT73" s="82"/>
      <c r="WU73" s="82"/>
      <c r="WV73" s="82"/>
      <c r="WW73" s="82"/>
      <c r="WX73" s="82"/>
      <c r="WY73" s="82"/>
      <c r="WZ73" s="82"/>
      <c r="XA73" s="82"/>
      <c r="XB73" s="82"/>
      <c r="XC73" s="82"/>
      <c r="XD73" s="82"/>
      <c r="XE73" s="82"/>
      <c r="XF73" s="82"/>
      <c r="XG73" s="82"/>
      <c r="XH73" s="82"/>
      <c r="XI73" s="82"/>
      <c r="XJ73" s="82"/>
      <c r="XK73" s="82"/>
      <c r="XL73" s="82"/>
      <c r="XM73" s="82"/>
      <c r="XN73" s="82"/>
      <c r="XO73" s="82"/>
      <c r="XP73" s="82"/>
      <c r="XQ73" s="82"/>
      <c r="XR73" s="82"/>
      <c r="XS73" s="82"/>
      <c r="XT73" s="82"/>
      <c r="XU73" s="82"/>
      <c r="XV73" s="82"/>
      <c r="XW73" s="82"/>
      <c r="XX73" s="82"/>
      <c r="XY73" s="82"/>
      <c r="XZ73" s="82"/>
      <c r="YA73" s="82"/>
      <c r="YB73" s="82"/>
      <c r="YC73" s="82"/>
      <c r="YD73" s="82"/>
      <c r="YE73" s="82"/>
      <c r="YF73" s="82"/>
      <c r="YG73" s="82"/>
      <c r="YH73" s="82"/>
      <c r="YI73" s="82"/>
      <c r="YJ73" s="82"/>
      <c r="YK73" s="82"/>
      <c r="YL73" s="82"/>
      <c r="YM73" s="82"/>
      <c r="YN73" s="82"/>
      <c r="YO73" s="82"/>
      <c r="YP73" s="82"/>
      <c r="YQ73" s="82"/>
      <c r="YR73" s="82"/>
      <c r="YS73" s="82"/>
      <c r="YT73" s="82"/>
      <c r="YU73" s="82"/>
      <c r="YV73" s="82"/>
      <c r="YW73" s="82"/>
      <c r="YX73" s="82"/>
      <c r="YY73" s="82"/>
      <c r="YZ73" s="82"/>
      <c r="ZA73" s="82"/>
      <c r="ZB73" s="82"/>
      <c r="ZC73" s="82"/>
      <c r="ZD73" s="82"/>
      <c r="ZE73" s="82"/>
      <c r="ZF73" s="82"/>
      <c r="ZG73" s="82"/>
      <c r="ZH73" s="82"/>
      <c r="ZI73" s="82"/>
      <c r="ZJ73" s="82"/>
      <c r="ZK73" s="82"/>
      <c r="ZL73" s="82"/>
      <c r="ZM73" s="82"/>
      <c r="ZN73" s="82"/>
      <c r="ZO73" s="82"/>
      <c r="ZP73" s="82"/>
      <c r="ZQ73" s="82"/>
      <c r="ZR73" s="82"/>
      <c r="ZS73" s="82"/>
      <c r="ZT73" s="82"/>
      <c r="ZU73" s="82"/>
      <c r="ZV73" s="82"/>
      <c r="ZW73" s="82"/>
      <c r="ZX73" s="82"/>
      <c r="ZY73" s="82"/>
      <c r="ZZ73" s="82"/>
      <c r="AAA73" s="82"/>
      <c r="AAB73" s="82"/>
      <c r="AAC73" s="82"/>
      <c r="AAD73" s="82"/>
      <c r="AAE73" s="82"/>
      <c r="AAF73" s="82"/>
      <c r="AAG73" s="82"/>
      <c r="AAH73" s="82"/>
      <c r="AAI73" s="82"/>
      <c r="AAJ73" s="82"/>
      <c r="AAK73" s="82"/>
      <c r="AAL73" s="82"/>
      <c r="AAM73" s="82"/>
      <c r="AAN73" s="82"/>
      <c r="AAO73" s="82"/>
      <c r="AAP73" s="82"/>
      <c r="AAQ73" s="82"/>
      <c r="AAR73" s="82"/>
      <c r="AAS73" s="82"/>
      <c r="AAT73" s="82"/>
      <c r="AAU73" s="82"/>
      <c r="AAV73" s="82"/>
      <c r="AAW73" s="82"/>
      <c r="AAX73" s="82"/>
      <c r="AAY73" s="82"/>
      <c r="AAZ73" s="82"/>
      <c r="ABA73" s="82"/>
      <c r="ABB73" s="82"/>
      <c r="ABC73" s="82"/>
      <c r="ABD73" s="82"/>
      <c r="ABE73" s="82"/>
      <c r="ABF73" s="82"/>
      <c r="ABG73" s="82"/>
      <c r="ABH73" s="82"/>
      <c r="ABI73" s="82"/>
      <c r="ABJ73" s="82"/>
      <c r="ABK73" s="82"/>
      <c r="ABL73" s="82"/>
      <c r="ABM73" s="82"/>
      <c r="ABN73" s="82"/>
      <c r="ABO73" s="82"/>
      <c r="ABP73" s="82"/>
      <c r="ABQ73" s="82"/>
      <c r="ABR73" s="82"/>
      <c r="ABS73" s="82"/>
      <c r="ABT73" s="82"/>
      <c r="ABU73" s="82"/>
      <c r="ABV73" s="82"/>
      <c r="ABW73" s="82"/>
      <c r="ABX73" s="82"/>
      <c r="ABY73" s="82"/>
      <c r="ABZ73" s="82"/>
      <c r="ACA73" s="82"/>
      <c r="ACB73" s="82"/>
      <c r="ACC73" s="82"/>
      <c r="ACD73" s="82"/>
      <c r="ACE73" s="82"/>
      <c r="ACF73" s="82"/>
      <c r="ACG73" s="82"/>
      <c r="ACH73" s="82"/>
      <c r="ACI73" s="82"/>
      <c r="ACJ73" s="82"/>
      <c r="ACK73" s="82"/>
      <c r="ACL73" s="82"/>
      <c r="ACM73" s="82"/>
      <c r="ACN73" s="82"/>
      <c r="ACO73" s="82"/>
      <c r="ACP73" s="82"/>
      <c r="ACQ73" s="82"/>
      <c r="ACR73" s="82"/>
      <c r="ACS73" s="82"/>
      <c r="ACT73" s="82"/>
      <c r="ACU73" s="82"/>
      <c r="ACV73" s="82"/>
      <c r="ACW73" s="82"/>
      <c r="ACX73" s="82"/>
      <c r="ACY73" s="82"/>
      <c r="ACZ73" s="82"/>
      <c r="ADA73" s="82"/>
      <c r="ADB73" s="82"/>
      <c r="ADC73" s="82"/>
      <c r="ADD73" s="82"/>
      <c r="ADE73" s="82"/>
      <c r="ADF73" s="82"/>
      <c r="ADG73" s="82"/>
      <c r="ADH73" s="82"/>
      <c r="ADI73" s="82"/>
      <c r="ADJ73" s="82"/>
      <c r="ADK73" s="82"/>
      <c r="ADL73" s="82"/>
      <c r="ADM73" s="82"/>
      <c r="ADN73" s="82"/>
      <c r="ADO73" s="82"/>
      <c r="ADP73" s="82"/>
      <c r="ADQ73" s="82"/>
      <c r="ADR73" s="82"/>
      <c r="ADS73" s="82"/>
      <c r="ADT73" s="82"/>
      <c r="ADU73" s="82"/>
      <c r="ADV73" s="82"/>
      <c r="ADW73" s="82"/>
      <c r="ADX73" s="82"/>
      <c r="ADY73" s="82"/>
      <c r="ADZ73" s="82"/>
      <c r="AEA73" s="82"/>
      <c r="AEB73" s="82"/>
      <c r="AEC73" s="82"/>
      <c r="AED73" s="82"/>
      <c r="AEE73" s="82"/>
      <c r="AEF73" s="82"/>
      <c r="AEG73" s="82"/>
      <c r="AEH73" s="82"/>
      <c r="AEI73" s="82"/>
      <c r="AEJ73" s="82"/>
      <c r="AEK73" s="82"/>
      <c r="AEL73" s="82"/>
      <c r="AEM73" s="82"/>
      <c r="AEN73" s="82"/>
      <c r="AEO73" s="82"/>
      <c r="AEP73" s="82"/>
      <c r="AEQ73" s="82"/>
      <c r="AER73" s="82"/>
      <c r="AES73" s="82"/>
      <c r="AET73" s="82"/>
      <c r="AEU73" s="82"/>
      <c r="AEV73" s="82"/>
      <c r="AEW73" s="82"/>
      <c r="AEX73" s="82"/>
      <c r="AEY73" s="82"/>
      <c r="AEZ73" s="82"/>
      <c r="AFA73" s="82"/>
      <c r="AFB73" s="82"/>
      <c r="AFC73" s="82"/>
      <c r="AFD73" s="82"/>
      <c r="AFE73" s="82"/>
      <c r="AFF73" s="82"/>
      <c r="AFG73" s="82"/>
      <c r="AFH73" s="82"/>
      <c r="AFI73" s="82"/>
      <c r="AFJ73" s="82"/>
      <c r="AFK73" s="82"/>
      <c r="AFL73" s="82"/>
      <c r="AFM73" s="82"/>
      <c r="AFN73" s="82"/>
      <c r="AFO73" s="82"/>
      <c r="AFP73" s="82"/>
      <c r="AFQ73" s="82"/>
      <c r="AFR73" s="82"/>
      <c r="AFS73" s="82"/>
      <c r="AFT73" s="82"/>
      <c r="AFU73" s="82"/>
      <c r="AFV73" s="82"/>
      <c r="AFW73" s="82"/>
      <c r="AFX73" s="82"/>
      <c r="AFY73" s="82"/>
      <c r="AFZ73" s="82"/>
      <c r="AGA73" s="82"/>
      <c r="AGB73" s="82"/>
      <c r="AGC73" s="82"/>
      <c r="AGD73" s="82"/>
      <c r="AGE73" s="82"/>
      <c r="AGF73" s="82"/>
      <c r="AGG73" s="82"/>
      <c r="AGH73" s="82"/>
      <c r="AGI73" s="82"/>
      <c r="AGJ73" s="82"/>
      <c r="AGK73" s="82"/>
      <c r="AGL73" s="82"/>
      <c r="AGM73" s="82"/>
      <c r="AGN73" s="82"/>
      <c r="AGO73" s="82"/>
      <c r="AGP73" s="82"/>
      <c r="AGQ73" s="82"/>
      <c r="AGR73" s="82"/>
      <c r="AGS73" s="82"/>
      <c r="AGT73" s="82"/>
      <c r="AGU73" s="82"/>
      <c r="AGV73" s="82"/>
      <c r="AGW73" s="82"/>
      <c r="AGX73" s="82"/>
      <c r="AGY73" s="82"/>
      <c r="AGZ73" s="82"/>
      <c r="AHA73" s="82"/>
      <c r="AHB73" s="82"/>
      <c r="AHC73" s="82"/>
      <c r="AHD73" s="82"/>
      <c r="AHE73" s="82"/>
      <c r="AHF73" s="82"/>
      <c r="AHG73" s="82"/>
      <c r="AHH73" s="82"/>
      <c r="AHI73" s="82"/>
      <c r="AHJ73" s="82"/>
      <c r="AHK73" s="82"/>
      <c r="AHL73" s="82"/>
      <c r="AHM73" s="82"/>
      <c r="AHN73" s="82"/>
      <c r="AHO73" s="82"/>
      <c r="AHP73" s="82"/>
      <c r="AHQ73" s="82"/>
      <c r="AHR73" s="82"/>
      <c r="AHS73" s="82"/>
      <c r="AHT73" s="82"/>
      <c r="AHU73" s="82"/>
      <c r="AHV73" s="82"/>
      <c r="AHW73" s="82"/>
      <c r="AHX73" s="82"/>
      <c r="AHY73" s="82"/>
      <c r="AHZ73" s="82"/>
      <c r="AIA73" s="82"/>
      <c r="AIB73" s="82"/>
      <c r="AIC73" s="82"/>
      <c r="AID73" s="82"/>
      <c r="AIE73" s="82"/>
      <c r="AIF73" s="82"/>
      <c r="AIG73" s="82"/>
      <c r="AIH73" s="82"/>
    </row>
    <row r="74" spans="1:918" s="82" customFormat="1" ht="38.65" customHeight="1" x14ac:dyDescent="0.2">
      <c r="A74" s="81"/>
      <c r="B74" s="78" t="s">
        <v>315</v>
      </c>
      <c r="C74" s="96" t="s">
        <v>142</v>
      </c>
      <c r="D74" s="76"/>
      <c r="E74" s="76"/>
      <c r="F74" s="76"/>
      <c r="G74" s="76"/>
      <c r="H74" s="76"/>
      <c r="I74" s="76"/>
      <c r="J74" s="76"/>
      <c r="K74" s="76"/>
    </row>
    <row r="75" spans="1:918" s="82" customFormat="1" x14ac:dyDescent="0.2">
      <c r="A75" s="81"/>
      <c r="B75" s="83" t="s">
        <v>316</v>
      </c>
      <c r="C75" s="91" t="s">
        <v>107</v>
      </c>
      <c r="D75" s="76"/>
      <c r="E75" s="76"/>
      <c r="F75" s="76"/>
      <c r="G75" s="76"/>
      <c r="H75" s="76"/>
      <c r="I75" s="76"/>
      <c r="J75" s="76"/>
      <c r="K75" s="76"/>
    </row>
    <row r="76" spans="1:918" s="82" customFormat="1" ht="22.5" x14ac:dyDescent="0.2">
      <c r="A76" s="81"/>
      <c r="B76" s="83" t="s">
        <v>317</v>
      </c>
      <c r="C76" s="84" t="s">
        <v>375</v>
      </c>
      <c r="D76" s="76"/>
      <c r="E76" s="76"/>
      <c r="F76" s="76"/>
      <c r="G76" s="76"/>
      <c r="H76" s="76"/>
      <c r="I76" s="76"/>
      <c r="J76" s="76">
        <v>1</v>
      </c>
      <c r="K76" s="76"/>
    </row>
    <row r="77" spans="1:918" s="82" customFormat="1" ht="22.5" x14ac:dyDescent="0.2">
      <c r="A77" s="81"/>
      <c r="B77" s="83" t="s">
        <v>318</v>
      </c>
      <c r="C77" s="91" t="s">
        <v>376</v>
      </c>
      <c r="D77" s="76"/>
      <c r="E77" s="76"/>
      <c r="F77" s="76"/>
      <c r="G77" s="76"/>
      <c r="H77" s="76"/>
      <c r="I77" s="76"/>
      <c r="J77" s="76"/>
      <c r="K77" s="76"/>
    </row>
    <row r="78" spans="1:918" s="82" customFormat="1" ht="22.5" x14ac:dyDescent="0.2">
      <c r="A78" s="81"/>
      <c r="B78" s="83" t="s">
        <v>319</v>
      </c>
      <c r="C78" s="91" t="s">
        <v>121</v>
      </c>
      <c r="D78" s="76"/>
      <c r="E78" s="76"/>
      <c r="F78" s="76"/>
      <c r="G78" s="76"/>
      <c r="H78" s="76"/>
      <c r="I78" s="76"/>
      <c r="J78" s="76"/>
      <c r="K78" s="76"/>
    </row>
    <row r="79" spans="1:918" s="82" customFormat="1" x14ac:dyDescent="0.2">
      <c r="A79" s="81"/>
      <c r="B79" s="83"/>
      <c r="C79" s="91"/>
      <c r="D79" s="76"/>
      <c r="E79" s="76"/>
      <c r="F79" s="76"/>
      <c r="G79" s="76"/>
      <c r="H79" s="76"/>
      <c r="I79" s="76"/>
      <c r="J79" s="76"/>
      <c r="K79" s="76"/>
    </row>
    <row r="80" spans="1:918" s="82" customFormat="1" ht="42" x14ac:dyDescent="0.2">
      <c r="A80" s="81"/>
      <c r="B80" s="78" t="s">
        <v>320</v>
      </c>
      <c r="C80" s="96" t="s">
        <v>143</v>
      </c>
      <c r="D80" s="76"/>
      <c r="E80" s="76"/>
      <c r="F80" s="76"/>
      <c r="G80" s="76"/>
      <c r="H80" s="76"/>
      <c r="I80" s="76"/>
      <c r="J80" s="76"/>
      <c r="K80" s="76"/>
    </row>
    <row r="81" spans="1:29" s="82" customFormat="1" x14ac:dyDescent="0.2">
      <c r="A81" s="81"/>
      <c r="B81" s="83" t="s">
        <v>321</v>
      </c>
      <c r="C81" s="91" t="s">
        <v>103</v>
      </c>
      <c r="D81" s="76"/>
      <c r="E81" s="76"/>
      <c r="F81" s="76"/>
      <c r="G81" s="76"/>
      <c r="H81" s="76"/>
      <c r="I81" s="76"/>
      <c r="J81" s="76"/>
      <c r="K81" s="76"/>
    </row>
    <row r="82" spans="1:29" s="82" customFormat="1" ht="22.5" x14ac:dyDescent="0.2">
      <c r="A82" s="81"/>
      <c r="B82" s="83" t="s">
        <v>322</v>
      </c>
      <c r="C82" s="84" t="s">
        <v>377</v>
      </c>
      <c r="D82" s="76"/>
      <c r="E82" s="76"/>
      <c r="F82" s="76"/>
      <c r="G82" s="76"/>
      <c r="H82" s="76"/>
      <c r="I82" s="76"/>
      <c r="J82" s="76">
        <v>1</v>
      </c>
      <c r="K82" s="76"/>
    </row>
    <row r="83" spans="1:29" s="82" customFormat="1" ht="22.5" x14ac:dyDescent="0.2">
      <c r="A83" s="81"/>
      <c r="B83" s="83" t="s">
        <v>323</v>
      </c>
      <c r="C83" s="91" t="s">
        <v>105</v>
      </c>
      <c r="D83" s="76"/>
      <c r="E83" s="76"/>
      <c r="F83" s="76"/>
      <c r="G83" s="76"/>
      <c r="H83" s="76"/>
      <c r="I83" s="76"/>
      <c r="J83" s="76"/>
      <c r="K83" s="76"/>
    </row>
    <row r="84" spans="1:29" s="82" customFormat="1" ht="22.5" x14ac:dyDescent="0.2">
      <c r="A84" s="81"/>
      <c r="B84" s="83" t="s">
        <v>324</v>
      </c>
      <c r="C84" s="91" t="s">
        <v>122</v>
      </c>
      <c r="D84" s="76"/>
      <c r="E84" s="76"/>
      <c r="F84" s="76"/>
      <c r="G84" s="76"/>
      <c r="H84" s="76"/>
      <c r="I84" s="76"/>
      <c r="J84" s="76"/>
      <c r="K84" s="76"/>
    </row>
    <row r="85" spans="1:29" s="82" customFormat="1" x14ac:dyDescent="0.2">
      <c r="A85" s="81"/>
      <c r="B85" s="83"/>
      <c r="C85" s="91"/>
      <c r="D85" s="76"/>
      <c r="E85" s="76"/>
      <c r="F85" s="76"/>
      <c r="G85" s="76"/>
      <c r="H85" s="76"/>
      <c r="I85" s="76"/>
      <c r="J85" s="76"/>
      <c r="K85" s="76"/>
    </row>
    <row r="86" spans="1:29" s="82" customFormat="1" ht="21" x14ac:dyDescent="0.2">
      <c r="A86" s="81"/>
      <c r="B86" s="78" t="s">
        <v>325</v>
      </c>
      <c r="C86" s="96" t="s">
        <v>144</v>
      </c>
      <c r="D86" s="76"/>
      <c r="E86" s="76"/>
      <c r="F86" s="76"/>
      <c r="G86" s="76"/>
      <c r="H86" s="76"/>
      <c r="I86" s="76"/>
      <c r="J86" s="76"/>
      <c r="K86" s="76"/>
    </row>
    <row r="87" spans="1:29" s="82" customFormat="1" x14ac:dyDescent="0.2">
      <c r="A87" s="81"/>
      <c r="B87" s="83" t="s">
        <v>326</v>
      </c>
      <c r="C87" s="91" t="s">
        <v>100</v>
      </c>
      <c r="D87" s="76"/>
      <c r="E87" s="76"/>
      <c r="F87" s="76"/>
      <c r="G87" s="76"/>
      <c r="H87" s="76"/>
      <c r="I87" s="76"/>
      <c r="J87" s="76"/>
      <c r="K87" s="76"/>
    </row>
    <row r="88" spans="1:29" s="82" customFormat="1" ht="22.5" x14ac:dyDescent="0.2">
      <c r="A88" s="81"/>
      <c r="B88" s="83" t="s">
        <v>327</v>
      </c>
      <c r="C88" s="84" t="s">
        <v>378</v>
      </c>
      <c r="D88" s="76"/>
      <c r="E88" s="76"/>
      <c r="F88" s="76"/>
      <c r="G88" s="76"/>
      <c r="H88" s="76"/>
      <c r="I88" s="76"/>
      <c r="J88" s="76">
        <v>1</v>
      </c>
      <c r="K88" s="76"/>
    </row>
    <row r="89" spans="1:29" s="82" customFormat="1" ht="22.5" x14ac:dyDescent="0.2">
      <c r="A89" s="81"/>
      <c r="B89" s="83" t="s">
        <v>328</v>
      </c>
      <c r="C89" s="91" t="s">
        <v>106</v>
      </c>
      <c r="D89" s="76"/>
      <c r="E89" s="76"/>
      <c r="F89" s="76"/>
      <c r="G89" s="76"/>
      <c r="H89" s="76"/>
      <c r="I89" s="76"/>
      <c r="J89" s="76"/>
      <c r="K89" s="76"/>
    </row>
    <row r="90" spans="1:29" s="82" customFormat="1" ht="22.5" x14ac:dyDescent="0.2">
      <c r="A90" s="81"/>
      <c r="B90" s="83" t="s">
        <v>329</v>
      </c>
      <c r="C90" s="91" t="s">
        <v>123</v>
      </c>
      <c r="D90" s="76"/>
      <c r="E90" s="76"/>
      <c r="F90" s="76"/>
      <c r="G90" s="76"/>
      <c r="H90" s="76"/>
      <c r="I90" s="76"/>
      <c r="J90" s="76"/>
      <c r="K90" s="76"/>
    </row>
    <row r="91" spans="1:29" s="82" customFormat="1" x14ac:dyDescent="0.2">
      <c r="A91" s="81"/>
      <c r="B91" s="83"/>
      <c r="C91" s="91"/>
      <c r="D91" s="76"/>
      <c r="E91" s="76"/>
      <c r="F91" s="76"/>
      <c r="G91" s="76"/>
      <c r="H91" s="76"/>
      <c r="I91" s="76"/>
      <c r="J91" s="76"/>
      <c r="K91" s="76"/>
    </row>
    <row r="92" spans="1:29" s="82" customFormat="1" x14ac:dyDescent="0.2">
      <c r="A92" s="81"/>
      <c r="B92" s="78" t="s">
        <v>330</v>
      </c>
      <c r="C92" s="96" t="s">
        <v>196</v>
      </c>
      <c r="D92" s="76"/>
      <c r="E92" s="76"/>
      <c r="F92" s="76"/>
      <c r="G92" s="76"/>
      <c r="H92" s="76"/>
      <c r="I92" s="76"/>
      <c r="J92" s="76"/>
      <c r="K92" s="76"/>
    </row>
    <row r="93" spans="1:29" s="82" customFormat="1" ht="33.75" x14ac:dyDescent="0.2">
      <c r="A93" s="81"/>
      <c r="B93" s="83" t="s">
        <v>331</v>
      </c>
      <c r="C93" s="91" t="s">
        <v>193</v>
      </c>
      <c r="D93" s="76">
        <v>1</v>
      </c>
      <c r="E93" s="75"/>
      <c r="F93" s="75"/>
      <c r="G93" s="76"/>
      <c r="H93" s="76">
        <v>1</v>
      </c>
      <c r="I93" s="76"/>
      <c r="J93" s="76"/>
      <c r="K93" s="76"/>
    </row>
    <row r="94" spans="1:29" s="82" customFormat="1" x14ac:dyDescent="0.2">
      <c r="A94" s="81"/>
      <c r="B94" s="83"/>
      <c r="C94" s="91"/>
      <c r="D94" s="76"/>
      <c r="E94" s="76"/>
      <c r="F94" s="76"/>
      <c r="G94" s="76"/>
      <c r="H94" s="76"/>
      <c r="I94" s="76"/>
      <c r="J94" s="76"/>
      <c r="K94" s="76"/>
    </row>
    <row r="95" spans="1:29" s="82" customFormat="1" x14ac:dyDescent="0.2">
      <c r="A95" s="81"/>
      <c r="B95" s="78" t="s">
        <v>332</v>
      </c>
      <c r="C95" s="96" t="s">
        <v>145</v>
      </c>
      <c r="D95" s="76"/>
      <c r="E95" s="76"/>
      <c r="F95" s="76"/>
      <c r="G95" s="76"/>
      <c r="H95" s="76"/>
      <c r="I95" s="76"/>
      <c r="J95" s="76"/>
      <c r="K95" s="76"/>
    </row>
    <row r="96" spans="1:29" s="42" customFormat="1" ht="33.75" x14ac:dyDescent="0.2">
      <c r="A96" s="45"/>
      <c r="B96" s="83" t="s">
        <v>333</v>
      </c>
      <c r="C96" s="91" t="s">
        <v>262</v>
      </c>
      <c r="D96" s="76"/>
      <c r="E96" s="76"/>
      <c r="F96" s="76"/>
      <c r="G96" s="76"/>
      <c r="H96" s="76"/>
      <c r="I96" s="76"/>
      <c r="J96" s="76">
        <v>1</v>
      </c>
      <c r="K96" s="76"/>
      <c r="L96" s="82"/>
      <c r="M96" s="82"/>
      <c r="N96" s="82"/>
      <c r="O96" s="82"/>
      <c r="P96" s="82"/>
      <c r="Q96" s="82"/>
      <c r="R96" s="82"/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</row>
    <row r="97" spans="1:29" s="42" customFormat="1" ht="22.5" x14ac:dyDescent="0.2">
      <c r="A97" s="45"/>
      <c r="B97" s="83" t="s">
        <v>334</v>
      </c>
      <c r="C97" s="91" t="s">
        <v>263</v>
      </c>
      <c r="D97" s="76"/>
      <c r="E97" s="76"/>
      <c r="F97" s="76"/>
      <c r="G97" s="76"/>
      <c r="H97" s="76"/>
      <c r="I97" s="76">
        <v>1</v>
      </c>
      <c r="J97" s="76"/>
      <c r="K97" s="76"/>
      <c r="L97" s="82"/>
      <c r="M97" s="82"/>
      <c r="N97" s="82"/>
      <c r="O97" s="82"/>
      <c r="P97" s="82"/>
      <c r="Q97" s="8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</row>
    <row r="98" spans="1:29" s="42" customFormat="1" ht="33.75" x14ac:dyDescent="0.2">
      <c r="A98" s="45"/>
      <c r="B98" s="83" t="s">
        <v>335</v>
      </c>
      <c r="C98" s="91" t="s">
        <v>379</v>
      </c>
      <c r="D98" s="76"/>
      <c r="E98" s="76"/>
      <c r="F98" s="76"/>
      <c r="G98" s="76"/>
      <c r="H98" s="76"/>
      <c r="I98" s="76"/>
      <c r="J98" s="76"/>
      <c r="K98" s="76"/>
      <c r="L98" s="82"/>
      <c r="M98" s="82"/>
      <c r="N98" s="82"/>
      <c r="O98" s="82"/>
      <c r="P98" s="82"/>
      <c r="Q98" s="8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</row>
    <row r="99" spans="1:29" s="42" customFormat="1" x14ac:dyDescent="0.2">
      <c r="A99" s="45"/>
      <c r="B99" s="47"/>
      <c r="C99" s="51"/>
      <c r="D99" s="69"/>
      <c r="E99" s="69"/>
      <c r="F99" s="69"/>
      <c r="G99" s="69"/>
      <c r="H99" s="69"/>
      <c r="I99" s="69"/>
      <c r="J99" s="69"/>
      <c r="K99" s="69"/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</row>
    <row r="100" spans="1:29" s="42" customFormat="1" ht="27.75" customHeight="1" x14ac:dyDescent="0.2">
      <c r="A100" s="45"/>
      <c r="B100" s="227" t="s">
        <v>186</v>
      </c>
      <c r="C100" s="227"/>
      <c r="D100" s="66">
        <f>SUM(D101:D110)</f>
        <v>0</v>
      </c>
      <c r="E100" s="66">
        <f t="shared" ref="E100:K100" si="3">SUM(E101:E110)</f>
        <v>0</v>
      </c>
      <c r="F100" s="66">
        <f t="shared" si="3"/>
        <v>0</v>
      </c>
      <c r="G100" s="66">
        <f t="shared" si="3"/>
        <v>0</v>
      </c>
      <c r="H100" s="66">
        <f t="shared" si="3"/>
        <v>0</v>
      </c>
      <c r="I100" s="66">
        <f t="shared" si="3"/>
        <v>0</v>
      </c>
      <c r="J100" s="66">
        <f t="shared" si="3"/>
        <v>3</v>
      </c>
      <c r="K100" s="66">
        <f t="shared" si="3"/>
        <v>0</v>
      </c>
      <c r="L100" s="82"/>
      <c r="M100" s="82"/>
      <c r="N100" s="82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</row>
    <row r="101" spans="1:29" s="42" customFormat="1" x14ac:dyDescent="0.2">
      <c r="A101" s="45"/>
      <c r="B101" s="78" t="s">
        <v>336</v>
      </c>
      <c r="C101" s="94" t="s">
        <v>148</v>
      </c>
      <c r="D101" s="69"/>
      <c r="E101" s="69"/>
      <c r="F101" s="69"/>
      <c r="G101" s="69"/>
      <c r="H101" s="69"/>
      <c r="I101" s="69"/>
      <c r="J101" s="69"/>
      <c r="K101" s="69"/>
      <c r="L101" s="82"/>
      <c r="M101" s="82"/>
      <c r="N101" s="82"/>
      <c r="O101" s="82"/>
      <c r="P101" s="82"/>
      <c r="Q101" s="8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</row>
    <row r="102" spans="1:29" s="82" customFormat="1" x14ac:dyDescent="0.2">
      <c r="A102" s="81"/>
      <c r="B102" s="78" t="s">
        <v>337</v>
      </c>
      <c r="C102" s="94" t="s">
        <v>149</v>
      </c>
      <c r="D102" s="76"/>
      <c r="E102" s="76"/>
      <c r="F102" s="76"/>
      <c r="G102" s="76"/>
      <c r="H102" s="76"/>
      <c r="I102" s="76"/>
      <c r="J102" s="76"/>
      <c r="K102" s="76"/>
    </row>
    <row r="103" spans="1:29" s="82" customFormat="1" ht="45" x14ac:dyDescent="0.2">
      <c r="A103" s="81"/>
      <c r="B103" s="83" t="s">
        <v>338</v>
      </c>
      <c r="C103" s="91" t="s">
        <v>113</v>
      </c>
      <c r="D103" s="76"/>
      <c r="E103" s="76"/>
      <c r="F103" s="76"/>
      <c r="G103" s="76"/>
      <c r="H103" s="76"/>
      <c r="I103" s="76"/>
      <c r="J103" s="221">
        <v>1</v>
      </c>
      <c r="K103" s="76"/>
    </row>
    <row r="104" spans="1:29" s="82" customFormat="1" ht="33.75" x14ac:dyDescent="0.2">
      <c r="A104" s="81"/>
      <c r="B104" s="83" t="s">
        <v>339</v>
      </c>
      <c r="C104" s="91" t="s">
        <v>114</v>
      </c>
      <c r="D104" s="76"/>
      <c r="E104" s="76"/>
      <c r="F104" s="76"/>
      <c r="G104" s="76"/>
      <c r="H104" s="76"/>
      <c r="I104" s="76"/>
      <c r="J104" s="223"/>
      <c r="K104" s="76"/>
    </row>
    <row r="105" spans="1:29" s="82" customFormat="1" x14ac:dyDescent="0.2">
      <c r="A105" s="81"/>
      <c r="B105" s="83"/>
      <c r="C105" s="91"/>
      <c r="D105" s="76"/>
      <c r="E105" s="76"/>
      <c r="F105" s="76"/>
      <c r="G105" s="76"/>
      <c r="H105" s="76"/>
      <c r="I105" s="76"/>
      <c r="J105" s="76"/>
      <c r="K105" s="76"/>
    </row>
    <row r="106" spans="1:29" s="82" customFormat="1" x14ac:dyDescent="0.2">
      <c r="A106" s="81"/>
      <c r="B106" s="78" t="s">
        <v>340</v>
      </c>
      <c r="C106" s="94" t="s">
        <v>150</v>
      </c>
      <c r="D106" s="76"/>
      <c r="E106" s="76"/>
      <c r="F106" s="76"/>
      <c r="G106" s="76"/>
      <c r="H106" s="76"/>
      <c r="I106" s="76"/>
      <c r="J106" s="76"/>
      <c r="K106" s="76"/>
    </row>
    <row r="107" spans="1:29" s="82" customFormat="1" ht="56.25" x14ac:dyDescent="0.2">
      <c r="A107" s="81"/>
      <c r="B107" s="83" t="s">
        <v>341</v>
      </c>
      <c r="C107" s="91" t="s">
        <v>359</v>
      </c>
      <c r="D107" s="76"/>
      <c r="E107" s="76"/>
      <c r="F107" s="76"/>
      <c r="G107" s="76"/>
      <c r="H107" s="76"/>
      <c r="I107" s="76"/>
      <c r="J107" s="76">
        <v>1</v>
      </c>
      <c r="K107" s="76"/>
    </row>
    <row r="108" spans="1:29" s="82" customFormat="1" x14ac:dyDescent="0.2">
      <c r="A108" s="81"/>
      <c r="B108" s="83"/>
      <c r="C108" s="91"/>
      <c r="D108" s="76"/>
      <c r="E108" s="76"/>
      <c r="F108" s="76"/>
      <c r="G108" s="76"/>
      <c r="H108" s="76"/>
      <c r="I108" s="76"/>
      <c r="J108" s="76"/>
      <c r="K108" s="76"/>
    </row>
    <row r="109" spans="1:29" s="82" customFormat="1" x14ac:dyDescent="0.2">
      <c r="A109" s="81"/>
      <c r="B109" s="78" t="s">
        <v>342</v>
      </c>
      <c r="C109" s="94" t="s">
        <v>389</v>
      </c>
      <c r="D109" s="76"/>
      <c r="E109" s="76"/>
      <c r="F109" s="76"/>
      <c r="G109" s="76"/>
      <c r="H109" s="76"/>
      <c r="I109" s="76"/>
      <c r="J109" s="76"/>
      <c r="K109" s="76"/>
    </row>
    <row r="110" spans="1:29" ht="44.25" customHeight="1" x14ac:dyDescent="0.2">
      <c r="B110" s="83" t="s">
        <v>343</v>
      </c>
      <c r="C110" s="86" t="s">
        <v>360</v>
      </c>
      <c r="D110" s="87"/>
      <c r="E110" s="87"/>
      <c r="F110" s="87"/>
      <c r="G110" s="87"/>
      <c r="H110" s="87"/>
      <c r="I110" s="87"/>
      <c r="J110" s="87">
        <v>1</v>
      </c>
      <c r="K110" s="87"/>
      <c r="L110" s="82"/>
      <c r="M110" s="82"/>
      <c r="N110" s="82"/>
      <c r="O110" s="82"/>
      <c r="P110" s="82"/>
      <c r="Q110" s="82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</row>
    <row r="111" spans="1:29" x14ac:dyDescent="0.2">
      <c r="B111" s="85"/>
      <c r="C111" s="86"/>
      <c r="D111" s="87"/>
      <c r="E111" s="87"/>
      <c r="F111" s="87"/>
      <c r="G111" s="87"/>
      <c r="H111" s="87"/>
      <c r="I111" s="87"/>
      <c r="J111" s="87"/>
      <c r="K111" s="87"/>
      <c r="L111" s="82"/>
      <c r="M111" s="82"/>
      <c r="N111" s="82"/>
      <c r="O111" s="82"/>
      <c r="P111" s="82"/>
      <c r="Q111" s="82"/>
      <c r="R111" s="82"/>
      <c r="S111" s="82"/>
      <c r="T111" s="82"/>
      <c r="U111" s="82"/>
      <c r="V111" s="82"/>
      <c r="W111" s="82"/>
      <c r="X111" s="82"/>
      <c r="Y111" s="82"/>
      <c r="Z111" s="82"/>
      <c r="AA111" s="82"/>
      <c r="AB111" s="82"/>
      <c r="AC111" s="82"/>
    </row>
    <row r="112" spans="1:29" ht="24.75" customHeight="1" x14ac:dyDescent="0.2">
      <c r="B112" s="225" t="s">
        <v>184</v>
      </c>
      <c r="C112" s="225"/>
      <c r="D112" s="67">
        <f>SUM(D113:D116)</f>
        <v>0</v>
      </c>
      <c r="E112" s="67">
        <f t="shared" ref="E112:K112" si="4">SUM(E113:E116)</f>
        <v>0</v>
      </c>
      <c r="F112" s="67">
        <f t="shared" si="4"/>
        <v>0</v>
      </c>
      <c r="G112" s="67">
        <f t="shared" si="4"/>
        <v>0</v>
      </c>
      <c r="H112" s="67">
        <f t="shared" si="4"/>
        <v>0</v>
      </c>
      <c r="I112" s="67">
        <f t="shared" si="4"/>
        <v>0</v>
      </c>
      <c r="J112" s="67">
        <f t="shared" si="4"/>
        <v>1</v>
      </c>
      <c r="K112" s="67">
        <f t="shared" si="4"/>
        <v>0</v>
      </c>
      <c r="L112" s="82"/>
      <c r="M112" s="82"/>
      <c r="N112" s="82"/>
      <c r="O112" s="82"/>
      <c r="P112" s="82"/>
      <c r="Q112" s="82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</row>
    <row r="113" spans="1:29" s="42" customFormat="1" x14ac:dyDescent="0.2">
      <c r="A113" s="45"/>
      <c r="B113" s="78" t="s">
        <v>344</v>
      </c>
      <c r="C113" s="94" t="s">
        <v>151</v>
      </c>
      <c r="D113" s="69"/>
      <c r="E113" s="69"/>
      <c r="F113" s="69"/>
      <c r="G113" s="69"/>
      <c r="H113" s="69"/>
      <c r="I113" s="69"/>
      <c r="J113" s="69"/>
      <c r="K113" s="69"/>
      <c r="L113" s="82"/>
      <c r="M113" s="82"/>
      <c r="N113" s="82"/>
      <c r="O113" s="82"/>
      <c r="P113" s="82"/>
      <c r="Q113" s="82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</row>
    <row r="114" spans="1:29" s="42" customFormat="1" x14ac:dyDescent="0.2">
      <c r="A114" s="45"/>
      <c r="B114" s="78" t="s">
        <v>345</v>
      </c>
      <c r="C114" s="94" t="s">
        <v>163</v>
      </c>
      <c r="D114" s="69"/>
      <c r="E114" s="69"/>
      <c r="F114" s="69"/>
      <c r="G114" s="69"/>
      <c r="H114" s="69"/>
      <c r="I114" s="69"/>
      <c r="J114" s="69"/>
      <c r="K114" s="69"/>
      <c r="L114" s="82"/>
      <c r="M114" s="82"/>
      <c r="N114" s="82"/>
      <c r="O114" s="82"/>
      <c r="P114" s="82"/>
      <c r="Q114" s="82"/>
      <c r="R114" s="82"/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</row>
    <row r="115" spans="1:29" s="42" customFormat="1" ht="33.75" x14ac:dyDescent="0.2">
      <c r="A115" s="45"/>
      <c r="B115" s="83" t="s">
        <v>346</v>
      </c>
      <c r="C115" s="91" t="s">
        <v>380</v>
      </c>
      <c r="D115" s="76"/>
      <c r="E115" s="76"/>
      <c r="F115" s="76"/>
      <c r="G115" s="76"/>
      <c r="H115" s="76"/>
      <c r="I115" s="76"/>
      <c r="J115" s="76">
        <v>1</v>
      </c>
      <c r="K115" s="76"/>
      <c r="L115" s="82"/>
      <c r="M115" s="82"/>
      <c r="N115" s="82"/>
      <c r="O115" s="82"/>
      <c r="P115" s="82"/>
      <c r="Q115" s="82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</row>
    <row r="116" spans="1:29" s="42" customFormat="1" x14ac:dyDescent="0.2">
      <c r="A116" s="45"/>
      <c r="B116" s="47"/>
      <c r="C116" s="51"/>
      <c r="D116" s="69"/>
      <c r="E116" s="69"/>
      <c r="F116" s="69"/>
      <c r="G116" s="69"/>
      <c r="H116" s="69"/>
      <c r="I116" s="69"/>
      <c r="J116" s="69"/>
      <c r="K116" s="69"/>
      <c r="L116" s="82"/>
      <c r="M116" s="82"/>
      <c r="N116" s="82"/>
      <c r="O116" s="82"/>
      <c r="P116" s="82"/>
      <c r="Q116" s="82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2"/>
    </row>
    <row r="117" spans="1:29" s="42" customFormat="1" ht="28.5" customHeight="1" x14ac:dyDescent="0.2">
      <c r="A117" s="45"/>
      <c r="B117" s="228" t="s">
        <v>187</v>
      </c>
      <c r="C117" s="228"/>
      <c r="D117" s="66">
        <f>SUM(D118:D127)</f>
        <v>0</v>
      </c>
      <c r="E117" s="66">
        <f t="shared" ref="E117:K117" si="5">SUM(E118:E127)</f>
        <v>0</v>
      </c>
      <c r="F117" s="66">
        <f t="shared" si="5"/>
        <v>0</v>
      </c>
      <c r="G117" s="66">
        <f t="shared" si="5"/>
        <v>1</v>
      </c>
      <c r="H117" s="66">
        <f t="shared" si="5"/>
        <v>0</v>
      </c>
      <c r="I117" s="66">
        <f t="shared" si="5"/>
        <v>0</v>
      </c>
      <c r="J117" s="66">
        <f t="shared" si="5"/>
        <v>2</v>
      </c>
      <c r="K117" s="66">
        <f t="shared" si="5"/>
        <v>0</v>
      </c>
      <c r="L117" s="82"/>
      <c r="M117" s="82"/>
      <c r="N117" s="82"/>
      <c r="O117" s="82"/>
      <c r="P117" s="82"/>
      <c r="Q117" s="82"/>
      <c r="R117" s="82"/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</row>
    <row r="118" spans="1:29" s="42" customFormat="1" x14ac:dyDescent="0.2">
      <c r="A118" s="45"/>
      <c r="B118" s="78" t="s">
        <v>146</v>
      </c>
      <c r="C118" s="96" t="s">
        <v>161</v>
      </c>
      <c r="D118" s="69"/>
      <c r="E118" s="69"/>
      <c r="F118" s="69"/>
      <c r="G118" s="69"/>
      <c r="H118" s="69"/>
      <c r="I118" s="69"/>
      <c r="J118" s="69"/>
      <c r="K118" s="69"/>
      <c r="L118" s="82"/>
      <c r="M118" s="82"/>
      <c r="N118" s="82"/>
      <c r="O118" s="82"/>
      <c r="P118" s="82"/>
      <c r="Q118" s="82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</row>
    <row r="119" spans="1:29" s="82" customFormat="1" x14ac:dyDescent="0.2">
      <c r="A119" s="81"/>
      <c r="B119" s="78" t="s">
        <v>147</v>
      </c>
      <c r="C119" s="96" t="s">
        <v>162</v>
      </c>
      <c r="D119" s="76"/>
      <c r="E119" s="76"/>
      <c r="F119" s="76"/>
      <c r="G119" s="76"/>
      <c r="H119" s="76"/>
      <c r="I119" s="76"/>
      <c r="J119" s="76"/>
      <c r="K119" s="76"/>
    </row>
    <row r="120" spans="1:29" s="82" customFormat="1" ht="22.5" x14ac:dyDescent="0.2">
      <c r="A120" s="81"/>
      <c r="B120" s="83" t="s">
        <v>90</v>
      </c>
      <c r="C120" s="91" t="s">
        <v>381</v>
      </c>
      <c r="D120" s="87"/>
      <c r="E120" s="76"/>
      <c r="F120" s="76"/>
      <c r="G120" s="76"/>
      <c r="H120" s="76"/>
      <c r="I120" s="76"/>
      <c r="J120" s="76">
        <v>1</v>
      </c>
      <c r="K120" s="76"/>
    </row>
    <row r="121" spans="1:29" s="82" customFormat="1" ht="22.5" x14ac:dyDescent="0.2">
      <c r="A121" s="81"/>
      <c r="B121" s="83" t="s">
        <v>91</v>
      </c>
      <c r="C121" s="91" t="s">
        <v>350</v>
      </c>
      <c r="D121" s="87"/>
      <c r="E121" s="76"/>
      <c r="F121" s="76"/>
      <c r="G121" s="76"/>
      <c r="H121" s="76"/>
      <c r="I121" s="76"/>
      <c r="J121" s="76">
        <v>1</v>
      </c>
      <c r="K121" s="76"/>
    </row>
    <row r="122" spans="1:29" s="42" customFormat="1" x14ac:dyDescent="0.2">
      <c r="A122" s="45"/>
      <c r="B122" s="47"/>
      <c r="C122" s="51"/>
      <c r="D122" s="58"/>
      <c r="E122" s="69"/>
      <c r="F122" s="69"/>
      <c r="G122" s="69"/>
      <c r="H122" s="69"/>
      <c r="I122" s="69"/>
      <c r="J122" s="69"/>
      <c r="K122" s="69"/>
      <c r="L122" s="82"/>
      <c r="M122" s="82"/>
      <c r="N122" s="82"/>
      <c r="O122" s="82"/>
      <c r="P122" s="82"/>
      <c r="Q122" s="82"/>
      <c r="R122" s="82"/>
      <c r="S122" s="82"/>
      <c r="T122" s="82"/>
      <c r="U122" s="82"/>
      <c r="V122" s="82"/>
      <c r="W122" s="82"/>
      <c r="X122" s="82"/>
      <c r="Y122" s="82"/>
      <c r="Z122" s="82"/>
      <c r="AA122" s="82"/>
      <c r="AB122" s="82"/>
      <c r="AC122" s="82"/>
    </row>
    <row r="123" spans="1:29" s="82" customFormat="1" x14ac:dyDescent="0.2">
      <c r="A123" s="81"/>
      <c r="B123" s="78" t="s">
        <v>92</v>
      </c>
      <c r="C123" s="96" t="s">
        <v>197</v>
      </c>
      <c r="D123" s="87"/>
      <c r="E123" s="76"/>
      <c r="F123" s="76"/>
      <c r="G123" s="76"/>
      <c r="H123" s="76"/>
      <c r="I123" s="76"/>
      <c r="J123" s="76"/>
      <c r="K123" s="76"/>
    </row>
    <row r="124" spans="1:29" s="42" customFormat="1" ht="22.5" x14ac:dyDescent="0.2">
      <c r="A124" s="45"/>
      <c r="B124" s="83" t="s">
        <v>93</v>
      </c>
      <c r="C124" s="91" t="s">
        <v>220</v>
      </c>
      <c r="D124" s="87"/>
      <c r="E124" s="76"/>
      <c r="F124" s="76"/>
      <c r="G124" s="221">
        <v>1</v>
      </c>
      <c r="H124" s="76"/>
      <c r="I124" s="76"/>
      <c r="J124" s="76"/>
      <c r="K124" s="76"/>
      <c r="L124" s="82"/>
      <c r="M124" s="82"/>
      <c r="N124" s="82"/>
      <c r="O124" s="82"/>
      <c r="P124" s="82"/>
      <c r="Q124" s="82"/>
      <c r="R124" s="82"/>
      <c r="S124" s="82"/>
      <c r="T124" s="82"/>
      <c r="U124" s="82"/>
      <c r="V124" s="82"/>
      <c r="W124" s="82"/>
      <c r="X124" s="82"/>
      <c r="Y124" s="82"/>
      <c r="Z124" s="82"/>
      <c r="AA124" s="82"/>
      <c r="AB124" s="82"/>
      <c r="AC124" s="82"/>
    </row>
    <row r="125" spans="1:29" s="42" customFormat="1" ht="22.5" x14ac:dyDescent="0.2">
      <c r="A125" s="45"/>
      <c r="B125" s="83" t="s">
        <v>347</v>
      </c>
      <c r="C125" s="91" t="s">
        <v>210</v>
      </c>
      <c r="D125" s="87"/>
      <c r="E125" s="76"/>
      <c r="F125" s="76"/>
      <c r="G125" s="222"/>
      <c r="H125" s="76"/>
      <c r="I125" s="76"/>
      <c r="J125" s="76"/>
      <c r="K125" s="87"/>
      <c r="L125" s="82"/>
      <c r="M125" s="82"/>
      <c r="N125" s="82"/>
      <c r="O125" s="82"/>
      <c r="P125" s="82"/>
      <c r="Q125" s="82"/>
      <c r="R125" s="82"/>
      <c r="S125" s="82"/>
      <c r="T125" s="82"/>
      <c r="U125" s="82"/>
      <c r="V125" s="82"/>
      <c r="W125" s="82"/>
      <c r="X125" s="82"/>
      <c r="Y125" s="82"/>
      <c r="Z125" s="82"/>
      <c r="AA125" s="82"/>
      <c r="AB125" s="82"/>
      <c r="AC125" s="82"/>
    </row>
    <row r="126" spans="1:29" s="42" customFormat="1" ht="22.5" x14ac:dyDescent="0.2">
      <c r="A126" s="45"/>
      <c r="B126" s="83" t="s">
        <v>348</v>
      </c>
      <c r="C126" s="91" t="s">
        <v>211</v>
      </c>
      <c r="D126" s="87"/>
      <c r="E126" s="76"/>
      <c r="F126" s="76"/>
      <c r="G126" s="222"/>
      <c r="H126" s="76"/>
      <c r="I126" s="76"/>
      <c r="J126" s="76"/>
      <c r="K126" s="76"/>
      <c r="L126" s="82"/>
      <c r="M126" s="82"/>
      <c r="N126" s="82"/>
      <c r="O126" s="82"/>
      <c r="P126" s="82"/>
      <c r="Q126" s="82"/>
      <c r="R126" s="82"/>
      <c r="S126" s="82"/>
      <c r="T126" s="82"/>
      <c r="U126" s="82"/>
      <c r="V126" s="82"/>
      <c r="W126" s="82"/>
      <c r="X126" s="82"/>
      <c r="Y126" s="82"/>
      <c r="Z126" s="82"/>
      <c r="AA126" s="82"/>
      <c r="AB126" s="82"/>
      <c r="AC126" s="82"/>
    </row>
    <row r="127" spans="1:29" s="42" customFormat="1" ht="33.75" x14ac:dyDescent="0.2">
      <c r="A127" s="45"/>
      <c r="B127" s="83" t="s">
        <v>349</v>
      </c>
      <c r="C127" s="91" t="s">
        <v>221</v>
      </c>
      <c r="D127" s="87"/>
      <c r="E127" s="87"/>
      <c r="F127" s="87"/>
      <c r="G127" s="223"/>
      <c r="H127" s="87"/>
      <c r="I127" s="87"/>
      <c r="J127" s="76"/>
      <c r="K127" s="87"/>
      <c r="L127" s="82"/>
      <c r="M127" s="82"/>
      <c r="N127" s="82"/>
      <c r="O127" s="82"/>
      <c r="P127" s="82"/>
      <c r="Q127" s="82"/>
      <c r="R127" s="82"/>
      <c r="S127" s="82"/>
      <c r="T127" s="82"/>
      <c r="U127" s="82"/>
      <c r="V127" s="82"/>
      <c r="W127" s="82"/>
      <c r="X127" s="82"/>
      <c r="Y127" s="82"/>
      <c r="Z127" s="82"/>
      <c r="AA127" s="82"/>
      <c r="AB127" s="82"/>
      <c r="AC127" s="82"/>
    </row>
    <row r="128" spans="1:29" s="42" customFormat="1" x14ac:dyDescent="0.2">
      <c r="A128" s="45"/>
      <c r="B128" s="47"/>
      <c r="C128" s="51"/>
      <c r="D128" s="58"/>
      <c r="E128" s="69"/>
      <c r="F128" s="69"/>
      <c r="G128" s="69"/>
      <c r="H128" s="69"/>
      <c r="I128" s="69"/>
      <c r="J128" s="69"/>
      <c r="K128" s="58"/>
      <c r="L128" s="82"/>
      <c r="M128" s="82"/>
      <c r="N128" s="82"/>
      <c r="O128" s="82"/>
      <c r="P128" s="82"/>
      <c r="Q128" s="82"/>
      <c r="R128" s="82"/>
      <c r="S128" s="82"/>
      <c r="T128" s="82"/>
      <c r="U128" s="82"/>
      <c r="V128" s="82"/>
      <c r="W128" s="82"/>
      <c r="X128" s="82"/>
      <c r="Y128" s="82"/>
      <c r="Z128" s="82"/>
      <c r="AA128" s="82"/>
      <c r="AB128" s="82"/>
      <c r="AC128" s="82"/>
    </row>
    <row r="129" spans="1:918" s="42" customFormat="1" ht="21" x14ac:dyDescent="0.2">
      <c r="A129" s="45"/>
      <c r="B129" s="70" t="s">
        <v>71</v>
      </c>
      <c r="C129" s="48" t="s">
        <v>88</v>
      </c>
      <c r="D129" s="64">
        <f>D130</f>
        <v>0</v>
      </c>
      <c r="E129" s="64">
        <f t="shared" ref="E129:K129" si="6">E130</f>
        <v>0</v>
      </c>
      <c r="F129" s="64">
        <f t="shared" si="6"/>
        <v>0</v>
      </c>
      <c r="G129" s="64">
        <f t="shared" si="6"/>
        <v>0</v>
      </c>
      <c r="H129" s="64">
        <v>0</v>
      </c>
      <c r="I129" s="64">
        <f t="shared" si="6"/>
        <v>2</v>
      </c>
      <c r="J129" s="64">
        <f t="shared" si="6"/>
        <v>8</v>
      </c>
      <c r="K129" s="64">
        <f t="shared" si="6"/>
        <v>1</v>
      </c>
      <c r="L129" s="82"/>
      <c r="M129" s="82"/>
      <c r="N129" s="82"/>
      <c r="O129" s="82"/>
      <c r="P129" s="82"/>
      <c r="Q129" s="82"/>
      <c r="R129" s="82"/>
      <c r="S129" s="82"/>
      <c r="T129" s="82"/>
      <c r="U129" s="82"/>
      <c r="V129" s="82"/>
      <c r="W129" s="82"/>
      <c r="X129" s="82"/>
      <c r="Y129" s="82"/>
      <c r="Z129" s="82"/>
      <c r="AA129" s="82"/>
      <c r="AB129" s="82"/>
      <c r="AC129" s="82"/>
    </row>
    <row r="130" spans="1:918" s="42" customFormat="1" ht="24.75" customHeight="1" x14ac:dyDescent="0.2">
      <c r="A130" s="45"/>
      <c r="B130" s="225" t="s">
        <v>153</v>
      </c>
      <c r="C130" s="225"/>
      <c r="D130" s="65">
        <f>SUM(D131:D146)</f>
        <v>0</v>
      </c>
      <c r="E130" s="65">
        <f>SUM(E131:E146)</f>
        <v>0</v>
      </c>
      <c r="F130" s="65">
        <f>SUM(F131:F146)</f>
        <v>0</v>
      </c>
      <c r="G130" s="65">
        <f>SUM(G131:G146)</f>
        <v>0</v>
      </c>
      <c r="H130" s="65">
        <f t="shared" ref="H130:K130" si="7">SUM(H131:H146)</f>
        <v>0</v>
      </c>
      <c r="I130" s="65">
        <f t="shared" si="7"/>
        <v>2</v>
      </c>
      <c r="J130" s="65">
        <f t="shared" si="7"/>
        <v>8</v>
      </c>
      <c r="K130" s="65">
        <f t="shared" si="7"/>
        <v>1</v>
      </c>
      <c r="L130" s="82"/>
      <c r="M130" s="82"/>
      <c r="N130" s="82"/>
      <c r="O130" s="82"/>
      <c r="P130" s="82"/>
      <c r="Q130" s="82"/>
      <c r="R130" s="82"/>
      <c r="S130" s="82"/>
      <c r="T130" s="82"/>
      <c r="U130" s="82"/>
      <c r="V130" s="82"/>
      <c r="W130" s="82"/>
      <c r="X130" s="82"/>
      <c r="Y130" s="82"/>
      <c r="Z130" s="82"/>
      <c r="AA130" s="82"/>
      <c r="AB130" s="82"/>
      <c r="AC130" s="82"/>
    </row>
    <row r="131" spans="1:918" s="42" customFormat="1" x14ac:dyDescent="0.2">
      <c r="A131" s="45"/>
      <c r="B131" s="78" t="s">
        <v>386</v>
      </c>
      <c r="C131" s="95" t="s">
        <v>261</v>
      </c>
      <c r="D131" s="74"/>
      <c r="E131" s="74"/>
      <c r="F131" s="74"/>
      <c r="G131" s="74"/>
      <c r="H131" s="74"/>
      <c r="I131" s="74"/>
      <c r="J131" s="74"/>
      <c r="K131" s="74"/>
      <c r="L131" s="82"/>
      <c r="M131" s="82"/>
      <c r="N131" s="82"/>
      <c r="O131" s="82"/>
      <c r="P131" s="82"/>
      <c r="Q131" s="82"/>
      <c r="R131" s="82"/>
      <c r="S131" s="82"/>
      <c r="T131" s="82"/>
      <c r="U131" s="82"/>
      <c r="V131" s="82"/>
      <c r="W131" s="82"/>
      <c r="X131" s="82"/>
      <c r="Y131" s="82"/>
      <c r="Z131" s="82"/>
      <c r="AA131" s="82"/>
      <c r="AB131" s="82"/>
      <c r="AC131" s="82"/>
    </row>
    <row r="132" spans="1:918" s="42" customFormat="1" ht="45" x14ac:dyDescent="0.2">
      <c r="A132" s="45"/>
      <c r="B132" s="100" t="s">
        <v>82</v>
      </c>
      <c r="C132" s="88" t="s">
        <v>218</v>
      </c>
      <c r="D132" s="100"/>
      <c r="E132" s="101"/>
      <c r="F132" s="100"/>
      <c r="G132" s="101"/>
      <c r="H132" s="112"/>
      <c r="I132" s="101"/>
      <c r="J132" s="100"/>
      <c r="K132" s="93">
        <v>1</v>
      </c>
      <c r="L132" s="82"/>
      <c r="M132" s="82"/>
      <c r="N132" s="82"/>
      <c r="O132" s="82"/>
      <c r="P132" s="82"/>
      <c r="Q132" s="82"/>
      <c r="R132" s="82"/>
      <c r="S132" s="82"/>
      <c r="T132" s="82"/>
      <c r="U132" s="82"/>
      <c r="V132" s="82"/>
      <c r="W132" s="82"/>
      <c r="X132" s="82"/>
      <c r="Y132" s="82"/>
      <c r="Z132" s="82"/>
      <c r="AA132" s="82"/>
      <c r="AB132" s="82"/>
      <c r="AC132" s="82"/>
    </row>
    <row r="133" spans="1:918" s="82" customFormat="1" x14ac:dyDescent="0.2">
      <c r="A133" s="81"/>
      <c r="B133" s="100"/>
      <c r="C133" s="88"/>
      <c r="D133" s="100"/>
      <c r="E133" s="101"/>
      <c r="F133" s="100"/>
      <c r="G133" s="101"/>
      <c r="H133" s="100"/>
      <c r="I133" s="101"/>
      <c r="J133" s="100"/>
      <c r="K133" s="93"/>
    </row>
    <row r="134" spans="1:918" s="82" customFormat="1" x14ac:dyDescent="0.2">
      <c r="A134" s="81"/>
      <c r="B134" s="78" t="s">
        <v>265</v>
      </c>
      <c r="C134" s="102" t="s">
        <v>198</v>
      </c>
      <c r="D134" s="100"/>
      <c r="E134" s="101"/>
      <c r="F134" s="100"/>
      <c r="G134" s="101"/>
      <c r="H134" s="100"/>
      <c r="I134" s="101"/>
      <c r="J134" s="100"/>
      <c r="K134" s="93"/>
    </row>
    <row r="135" spans="1:918" s="99" customFormat="1" ht="67.5" x14ac:dyDescent="0.2">
      <c r="A135" s="98"/>
      <c r="B135" s="100" t="s">
        <v>212</v>
      </c>
      <c r="C135" s="91" t="s">
        <v>390</v>
      </c>
      <c r="D135" s="93"/>
      <c r="E135" s="93"/>
      <c r="F135" s="93"/>
      <c r="G135" s="93"/>
      <c r="H135" s="93"/>
      <c r="I135" s="93"/>
      <c r="J135" s="93">
        <v>1</v>
      </c>
      <c r="K135" s="93"/>
      <c r="L135" s="82"/>
      <c r="M135" s="82"/>
      <c r="N135" s="82"/>
      <c r="O135" s="82"/>
      <c r="P135" s="82"/>
      <c r="Q135" s="82"/>
      <c r="R135" s="82"/>
      <c r="S135" s="82"/>
      <c r="T135" s="82"/>
      <c r="U135" s="82"/>
      <c r="V135" s="82"/>
      <c r="W135" s="82"/>
      <c r="X135" s="82"/>
      <c r="Y135" s="82"/>
      <c r="Z135" s="82"/>
      <c r="AA135" s="82"/>
      <c r="AB135" s="82"/>
      <c r="AC135" s="82"/>
      <c r="AD135" s="82"/>
      <c r="AE135" s="82"/>
      <c r="AF135" s="82"/>
      <c r="AG135" s="82"/>
      <c r="AH135" s="82"/>
      <c r="AI135" s="82"/>
      <c r="AJ135" s="82"/>
      <c r="AK135" s="82"/>
      <c r="AL135" s="82"/>
      <c r="AM135" s="82"/>
      <c r="AN135" s="82"/>
      <c r="AO135" s="82"/>
      <c r="AP135" s="82"/>
      <c r="AQ135" s="82"/>
      <c r="AR135" s="82"/>
      <c r="AS135" s="82"/>
      <c r="AT135" s="82"/>
      <c r="AU135" s="82"/>
      <c r="AV135" s="82"/>
      <c r="AW135" s="82"/>
      <c r="AX135" s="82"/>
      <c r="AY135" s="82"/>
      <c r="AZ135" s="82"/>
      <c r="BA135" s="82"/>
      <c r="BB135" s="82"/>
      <c r="BC135" s="82"/>
      <c r="BD135" s="82"/>
      <c r="BE135" s="82"/>
      <c r="BF135" s="82"/>
      <c r="BG135" s="82"/>
      <c r="BH135" s="82"/>
      <c r="BI135" s="82"/>
      <c r="BJ135" s="82"/>
      <c r="BK135" s="82"/>
      <c r="BL135" s="82"/>
      <c r="BM135" s="82"/>
      <c r="BN135" s="82"/>
      <c r="BO135" s="82"/>
      <c r="BP135" s="82"/>
      <c r="BQ135" s="82"/>
      <c r="BR135" s="82"/>
      <c r="BS135" s="82"/>
      <c r="BT135" s="82"/>
      <c r="BU135" s="82"/>
      <c r="BV135" s="82"/>
      <c r="BW135" s="82"/>
      <c r="BX135" s="82"/>
      <c r="BY135" s="82"/>
      <c r="BZ135" s="82"/>
      <c r="CA135" s="82"/>
      <c r="CB135" s="82"/>
      <c r="CC135" s="82"/>
      <c r="CD135" s="82"/>
      <c r="CE135" s="82"/>
      <c r="CF135" s="82"/>
      <c r="CG135" s="82"/>
      <c r="CH135" s="82"/>
      <c r="CI135" s="82"/>
      <c r="CJ135" s="82"/>
      <c r="CK135" s="82"/>
      <c r="CL135" s="82"/>
      <c r="CM135" s="82"/>
      <c r="CN135" s="82"/>
      <c r="CO135" s="82"/>
      <c r="CP135" s="82"/>
      <c r="CQ135" s="82"/>
      <c r="CR135" s="82"/>
      <c r="CS135" s="82"/>
      <c r="CT135" s="82"/>
      <c r="CU135" s="82"/>
      <c r="CV135" s="82"/>
      <c r="CW135" s="82"/>
      <c r="CX135" s="82"/>
      <c r="CY135" s="82"/>
      <c r="CZ135" s="82"/>
      <c r="DA135" s="82"/>
      <c r="DB135" s="82"/>
      <c r="DC135" s="82"/>
      <c r="DD135" s="82"/>
      <c r="DE135" s="82"/>
      <c r="DF135" s="82"/>
      <c r="DG135" s="82"/>
      <c r="DH135" s="82"/>
      <c r="DI135" s="82"/>
      <c r="DJ135" s="82"/>
      <c r="DK135" s="82"/>
      <c r="DL135" s="82"/>
      <c r="DM135" s="82"/>
      <c r="DN135" s="82"/>
      <c r="DO135" s="82"/>
      <c r="DP135" s="82"/>
      <c r="DQ135" s="82"/>
      <c r="DR135" s="82"/>
      <c r="DS135" s="82"/>
      <c r="DT135" s="82"/>
      <c r="DU135" s="82"/>
      <c r="DV135" s="82"/>
      <c r="DW135" s="82"/>
      <c r="DX135" s="82"/>
      <c r="DY135" s="82"/>
      <c r="DZ135" s="82"/>
      <c r="EA135" s="82"/>
      <c r="EB135" s="82"/>
      <c r="EC135" s="82"/>
      <c r="ED135" s="82"/>
      <c r="EE135" s="82"/>
      <c r="EF135" s="82"/>
      <c r="EG135" s="82"/>
      <c r="EH135" s="82"/>
      <c r="EI135" s="82"/>
      <c r="EJ135" s="82"/>
      <c r="EK135" s="82"/>
      <c r="EL135" s="82"/>
      <c r="EM135" s="82"/>
      <c r="EN135" s="82"/>
      <c r="EO135" s="82"/>
      <c r="EP135" s="82"/>
      <c r="EQ135" s="82"/>
      <c r="ER135" s="82"/>
      <c r="ES135" s="82"/>
      <c r="ET135" s="82"/>
      <c r="EU135" s="82"/>
      <c r="EV135" s="82"/>
      <c r="EW135" s="82"/>
      <c r="EX135" s="82"/>
      <c r="EY135" s="82"/>
      <c r="EZ135" s="82"/>
      <c r="FA135" s="82"/>
      <c r="FB135" s="82"/>
      <c r="FC135" s="82"/>
      <c r="FD135" s="82"/>
      <c r="FE135" s="82"/>
      <c r="FF135" s="82"/>
      <c r="FG135" s="82"/>
      <c r="FH135" s="82"/>
      <c r="FI135" s="82"/>
      <c r="FJ135" s="82"/>
      <c r="FK135" s="82"/>
      <c r="FL135" s="82"/>
      <c r="FM135" s="82"/>
      <c r="FN135" s="82"/>
      <c r="FO135" s="82"/>
      <c r="FP135" s="82"/>
      <c r="FQ135" s="82"/>
      <c r="FR135" s="82"/>
      <c r="FS135" s="82"/>
      <c r="FT135" s="82"/>
      <c r="FU135" s="82"/>
      <c r="FV135" s="82"/>
      <c r="FW135" s="82"/>
      <c r="FX135" s="82"/>
      <c r="FY135" s="82"/>
      <c r="FZ135" s="82"/>
      <c r="GA135" s="82"/>
      <c r="GB135" s="82"/>
      <c r="GC135" s="82"/>
      <c r="GD135" s="82"/>
      <c r="GE135" s="82"/>
      <c r="GF135" s="82"/>
      <c r="GG135" s="82"/>
      <c r="GH135" s="82"/>
      <c r="GI135" s="82"/>
      <c r="GJ135" s="82"/>
      <c r="GK135" s="82"/>
      <c r="GL135" s="82"/>
      <c r="GM135" s="82"/>
      <c r="GN135" s="82"/>
      <c r="GO135" s="82"/>
      <c r="GP135" s="82"/>
      <c r="GQ135" s="82"/>
      <c r="GR135" s="82"/>
      <c r="GS135" s="82"/>
      <c r="GT135" s="82"/>
      <c r="GU135" s="82"/>
      <c r="GV135" s="82"/>
      <c r="GW135" s="82"/>
      <c r="GX135" s="82"/>
      <c r="GY135" s="82"/>
      <c r="GZ135" s="82"/>
      <c r="HA135" s="82"/>
      <c r="HB135" s="82"/>
      <c r="HC135" s="82"/>
      <c r="HD135" s="82"/>
      <c r="HE135" s="82"/>
      <c r="HF135" s="82"/>
      <c r="HG135" s="82"/>
      <c r="HH135" s="82"/>
      <c r="HI135" s="82"/>
      <c r="HJ135" s="82"/>
      <c r="HK135" s="82"/>
      <c r="HL135" s="82"/>
      <c r="HM135" s="82"/>
      <c r="HN135" s="82"/>
      <c r="HO135" s="82"/>
      <c r="HP135" s="82"/>
      <c r="HQ135" s="82"/>
      <c r="HR135" s="82"/>
      <c r="HS135" s="82"/>
      <c r="HT135" s="82"/>
      <c r="HU135" s="82"/>
      <c r="HV135" s="82"/>
      <c r="HW135" s="82"/>
      <c r="HX135" s="82"/>
      <c r="HY135" s="82"/>
      <c r="HZ135" s="82"/>
      <c r="IA135" s="82"/>
      <c r="IB135" s="82"/>
      <c r="IC135" s="82"/>
      <c r="ID135" s="82"/>
      <c r="IE135" s="82"/>
      <c r="IF135" s="82"/>
      <c r="IG135" s="82"/>
      <c r="IH135" s="82"/>
      <c r="II135" s="82"/>
      <c r="IJ135" s="82"/>
      <c r="IK135" s="82"/>
      <c r="IL135" s="82"/>
      <c r="IM135" s="82"/>
      <c r="IN135" s="82"/>
      <c r="IO135" s="82"/>
      <c r="IP135" s="82"/>
      <c r="IQ135" s="82"/>
      <c r="IR135" s="82"/>
      <c r="IS135" s="82"/>
      <c r="IT135" s="82"/>
      <c r="IU135" s="82"/>
      <c r="IV135" s="82"/>
      <c r="IW135" s="82"/>
      <c r="IX135" s="82"/>
      <c r="IY135" s="82"/>
      <c r="IZ135" s="82"/>
      <c r="JA135" s="82"/>
      <c r="JB135" s="82"/>
      <c r="JC135" s="82"/>
      <c r="JD135" s="82"/>
      <c r="JE135" s="82"/>
      <c r="JF135" s="82"/>
      <c r="JG135" s="82"/>
      <c r="JH135" s="82"/>
      <c r="JI135" s="82"/>
      <c r="JJ135" s="82"/>
      <c r="JK135" s="82"/>
      <c r="JL135" s="82"/>
      <c r="JM135" s="82"/>
      <c r="JN135" s="82"/>
      <c r="JO135" s="82"/>
      <c r="JP135" s="82"/>
      <c r="JQ135" s="82"/>
      <c r="JR135" s="82"/>
      <c r="JS135" s="82"/>
      <c r="JT135" s="82"/>
      <c r="JU135" s="82"/>
      <c r="JV135" s="82"/>
      <c r="JW135" s="82"/>
      <c r="JX135" s="82"/>
      <c r="JY135" s="82"/>
      <c r="JZ135" s="82"/>
      <c r="KA135" s="82"/>
      <c r="KB135" s="82"/>
      <c r="KC135" s="82"/>
      <c r="KD135" s="82"/>
      <c r="KE135" s="82"/>
      <c r="KF135" s="82"/>
      <c r="KG135" s="82"/>
      <c r="KH135" s="82"/>
      <c r="KI135" s="82"/>
      <c r="KJ135" s="82"/>
      <c r="KK135" s="82"/>
      <c r="KL135" s="82"/>
      <c r="KM135" s="82"/>
      <c r="KN135" s="82"/>
      <c r="KO135" s="82"/>
      <c r="KP135" s="82"/>
      <c r="KQ135" s="82"/>
      <c r="KR135" s="82"/>
      <c r="KS135" s="82"/>
      <c r="KT135" s="82"/>
      <c r="KU135" s="82"/>
      <c r="KV135" s="82"/>
      <c r="KW135" s="82"/>
      <c r="KX135" s="82"/>
      <c r="KY135" s="82"/>
      <c r="KZ135" s="82"/>
      <c r="LA135" s="82"/>
      <c r="LB135" s="82"/>
      <c r="LC135" s="82"/>
      <c r="LD135" s="82"/>
      <c r="LE135" s="82"/>
      <c r="LF135" s="82"/>
      <c r="LG135" s="82"/>
      <c r="LH135" s="82"/>
      <c r="LI135" s="82"/>
      <c r="LJ135" s="82"/>
      <c r="LK135" s="82"/>
      <c r="LL135" s="82"/>
      <c r="LM135" s="82"/>
      <c r="LN135" s="82"/>
      <c r="LO135" s="82"/>
      <c r="LP135" s="82"/>
      <c r="LQ135" s="82"/>
      <c r="LR135" s="82"/>
      <c r="LS135" s="82"/>
      <c r="LT135" s="82"/>
      <c r="LU135" s="82"/>
      <c r="LV135" s="82"/>
      <c r="LW135" s="82"/>
      <c r="LX135" s="82"/>
      <c r="LY135" s="82"/>
      <c r="LZ135" s="82"/>
      <c r="MA135" s="82"/>
      <c r="MB135" s="82"/>
      <c r="MC135" s="82"/>
      <c r="MD135" s="82"/>
      <c r="ME135" s="82"/>
      <c r="MF135" s="82"/>
      <c r="MG135" s="82"/>
      <c r="MH135" s="82"/>
      <c r="MI135" s="82"/>
      <c r="MJ135" s="82"/>
      <c r="MK135" s="82"/>
      <c r="ML135" s="82"/>
      <c r="MM135" s="82"/>
      <c r="MN135" s="82"/>
      <c r="MO135" s="82"/>
      <c r="MP135" s="82"/>
      <c r="MQ135" s="82"/>
      <c r="MR135" s="82"/>
      <c r="MS135" s="82"/>
      <c r="MT135" s="82"/>
      <c r="MU135" s="82"/>
      <c r="MV135" s="82"/>
      <c r="MW135" s="82"/>
      <c r="MX135" s="82"/>
      <c r="MY135" s="82"/>
      <c r="MZ135" s="82"/>
      <c r="NA135" s="82"/>
      <c r="NB135" s="82"/>
      <c r="NC135" s="82"/>
      <c r="ND135" s="82"/>
      <c r="NE135" s="82"/>
      <c r="NF135" s="82"/>
      <c r="NG135" s="82"/>
      <c r="NH135" s="82"/>
      <c r="NI135" s="82"/>
      <c r="NJ135" s="82"/>
      <c r="NK135" s="82"/>
      <c r="NL135" s="82"/>
      <c r="NM135" s="82"/>
      <c r="NN135" s="82"/>
      <c r="NO135" s="82"/>
      <c r="NP135" s="82"/>
      <c r="NQ135" s="82"/>
      <c r="NR135" s="82"/>
      <c r="NS135" s="82"/>
      <c r="NT135" s="82"/>
      <c r="NU135" s="82"/>
      <c r="NV135" s="82"/>
      <c r="NW135" s="82"/>
      <c r="NX135" s="82"/>
      <c r="NY135" s="82"/>
      <c r="NZ135" s="82"/>
      <c r="OA135" s="82"/>
      <c r="OB135" s="82"/>
      <c r="OC135" s="82"/>
      <c r="OD135" s="82"/>
      <c r="OE135" s="82"/>
      <c r="OF135" s="82"/>
      <c r="OG135" s="82"/>
      <c r="OH135" s="82"/>
      <c r="OI135" s="82"/>
      <c r="OJ135" s="82"/>
      <c r="OK135" s="82"/>
      <c r="OL135" s="82"/>
      <c r="OM135" s="82"/>
      <c r="ON135" s="82"/>
      <c r="OO135" s="82"/>
      <c r="OP135" s="82"/>
      <c r="OQ135" s="82"/>
      <c r="OR135" s="82"/>
      <c r="OS135" s="82"/>
      <c r="OT135" s="82"/>
      <c r="OU135" s="82"/>
      <c r="OV135" s="82"/>
      <c r="OW135" s="82"/>
      <c r="OX135" s="82"/>
      <c r="OY135" s="82"/>
      <c r="OZ135" s="82"/>
      <c r="PA135" s="82"/>
      <c r="PB135" s="82"/>
      <c r="PC135" s="82"/>
      <c r="PD135" s="82"/>
      <c r="PE135" s="82"/>
      <c r="PF135" s="82"/>
      <c r="PG135" s="82"/>
      <c r="PH135" s="82"/>
      <c r="PI135" s="82"/>
      <c r="PJ135" s="82"/>
      <c r="PK135" s="82"/>
      <c r="PL135" s="82"/>
      <c r="PM135" s="82"/>
      <c r="PN135" s="82"/>
      <c r="PO135" s="82"/>
      <c r="PP135" s="82"/>
      <c r="PQ135" s="82"/>
      <c r="PR135" s="82"/>
      <c r="PS135" s="82"/>
      <c r="PT135" s="82"/>
      <c r="PU135" s="82"/>
      <c r="PV135" s="82"/>
      <c r="PW135" s="82"/>
      <c r="PX135" s="82"/>
      <c r="PY135" s="82"/>
      <c r="PZ135" s="82"/>
      <c r="QA135" s="82"/>
      <c r="QB135" s="82"/>
      <c r="QC135" s="82"/>
      <c r="QD135" s="82"/>
      <c r="QE135" s="82"/>
      <c r="QF135" s="82"/>
      <c r="QG135" s="82"/>
      <c r="QH135" s="82"/>
      <c r="QI135" s="82"/>
      <c r="QJ135" s="82"/>
      <c r="QK135" s="82"/>
      <c r="QL135" s="82"/>
      <c r="QM135" s="82"/>
      <c r="QN135" s="82"/>
      <c r="QO135" s="82"/>
      <c r="QP135" s="82"/>
      <c r="QQ135" s="82"/>
      <c r="QR135" s="82"/>
      <c r="QS135" s="82"/>
      <c r="QT135" s="82"/>
      <c r="QU135" s="82"/>
      <c r="QV135" s="82"/>
      <c r="QW135" s="82"/>
      <c r="QX135" s="82"/>
      <c r="QY135" s="82"/>
      <c r="QZ135" s="82"/>
      <c r="RA135" s="82"/>
      <c r="RB135" s="82"/>
      <c r="RC135" s="82"/>
      <c r="RD135" s="82"/>
      <c r="RE135" s="82"/>
      <c r="RF135" s="82"/>
      <c r="RG135" s="82"/>
      <c r="RH135" s="82"/>
      <c r="RI135" s="82"/>
      <c r="RJ135" s="82"/>
      <c r="RK135" s="82"/>
      <c r="RL135" s="82"/>
      <c r="RM135" s="82"/>
      <c r="RN135" s="82"/>
      <c r="RO135" s="82"/>
      <c r="RP135" s="82"/>
      <c r="RQ135" s="82"/>
      <c r="RR135" s="82"/>
      <c r="RS135" s="82"/>
      <c r="RT135" s="82"/>
      <c r="RU135" s="82"/>
      <c r="RV135" s="82"/>
      <c r="RW135" s="82"/>
      <c r="RX135" s="82"/>
      <c r="RY135" s="82"/>
      <c r="RZ135" s="82"/>
      <c r="SA135" s="82"/>
      <c r="SB135" s="82"/>
      <c r="SC135" s="82"/>
      <c r="SD135" s="82"/>
      <c r="SE135" s="82"/>
      <c r="SF135" s="82"/>
      <c r="SG135" s="82"/>
      <c r="SH135" s="82"/>
      <c r="SI135" s="82"/>
      <c r="SJ135" s="82"/>
      <c r="SK135" s="82"/>
      <c r="SL135" s="82"/>
      <c r="SM135" s="82"/>
      <c r="SN135" s="82"/>
      <c r="SO135" s="82"/>
      <c r="SP135" s="82"/>
      <c r="SQ135" s="82"/>
      <c r="SR135" s="82"/>
      <c r="SS135" s="82"/>
      <c r="ST135" s="82"/>
      <c r="SU135" s="82"/>
      <c r="SV135" s="82"/>
      <c r="SW135" s="82"/>
      <c r="SX135" s="82"/>
      <c r="SY135" s="82"/>
      <c r="SZ135" s="82"/>
      <c r="TA135" s="82"/>
      <c r="TB135" s="82"/>
      <c r="TC135" s="82"/>
      <c r="TD135" s="82"/>
      <c r="TE135" s="82"/>
      <c r="TF135" s="82"/>
      <c r="TG135" s="82"/>
      <c r="TH135" s="82"/>
      <c r="TI135" s="82"/>
      <c r="TJ135" s="82"/>
      <c r="TK135" s="82"/>
      <c r="TL135" s="82"/>
      <c r="TM135" s="82"/>
      <c r="TN135" s="82"/>
      <c r="TO135" s="82"/>
      <c r="TP135" s="82"/>
      <c r="TQ135" s="82"/>
      <c r="TR135" s="82"/>
      <c r="TS135" s="82"/>
      <c r="TT135" s="82"/>
      <c r="TU135" s="82"/>
      <c r="TV135" s="82"/>
      <c r="TW135" s="82"/>
      <c r="TX135" s="82"/>
      <c r="TY135" s="82"/>
      <c r="TZ135" s="82"/>
      <c r="UA135" s="82"/>
      <c r="UB135" s="82"/>
      <c r="UC135" s="82"/>
      <c r="UD135" s="82"/>
      <c r="UE135" s="82"/>
      <c r="UF135" s="82"/>
      <c r="UG135" s="82"/>
      <c r="UH135" s="82"/>
      <c r="UI135" s="82"/>
      <c r="UJ135" s="82"/>
      <c r="UK135" s="82"/>
      <c r="UL135" s="82"/>
      <c r="UM135" s="82"/>
      <c r="UN135" s="82"/>
      <c r="UO135" s="82"/>
      <c r="UP135" s="82"/>
      <c r="UQ135" s="82"/>
      <c r="UR135" s="82"/>
      <c r="US135" s="82"/>
      <c r="UT135" s="82"/>
      <c r="UU135" s="82"/>
      <c r="UV135" s="82"/>
      <c r="UW135" s="82"/>
      <c r="UX135" s="82"/>
      <c r="UY135" s="82"/>
      <c r="UZ135" s="82"/>
      <c r="VA135" s="82"/>
      <c r="VB135" s="82"/>
      <c r="VC135" s="82"/>
      <c r="VD135" s="82"/>
      <c r="VE135" s="82"/>
      <c r="VF135" s="82"/>
      <c r="VG135" s="82"/>
      <c r="VH135" s="82"/>
      <c r="VI135" s="82"/>
      <c r="VJ135" s="82"/>
      <c r="VK135" s="82"/>
      <c r="VL135" s="82"/>
      <c r="VM135" s="82"/>
      <c r="VN135" s="82"/>
      <c r="VO135" s="82"/>
      <c r="VP135" s="82"/>
      <c r="VQ135" s="82"/>
      <c r="VR135" s="82"/>
      <c r="VS135" s="82"/>
      <c r="VT135" s="82"/>
      <c r="VU135" s="82"/>
      <c r="VV135" s="82"/>
      <c r="VW135" s="82"/>
      <c r="VX135" s="82"/>
      <c r="VY135" s="82"/>
      <c r="VZ135" s="82"/>
      <c r="WA135" s="82"/>
      <c r="WB135" s="82"/>
      <c r="WC135" s="82"/>
      <c r="WD135" s="82"/>
      <c r="WE135" s="82"/>
      <c r="WF135" s="82"/>
      <c r="WG135" s="82"/>
      <c r="WH135" s="82"/>
      <c r="WI135" s="82"/>
      <c r="WJ135" s="82"/>
      <c r="WK135" s="82"/>
      <c r="WL135" s="82"/>
      <c r="WM135" s="82"/>
      <c r="WN135" s="82"/>
      <c r="WO135" s="82"/>
      <c r="WP135" s="82"/>
      <c r="WQ135" s="82"/>
      <c r="WR135" s="82"/>
      <c r="WS135" s="82"/>
      <c r="WT135" s="82"/>
      <c r="WU135" s="82"/>
      <c r="WV135" s="82"/>
      <c r="WW135" s="82"/>
      <c r="WX135" s="82"/>
      <c r="WY135" s="82"/>
      <c r="WZ135" s="82"/>
      <c r="XA135" s="82"/>
      <c r="XB135" s="82"/>
      <c r="XC135" s="82"/>
      <c r="XD135" s="82"/>
      <c r="XE135" s="82"/>
      <c r="XF135" s="82"/>
      <c r="XG135" s="82"/>
      <c r="XH135" s="82"/>
      <c r="XI135" s="82"/>
      <c r="XJ135" s="82"/>
      <c r="XK135" s="82"/>
      <c r="XL135" s="82"/>
      <c r="XM135" s="82"/>
      <c r="XN135" s="82"/>
      <c r="XO135" s="82"/>
      <c r="XP135" s="82"/>
      <c r="XQ135" s="82"/>
      <c r="XR135" s="82"/>
      <c r="XS135" s="82"/>
      <c r="XT135" s="82"/>
      <c r="XU135" s="82"/>
      <c r="XV135" s="82"/>
      <c r="XW135" s="82"/>
      <c r="XX135" s="82"/>
      <c r="XY135" s="82"/>
      <c r="XZ135" s="82"/>
      <c r="YA135" s="82"/>
      <c r="YB135" s="82"/>
      <c r="YC135" s="82"/>
      <c r="YD135" s="82"/>
      <c r="YE135" s="82"/>
      <c r="YF135" s="82"/>
      <c r="YG135" s="82"/>
      <c r="YH135" s="82"/>
      <c r="YI135" s="82"/>
      <c r="YJ135" s="82"/>
      <c r="YK135" s="82"/>
      <c r="YL135" s="82"/>
      <c r="YM135" s="82"/>
      <c r="YN135" s="82"/>
      <c r="YO135" s="82"/>
      <c r="YP135" s="82"/>
      <c r="YQ135" s="82"/>
      <c r="YR135" s="82"/>
      <c r="YS135" s="82"/>
      <c r="YT135" s="82"/>
      <c r="YU135" s="82"/>
      <c r="YV135" s="82"/>
      <c r="YW135" s="82"/>
      <c r="YX135" s="82"/>
      <c r="YY135" s="82"/>
      <c r="YZ135" s="82"/>
      <c r="ZA135" s="82"/>
      <c r="ZB135" s="82"/>
      <c r="ZC135" s="82"/>
      <c r="ZD135" s="82"/>
      <c r="ZE135" s="82"/>
      <c r="ZF135" s="82"/>
      <c r="ZG135" s="82"/>
      <c r="ZH135" s="82"/>
      <c r="ZI135" s="82"/>
      <c r="ZJ135" s="82"/>
      <c r="ZK135" s="82"/>
      <c r="ZL135" s="82"/>
      <c r="ZM135" s="82"/>
      <c r="ZN135" s="82"/>
      <c r="ZO135" s="82"/>
      <c r="ZP135" s="82"/>
      <c r="ZQ135" s="82"/>
      <c r="ZR135" s="82"/>
      <c r="ZS135" s="82"/>
      <c r="ZT135" s="82"/>
      <c r="ZU135" s="82"/>
      <c r="ZV135" s="82"/>
      <c r="ZW135" s="82"/>
      <c r="ZX135" s="82"/>
      <c r="ZY135" s="82"/>
      <c r="ZZ135" s="82"/>
      <c r="AAA135" s="82"/>
      <c r="AAB135" s="82"/>
      <c r="AAC135" s="82"/>
      <c r="AAD135" s="82"/>
      <c r="AAE135" s="82"/>
      <c r="AAF135" s="82"/>
      <c r="AAG135" s="82"/>
      <c r="AAH135" s="82"/>
      <c r="AAI135" s="82"/>
      <c r="AAJ135" s="82"/>
      <c r="AAK135" s="82"/>
      <c r="AAL135" s="82"/>
      <c r="AAM135" s="82"/>
      <c r="AAN135" s="82"/>
      <c r="AAO135" s="82"/>
      <c r="AAP135" s="82"/>
      <c r="AAQ135" s="82"/>
      <c r="AAR135" s="82"/>
      <c r="AAS135" s="82"/>
      <c r="AAT135" s="82"/>
      <c r="AAU135" s="82"/>
      <c r="AAV135" s="82"/>
      <c r="AAW135" s="82"/>
      <c r="AAX135" s="82"/>
      <c r="AAY135" s="82"/>
      <c r="AAZ135" s="82"/>
      <c r="ABA135" s="82"/>
      <c r="ABB135" s="82"/>
      <c r="ABC135" s="82"/>
      <c r="ABD135" s="82"/>
      <c r="ABE135" s="82"/>
      <c r="ABF135" s="82"/>
      <c r="ABG135" s="82"/>
      <c r="ABH135" s="82"/>
      <c r="ABI135" s="82"/>
      <c r="ABJ135" s="82"/>
      <c r="ABK135" s="82"/>
      <c r="ABL135" s="82"/>
      <c r="ABM135" s="82"/>
      <c r="ABN135" s="82"/>
      <c r="ABO135" s="82"/>
      <c r="ABP135" s="82"/>
      <c r="ABQ135" s="82"/>
      <c r="ABR135" s="82"/>
      <c r="ABS135" s="82"/>
      <c r="ABT135" s="82"/>
      <c r="ABU135" s="82"/>
      <c r="ABV135" s="82"/>
      <c r="ABW135" s="82"/>
      <c r="ABX135" s="82"/>
      <c r="ABY135" s="82"/>
      <c r="ABZ135" s="82"/>
      <c r="ACA135" s="82"/>
      <c r="ACB135" s="82"/>
      <c r="ACC135" s="82"/>
      <c r="ACD135" s="82"/>
      <c r="ACE135" s="82"/>
      <c r="ACF135" s="82"/>
      <c r="ACG135" s="82"/>
      <c r="ACH135" s="82"/>
      <c r="ACI135" s="82"/>
      <c r="ACJ135" s="82"/>
      <c r="ACK135" s="82"/>
      <c r="ACL135" s="82"/>
      <c r="ACM135" s="82"/>
      <c r="ACN135" s="82"/>
      <c r="ACO135" s="82"/>
      <c r="ACP135" s="82"/>
      <c r="ACQ135" s="82"/>
      <c r="ACR135" s="82"/>
      <c r="ACS135" s="82"/>
      <c r="ACT135" s="82"/>
      <c r="ACU135" s="82"/>
      <c r="ACV135" s="82"/>
      <c r="ACW135" s="82"/>
      <c r="ACX135" s="82"/>
      <c r="ACY135" s="82"/>
      <c r="ACZ135" s="82"/>
      <c r="ADA135" s="82"/>
      <c r="ADB135" s="82"/>
      <c r="ADC135" s="82"/>
      <c r="ADD135" s="82"/>
      <c r="ADE135" s="82"/>
      <c r="ADF135" s="82"/>
      <c r="ADG135" s="82"/>
      <c r="ADH135" s="82"/>
      <c r="ADI135" s="82"/>
      <c r="ADJ135" s="82"/>
      <c r="ADK135" s="82"/>
      <c r="ADL135" s="82"/>
      <c r="ADM135" s="82"/>
      <c r="ADN135" s="82"/>
      <c r="ADO135" s="82"/>
      <c r="ADP135" s="82"/>
      <c r="ADQ135" s="82"/>
      <c r="ADR135" s="82"/>
      <c r="ADS135" s="82"/>
      <c r="ADT135" s="82"/>
      <c r="ADU135" s="82"/>
      <c r="ADV135" s="82"/>
      <c r="ADW135" s="82"/>
      <c r="ADX135" s="82"/>
      <c r="ADY135" s="82"/>
      <c r="ADZ135" s="82"/>
      <c r="AEA135" s="82"/>
      <c r="AEB135" s="82"/>
      <c r="AEC135" s="82"/>
      <c r="AED135" s="82"/>
      <c r="AEE135" s="82"/>
      <c r="AEF135" s="82"/>
      <c r="AEG135" s="82"/>
      <c r="AEH135" s="82"/>
      <c r="AEI135" s="82"/>
      <c r="AEJ135" s="82"/>
      <c r="AEK135" s="82"/>
      <c r="AEL135" s="82"/>
      <c r="AEM135" s="82"/>
      <c r="AEN135" s="82"/>
      <c r="AEO135" s="82"/>
      <c r="AEP135" s="82"/>
      <c r="AEQ135" s="82"/>
      <c r="AER135" s="82"/>
      <c r="AES135" s="82"/>
      <c r="AET135" s="82"/>
      <c r="AEU135" s="82"/>
      <c r="AEV135" s="82"/>
      <c r="AEW135" s="82"/>
      <c r="AEX135" s="82"/>
      <c r="AEY135" s="82"/>
      <c r="AEZ135" s="82"/>
      <c r="AFA135" s="82"/>
      <c r="AFB135" s="82"/>
      <c r="AFC135" s="82"/>
      <c r="AFD135" s="82"/>
      <c r="AFE135" s="82"/>
      <c r="AFF135" s="82"/>
      <c r="AFG135" s="82"/>
      <c r="AFH135" s="82"/>
      <c r="AFI135" s="82"/>
      <c r="AFJ135" s="82"/>
      <c r="AFK135" s="82"/>
      <c r="AFL135" s="82"/>
      <c r="AFM135" s="82"/>
      <c r="AFN135" s="82"/>
      <c r="AFO135" s="82"/>
      <c r="AFP135" s="82"/>
      <c r="AFQ135" s="82"/>
      <c r="AFR135" s="82"/>
      <c r="AFS135" s="82"/>
      <c r="AFT135" s="82"/>
      <c r="AFU135" s="82"/>
      <c r="AFV135" s="82"/>
      <c r="AFW135" s="82"/>
      <c r="AFX135" s="82"/>
      <c r="AFY135" s="82"/>
      <c r="AFZ135" s="82"/>
      <c r="AGA135" s="82"/>
      <c r="AGB135" s="82"/>
      <c r="AGC135" s="82"/>
      <c r="AGD135" s="82"/>
      <c r="AGE135" s="82"/>
      <c r="AGF135" s="82"/>
      <c r="AGG135" s="82"/>
      <c r="AGH135" s="82"/>
      <c r="AGI135" s="82"/>
      <c r="AGJ135" s="82"/>
      <c r="AGK135" s="82"/>
      <c r="AGL135" s="82"/>
      <c r="AGM135" s="82"/>
      <c r="AGN135" s="82"/>
      <c r="AGO135" s="82"/>
      <c r="AGP135" s="82"/>
      <c r="AGQ135" s="82"/>
      <c r="AGR135" s="82"/>
      <c r="AGS135" s="82"/>
      <c r="AGT135" s="82"/>
      <c r="AGU135" s="82"/>
      <c r="AGV135" s="82"/>
      <c r="AGW135" s="82"/>
      <c r="AGX135" s="82"/>
      <c r="AGY135" s="82"/>
      <c r="AGZ135" s="82"/>
      <c r="AHA135" s="82"/>
      <c r="AHB135" s="82"/>
      <c r="AHC135" s="82"/>
      <c r="AHD135" s="82"/>
      <c r="AHE135" s="82"/>
      <c r="AHF135" s="82"/>
      <c r="AHG135" s="82"/>
      <c r="AHH135" s="82"/>
      <c r="AHI135" s="82"/>
      <c r="AHJ135" s="82"/>
      <c r="AHK135" s="82"/>
      <c r="AHL135" s="82"/>
      <c r="AHM135" s="82"/>
      <c r="AHN135" s="82"/>
      <c r="AHO135" s="82"/>
      <c r="AHP135" s="82"/>
      <c r="AHQ135" s="82"/>
      <c r="AHR135" s="82"/>
      <c r="AHS135" s="82"/>
      <c r="AHT135" s="82"/>
      <c r="AHU135" s="82"/>
      <c r="AHV135" s="82"/>
      <c r="AHW135" s="82"/>
      <c r="AHX135" s="82"/>
      <c r="AHY135" s="82"/>
      <c r="AHZ135" s="82"/>
      <c r="AIA135" s="82"/>
      <c r="AIB135" s="82"/>
      <c r="AIC135" s="82"/>
      <c r="AID135" s="82"/>
      <c r="AIE135" s="82"/>
      <c r="AIF135" s="82"/>
      <c r="AIG135" s="82"/>
      <c r="AIH135" s="82"/>
    </row>
    <row r="136" spans="1:918" s="99" customFormat="1" ht="50.25" customHeight="1" x14ac:dyDescent="0.2">
      <c r="A136" s="98"/>
      <c r="B136" s="100" t="s">
        <v>254</v>
      </c>
      <c r="C136" s="91" t="s">
        <v>391</v>
      </c>
      <c r="D136" s="93"/>
      <c r="E136" s="93"/>
      <c r="F136" s="93"/>
      <c r="G136" s="93"/>
      <c r="H136" s="93"/>
      <c r="I136" s="93"/>
      <c r="J136" s="93">
        <v>1</v>
      </c>
      <c r="K136" s="93"/>
      <c r="L136" s="82"/>
      <c r="M136" s="82"/>
      <c r="N136" s="82"/>
      <c r="O136" s="82"/>
      <c r="P136" s="82"/>
      <c r="Q136" s="82"/>
      <c r="R136" s="82"/>
      <c r="S136" s="82"/>
      <c r="T136" s="82"/>
      <c r="U136" s="82"/>
      <c r="V136" s="82"/>
      <c r="W136" s="82"/>
      <c r="X136" s="82"/>
      <c r="Y136" s="82"/>
      <c r="Z136" s="82"/>
      <c r="AA136" s="82"/>
      <c r="AB136" s="82"/>
      <c r="AC136" s="82"/>
      <c r="AD136" s="82"/>
      <c r="AE136" s="82"/>
      <c r="AF136" s="82"/>
      <c r="AG136" s="82"/>
      <c r="AH136" s="82"/>
      <c r="AI136" s="82"/>
      <c r="AJ136" s="82"/>
      <c r="AK136" s="82"/>
      <c r="AL136" s="82"/>
      <c r="AM136" s="82"/>
      <c r="AN136" s="82"/>
      <c r="AO136" s="82"/>
      <c r="AP136" s="82"/>
      <c r="AQ136" s="82"/>
      <c r="AR136" s="82"/>
      <c r="AS136" s="82"/>
      <c r="AT136" s="82"/>
      <c r="AU136" s="82"/>
      <c r="AV136" s="82"/>
      <c r="AW136" s="82"/>
      <c r="AX136" s="82"/>
      <c r="AY136" s="82"/>
      <c r="AZ136" s="82"/>
      <c r="BA136" s="82"/>
      <c r="BB136" s="82"/>
      <c r="BC136" s="82"/>
      <c r="BD136" s="82"/>
      <c r="BE136" s="82"/>
      <c r="BF136" s="82"/>
      <c r="BG136" s="82"/>
      <c r="BH136" s="82"/>
      <c r="BI136" s="82"/>
      <c r="BJ136" s="82"/>
      <c r="BK136" s="82"/>
      <c r="BL136" s="82"/>
      <c r="BM136" s="82"/>
      <c r="BN136" s="82"/>
      <c r="BO136" s="82"/>
      <c r="BP136" s="82"/>
      <c r="BQ136" s="82"/>
      <c r="BR136" s="82"/>
      <c r="BS136" s="82"/>
      <c r="BT136" s="82"/>
      <c r="BU136" s="82"/>
      <c r="BV136" s="82"/>
      <c r="BW136" s="82"/>
      <c r="BX136" s="82"/>
      <c r="BY136" s="82"/>
      <c r="BZ136" s="82"/>
      <c r="CA136" s="82"/>
      <c r="CB136" s="82"/>
      <c r="CC136" s="82"/>
      <c r="CD136" s="82"/>
      <c r="CE136" s="82"/>
      <c r="CF136" s="82"/>
      <c r="CG136" s="82"/>
      <c r="CH136" s="82"/>
      <c r="CI136" s="82"/>
      <c r="CJ136" s="82"/>
      <c r="CK136" s="82"/>
      <c r="CL136" s="82"/>
      <c r="CM136" s="82"/>
      <c r="CN136" s="82"/>
      <c r="CO136" s="82"/>
      <c r="CP136" s="82"/>
      <c r="CQ136" s="82"/>
      <c r="CR136" s="82"/>
      <c r="CS136" s="82"/>
      <c r="CT136" s="82"/>
      <c r="CU136" s="82"/>
      <c r="CV136" s="82"/>
      <c r="CW136" s="82"/>
      <c r="CX136" s="82"/>
      <c r="CY136" s="82"/>
      <c r="CZ136" s="82"/>
      <c r="DA136" s="82"/>
      <c r="DB136" s="82"/>
      <c r="DC136" s="82"/>
      <c r="DD136" s="82"/>
      <c r="DE136" s="82"/>
      <c r="DF136" s="82"/>
      <c r="DG136" s="82"/>
      <c r="DH136" s="82"/>
      <c r="DI136" s="82"/>
      <c r="DJ136" s="82"/>
      <c r="DK136" s="82"/>
      <c r="DL136" s="82"/>
      <c r="DM136" s="82"/>
      <c r="DN136" s="82"/>
      <c r="DO136" s="82"/>
      <c r="DP136" s="82"/>
      <c r="DQ136" s="82"/>
      <c r="DR136" s="82"/>
      <c r="DS136" s="82"/>
      <c r="DT136" s="82"/>
      <c r="DU136" s="82"/>
      <c r="DV136" s="82"/>
      <c r="DW136" s="82"/>
      <c r="DX136" s="82"/>
      <c r="DY136" s="82"/>
      <c r="DZ136" s="82"/>
      <c r="EA136" s="82"/>
      <c r="EB136" s="82"/>
      <c r="EC136" s="82"/>
      <c r="ED136" s="82"/>
      <c r="EE136" s="82"/>
      <c r="EF136" s="82"/>
      <c r="EG136" s="82"/>
      <c r="EH136" s="82"/>
      <c r="EI136" s="82"/>
      <c r="EJ136" s="82"/>
      <c r="EK136" s="82"/>
      <c r="EL136" s="82"/>
      <c r="EM136" s="82"/>
      <c r="EN136" s="82"/>
      <c r="EO136" s="82"/>
      <c r="EP136" s="82"/>
      <c r="EQ136" s="82"/>
      <c r="ER136" s="82"/>
      <c r="ES136" s="82"/>
      <c r="ET136" s="82"/>
      <c r="EU136" s="82"/>
      <c r="EV136" s="82"/>
      <c r="EW136" s="82"/>
      <c r="EX136" s="82"/>
      <c r="EY136" s="82"/>
      <c r="EZ136" s="82"/>
      <c r="FA136" s="82"/>
      <c r="FB136" s="82"/>
      <c r="FC136" s="82"/>
      <c r="FD136" s="82"/>
      <c r="FE136" s="82"/>
      <c r="FF136" s="82"/>
      <c r="FG136" s="82"/>
      <c r="FH136" s="82"/>
      <c r="FI136" s="82"/>
      <c r="FJ136" s="82"/>
      <c r="FK136" s="82"/>
      <c r="FL136" s="82"/>
      <c r="FM136" s="82"/>
      <c r="FN136" s="82"/>
      <c r="FO136" s="82"/>
      <c r="FP136" s="82"/>
      <c r="FQ136" s="82"/>
      <c r="FR136" s="82"/>
      <c r="FS136" s="82"/>
      <c r="FT136" s="82"/>
      <c r="FU136" s="82"/>
      <c r="FV136" s="82"/>
      <c r="FW136" s="82"/>
      <c r="FX136" s="82"/>
      <c r="FY136" s="82"/>
      <c r="FZ136" s="82"/>
      <c r="GA136" s="82"/>
      <c r="GB136" s="82"/>
      <c r="GC136" s="82"/>
      <c r="GD136" s="82"/>
      <c r="GE136" s="82"/>
      <c r="GF136" s="82"/>
      <c r="GG136" s="82"/>
      <c r="GH136" s="82"/>
      <c r="GI136" s="82"/>
      <c r="GJ136" s="82"/>
      <c r="GK136" s="82"/>
      <c r="GL136" s="82"/>
      <c r="GM136" s="82"/>
      <c r="GN136" s="82"/>
      <c r="GO136" s="82"/>
      <c r="GP136" s="82"/>
      <c r="GQ136" s="82"/>
      <c r="GR136" s="82"/>
      <c r="GS136" s="82"/>
      <c r="GT136" s="82"/>
      <c r="GU136" s="82"/>
      <c r="GV136" s="82"/>
      <c r="GW136" s="82"/>
      <c r="GX136" s="82"/>
      <c r="GY136" s="82"/>
      <c r="GZ136" s="82"/>
      <c r="HA136" s="82"/>
      <c r="HB136" s="82"/>
      <c r="HC136" s="82"/>
      <c r="HD136" s="82"/>
      <c r="HE136" s="82"/>
      <c r="HF136" s="82"/>
      <c r="HG136" s="82"/>
      <c r="HH136" s="82"/>
      <c r="HI136" s="82"/>
      <c r="HJ136" s="82"/>
      <c r="HK136" s="82"/>
      <c r="HL136" s="82"/>
      <c r="HM136" s="82"/>
      <c r="HN136" s="82"/>
      <c r="HO136" s="82"/>
      <c r="HP136" s="82"/>
      <c r="HQ136" s="82"/>
      <c r="HR136" s="82"/>
      <c r="HS136" s="82"/>
      <c r="HT136" s="82"/>
      <c r="HU136" s="82"/>
      <c r="HV136" s="82"/>
      <c r="HW136" s="82"/>
      <c r="HX136" s="82"/>
      <c r="HY136" s="82"/>
      <c r="HZ136" s="82"/>
      <c r="IA136" s="82"/>
      <c r="IB136" s="82"/>
      <c r="IC136" s="82"/>
      <c r="ID136" s="82"/>
      <c r="IE136" s="82"/>
      <c r="IF136" s="82"/>
      <c r="IG136" s="82"/>
      <c r="IH136" s="82"/>
      <c r="II136" s="82"/>
      <c r="IJ136" s="82"/>
      <c r="IK136" s="82"/>
      <c r="IL136" s="82"/>
      <c r="IM136" s="82"/>
      <c r="IN136" s="82"/>
      <c r="IO136" s="82"/>
      <c r="IP136" s="82"/>
      <c r="IQ136" s="82"/>
      <c r="IR136" s="82"/>
      <c r="IS136" s="82"/>
      <c r="IT136" s="82"/>
      <c r="IU136" s="82"/>
      <c r="IV136" s="82"/>
      <c r="IW136" s="82"/>
      <c r="IX136" s="82"/>
      <c r="IY136" s="82"/>
      <c r="IZ136" s="82"/>
      <c r="JA136" s="82"/>
      <c r="JB136" s="82"/>
      <c r="JC136" s="82"/>
      <c r="JD136" s="82"/>
      <c r="JE136" s="82"/>
      <c r="JF136" s="82"/>
      <c r="JG136" s="82"/>
      <c r="JH136" s="82"/>
      <c r="JI136" s="82"/>
      <c r="JJ136" s="82"/>
      <c r="JK136" s="82"/>
      <c r="JL136" s="82"/>
      <c r="JM136" s="82"/>
      <c r="JN136" s="82"/>
      <c r="JO136" s="82"/>
      <c r="JP136" s="82"/>
      <c r="JQ136" s="82"/>
      <c r="JR136" s="82"/>
      <c r="JS136" s="82"/>
      <c r="JT136" s="82"/>
      <c r="JU136" s="82"/>
      <c r="JV136" s="82"/>
      <c r="JW136" s="82"/>
      <c r="JX136" s="82"/>
      <c r="JY136" s="82"/>
      <c r="JZ136" s="82"/>
      <c r="KA136" s="82"/>
      <c r="KB136" s="82"/>
      <c r="KC136" s="82"/>
      <c r="KD136" s="82"/>
      <c r="KE136" s="82"/>
      <c r="KF136" s="82"/>
      <c r="KG136" s="82"/>
      <c r="KH136" s="82"/>
      <c r="KI136" s="82"/>
      <c r="KJ136" s="82"/>
      <c r="KK136" s="82"/>
      <c r="KL136" s="82"/>
      <c r="KM136" s="82"/>
      <c r="KN136" s="82"/>
      <c r="KO136" s="82"/>
      <c r="KP136" s="82"/>
      <c r="KQ136" s="82"/>
      <c r="KR136" s="82"/>
      <c r="KS136" s="82"/>
      <c r="KT136" s="82"/>
      <c r="KU136" s="82"/>
      <c r="KV136" s="82"/>
      <c r="KW136" s="82"/>
      <c r="KX136" s="82"/>
      <c r="KY136" s="82"/>
      <c r="KZ136" s="82"/>
      <c r="LA136" s="82"/>
      <c r="LB136" s="82"/>
      <c r="LC136" s="82"/>
      <c r="LD136" s="82"/>
      <c r="LE136" s="82"/>
      <c r="LF136" s="82"/>
      <c r="LG136" s="82"/>
      <c r="LH136" s="82"/>
      <c r="LI136" s="82"/>
      <c r="LJ136" s="82"/>
      <c r="LK136" s="82"/>
      <c r="LL136" s="82"/>
      <c r="LM136" s="82"/>
      <c r="LN136" s="82"/>
      <c r="LO136" s="82"/>
      <c r="LP136" s="82"/>
      <c r="LQ136" s="82"/>
      <c r="LR136" s="82"/>
      <c r="LS136" s="82"/>
      <c r="LT136" s="82"/>
      <c r="LU136" s="82"/>
      <c r="LV136" s="82"/>
      <c r="LW136" s="82"/>
      <c r="LX136" s="82"/>
      <c r="LY136" s="82"/>
      <c r="LZ136" s="82"/>
      <c r="MA136" s="82"/>
      <c r="MB136" s="82"/>
      <c r="MC136" s="82"/>
      <c r="MD136" s="82"/>
      <c r="ME136" s="82"/>
      <c r="MF136" s="82"/>
      <c r="MG136" s="82"/>
      <c r="MH136" s="82"/>
      <c r="MI136" s="82"/>
      <c r="MJ136" s="82"/>
      <c r="MK136" s="82"/>
      <c r="ML136" s="82"/>
      <c r="MM136" s="82"/>
      <c r="MN136" s="82"/>
      <c r="MO136" s="82"/>
      <c r="MP136" s="82"/>
      <c r="MQ136" s="82"/>
      <c r="MR136" s="82"/>
      <c r="MS136" s="82"/>
      <c r="MT136" s="82"/>
      <c r="MU136" s="82"/>
      <c r="MV136" s="82"/>
      <c r="MW136" s="82"/>
      <c r="MX136" s="82"/>
      <c r="MY136" s="82"/>
      <c r="MZ136" s="82"/>
      <c r="NA136" s="82"/>
      <c r="NB136" s="82"/>
      <c r="NC136" s="82"/>
      <c r="ND136" s="82"/>
      <c r="NE136" s="82"/>
      <c r="NF136" s="82"/>
      <c r="NG136" s="82"/>
      <c r="NH136" s="82"/>
      <c r="NI136" s="82"/>
      <c r="NJ136" s="82"/>
      <c r="NK136" s="82"/>
      <c r="NL136" s="82"/>
      <c r="NM136" s="82"/>
      <c r="NN136" s="82"/>
      <c r="NO136" s="82"/>
      <c r="NP136" s="82"/>
      <c r="NQ136" s="82"/>
      <c r="NR136" s="82"/>
      <c r="NS136" s="82"/>
      <c r="NT136" s="82"/>
      <c r="NU136" s="82"/>
      <c r="NV136" s="82"/>
      <c r="NW136" s="82"/>
      <c r="NX136" s="82"/>
      <c r="NY136" s="82"/>
      <c r="NZ136" s="82"/>
      <c r="OA136" s="82"/>
      <c r="OB136" s="82"/>
      <c r="OC136" s="82"/>
      <c r="OD136" s="82"/>
      <c r="OE136" s="82"/>
      <c r="OF136" s="82"/>
      <c r="OG136" s="82"/>
      <c r="OH136" s="82"/>
      <c r="OI136" s="82"/>
      <c r="OJ136" s="82"/>
      <c r="OK136" s="82"/>
      <c r="OL136" s="82"/>
      <c r="OM136" s="82"/>
      <c r="ON136" s="82"/>
      <c r="OO136" s="82"/>
      <c r="OP136" s="82"/>
      <c r="OQ136" s="82"/>
      <c r="OR136" s="82"/>
      <c r="OS136" s="82"/>
      <c r="OT136" s="82"/>
      <c r="OU136" s="82"/>
      <c r="OV136" s="82"/>
      <c r="OW136" s="82"/>
      <c r="OX136" s="82"/>
      <c r="OY136" s="82"/>
      <c r="OZ136" s="82"/>
      <c r="PA136" s="82"/>
      <c r="PB136" s="82"/>
      <c r="PC136" s="82"/>
      <c r="PD136" s="82"/>
      <c r="PE136" s="82"/>
      <c r="PF136" s="82"/>
      <c r="PG136" s="82"/>
      <c r="PH136" s="82"/>
      <c r="PI136" s="82"/>
      <c r="PJ136" s="82"/>
      <c r="PK136" s="82"/>
      <c r="PL136" s="82"/>
      <c r="PM136" s="82"/>
      <c r="PN136" s="82"/>
      <c r="PO136" s="82"/>
      <c r="PP136" s="82"/>
      <c r="PQ136" s="82"/>
      <c r="PR136" s="82"/>
      <c r="PS136" s="82"/>
      <c r="PT136" s="82"/>
      <c r="PU136" s="82"/>
      <c r="PV136" s="82"/>
      <c r="PW136" s="82"/>
      <c r="PX136" s="82"/>
      <c r="PY136" s="82"/>
      <c r="PZ136" s="82"/>
      <c r="QA136" s="82"/>
      <c r="QB136" s="82"/>
      <c r="QC136" s="82"/>
      <c r="QD136" s="82"/>
      <c r="QE136" s="82"/>
      <c r="QF136" s="82"/>
      <c r="QG136" s="82"/>
      <c r="QH136" s="82"/>
      <c r="QI136" s="82"/>
      <c r="QJ136" s="82"/>
      <c r="QK136" s="82"/>
      <c r="QL136" s="82"/>
      <c r="QM136" s="82"/>
      <c r="QN136" s="82"/>
      <c r="QO136" s="82"/>
      <c r="QP136" s="82"/>
      <c r="QQ136" s="82"/>
      <c r="QR136" s="82"/>
      <c r="QS136" s="82"/>
      <c r="QT136" s="82"/>
      <c r="QU136" s="82"/>
      <c r="QV136" s="82"/>
      <c r="QW136" s="82"/>
      <c r="QX136" s="82"/>
      <c r="QY136" s="82"/>
      <c r="QZ136" s="82"/>
      <c r="RA136" s="82"/>
      <c r="RB136" s="82"/>
      <c r="RC136" s="82"/>
      <c r="RD136" s="82"/>
      <c r="RE136" s="82"/>
      <c r="RF136" s="82"/>
      <c r="RG136" s="82"/>
      <c r="RH136" s="82"/>
      <c r="RI136" s="82"/>
      <c r="RJ136" s="82"/>
      <c r="RK136" s="82"/>
      <c r="RL136" s="82"/>
      <c r="RM136" s="82"/>
      <c r="RN136" s="82"/>
      <c r="RO136" s="82"/>
      <c r="RP136" s="82"/>
      <c r="RQ136" s="82"/>
      <c r="RR136" s="82"/>
      <c r="RS136" s="82"/>
      <c r="RT136" s="82"/>
      <c r="RU136" s="82"/>
      <c r="RV136" s="82"/>
      <c r="RW136" s="82"/>
      <c r="RX136" s="82"/>
      <c r="RY136" s="82"/>
      <c r="RZ136" s="82"/>
      <c r="SA136" s="82"/>
      <c r="SB136" s="82"/>
      <c r="SC136" s="82"/>
      <c r="SD136" s="82"/>
      <c r="SE136" s="82"/>
      <c r="SF136" s="82"/>
      <c r="SG136" s="82"/>
      <c r="SH136" s="82"/>
      <c r="SI136" s="82"/>
      <c r="SJ136" s="82"/>
      <c r="SK136" s="82"/>
      <c r="SL136" s="82"/>
      <c r="SM136" s="82"/>
      <c r="SN136" s="82"/>
      <c r="SO136" s="82"/>
      <c r="SP136" s="82"/>
      <c r="SQ136" s="82"/>
      <c r="SR136" s="82"/>
      <c r="SS136" s="82"/>
      <c r="ST136" s="82"/>
      <c r="SU136" s="82"/>
      <c r="SV136" s="82"/>
      <c r="SW136" s="82"/>
      <c r="SX136" s="82"/>
      <c r="SY136" s="82"/>
      <c r="SZ136" s="82"/>
      <c r="TA136" s="82"/>
      <c r="TB136" s="82"/>
      <c r="TC136" s="82"/>
      <c r="TD136" s="82"/>
      <c r="TE136" s="82"/>
      <c r="TF136" s="82"/>
      <c r="TG136" s="82"/>
      <c r="TH136" s="82"/>
      <c r="TI136" s="82"/>
      <c r="TJ136" s="82"/>
      <c r="TK136" s="82"/>
      <c r="TL136" s="82"/>
      <c r="TM136" s="82"/>
      <c r="TN136" s="82"/>
      <c r="TO136" s="82"/>
      <c r="TP136" s="82"/>
      <c r="TQ136" s="82"/>
      <c r="TR136" s="82"/>
      <c r="TS136" s="82"/>
      <c r="TT136" s="82"/>
      <c r="TU136" s="82"/>
      <c r="TV136" s="82"/>
      <c r="TW136" s="82"/>
      <c r="TX136" s="82"/>
      <c r="TY136" s="82"/>
      <c r="TZ136" s="82"/>
      <c r="UA136" s="82"/>
      <c r="UB136" s="82"/>
      <c r="UC136" s="82"/>
      <c r="UD136" s="82"/>
      <c r="UE136" s="82"/>
      <c r="UF136" s="82"/>
      <c r="UG136" s="82"/>
      <c r="UH136" s="82"/>
      <c r="UI136" s="82"/>
      <c r="UJ136" s="82"/>
      <c r="UK136" s="82"/>
      <c r="UL136" s="82"/>
      <c r="UM136" s="82"/>
      <c r="UN136" s="82"/>
      <c r="UO136" s="82"/>
      <c r="UP136" s="82"/>
      <c r="UQ136" s="82"/>
      <c r="UR136" s="82"/>
      <c r="US136" s="82"/>
      <c r="UT136" s="82"/>
      <c r="UU136" s="82"/>
      <c r="UV136" s="82"/>
      <c r="UW136" s="82"/>
      <c r="UX136" s="82"/>
      <c r="UY136" s="82"/>
      <c r="UZ136" s="82"/>
      <c r="VA136" s="82"/>
      <c r="VB136" s="82"/>
      <c r="VC136" s="82"/>
      <c r="VD136" s="82"/>
      <c r="VE136" s="82"/>
      <c r="VF136" s="82"/>
      <c r="VG136" s="82"/>
      <c r="VH136" s="82"/>
      <c r="VI136" s="82"/>
      <c r="VJ136" s="82"/>
      <c r="VK136" s="82"/>
      <c r="VL136" s="82"/>
      <c r="VM136" s="82"/>
      <c r="VN136" s="82"/>
      <c r="VO136" s="82"/>
      <c r="VP136" s="82"/>
      <c r="VQ136" s="82"/>
      <c r="VR136" s="82"/>
      <c r="VS136" s="82"/>
      <c r="VT136" s="82"/>
      <c r="VU136" s="82"/>
      <c r="VV136" s="82"/>
      <c r="VW136" s="82"/>
      <c r="VX136" s="82"/>
      <c r="VY136" s="82"/>
      <c r="VZ136" s="82"/>
      <c r="WA136" s="82"/>
      <c r="WB136" s="82"/>
      <c r="WC136" s="82"/>
      <c r="WD136" s="82"/>
      <c r="WE136" s="82"/>
      <c r="WF136" s="82"/>
      <c r="WG136" s="82"/>
      <c r="WH136" s="82"/>
      <c r="WI136" s="82"/>
      <c r="WJ136" s="82"/>
      <c r="WK136" s="82"/>
      <c r="WL136" s="82"/>
      <c r="WM136" s="82"/>
      <c r="WN136" s="82"/>
      <c r="WO136" s="82"/>
      <c r="WP136" s="82"/>
      <c r="WQ136" s="82"/>
      <c r="WR136" s="82"/>
      <c r="WS136" s="82"/>
      <c r="WT136" s="82"/>
      <c r="WU136" s="82"/>
      <c r="WV136" s="82"/>
      <c r="WW136" s="82"/>
      <c r="WX136" s="82"/>
      <c r="WY136" s="82"/>
      <c r="WZ136" s="82"/>
      <c r="XA136" s="82"/>
      <c r="XB136" s="82"/>
      <c r="XC136" s="82"/>
      <c r="XD136" s="82"/>
      <c r="XE136" s="82"/>
      <c r="XF136" s="82"/>
      <c r="XG136" s="82"/>
      <c r="XH136" s="82"/>
      <c r="XI136" s="82"/>
      <c r="XJ136" s="82"/>
      <c r="XK136" s="82"/>
      <c r="XL136" s="82"/>
      <c r="XM136" s="82"/>
      <c r="XN136" s="82"/>
      <c r="XO136" s="82"/>
      <c r="XP136" s="82"/>
      <c r="XQ136" s="82"/>
      <c r="XR136" s="82"/>
      <c r="XS136" s="82"/>
      <c r="XT136" s="82"/>
      <c r="XU136" s="82"/>
      <c r="XV136" s="82"/>
      <c r="XW136" s="82"/>
      <c r="XX136" s="82"/>
      <c r="XY136" s="82"/>
      <c r="XZ136" s="82"/>
      <c r="YA136" s="82"/>
      <c r="YB136" s="82"/>
      <c r="YC136" s="82"/>
      <c r="YD136" s="82"/>
      <c r="YE136" s="82"/>
      <c r="YF136" s="82"/>
      <c r="YG136" s="82"/>
      <c r="YH136" s="82"/>
      <c r="YI136" s="82"/>
      <c r="YJ136" s="82"/>
      <c r="YK136" s="82"/>
      <c r="YL136" s="82"/>
      <c r="YM136" s="82"/>
      <c r="YN136" s="82"/>
      <c r="YO136" s="82"/>
      <c r="YP136" s="82"/>
      <c r="YQ136" s="82"/>
      <c r="YR136" s="82"/>
      <c r="YS136" s="82"/>
      <c r="YT136" s="82"/>
      <c r="YU136" s="82"/>
      <c r="YV136" s="82"/>
      <c r="YW136" s="82"/>
      <c r="YX136" s="82"/>
      <c r="YY136" s="82"/>
      <c r="YZ136" s="82"/>
      <c r="ZA136" s="82"/>
      <c r="ZB136" s="82"/>
      <c r="ZC136" s="82"/>
      <c r="ZD136" s="82"/>
      <c r="ZE136" s="82"/>
      <c r="ZF136" s="82"/>
      <c r="ZG136" s="82"/>
      <c r="ZH136" s="82"/>
      <c r="ZI136" s="82"/>
      <c r="ZJ136" s="82"/>
      <c r="ZK136" s="82"/>
      <c r="ZL136" s="82"/>
      <c r="ZM136" s="82"/>
      <c r="ZN136" s="82"/>
      <c r="ZO136" s="82"/>
      <c r="ZP136" s="82"/>
      <c r="ZQ136" s="82"/>
      <c r="ZR136" s="82"/>
      <c r="ZS136" s="82"/>
      <c r="ZT136" s="82"/>
      <c r="ZU136" s="82"/>
      <c r="ZV136" s="82"/>
      <c r="ZW136" s="82"/>
      <c r="ZX136" s="82"/>
      <c r="ZY136" s="82"/>
      <c r="ZZ136" s="82"/>
      <c r="AAA136" s="82"/>
      <c r="AAB136" s="82"/>
      <c r="AAC136" s="82"/>
      <c r="AAD136" s="82"/>
      <c r="AAE136" s="82"/>
      <c r="AAF136" s="82"/>
      <c r="AAG136" s="82"/>
      <c r="AAH136" s="82"/>
      <c r="AAI136" s="82"/>
      <c r="AAJ136" s="82"/>
      <c r="AAK136" s="82"/>
      <c r="AAL136" s="82"/>
      <c r="AAM136" s="82"/>
      <c r="AAN136" s="82"/>
      <c r="AAO136" s="82"/>
      <c r="AAP136" s="82"/>
      <c r="AAQ136" s="82"/>
      <c r="AAR136" s="82"/>
      <c r="AAS136" s="82"/>
      <c r="AAT136" s="82"/>
      <c r="AAU136" s="82"/>
      <c r="AAV136" s="82"/>
      <c r="AAW136" s="82"/>
      <c r="AAX136" s="82"/>
      <c r="AAY136" s="82"/>
      <c r="AAZ136" s="82"/>
      <c r="ABA136" s="82"/>
      <c r="ABB136" s="82"/>
      <c r="ABC136" s="82"/>
      <c r="ABD136" s="82"/>
      <c r="ABE136" s="82"/>
      <c r="ABF136" s="82"/>
      <c r="ABG136" s="82"/>
      <c r="ABH136" s="82"/>
      <c r="ABI136" s="82"/>
      <c r="ABJ136" s="82"/>
      <c r="ABK136" s="82"/>
      <c r="ABL136" s="82"/>
      <c r="ABM136" s="82"/>
      <c r="ABN136" s="82"/>
      <c r="ABO136" s="82"/>
      <c r="ABP136" s="82"/>
      <c r="ABQ136" s="82"/>
      <c r="ABR136" s="82"/>
      <c r="ABS136" s="82"/>
      <c r="ABT136" s="82"/>
      <c r="ABU136" s="82"/>
      <c r="ABV136" s="82"/>
      <c r="ABW136" s="82"/>
      <c r="ABX136" s="82"/>
      <c r="ABY136" s="82"/>
      <c r="ABZ136" s="82"/>
      <c r="ACA136" s="82"/>
      <c r="ACB136" s="82"/>
      <c r="ACC136" s="82"/>
      <c r="ACD136" s="82"/>
      <c r="ACE136" s="82"/>
      <c r="ACF136" s="82"/>
      <c r="ACG136" s="82"/>
      <c r="ACH136" s="82"/>
      <c r="ACI136" s="82"/>
      <c r="ACJ136" s="82"/>
      <c r="ACK136" s="82"/>
      <c r="ACL136" s="82"/>
      <c r="ACM136" s="82"/>
      <c r="ACN136" s="82"/>
      <c r="ACO136" s="82"/>
      <c r="ACP136" s="82"/>
      <c r="ACQ136" s="82"/>
      <c r="ACR136" s="82"/>
      <c r="ACS136" s="82"/>
      <c r="ACT136" s="82"/>
      <c r="ACU136" s="82"/>
      <c r="ACV136" s="82"/>
      <c r="ACW136" s="82"/>
      <c r="ACX136" s="82"/>
      <c r="ACY136" s="82"/>
      <c r="ACZ136" s="82"/>
      <c r="ADA136" s="82"/>
      <c r="ADB136" s="82"/>
      <c r="ADC136" s="82"/>
      <c r="ADD136" s="82"/>
      <c r="ADE136" s="82"/>
      <c r="ADF136" s="82"/>
      <c r="ADG136" s="82"/>
      <c r="ADH136" s="82"/>
      <c r="ADI136" s="82"/>
      <c r="ADJ136" s="82"/>
      <c r="ADK136" s="82"/>
      <c r="ADL136" s="82"/>
      <c r="ADM136" s="82"/>
      <c r="ADN136" s="82"/>
      <c r="ADO136" s="82"/>
      <c r="ADP136" s="82"/>
      <c r="ADQ136" s="82"/>
      <c r="ADR136" s="82"/>
      <c r="ADS136" s="82"/>
      <c r="ADT136" s="82"/>
      <c r="ADU136" s="82"/>
      <c r="ADV136" s="82"/>
      <c r="ADW136" s="82"/>
      <c r="ADX136" s="82"/>
      <c r="ADY136" s="82"/>
      <c r="ADZ136" s="82"/>
      <c r="AEA136" s="82"/>
      <c r="AEB136" s="82"/>
      <c r="AEC136" s="82"/>
      <c r="AED136" s="82"/>
      <c r="AEE136" s="82"/>
      <c r="AEF136" s="82"/>
      <c r="AEG136" s="82"/>
      <c r="AEH136" s="82"/>
      <c r="AEI136" s="82"/>
      <c r="AEJ136" s="82"/>
      <c r="AEK136" s="82"/>
      <c r="AEL136" s="82"/>
      <c r="AEM136" s="82"/>
      <c r="AEN136" s="82"/>
      <c r="AEO136" s="82"/>
      <c r="AEP136" s="82"/>
      <c r="AEQ136" s="82"/>
      <c r="AER136" s="82"/>
      <c r="AES136" s="82"/>
      <c r="AET136" s="82"/>
      <c r="AEU136" s="82"/>
      <c r="AEV136" s="82"/>
      <c r="AEW136" s="82"/>
      <c r="AEX136" s="82"/>
      <c r="AEY136" s="82"/>
      <c r="AEZ136" s="82"/>
      <c r="AFA136" s="82"/>
      <c r="AFB136" s="82"/>
      <c r="AFC136" s="82"/>
      <c r="AFD136" s="82"/>
      <c r="AFE136" s="82"/>
      <c r="AFF136" s="82"/>
      <c r="AFG136" s="82"/>
      <c r="AFH136" s="82"/>
      <c r="AFI136" s="82"/>
      <c r="AFJ136" s="82"/>
      <c r="AFK136" s="82"/>
      <c r="AFL136" s="82"/>
      <c r="AFM136" s="82"/>
      <c r="AFN136" s="82"/>
      <c r="AFO136" s="82"/>
      <c r="AFP136" s="82"/>
      <c r="AFQ136" s="82"/>
      <c r="AFR136" s="82"/>
      <c r="AFS136" s="82"/>
      <c r="AFT136" s="82"/>
      <c r="AFU136" s="82"/>
      <c r="AFV136" s="82"/>
      <c r="AFW136" s="82"/>
      <c r="AFX136" s="82"/>
      <c r="AFY136" s="82"/>
      <c r="AFZ136" s="82"/>
      <c r="AGA136" s="82"/>
      <c r="AGB136" s="82"/>
      <c r="AGC136" s="82"/>
      <c r="AGD136" s="82"/>
      <c r="AGE136" s="82"/>
      <c r="AGF136" s="82"/>
      <c r="AGG136" s="82"/>
      <c r="AGH136" s="82"/>
      <c r="AGI136" s="82"/>
      <c r="AGJ136" s="82"/>
      <c r="AGK136" s="82"/>
      <c r="AGL136" s="82"/>
      <c r="AGM136" s="82"/>
      <c r="AGN136" s="82"/>
      <c r="AGO136" s="82"/>
      <c r="AGP136" s="82"/>
      <c r="AGQ136" s="82"/>
      <c r="AGR136" s="82"/>
      <c r="AGS136" s="82"/>
      <c r="AGT136" s="82"/>
      <c r="AGU136" s="82"/>
      <c r="AGV136" s="82"/>
      <c r="AGW136" s="82"/>
      <c r="AGX136" s="82"/>
      <c r="AGY136" s="82"/>
      <c r="AGZ136" s="82"/>
      <c r="AHA136" s="82"/>
      <c r="AHB136" s="82"/>
      <c r="AHC136" s="82"/>
      <c r="AHD136" s="82"/>
      <c r="AHE136" s="82"/>
      <c r="AHF136" s="82"/>
      <c r="AHG136" s="82"/>
      <c r="AHH136" s="82"/>
      <c r="AHI136" s="82"/>
      <c r="AHJ136" s="82"/>
      <c r="AHK136" s="82"/>
      <c r="AHL136" s="82"/>
      <c r="AHM136" s="82"/>
      <c r="AHN136" s="82"/>
      <c r="AHO136" s="82"/>
      <c r="AHP136" s="82"/>
      <c r="AHQ136" s="82"/>
      <c r="AHR136" s="82"/>
      <c r="AHS136" s="82"/>
      <c r="AHT136" s="82"/>
      <c r="AHU136" s="82"/>
      <c r="AHV136" s="82"/>
      <c r="AHW136" s="82"/>
      <c r="AHX136" s="82"/>
      <c r="AHY136" s="82"/>
      <c r="AHZ136" s="82"/>
      <c r="AIA136" s="82"/>
      <c r="AIB136" s="82"/>
      <c r="AIC136" s="82"/>
      <c r="AID136" s="82"/>
      <c r="AIE136" s="82"/>
      <c r="AIF136" s="82"/>
      <c r="AIG136" s="82"/>
      <c r="AIH136" s="82"/>
    </row>
    <row r="137" spans="1:918" s="99" customFormat="1" ht="56.25" x14ac:dyDescent="0.2">
      <c r="A137" s="98"/>
      <c r="B137" s="100" t="s">
        <v>255</v>
      </c>
      <c r="C137" s="91" t="s">
        <v>355</v>
      </c>
      <c r="D137" s="93"/>
      <c r="E137" s="93"/>
      <c r="F137" s="93"/>
      <c r="G137" s="93"/>
      <c r="H137" s="93"/>
      <c r="I137" s="93"/>
      <c r="J137" s="93">
        <v>1</v>
      </c>
      <c r="K137" s="93"/>
      <c r="L137" s="82"/>
      <c r="M137" s="82"/>
      <c r="N137" s="82"/>
      <c r="O137" s="82"/>
      <c r="P137" s="82"/>
      <c r="Q137" s="82"/>
      <c r="R137" s="82"/>
      <c r="S137" s="82"/>
      <c r="T137" s="82"/>
      <c r="U137" s="82"/>
      <c r="V137" s="82"/>
      <c r="W137" s="82"/>
      <c r="X137" s="82"/>
      <c r="Y137" s="82"/>
      <c r="Z137" s="82"/>
      <c r="AA137" s="82"/>
      <c r="AB137" s="82"/>
      <c r="AC137" s="82"/>
      <c r="AD137" s="82"/>
      <c r="AE137" s="82"/>
      <c r="AF137" s="82"/>
      <c r="AG137" s="82"/>
      <c r="AH137" s="82"/>
      <c r="AI137" s="82"/>
      <c r="AJ137" s="82"/>
      <c r="AK137" s="82"/>
      <c r="AL137" s="82"/>
      <c r="AM137" s="82"/>
      <c r="AN137" s="82"/>
      <c r="AO137" s="82"/>
      <c r="AP137" s="82"/>
      <c r="AQ137" s="82"/>
      <c r="AR137" s="82"/>
      <c r="AS137" s="82"/>
      <c r="AT137" s="82"/>
      <c r="AU137" s="82"/>
      <c r="AV137" s="82"/>
      <c r="AW137" s="82"/>
      <c r="AX137" s="82"/>
      <c r="AY137" s="82"/>
      <c r="AZ137" s="82"/>
      <c r="BA137" s="82"/>
      <c r="BB137" s="82"/>
      <c r="BC137" s="82"/>
      <c r="BD137" s="82"/>
      <c r="BE137" s="82"/>
      <c r="BF137" s="82"/>
      <c r="BG137" s="82"/>
      <c r="BH137" s="82"/>
      <c r="BI137" s="82"/>
      <c r="BJ137" s="82"/>
      <c r="BK137" s="82"/>
      <c r="BL137" s="82"/>
      <c r="BM137" s="82"/>
      <c r="BN137" s="82"/>
      <c r="BO137" s="82"/>
      <c r="BP137" s="82"/>
      <c r="BQ137" s="82"/>
      <c r="BR137" s="82"/>
      <c r="BS137" s="82"/>
      <c r="BT137" s="82"/>
      <c r="BU137" s="82"/>
      <c r="BV137" s="82"/>
      <c r="BW137" s="82"/>
      <c r="BX137" s="82"/>
      <c r="BY137" s="82"/>
      <c r="BZ137" s="82"/>
      <c r="CA137" s="82"/>
      <c r="CB137" s="82"/>
      <c r="CC137" s="82"/>
      <c r="CD137" s="82"/>
      <c r="CE137" s="82"/>
      <c r="CF137" s="82"/>
      <c r="CG137" s="82"/>
      <c r="CH137" s="82"/>
      <c r="CI137" s="82"/>
      <c r="CJ137" s="82"/>
      <c r="CK137" s="82"/>
      <c r="CL137" s="82"/>
      <c r="CM137" s="82"/>
      <c r="CN137" s="82"/>
      <c r="CO137" s="82"/>
      <c r="CP137" s="82"/>
      <c r="CQ137" s="82"/>
      <c r="CR137" s="82"/>
      <c r="CS137" s="82"/>
      <c r="CT137" s="82"/>
      <c r="CU137" s="82"/>
      <c r="CV137" s="82"/>
      <c r="CW137" s="82"/>
      <c r="CX137" s="82"/>
      <c r="CY137" s="82"/>
      <c r="CZ137" s="82"/>
      <c r="DA137" s="82"/>
      <c r="DB137" s="82"/>
      <c r="DC137" s="82"/>
      <c r="DD137" s="82"/>
      <c r="DE137" s="82"/>
      <c r="DF137" s="82"/>
      <c r="DG137" s="82"/>
      <c r="DH137" s="82"/>
      <c r="DI137" s="82"/>
      <c r="DJ137" s="82"/>
      <c r="DK137" s="82"/>
      <c r="DL137" s="82"/>
      <c r="DM137" s="82"/>
      <c r="DN137" s="82"/>
      <c r="DO137" s="82"/>
      <c r="DP137" s="82"/>
      <c r="DQ137" s="82"/>
      <c r="DR137" s="82"/>
      <c r="DS137" s="82"/>
      <c r="DT137" s="82"/>
      <c r="DU137" s="82"/>
      <c r="DV137" s="82"/>
      <c r="DW137" s="82"/>
      <c r="DX137" s="82"/>
      <c r="DY137" s="82"/>
      <c r="DZ137" s="82"/>
      <c r="EA137" s="82"/>
      <c r="EB137" s="82"/>
      <c r="EC137" s="82"/>
      <c r="ED137" s="82"/>
      <c r="EE137" s="82"/>
      <c r="EF137" s="82"/>
      <c r="EG137" s="82"/>
      <c r="EH137" s="82"/>
      <c r="EI137" s="82"/>
      <c r="EJ137" s="82"/>
      <c r="EK137" s="82"/>
      <c r="EL137" s="82"/>
      <c r="EM137" s="82"/>
      <c r="EN137" s="82"/>
      <c r="EO137" s="82"/>
      <c r="EP137" s="82"/>
      <c r="EQ137" s="82"/>
      <c r="ER137" s="82"/>
      <c r="ES137" s="82"/>
      <c r="ET137" s="82"/>
      <c r="EU137" s="82"/>
      <c r="EV137" s="82"/>
      <c r="EW137" s="82"/>
      <c r="EX137" s="82"/>
      <c r="EY137" s="82"/>
      <c r="EZ137" s="82"/>
      <c r="FA137" s="82"/>
      <c r="FB137" s="82"/>
      <c r="FC137" s="82"/>
      <c r="FD137" s="82"/>
      <c r="FE137" s="82"/>
      <c r="FF137" s="82"/>
      <c r="FG137" s="82"/>
      <c r="FH137" s="82"/>
      <c r="FI137" s="82"/>
      <c r="FJ137" s="82"/>
      <c r="FK137" s="82"/>
      <c r="FL137" s="82"/>
      <c r="FM137" s="82"/>
      <c r="FN137" s="82"/>
      <c r="FO137" s="82"/>
      <c r="FP137" s="82"/>
      <c r="FQ137" s="82"/>
      <c r="FR137" s="82"/>
      <c r="FS137" s="82"/>
      <c r="FT137" s="82"/>
      <c r="FU137" s="82"/>
      <c r="FV137" s="82"/>
      <c r="FW137" s="82"/>
      <c r="FX137" s="82"/>
      <c r="FY137" s="82"/>
      <c r="FZ137" s="82"/>
      <c r="GA137" s="82"/>
      <c r="GB137" s="82"/>
      <c r="GC137" s="82"/>
      <c r="GD137" s="82"/>
      <c r="GE137" s="82"/>
      <c r="GF137" s="82"/>
      <c r="GG137" s="82"/>
      <c r="GH137" s="82"/>
      <c r="GI137" s="82"/>
      <c r="GJ137" s="82"/>
      <c r="GK137" s="82"/>
      <c r="GL137" s="82"/>
      <c r="GM137" s="82"/>
      <c r="GN137" s="82"/>
      <c r="GO137" s="82"/>
      <c r="GP137" s="82"/>
      <c r="GQ137" s="82"/>
      <c r="GR137" s="82"/>
      <c r="GS137" s="82"/>
      <c r="GT137" s="82"/>
      <c r="GU137" s="82"/>
      <c r="GV137" s="82"/>
      <c r="GW137" s="82"/>
      <c r="GX137" s="82"/>
      <c r="GY137" s="82"/>
      <c r="GZ137" s="82"/>
      <c r="HA137" s="82"/>
      <c r="HB137" s="82"/>
      <c r="HC137" s="82"/>
      <c r="HD137" s="82"/>
      <c r="HE137" s="82"/>
      <c r="HF137" s="82"/>
      <c r="HG137" s="82"/>
      <c r="HH137" s="82"/>
      <c r="HI137" s="82"/>
      <c r="HJ137" s="82"/>
      <c r="HK137" s="82"/>
      <c r="HL137" s="82"/>
      <c r="HM137" s="82"/>
      <c r="HN137" s="82"/>
      <c r="HO137" s="82"/>
      <c r="HP137" s="82"/>
      <c r="HQ137" s="82"/>
      <c r="HR137" s="82"/>
      <c r="HS137" s="82"/>
      <c r="HT137" s="82"/>
      <c r="HU137" s="82"/>
      <c r="HV137" s="82"/>
      <c r="HW137" s="82"/>
      <c r="HX137" s="82"/>
      <c r="HY137" s="82"/>
      <c r="HZ137" s="82"/>
      <c r="IA137" s="82"/>
      <c r="IB137" s="82"/>
      <c r="IC137" s="82"/>
      <c r="ID137" s="82"/>
      <c r="IE137" s="82"/>
      <c r="IF137" s="82"/>
      <c r="IG137" s="82"/>
      <c r="IH137" s="82"/>
      <c r="II137" s="82"/>
      <c r="IJ137" s="82"/>
      <c r="IK137" s="82"/>
      <c r="IL137" s="82"/>
      <c r="IM137" s="82"/>
      <c r="IN137" s="82"/>
      <c r="IO137" s="82"/>
      <c r="IP137" s="82"/>
      <c r="IQ137" s="82"/>
      <c r="IR137" s="82"/>
      <c r="IS137" s="82"/>
      <c r="IT137" s="82"/>
      <c r="IU137" s="82"/>
      <c r="IV137" s="82"/>
      <c r="IW137" s="82"/>
      <c r="IX137" s="82"/>
      <c r="IY137" s="82"/>
      <c r="IZ137" s="82"/>
      <c r="JA137" s="82"/>
      <c r="JB137" s="82"/>
      <c r="JC137" s="82"/>
      <c r="JD137" s="82"/>
      <c r="JE137" s="82"/>
      <c r="JF137" s="82"/>
      <c r="JG137" s="82"/>
      <c r="JH137" s="82"/>
      <c r="JI137" s="82"/>
      <c r="JJ137" s="82"/>
      <c r="JK137" s="82"/>
      <c r="JL137" s="82"/>
      <c r="JM137" s="82"/>
      <c r="JN137" s="82"/>
      <c r="JO137" s="82"/>
      <c r="JP137" s="82"/>
      <c r="JQ137" s="82"/>
      <c r="JR137" s="82"/>
      <c r="JS137" s="82"/>
      <c r="JT137" s="82"/>
      <c r="JU137" s="82"/>
      <c r="JV137" s="82"/>
      <c r="JW137" s="82"/>
      <c r="JX137" s="82"/>
      <c r="JY137" s="82"/>
      <c r="JZ137" s="82"/>
      <c r="KA137" s="82"/>
      <c r="KB137" s="82"/>
      <c r="KC137" s="82"/>
      <c r="KD137" s="82"/>
      <c r="KE137" s="82"/>
      <c r="KF137" s="82"/>
      <c r="KG137" s="82"/>
      <c r="KH137" s="82"/>
      <c r="KI137" s="82"/>
      <c r="KJ137" s="82"/>
      <c r="KK137" s="82"/>
      <c r="KL137" s="82"/>
      <c r="KM137" s="82"/>
      <c r="KN137" s="82"/>
      <c r="KO137" s="82"/>
      <c r="KP137" s="82"/>
      <c r="KQ137" s="82"/>
      <c r="KR137" s="82"/>
      <c r="KS137" s="82"/>
      <c r="KT137" s="82"/>
      <c r="KU137" s="82"/>
      <c r="KV137" s="82"/>
      <c r="KW137" s="82"/>
      <c r="KX137" s="82"/>
      <c r="KY137" s="82"/>
      <c r="KZ137" s="82"/>
      <c r="LA137" s="82"/>
      <c r="LB137" s="82"/>
      <c r="LC137" s="82"/>
      <c r="LD137" s="82"/>
      <c r="LE137" s="82"/>
      <c r="LF137" s="82"/>
      <c r="LG137" s="82"/>
      <c r="LH137" s="82"/>
      <c r="LI137" s="82"/>
      <c r="LJ137" s="82"/>
      <c r="LK137" s="82"/>
      <c r="LL137" s="82"/>
      <c r="LM137" s="82"/>
      <c r="LN137" s="82"/>
      <c r="LO137" s="82"/>
      <c r="LP137" s="82"/>
      <c r="LQ137" s="82"/>
      <c r="LR137" s="82"/>
      <c r="LS137" s="82"/>
      <c r="LT137" s="82"/>
      <c r="LU137" s="82"/>
      <c r="LV137" s="82"/>
      <c r="LW137" s="82"/>
      <c r="LX137" s="82"/>
      <c r="LY137" s="82"/>
      <c r="LZ137" s="82"/>
      <c r="MA137" s="82"/>
      <c r="MB137" s="82"/>
      <c r="MC137" s="82"/>
      <c r="MD137" s="82"/>
      <c r="ME137" s="82"/>
      <c r="MF137" s="82"/>
      <c r="MG137" s="82"/>
      <c r="MH137" s="82"/>
      <c r="MI137" s="82"/>
      <c r="MJ137" s="82"/>
      <c r="MK137" s="82"/>
      <c r="ML137" s="82"/>
      <c r="MM137" s="82"/>
      <c r="MN137" s="82"/>
      <c r="MO137" s="82"/>
      <c r="MP137" s="82"/>
      <c r="MQ137" s="82"/>
      <c r="MR137" s="82"/>
      <c r="MS137" s="82"/>
      <c r="MT137" s="82"/>
      <c r="MU137" s="82"/>
      <c r="MV137" s="82"/>
      <c r="MW137" s="82"/>
      <c r="MX137" s="82"/>
      <c r="MY137" s="82"/>
      <c r="MZ137" s="82"/>
      <c r="NA137" s="82"/>
      <c r="NB137" s="82"/>
      <c r="NC137" s="82"/>
      <c r="ND137" s="82"/>
      <c r="NE137" s="82"/>
      <c r="NF137" s="82"/>
      <c r="NG137" s="82"/>
      <c r="NH137" s="82"/>
      <c r="NI137" s="82"/>
      <c r="NJ137" s="82"/>
      <c r="NK137" s="82"/>
      <c r="NL137" s="82"/>
      <c r="NM137" s="82"/>
      <c r="NN137" s="82"/>
      <c r="NO137" s="82"/>
      <c r="NP137" s="82"/>
      <c r="NQ137" s="82"/>
      <c r="NR137" s="82"/>
      <c r="NS137" s="82"/>
      <c r="NT137" s="82"/>
      <c r="NU137" s="82"/>
      <c r="NV137" s="82"/>
      <c r="NW137" s="82"/>
      <c r="NX137" s="82"/>
      <c r="NY137" s="82"/>
      <c r="NZ137" s="82"/>
      <c r="OA137" s="82"/>
      <c r="OB137" s="82"/>
      <c r="OC137" s="82"/>
      <c r="OD137" s="82"/>
      <c r="OE137" s="82"/>
      <c r="OF137" s="82"/>
      <c r="OG137" s="82"/>
      <c r="OH137" s="82"/>
      <c r="OI137" s="82"/>
      <c r="OJ137" s="82"/>
      <c r="OK137" s="82"/>
      <c r="OL137" s="82"/>
      <c r="OM137" s="82"/>
      <c r="ON137" s="82"/>
      <c r="OO137" s="82"/>
      <c r="OP137" s="82"/>
      <c r="OQ137" s="82"/>
      <c r="OR137" s="82"/>
      <c r="OS137" s="82"/>
      <c r="OT137" s="82"/>
      <c r="OU137" s="82"/>
      <c r="OV137" s="82"/>
      <c r="OW137" s="82"/>
      <c r="OX137" s="82"/>
      <c r="OY137" s="82"/>
      <c r="OZ137" s="82"/>
      <c r="PA137" s="82"/>
      <c r="PB137" s="82"/>
      <c r="PC137" s="82"/>
      <c r="PD137" s="82"/>
      <c r="PE137" s="82"/>
      <c r="PF137" s="82"/>
      <c r="PG137" s="82"/>
      <c r="PH137" s="82"/>
      <c r="PI137" s="82"/>
      <c r="PJ137" s="82"/>
      <c r="PK137" s="82"/>
      <c r="PL137" s="82"/>
      <c r="PM137" s="82"/>
      <c r="PN137" s="82"/>
      <c r="PO137" s="82"/>
      <c r="PP137" s="82"/>
      <c r="PQ137" s="82"/>
      <c r="PR137" s="82"/>
      <c r="PS137" s="82"/>
      <c r="PT137" s="82"/>
      <c r="PU137" s="82"/>
      <c r="PV137" s="82"/>
      <c r="PW137" s="82"/>
      <c r="PX137" s="82"/>
      <c r="PY137" s="82"/>
      <c r="PZ137" s="82"/>
      <c r="QA137" s="82"/>
      <c r="QB137" s="82"/>
      <c r="QC137" s="82"/>
      <c r="QD137" s="82"/>
      <c r="QE137" s="82"/>
      <c r="QF137" s="82"/>
      <c r="QG137" s="82"/>
      <c r="QH137" s="82"/>
      <c r="QI137" s="82"/>
      <c r="QJ137" s="82"/>
      <c r="QK137" s="82"/>
      <c r="QL137" s="82"/>
      <c r="QM137" s="82"/>
      <c r="QN137" s="82"/>
      <c r="QO137" s="82"/>
      <c r="QP137" s="82"/>
      <c r="QQ137" s="82"/>
      <c r="QR137" s="82"/>
      <c r="QS137" s="82"/>
      <c r="QT137" s="82"/>
      <c r="QU137" s="82"/>
      <c r="QV137" s="82"/>
      <c r="QW137" s="82"/>
      <c r="QX137" s="82"/>
      <c r="QY137" s="82"/>
      <c r="QZ137" s="82"/>
      <c r="RA137" s="82"/>
      <c r="RB137" s="82"/>
      <c r="RC137" s="82"/>
      <c r="RD137" s="82"/>
      <c r="RE137" s="82"/>
      <c r="RF137" s="82"/>
      <c r="RG137" s="82"/>
      <c r="RH137" s="82"/>
      <c r="RI137" s="82"/>
      <c r="RJ137" s="82"/>
      <c r="RK137" s="82"/>
      <c r="RL137" s="82"/>
      <c r="RM137" s="82"/>
      <c r="RN137" s="82"/>
      <c r="RO137" s="82"/>
      <c r="RP137" s="82"/>
      <c r="RQ137" s="82"/>
      <c r="RR137" s="82"/>
      <c r="RS137" s="82"/>
      <c r="RT137" s="82"/>
      <c r="RU137" s="82"/>
      <c r="RV137" s="82"/>
      <c r="RW137" s="82"/>
      <c r="RX137" s="82"/>
      <c r="RY137" s="82"/>
      <c r="RZ137" s="82"/>
      <c r="SA137" s="82"/>
      <c r="SB137" s="82"/>
      <c r="SC137" s="82"/>
      <c r="SD137" s="82"/>
      <c r="SE137" s="82"/>
      <c r="SF137" s="82"/>
      <c r="SG137" s="82"/>
      <c r="SH137" s="82"/>
      <c r="SI137" s="82"/>
      <c r="SJ137" s="82"/>
      <c r="SK137" s="82"/>
      <c r="SL137" s="82"/>
      <c r="SM137" s="82"/>
      <c r="SN137" s="82"/>
      <c r="SO137" s="82"/>
      <c r="SP137" s="82"/>
      <c r="SQ137" s="82"/>
      <c r="SR137" s="82"/>
      <c r="SS137" s="82"/>
      <c r="ST137" s="82"/>
      <c r="SU137" s="82"/>
      <c r="SV137" s="82"/>
      <c r="SW137" s="82"/>
      <c r="SX137" s="82"/>
      <c r="SY137" s="82"/>
      <c r="SZ137" s="82"/>
      <c r="TA137" s="82"/>
      <c r="TB137" s="82"/>
      <c r="TC137" s="82"/>
      <c r="TD137" s="82"/>
      <c r="TE137" s="82"/>
      <c r="TF137" s="82"/>
      <c r="TG137" s="82"/>
      <c r="TH137" s="82"/>
      <c r="TI137" s="82"/>
      <c r="TJ137" s="82"/>
      <c r="TK137" s="82"/>
      <c r="TL137" s="82"/>
      <c r="TM137" s="82"/>
      <c r="TN137" s="82"/>
      <c r="TO137" s="82"/>
      <c r="TP137" s="82"/>
      <c r="TQ137" s="82"/>
      <c r="TR137" s="82"/>
      <c r="TS137" s="82"/>
      <c r="TT137" s="82"/>
      <c r="TU137" s="82"/>
      <c r="TV137" s="82"/>
      <c r="TW137" s="82"/>
      <c r="TX137" s="82"/>
      <c r="TY137" s="82"/>
      <c r="TZ137" s="82"/>
      <c r="UA137" s="82"/>
      <c r="UB137" s="82"/>
      <c r="UC137" s="82"/>
      <c r="UD137" s="82"/>
      <c r="UE137" s="82"/>
      <c r="UF137" s="82"/>
      <c r="UG137" s="82"/>
      <c r="UH137" s="82"/>
      <c r="UI137" s="82"/>
      <c r="UJ137" s="82"/>
      <c r="UK137" s="82"/>
      <c r="UL137" s="82"/>
      <c r="UM137" s="82"/>
      <c r="UN137" s="82"/>
      <c r="UO137" s="82"/>
      <c r="UP137" s="82"/>
      <c r="UQ137" s="82"/>
      <c r="UR137" s="82"/>
      <c r="US137" s="82"/>
      <c r="UT137" s="82"/>
      <c r="UU137" s="82"/>
      <c r="UV137" s="82"/>
      <c r="UW137" s="82"/>
      <c r="UX137" s="82"/>
      <c r="UY137" s="82"/>
      <c r="UZ137" s="82"/>
      <c r="VA137" s="82"/>
      <c r="VB137" s="82"/>
      <c r="VC137" s="82"/>
      <c r="VD137" s="82"/>
      <c r="VE137" s="82"/>
      <c r="VF137" s="82"/>
      <c r="VG137" s="82"/>
      <c r="VH137" s="82"/>
      <c r="VI137" s="82"/>
      <c r="VJ137" s="82"/>
      <c r="VK137" s="82"/>
      <c r="VL137" s="82"/>
      <c r="VM137" s="82"/>
      <c r="VN137" s="82"/>
      <c r="VO137" s="82"/>
      <c r="VP137" s="82"/>
      <c r="VQ137" s="82"/>
      <c r="VR137" s="82"/>
      <c r="VS137" s="82"/>
      <c r="VT137" s="82"/>
      <c r="VU137" s="82"/>
      <c r="VV137" s="82"/>
      <c r="VW137" s="82"/>
      <c r="VX137" s="82"/>
      <c r="VY137" s="82"/>
      <c r="VZ137" s="82"/>
      <c r="WA137" s="82"/>
      <c r="WB137" s="82"/>
      <c r="WC137" s="82"/>
      <c r="WD137" s="82"/>
      <c r="WE137" s="82"/>
      <c r="WF137" s="82"/>
      <c r="WG137" s="82"/>
      <c r="WH137" s="82"/>
      <c r="WI137" s="82"/>
      <c r="WJ137" s="82"/>
      <c r="WK137" s="82"/>
      <c r="WL137" s="82"/>
      <c r="WM137" s="82"/>
      <c r="WN137" s="82"/>
      <c r="WO137" s="82"/>
      <c r="WP137" s="82"/>
      <c r="WQ137" s="82"/>
      <c r="WR137" s="82"/>
      <c r="WS137" s="82"/>
      <c r="WT137" s="82"/>
      <c r="WU137" s="82"/>
      <c r="WV137" s="82"/>
      <c r="WW137" s="82"/>
      <c r="WX137" s="82"/>
      <c r="WY137" s="82"/>
      <c r="WZ137" s="82"/>
      <c r="XA137" s="82"/>
      <c r="XB137" s="82"/>
      <c r="XC137" s="82"/>
      <c r="XD137" s="82"/>
      <c r="XE137" s="82"/>
      <c r="XF137" s="82"/>
      <c r="XG137" s="82"/>
      <c r="XH137" s="82"/>
      <c r="XI137" s="82"/>
      <c r="XJ137" s="82"/>
      <c r="XK137" s="82"/>
      <c r="XL137" s="82"/>
      <c r="XM137" s="82"/>
      <c r="XN137" s="82"/>
      <c r="XO137" s="82"/>
      <c r="XP137" s="82"/>
      <c r="XQ137" s="82"/>
      <c r="XR137" s="82"/>
      <c r="XS137" s="82"/>
      <c r="XT137" s="82"/>
      <c r="XU137" s="82"/>
      <c r="XV137" s="82"/>
      <c r="XW137" s="82"/>
      <c r="XX137" s="82"/>
      <c r="XY137" s="82"/>
      <c r="XZ137" s="82"/>
      <c r="YA137" s="82"/>
      <c r="YB137" s="82"/>
      <c r="YC137" s="82"/>
      <c r="YD137" s="82"/>
      <c r="YE137" s="82"/>
      <c r="YF137" s="82"/>
      <c r="YG137" s="82"/>
      <c r="YH137" s="82"/>
      <c r="YI137" s="82"/>
      <c r="YJ137" s="82"/>
      <c r="YK137" s="82"/>
      <c r="YL137" s="82"/>
      <c r="YM137" s="82"/>
      <c r="YN137" s="82"/>
      <c r="YO137" s="82"/>
      <c r="YP137" s="82"/>
      <c r="YQ137" s="82"/>
      <c r="YR137" s="82"/>
      <c r="YS137" s="82"/>
      <c r="YT137" s="82"/>
      <c r="YU137" s="82"/>
      <c r="YV137" s="82"/>
      <c r="YW137" s="82"/>
      <c r="YX137" s="82"/>
      <c r="YY137" s="82"/>
      <c r="YZ137" s="82"/>
      <c r="ZA137" s="82"/>
      <c r="ZB137" s="82"/>
      <c r="ZC137" s="82"/>
      <c r="ZD137" s="82"/>
      <c r="ZE137" s="82"/>
      <c r="ZF137" s="82"/>
      <c r="ZG137" s="82"/>
      <c r="ZH137" s="82"/>
      <c r="ZI137" s="82"/>
      <c r="ZJ137" s="82"/>
      <c r="ZK137" s="82"/>
      <c r="ZL137" s="82"/>
      <c r="ZM137" s="82"/>
      <c r="ZN137" s="82"/>
      <c r="ZO137" s="82"/>
      <c r="ZP137" s="82"/>
      <c r="ZQ137" s="82"/>
      <c r="ZR137" s="82"/>
      <c r="ZS137" s="82"/>
      <c r="ZT137" s="82"/>
      <c r="ZU137" s="82"/>
      <c r="ZV137" s="82"/>
      <c r="ZW137" s="82"/>
      <c r="ZX137" s="82"/>
      <c r="ZY137" s="82"/>
      <c r="ZZ137" s="82"/>
      <c r="AAA137" s="82"/>
      <c r="AAB137" s="82"/>
      <c r="AAC137" s="82"/>
      <c r="AAD137" s="82"/>
      <c r="AAE137" s="82"/>
      <c r="AAF137" s="82"/>
      <c r="AAG137" s="82"/>
      <c r="AAH137" s="82"/>
      <c r="AAI137" s="82"/>
      <c r="AAJ137" s="82"/>
      <c r="AAK137" s="82"/>
      <c r="AAL137" s="82"/>
      <c r="AAM137" s="82"/>
      <c r="AAN137" s="82"/>
      <c r="AAO137" s="82"/>
      <c r="AAP137" s="82"/>
      <c r="AAQ137" s="82"/>
      <c r="AAR137" s="82"/>
      <c r="AAS137" s="82"/>
      <c r="AAT137" s="82"/>
      <c r="AAU137" s="82"/>
      <c r="AAV137" s="82"/>
      <c r="AAW137" s="82"/>
      <c r="AAX137" s="82"/>
      <c r="AAY137" s="82"/>
      <c r="AAZ137" s="82"/>
      <c r="ABA137" s="82"/>
      <c r="ABB137" s="82"/>
      <c r="ABC137" s="82"/>
      <c r="ABD137" s="82"/>
      <c r="ABE137" s="82"/>
      <c r="ABF137" s="82"/>
      <c r="ABG137" s="82"/>
      <c r="ABH137" s="82"/>
      <c r="ABI137" s="82"/>
      <c r="ABJ137" s="82"/>
      <c r="ABK137" s="82"/>
      <c r="ABL137" s="82"/>
      <c r="ABM137" s="82"/>
      <c r="ABN137" s="82"/>
      <c r="ABO137" s="82"/>
      <c r="ABP137" s="82"/>
      <c r="ABQ137" s="82"/>
      <c r="ABR137" s="82"/>
      <c r="ABS137" s="82"/>
      <c r="ABT137" s="82"/>
      <c r="ABU137" s="82"/>
      <c r="ABV137" s="82"/>
      <c r="ABW137" s="82"/>
      <c r="ABX137" s="82"/>
      <c r="ABY137" s="82"/>
      <c r="ABZ137" s="82"/>
      <c r="ACA137" s="82"/>
      <c r="ACB137" s="82"/>
      <c r="ACC137" s="82"/>
      <c r="ACD137" s="82"/>
      <c r="ACE137" s="82"/>
      <c r="ACF137" s="82"/>
      <c r="ACG137" s="82"/>
      <c r="ACH137" s="82"/>
      <c r="ACI137" s="82"/>
      <c r="ACJ137" s="82"/>
      <c r="ACK137" s="82"/>
      <c r="ACL137" s="82"/>
      <c r="ACM137" s="82"/>
      <c r="ACN137" s="82"/>
      <c r="ACO137" s="82"/>
      <c r="ACP137" s="82"/>
      <c r="ACQ137" s="82"/>
      <c r="ACR137" s="82"/>
      <c r="ACS137" s="82"/>
      <c r="ACT137" s="82"/>
      <c r="ACU137" s="82"/>
      <c r="ACV137" s="82"/>
      <c r="ACW137" s="82"/>
      <c r="ACX137" s="82"/>
      <c r="ACY137" s="82"/>
      <c r="ACZ137" s="82"/>
      <c r="ADA137" s="82"/>
      <c r="ADB137" s="82"/>
      <c r="ADC137" s="82"/>
      <c r="ADD137" s="82"/>
      <c r="ADE137" s="82"/>
      <c r="ADF137" s="82"/>
      <c r="ADG137" s="82"/>
      <c r="ADH137" s="82"/>
      <c r="ADI137" s="82"/>
      <c r="ADJ137" s="82"/>
      <c r="ADK137" s="82"/>
      <c r="ADL137" s="82"/>
      <c r="ADM137" s="82"/>
      <c r="ADN137" s="82"/>
      <c r="ADO137" s="82"/>
      <c r="ADP137" s="82"/>
      <c r="ADQ137" s="82"/>
      <c r="ADR137" s="82"/>
      <c r="ADS137" s="82"/>
      <c r="ADT137" s="82"/>
      <c r="ADU137" s="82"/>
      <c r="ADV137" s="82"/>
      <c r="ADW137" s="82"/>
      <c r="ADX137" s="82"/>
      <c r="ADY137" s="82"/>
      <c r="ADZ137" s="82"/>
      <c r="AEA137" s="82"/>
      <c r="AEB137" s="82"/>
      <c r="AEC137" s="82"/>
      <c r="AED137" s="82"/>
      <c r="AEE137" s="82"/>
      <c r="AEF137" s="82"/>
      <c r="AEG137" s="82"/>
      <c r="AEH137" s="82"/>
      <c r="AEI137" s="82"/>
      <c r="AEJ137" s="82"/>
      <c r="AEK137" s="82"/>
      <c r="AEL137" s="82"/>
      <c r="AEM137" s="82"/>
      <c r="AEN137" s="82"/>
      <c r="AEO137" s="82"/>
      <c r="AEP137" s="82"/>
      <c r="AEQ137" s="82"/>
      <c r="AER137" s="82"/>
      <c r="AES137" s="82"/>
      <c r="AET137" s="82"/>
      <c r="AEU137" s="82"/>
      <c r="AEV137" s="82"/>
      <c r="AEW137" s="82"/>
      <c r="AEX137" s="82"/>
      <c r="AEY137" s="82"/>
      <c r="AEZ137" s="82"/>
      <c r="AFA137" s="82"/>
      <c r="AFB137" s="82"/>
      <c r="AFC137" s="82"/>
      <c r="AFD137" s="82"/>
      <c r="AFE137" s="82"/>
      <c r="AFF137" s="82"/>
      <c r="AFG137" s="82"/>
      <c r="AFH137" s="82"/>
      <c r="AFI137" s="82"/>
      <c r="AFJ137" s="82"/>
      <c r="AFK137" s="82"/>
      <c r="AFL137" s="82"/>
      <c r="AFM137" s="82"/>
      <c r="AFN137" s="82"/>
      <c r="AFO137" s="82"/>
      <c r="AFP137" s="82"/>
      <c r="AFQ137" s="82"/>
      <c r="AFR137" s="82"/>
      <c r="AFS137" s="82"/>
      <c r="AFT137" s="82"/>
      <c r="AFU137" s="82"/>
      <c r="AFV137" s="82"/>
      <c r="AFW137" s="82"/>
      <c r="AFX137" s="82"/>
      <c r="AFY137" s="82"/>
      <c r="AFZ137" s="82"/>
      <c r="AGA137" s="82"/>
      <c r="AGB137" s="82"/>
      <c r="AGC137" s="82"/>
      <c r="AGD137" s="82"/>
      <c r="AGE137" s="82"/>
      <c r="AGF137" s="82"/>
      <c r="AGG137" s="82"/>
      <c r="AGH137" s="82"/>
      <c r="AGI137" s="82"/>
      <c r="AGJ137" s="82"/>
      <c r="AGK137" s="82"/>
      <c r="AGL137" s="82"/>
      <c r="AGM137" s="82"/>
      <c r="AGN137" s="82"/>
      <c r="AGO137" s="82"/>
      <c r="AGP137" s="82"/>
      <c r="AGQ137" s="82"/>
      <c r="AGR137" s="82"/>
      <c r="AGS137" s="82"/>
      <c r="AGT137" s="82"/>
      <c r="AGU137" s="82"/>
      <c r="AGV137" s="82"/>
      <c r="AGW137" s="82"/>
      <c r="AGX137" s="82"/>
      <c r="AGY137" s="82"/>
      <c r="AGZ137" s="82"/>
      <c r="AHA137" s="82"/>
      <c r="AHB137" s="82"/>
      <c r="AHC137" s="82"/>
      <c r="AHD137" s="82"/>
      <c r="AHE137" s="82"/>
      <c r="AHF137" s="82"/>
      <c r="AHG137" s="82"/>
      <c r="AHH137" s="82"/>
      <c r="AHI137" s="82"/>
      <c r="AHJ137" s="82"/>
      <c r="AHK137" s="82"/>
      <c r="AHL137" s="82"/>
      <c r="AHM137" s="82"/>
      <c r="AHN137" s="82"/>
      <c r="AHO137" s="82"/>
      <c r="AHP137" s="82"/>
      <c r="AHQ137" s="82"/>
      <c r="AHR137" s="82"/>
      <c r="AHS137" s="82"/>
      <c r="AHT137" s="82"/>
      <c r="AHU137" s="82"/>
      <c r="AHV137" s="82"/>
      <c r="AHW137" s="82"/>
      <c r="AHX137" s="82"/>
      <c r="AHY137" s="82"/>
      <c r="AHZ137" s="82"/>
      <c r="AIA137" s="82"/>
      <c r="AIB137" s="82"/>
      <c r="AIC137" s="82"/>
      <c r="AID137" s="82"/>
      <c r="AIE137" s="82"/>
      <c r="AIF137" s="82"/>
      <c r="AIG137" s="82"/>
      <c r="AIH137" s="82"/>
    </row>
    <row r="138" spans="1:918" s="99" customFormat="1" ht="33.75" x14ac:dyDescent="0.2">
      <c r="A138" s="98"/>
      <c r="B138" s="100" t="s">
        <v>256</v>
      </c>
      <c r="C138" s="91" t="s">
        <v>392</v>
      </c>
      <c r="D138" s="93"/>
      <c r="E138" s="93"/>
      <c r="F138" s="93"/>
      <c r="G138" s="93"/>
      <c r="H138" s="93"/>
      <c r="I138" s="93"/>
      <c r="J138" s="93">
        <v>1</v>
      </c>
      <c r="K138" s="93"/>
      <c r="L138" s="82"/>
      <c r="M138" s="82"/>
      <c r="N138" s="82"/>
      <c r="O138" s="82"/>
      <c r="P138" s="82"/>
      <c r="Q138" s="82"/>
      <c r="R138" s="82"/>
      <c r="S138" s="82"/>
      <c r="T138" s="82"/>
      <c r="U138" s="82"/>
      <c r="V138" s="82"/>
      <c r="W138" s="82"/>
      <c r="X138" s="82"/>
      <c r="Y138" s="82"/>
      <c r="Z138" s="82"/>
      <c r="AA138" s="82"/>
      <c r="AB138" s="82"/>
      <c r="AC138" s="82"/>
      <c r="AD138" s="82"/>
      <c r="AE138" s="82"/>
      <c r="AF138" s="82"/>
      <c r="AG138" s="82"/>
      <c r="AH138" s="82"/>
      <c r="AI138" s="82"/>
      <c r="AJ138" s="82"/>
      <c r="AK138" s="82"/>
      <c r="AL138" s="82"/>
      <c r="AM138" s="82"/>
      <c r="AN138" s="82"/>
      <c r="AO138" s="82"/>
      <c r="AP138" s="82"/>
      <c r="AQ138" s="82"/>
      <c r="AR138" s="82"/>
      <c r="AS138" s="82"/>
      <c r="AT138" s="82"/>
      <c r="AU138" s="82"/>
      <c r="AV138" s="82"/>
      <c r="AW138" s="82"/>
      <c r="AX138" s="82"/>
      <c r="AY138" s="82"/>
      <c r="AZ138" s="82"/>
      <c r="BA138" s="82"/>
      <c r="BB138" s="82"/>
      <c r="BC138" s="82"/>
      <c r="BD138" s="82"/>
      <c r="BE138" s="82"/>
      <c r="BF138" s="82"/>
      <c r="BG138" s="82"/>
      <c r="BH138" s="82"/>
      <c r="BI138" s="82"/>
      <c r="BJ138" s="82"/>
      <c r="BK138" s="82"/>
      <c r="BL138" s="82"/>
      <c r="BM138" s="82"/>
      <c r="BN138" s="82"/>
      <c r="BO138" s="82"/>
      <c r="BP138" s="82"/>
      <c r="BQ138" s="82"/>
      <c r="BR138" s="82"/>
      <c r="BS138" s="82"/>
      <c r="BT138" s="82"/>
      <c r="BU138" s="82"/>
      <c r="BV138" s="82"/>
      <c r="BW138" s="82"/>
      <c r="BX138" s="82"/>
      <c r="BY138" s="82"/>
      <c r="BZ138" s="82"/>
      <c r="CA138" s="82"/>
      <c r="CB138" s="82"/>
      <c r="CC138" s="82"/>
      <c r="CD138" s="82"/>
      <c r="CE138" s="82"/>
      <c r="CF138" s="82"/>
      <c r="CG138" s="82"/>
      <c r="CH138" s="82"/>
      <c r="CI138" s="82"/>
      <c r="CJ138" s="82"/>
      <c r="CK138" s="82"/>
      <c r="CL138" s="82"/>
      <c r="CM138" s="82"/>
      <c r="CN138" s="82"/>
      <c r="CO138" s="82"/>
      <c r="CP138" s="82"/>
      <c r="CQ138" s="82"/>
      <c r="CR138" s="82"/>
      <c r="CS138" s="82"/>
      <c r="CT138" s="82"/>
      <c r="CU138" s="82"/>
      <c r="CV138" s="82"/>
      <c r="CW138" s="82"/>
      <c r="CX138" s="82"/>
      <c r="CY138" s="82"/>
      <c r="CZ138" s="82"/>
      <c r="DA138" s="82"/>
      <c r="DB138" s="82"/>
      <c r="DC138" s="82"/>
      <c r="DD138" s="82"/>
      <c r="DE138" s="82"/>
      <c r="DF138" s="82"/>
      <c r="DG138" s="82"/>
      <c r="DH138" s="82"/>
      <c r="DI138" s="82"/>
      <c r="DJ138" s="82"/>
      <c r="DK138" s="82"/>
      <c r="DL138" s="82"/>
      <c r="DM138" s="82"/>
      <c r="DN138" s="82"/>
      <c r="DO138" s="82"/>
      <c r="DP138" s="82"/>
      <c r="DQ138" s="82"/>
      <c r="DR138" s="82"/>
      <c r="DS138" s="82"/>
      <c r="DT138" s="82"/>
      <c r="DU138" s="82"/>
      <c r="DV138" s="82"/>
      <c r="DW138" s="82"/>
      <c r="DX138" s="82"/>
      <c r="DY138" s="82"/>
      <c r="DZ138" s="82"/>
      <c r="EA138" s="82"/>
      <c r="EB138" s="82"/>
      <c r="EC138" s="82"/>
      <c r="ED138" s="82"/>
      <c r="EE138" s="82"/>
      <c r="EF138" s="82"/>
      <c r="EG138" s="82"/>
      <c r="EH138" s="82"/>
      <c r="EI138" s="82"/>
      <c r="EJ138" s="82"/>
      <c r="EK138" s="82"/>
      <c r="EL138" s="82"/>
      <c r="EM138" s="82"/>
      <c r="EN138" s="82"/>
      <c r="EO138" s="82"/>
      <c r="EP138" s="82"/>
      <c r="EQ138" s="82"/>
      <c r="ER138" s="82"/>
      <c r="ES138" s="82"/>
      <c r="ET138" s="82"/>
      <c r="EU138" s="82"/>
      <c r="EV138" s="82"/>
      <c r="EW138" s="82"/>
      <c r="EX138" s="82"/>
      <c r="EY138" s="82"/>
      <c r="EZ138" s="82"/>
      <c r="FA138" s="82"/>
      <c r="FB138" s="82"/>
      <c r="FC138" s="82"/>
      <c r="FD138" s="82"/>
      <c r="FE138" s="82"/>
      <c r="FF138" s="82"/>
      <c r="FG138" s="82"/>
      <c r="FH138" s="82"/>
      <c r="FI138" s="82"/>
      <c r="FJ138" s="82"/>
      <c r="FK138" s="82"/>
      <c r="FL138" s="82"/>
      <c r="FM138" s="82"/>
      <c r="FN138" s="82"/>
      <c r="FO138" s="82"/>
      <c r="FP138" s="82"/>
      <c r="FQ138" s="82"/>
      <c r="FR138" s="82"/>
      <c r="FS138" s="82"/>
      <c r="FT138" s="82"/>
      <c r="FU138" s="82"/>
      <c r="FV138" s="82"/>
      <c r="FW138" s="82"/>
      <c r="FX138" s="82"/>
      <c r="FY138" s="82"/>
      <c r="FZ138" s="82"/>
      <c r="GA138" s="82"/>
      <c r="GB138" s="82"/>
      <c r="GC138" s="82"/>
      <c r="GD138" s="82"/>
      <c r="GE138" s="82"/>
      <c r="GF138" s="82"/>
      <c r="GG138" s="82"/>
      <c r="GH138" s="82"/>
      <c r="GI138" s="82"/>
      <c r="GJ138" s="82"/>
      <c r="GK138" s="82"/>
      <c r="GL138" s="82"/>
      <c r="GM138" s="82"/>
      <c r="GN138" s="82"/>
      <c r="GO138" s="82"/>
      <c r="GP138" s="82"/>
      <c r="GQ138" s="82"/>
      <c r="GR138" s="82"/>
      <c r="GS138" s="82"/>
      <c r="GT138" s="82"/>
      <c r="GU138" s="82"/>
      <c r="GV138" s="82"/>
      <c r="GW138" s="82"/>
      <c r="GX138" s="82"/>
      <c r="GY138" s="82"/>
      <c r="GZ138" s="82"/>
      <c r="HA138" s="82"/>
      <c r="HB138" s="82"/>
      <c r="HC138" s="82"/>
      <c r="HD138" s="82"/>
      <c r="HE138" s="82"/>
      <c r="HF138" s="82"/>
      <c r="HG138" s="82"/>
      <c r="HH138" s="82"/>
      <c r="HI138" s="82"/>
      <c r="HJ138" s="82"/>
      <c r="HK138" s="82"/>
      <c r="HL138" s="82"/>
      <c r="HM138" s="82"/>
      <c r="HN138" s="82"/>
      <c r="HO138" s="82"/>
      <c r="HP138" s="82"/>
      <c r="HQ138" s="82"/>
      <c r="HR138" s="82"/>
      <c r="HS138" s="82"/>
      <c r="HT138" s="82"/>
      <c r="HU138" s="82"/>
      <c r="HV138" s="82"/>
      <c r="HW138" s="82"/>
      <c r="HX138" s="82"/>
      <c r="HY138" s="82"/>
      <c r="HZ138" s="82"/>
      <c r="IA138" s="82"/>
      <c r="IB138" s="82"/>
      <c r="IC138" s="82"/>
      <c r="ID138" s="82"/>
      <c r="IE138" s="82"/>
      <c r="IF138" s="82"/>
      <c r="IG138" s="82"/>
      <c r="IH138" s="82"/>
      <c r="II138" s="82"/>
      <c r="IJ138" s="82"/>
      <c r="IK138" s="82"/>
      <c r="IL138" s="82"/>
      <c r="IM138" s="82"/>
      <c r="IN138" s="82"/>
      <c r="IO138" s="82"/>
      <c r="IP138" s="82"/>
      <c r="IQ138" s="82"/>
      <c r="IR138" s="82"/>
      <c r="IS138" s="82"/>
      <c r="IT138" s="82"/>
      <c r="IU138" s="82"/>
      <c r="IV138" s="82"/>
      <c r="IW138" s="82"/>
      <c r="IX138" s="82"/>
      <c r="IY138" s="82"/>
      <c r="IZ138" s="82"/>
      <c r="JA138" s="82"/>
      <c r="JB138" s="82"/>
      <c r="JC138" s="82"/>
      <c r="JD138" s="82"/>
      <c r="JE138" s="82"/>
      <c r="JF138" s="82"/>
      <c r="JG138" s="82"/>
      <c r="JH138" s="82"/>
      <c r="JI138" s="82"/>
      <c r="JJ138" s="82"/>
      <c r="JK138" s="82"/>
      <c r="JL138" s="82"/>
      <c r="JM138" s="82"/>
      <c r="JN138" s="82"/>
      <c r="JO138" s="82"/>
      <c r="JP138" s="82"/>
      <c r="JQ138" s="82"/>
      <c r="JR138" s="82"/>
      <c r="JS138" s="82"/>
      <c r="JT138" s="82"/>
      <c r="JU138" s="82"/>
      <c r="JV138" s="82"/>
      <c r="JW138" s="82"/>
      <c r="JX138" s="82"/>
      <c r="JY138" s="82"/>
      <c r="JZ138" s="82"/>
      <c r="KA138" s="82"/>
      <c r="KB138" s="82"/>
      <c r="KC138" s="82"/>
      <c r="KD138" s="82"/>
      <c r="KE138" s="82"/>
      <c r="KF138" s="82"/>
      <c r="KG138" s="82"/>
      <c r="KH138" s="82"/>
      <c r="KI138" s="82"/>
      <c r="KJ138" s="82"/>
      <c r="KK138" s="82"/>
      <c r="KL138" s="82"/>
      <c r="KM138" s="82"/>
      <c r="KN138" s="82"/>
      <c r="KO138" s="82"/>
      <c r="KP138" s="82"/>
      <c r="KQ138" s="82"/>
      <c r="KR138" s="82"/>
      <c r="KS138" s="82"/>
      <c r="KT138" s="82"/>
      <c r="KU138" s="82"/>
      <c r="KV138" s="82"/>
      <c r="KW138" s="82"/>
      <c r="KX138" s="82"/>
      <c r="KY138" s="82"/>
      <c r="KZ138" s="82"/>
      <c r="LA138" s="82"/>
      <c r="LB138" s="82"/>
      <c r="LC138" s="82"/>
      <c r="LD138" s="82"/>
      <c r="LE138" s="82"/>
      <c r="LF138" s="82"/>
      <c r="LG138" s="82"/>
      <c r="LH138" s="82"/>
      <c r="LI138" s="82"/>
      <c r="LJ138" s="82"/>
      <c r="LK138" s="82"/>
      <c r="LL138" s="82"/>
      <c r="LM138" s="82"/>
      <c r="LN138" s="82"/>
      <c r="LO138" s="82"/>
      <c r="LP138" s="82"/>
      <c r="LQ138" s="82"/>
      <c r="LR138" s="82"/>
      <c r="LS138" s="82"/>
      <c r="LT138" s="82"/>
      <c r="LU138" s="82"/>
      <c r="LV138" s="82"/>
      <c r="LW138" s="82"/>
      <c r="LX138" s="82"/>
      <c r="LY138" s="82"/>
      <c r="LZ138" s="82"/>
      <c r="MA138" s="82"/>
      <c r="MB138" s="82"/>
      <c r="MC138" s="82"/>
      <c r="MD138" s="82"/>
      <c r="ME138" s="82"/>
      <c r="MF138" s="82"/>
      <c r="MG138" s="82"/>
      <c r="MH138" s="82"/>
      <c r="MI138" s="82"/>
      <c r="MJ138" s="82"/>
      <c r="MK138" s="82"/>
      <c r="ML138" s="82"/>
      <c r="MM138" s="82"/>
      <c r="MN138" s="82"/>
      <c r="MO138" s="82"/>
      <c r="MP138" s="82"/>
      <c r="MQ138" s="82"/>
      <c r="MR138" s="82"/>
      <c r="MS138" s="82"/>
      <c r="MT138" s="82"/>
      <c r="MU138" s="82"/>
      <c r="MV138" s="82"/>
      <c r="MW138" s="82"/>
      <c r="MX138" s="82"/>
      <c r="MY138" s="82"/>
      <c r="MZ138" s="82"/>
      <c r="NA138" s="82"/>
      <c r="NB138" s="82"/>
      <c r="NC138" s="82"/>
      <c r="ND138" s="82"/>
      <c r="NE138" s="82"/>
      <c r="NF138" s="82"/>
      <c r="NG138" s="82"/>
      <c r="NH138" s="82"/>
      <c r="NI138" s="82"/>
      <c r="NJ138" s="82"/>
      <c r="NK138" s="82"/>
      <c r="NL138" s="82"/>
      <c r="NM138" s="82"/>
      <c r="NN138" s="82"/>
      <c r="NO138" s="82"/>
      <c r="NP138" s="82"/>
      <c r="NQ138" s="82"/>
      <c r="NR138" s="82"/>
      <c r="NS138" s="82"/>
      <c r="NT138" s="82"/>
      <c r="NU138" s="82"/>
      <c r="NV138" s="82"/>
      <c r="NW138" s="82"/>
      <c r="NX138" s="82"/>
      <c r="NY138" s="82"/>
      <c r="NZ138" s="82"/>
      <c r="OA138" s="82"/>
      <c r="OB138" s="82"/>
      <c r="OC138" s="82"/>
      <c r="OD138" s="82"/>
      <c r="OE138" s="82"/>
      <c r="OF138" s="82"/>
      <c r="OG138" s="82"/>
      <c r="OH138" s="82"/>
      <c r="OI138" s="82"/>
      <c r="OJ138" s="82"/>
      <c r="OK138" s="82"/>
      <c r="OL138" s="82"/>
      <c r="OM138" s="82"/>
      <c r="ON138" s="82"/>
      <c r="OO138" s="82"/>
      <c r="OP138" s="82"/>
      <c r="OQ138" s="82"/>
      <c r="OR138" s="82"/>
      <c r="OS138" s="82"/>
      <c r="OT138" s="82"/>
      <c r="OU138" s="82"/>
      <c r="OV138" s="82"/>
      <c r="OW138" s="82"/>
      <c r="OX138" s="82"/>
      <c r="OY138" s="82"/>
      <c r="OZ138" s="82"/>
      <c r="PA138" s="82"/>
      <c r="PB138" s="82"/>
      <c r="PC138" s="82"/>
      <c r="PD138" s="82"/>
      <c r="PE138" s="82"/>
      <c r="PF138" s="82"/>
      <c r="PG138" s="82"/>
      <c r="PH138" s="82"/>
      <c r="PI138" s="82"/>
      <c r="PJ138" s="82"/>
      <c r="PK138" s="82"/>
      <c r="PL138" s="82"/>
      <c r="PM138" s="82"/>
      <c r="PN138" s="82"/>
      <c r="PO138" s="82"/>
      <c r="PP138" s="82"/>
      <c r="PQ138" s="82"/>
      <c r="PR138" s="82"/>
      <c r="PS138" s="82"/>
      <c r="PT138" s="82"/>
      <c r="PU138" s="82"/>
      <c r="PV138" s="82"/>
      <c r="PW138" s="82"/>
      <c r="PX138" s="82"/>
      <c r="PY138" s="82"/>
      <c r="PZ138" s="82"/>
      <c r="QA138" s="82"/>
      <c r="QB138" s="82"/>
      <c r="QC138" s="82"/>
      <c r="QD138" s="82"/>
      <c r="QE138" s="82"/>
      <c r="QF138" s="82"/>
      <c r="QG138" s="82"/>
      <c r="QH138" s="82"/>
      <c r="QI138" s="82"/>
      <c r="QJ138" s="82"/>
      <c r="QK138" s="82"/>
      <c r="QL138" s="82"/>
      <c r="QM138" s="82"/>
      <c r="QN138" s="82"/>
      <c r="QO138" s="82"/>
      <c r="QP138" s="82"/>
      <c r="QQ138" s="82"/>
      <c r="QR138" s="82"/>
      <c r="QS138" s="82"/>
      <c r="QT138" s="82"/>
      <c r="QU138" s="82"/>
      <c r="QV138" s="82"/>
      <c r="QW138" s="82"/>
      <c r="QX138" s="82"/>
      <c r="QY138" s="82"/>
      <c r="QZ138" s="82"/>
      <c r="RA138" s="82"/>
      <c r="RB138" s="82"/>
      <c r="RC138" s="82"/>
      <c r="RD138" s="82"/>
      <c r="RE138" s="82"/>
      <c r="RF138" s="82"/>
      <c r="RG138" s="82"/>
      <c r="RH138" s="82"/>
      <c r="RI138" s="82"/>
      <c r="RJ138" s="82"/>
      <c r="RK138" s="82"/>
      <c r="RL138" s="82"/>
      <c r="RM138" s="82"/>
      <c r="RN138" s="82"/>
      <c r="RO138" s="82"/>
      <c r="RP138" s="82"/>
      <c r="RQ138" s="82"/>
      <c r="RR138" s="82"/>
      <c r="RS138" s="82"/>
      <c r="RT138" s="82"/>
      <c r="RU138" s="82"/>
      <c r="RV138" s="82"/>
      <c r="RW138" s="82"/>
      <c r="RX138" s="82"/>
      <c r="RY138" s="82"/>
      <c r="RZ138" s="82"/>
      <c r="SA138" s="82"/>
      <c r="SB138" s="82"/>
      <c r="SC138" s="82"/>
      <c r="SD138" s="82"/>
      <c r="SE138" s="82"/>
      <c r="SF138" s="82"/>
      <c r="SG138" s="82"/>
      <c r="SH138" s="82"/>
      <c r="SI138" s="82"/>
      <c r="SJ138" s="82"/>
      <c r="SK138" s="82"/>
      <c r="SL138" s="82"/>
      <c r="SM138" s="82"/>
      <c r="SN138" s="82"/>
      <c r="SO138" s="82"/>
      <c r="SP138" s="82"/>
      <c r="SQ138" s="82"/>
      <c r="SR138" s="82"/>
      <c r="SS138" s="82"/>
      <c r="ST138" s="82"/>
      <c r="SU138" s="82"/>
      <c r="SV138" s="82"/>
      <c r="SW138" s="82"/>
      <c r="SX138" s="82"/>
      <c r="SY138" s="82"/>
      <c r="SZ138" s="82"/>
      <c r="TA138" s="82"/>
      <c r="TB138" s="82"/>
      <c r="TC138" s="82"/>
      <c r="TD138" s="82"/>
      <c r="TE138" s="82"/>
      <c r="TF138" s="82"/>
      <c r="TG138" s="82"/>
      <c r="TH138" s="82"/>
      <c r="TI138" s="82"/>
      <c r="TJ138" s="82"/>
      <c r="TK138" s="82"/>
      <c r="TL138" s="82"/>
      <c r="TM138" s="82"/>
      <c r="TN138" s="82"/>
      <c r="TO138" s="82"/>
      <c r="TP138" s="82"/>
      <c r="TQ138" s="82"/>
      <c r="TR138" s="82"/>
      <c r="TS138" s="82"/>
      <c r="TT138" s="82"/>
      <c r="TU138" s="82"/>
      <c r="TV138" s="82"/>
      <c r="TW138" s="82"/>
      <c r="TX138" s="82"/>
      <c r="TY138" s="82"/>
      <c r="TZ138" s="82"/>
      <c r="UA138" s="82"/>
      <c r="UB138" s="82"/>
      <c r="UC138" s="82"/>
      <c r="UD138" s="82"/>
      <c r="UE138" s="82"/>
      <c r="UF138" s="82"/>
      <c r="UG138" s="82"/>
      <c r="UH138" s="82"/>
      <c r="UI138" s="82"/>
      <c r="UJ138" s="82"/>
      <c r="UK138" s="82"/>
      <c r="UL138" s="82"/>
      <c r="UM138" s="82"/>
      <c r="UN138" s="82"/>
      <c r="UO138" s="82"/>
      <c r="UP138" s="82"/>
      <c r="UQ138" s="82"/>
      <c r="UR138" s="82"/>
      <c r="US138" s="82"/>
      <c r="UT138" s="82"/>
      <c r="UU138" s="82"/>
      <c r="UV138" s="82"/>
      <c r="UW138" s="82"/>
      <c r="UX138" s="82"/>
      <c r="UY138" s="82"/>
      <c r="UZ138" s="82"/>
      <c r="VA138" s="82"/>
      <c r="VB138" s="82"/>
      <c r="VC138" s="82"/>
      <c r="VD138" s="82"/>
      <c r="VE138" s="82"/>
      <c r="VF138" s="82"/>
      <c r="VG138" s="82"/>
      <c r="VH138" s="82"/>
      <c r="VI138" s="82"/>
      <c r="VJ138" s="82"/>
      <c r="VK138" s="82"/>
      <c r="VL138" s="82"/>
      <c r="VM138" s="82"/>
      <c r="VN138" s="82"/>
      <c r="VO138" s="82"/>
      <c r="VP138" s="82"/>
      <c r="VQ138" s="82"/>
      <c r="VR138" s="82"/>
      <c r="VS138" s="82"/>
      <c r="VT138" s="82"/>
      <c r="VU138" s="82"/>
      <c r="VV138" s="82"/>
      <c r="VW138" s="82"/>
      <c r="VX138" s="82"/>
      <c r="VY138" s="82"/>
      <c r="VZ138" s="82"/>
      <c r="WA138" s="82"/>
      <c r="WB138" s="82"/>
      <c r="WC138" s="82"/>
      <c r="WD138" s="82"/>
      <c r="WE138" s="82"/>
      <c r="WF138" s="82"/>
      <c r="WG138" s="82"/>
      <c r="WH138" s="82"/>
      <c r="WI138" s="82"/>
      <c r="WJ138" s="82"/>
      <c r="WK138" s="82"/>
      <c r="WL138" s="82"/>
      <c r="WM138" s="82"/>
      <c r="WN138" s="82"/>
      <c r="WO138" s="82"/>
      <c r="WP138" s="82"/>
      <c r="WQ138" s="82"/>
      <c r="WR138" s="82"/>
      <c r="WS138" s="82"/>
      <c r="WT138" s="82"/>
      <c r="WU138" s="82"/>
      <c r="WV138" s="82"/>
      <c r="WW138" s="82"/>
      <c r="WX138" s="82"/>
      <c r="WY138" s="82"/>
      <c r="WZ138" s="82"/>
      <c r="XA138" s="82"/>
      <c r="XB138" s="82"/>
      <c r="XC138" s="82"/>
      <c r="XD138" s="82"/>
      <c r="XE138" s="82"/>
      <c r="XF138" s="82"/>
      <c r="XG138" s="82"/>
      <c r="XH138" s="82"/>
      <c r="XI138" s="82"/>
      <c r="XJ138" s="82"/>
      <c r="XK138" s="82"/>
      <c r="XL138" s="82"/>
      <c r="XM138" s="82"/>
      <c r="XN138" s="82"/>
      <c r="XO138" s="82"/>
      <c r="XP138" s="82"/>
      <c r="XQ138" s="82"/>
      <c r="XR138" s="82"/>
      <c r="XS138" s="82"/>
      <c r="XT138" s="82"/>
      <c r="XU138" s="82"/>
      <c r="XV138" s="82"/>
      <c r="XW138" s="82"/>
      <c r="XX138" s="82"/>
      <c r="XY138" s="82"/>
      <c r="XZ138" s="82"/>
      <c r="YA138" s="82"/>
      <c r="YB138" s="82"/>
      <c r="YC138" s="82"/>
      <c r="YD138" s="82"/>
      <c r="YE138" s="82"/>
      <c r="YF138" s="82"/>
      <c r="YG138" s="82"/>
      <c r="YH138" s="82"/>
      <c r="YI138" s="82"/>
      <c r="YJ138" s="82"/>
      <c r="YK138" s="82"/>
      <c r="YL138" s="82"/>
      <c r="YM138" s="82"/>
      <c r="YN138" s="82"/>
      <c r="YO138" s="82"/>
      <c r="YP138" s="82"/>
      <c r="YQ138" s="82"/>
      <c r="YR138" s="82"/>
      <c r="YS138" s="82"/>
      <c r="YT138" s="82"/>
      <c r="YU138" s="82"/>
      <c r="YV138" s="82"/>
      <c r="YW138" s="82"/>
      <c r="YX138" s="82"/>
      <c r="YY138" s="82"/>
      <c r="YZ138" s="82"/>
      <c r="ZA138" s="82"/>
      <c r="ZB138" s="82"/>
      <c r="ZC138" s="82"/>
      <c r="ZD138" s="82"/>
      <c r="ZE138" s="82"/>
      <c r="ZF138" s="82"/>
      <c r="ZG138" s="82"/>
      <c r="ZH138" s="82"/>
      <c r="ZI138" s="82"/>
      <c r="ZJ138" s="82"/>
      <c r="ZK138" s="82"/>
      <c r="ZL138" s="82"/>
      <c r="ZM138" s="82"/>
      <c r="ZN138" s="82"/>
      <c r="ZO138" s="82"/>
      <c r="ZP138" s="82"/>
      <c r="ZQ138" s="82"/>
      <c r="ZR138" s="82"/>
      <c r="ZS138" s="82"/>
      <c r="ZT138" s="82"/>
      <c r="ZU138" s="82"/>
      <c r="ZV138" s="82"/>
      <c r="ZW138" s="82"/>
      <c r="ZX138" s="82"/>
      <c r="ZY138" s="82"/>
      <c r="ZZ138" s="82"/>
      <c r="AAA138" s="82"/>
      <c r="AAB138" s="82"/>
      <c r="AAC138" s="82"/>
      <c r="AAD138" s="82"/>
      <c r="AAE138" s="82"/>
      <c r="AAF138" s="82"/>
      <c r="AAG138" s="82"/>
      <c r="AAH138" s="82"/>
      <c r="AAI138" s="82"/>
      <c r="AAJ138" s="82"/>
      <c r="AAK138" s="82"/>
      <c r="AAL138" s="82"/>
      <c r="AAM138" s="82"/>
      <c r="AAN138" s="82"/>
      <c r="AAO138" s="82"/>
      <c r="AAP138" s="82"/>
      <c r="AAQ138" s="82"/>
      <c r="AAR138" s="82"/>
      <c r="AAS138" s="82"/>
      <c r="AAT138" s="82"/>
      <c r="AAU138" s="82"/>
      <c r="AAV138" s="82"/>
      <c r="AAW138" s="82"/>
      <c r="AAX138" s="82"/>
      <c r="AAY138" s="82"/>
      <c r="AAZ138" s="82"/>
      <c r="ABA138" s="82"/>
      <c r="ABB138" s="82"/>
      <c r="ABC138" s="82"/>
      <c r="ABD138" s="82"/>
      <c r="ABE138" s="82"/>
      <c r="ABF138" s="82"/>
      <c r="ABG138" s="82"/>
      <c r="ABH138" s="82"/>
      <c r="ABI138" s="82"/>
      <c r="ABJ138" s="82"/>
      <c r="ABK138" s="82"/>
      <c r="ABL138" s="82"/>
      <c r="ABM138" s="82"/>
      <c r="ABN138" s="82"/>
      <c r="ABO138" s="82"/>
      <c r="ABP138" s="82"/>
      <c r="ABQ138" s="82"/>
      <c r="ABR138" s="82"/>
      <c r="ABS138" s="82"/>
      <c r="ABT138" s="82"/>
      <c r="ABU138" s="82"/>
      <c r="ABV138" s="82"/>
      <c r="ABW138" s="82"/>
      <c r="ABX138" s="82"/>
      <c r="ABY138" s="82"/>
      <c r="ABZ138" s="82"/>
      <c r="ACA138" s="82"/>
      <c r="ACB138" s="82"/>
      <c r="ACC138" s="82"/>
      <c r="ACD138" s="82"/>
      <c r="ACE138" s="82"/>
      <c r="ACF138" s="82"/>
      <c r="ACG138" s="82"/>
      <c r="ACH138" s="82"/>
      <c r="ACI138" s="82"/>
      <c r="ACJ138" s="82"/>
      <c r="ACK138" s="82"/>
      <c r="ACL138" s="82"/>
      <c r="ACM138" s="82"/>
      <c r="ACN138" s="82"/>
      <c r="ACO138" s="82"/>
      <c r="ACP138" s="82"/>
      <c r="ACQ138" s="82"/>
      <c r="ACR138" s="82"/>
      <c r="ACS138" s="82"/>
      <c r="ACT138" s="82"/>
      <c r="ACU138" s="82"/>
      <c r="ACV138" s="82"/>
      <c r="ACW138" s="82"/>
      <c r="ACX138" s="82"/>
      <c r="ACY138" s="82"/>
      <c r="ACZ138" s="82"/>
      <c r="ADA138" s="82"/>
      <c r="ADB138" s="82"/>
      <c r="ADC138" s="82"/>
      <c r="ADD138" s="82"/>
      <c r="ADE138" s="82"/>
      <c r="ADF138" s="82"/>
      <c r="ADG138" s="82"/>
      <c r="ADH138" s="82"/>
      <c r="ADI138" s="82"/>
      <c r="ADJ138" s="82"/>
      <c r="ADK138" s="82"/>
      <c r="ADL138" s="82"/>
      <c r="ADM138" s="82"/>
      <c r="ADN138" s="82"/>
      <c r="ADO138" s="82"/>
      <c r="ADP138" s="82"/>
      <c r="ADQ138" s="82"/>
      <c r="ADR138" s="82"/>
      <c r="ADS138" s="82"/>
      <c r="ADT138" s="82"/>
      <c r="ADU138" s="82"/>
      <c r="ADV138" s="82"/>
      <c r="ADW138" s="82"/>
      <c r="ADX138" s="82"/>
      <c r="ADY138" s="82"/>
      <c r="ADZ138" s="82"/>
      <c r="AEA138" s="82"/>
      <c r="AEB138" s="82"/>
      <c r="AEC138" s="82"/>
      <c r="AED138" s="82"/>
      <c r="AEE138" s="82"/>
      <c r="AEF138" s="82"/>
      <c r="AEG138" s="82"/>
      <c r="AEH138" s="82"/>
      <c r="AEI138" s="82"/>
      <c r="AEJ138" s="82"/>
      <c r="AEK138" s="82"/>
      <c r="AEL138" s="82"/>
      <c r="AEM138" s="82"/>
      <c r="AEN138" s="82"/>
      <c r="AEO138" s="82"/>
      <c r="AEP138" s="82"/>
      <c r="AEQ138" s="82"/>
      <c r="AER138" s="82"/>
      <c r="AES138" s="82"/>
      <c r="AET138" s="82"/>
      <c r="AEU138" s="82"/>
      <c r="AEV138" s="82"/>
      <c r="AEW138" s="82"/>
      <c r="AEX138" s="82"/>
      <c r="AEY138" s="82"/>
      <c r="AEZ138" s="82"/>
      <c r="AFA138" s="82"/>
      <c r="AFB138" s="82"/>
      <c r="AFC138" s="82"/>
      <c r="AFD138" s="82"/>
      <c r="AFE138" s="82"/>
      <c r="AFF138" s="82"/>
      <c r="AFG138" s="82"/>
      <c r="AFH138" s="82"/>
      <c r="AFI138" s="82"/>
      <c r="AFJ138" s="82"/>
      <c r="AFK138" s="82"/>
      <c r="AFL138" s="82"/>
      <c r="AFM138" s="82"/>
      <c r="AFN138" s="82"/>
      <c r="AFO138" s="82"/>
      <c r="AFP138" s="82"/>
      <c r="AFQ138" s="82"/>
      <c r="AFR138" s="82"/>
      <c r="AFS138" s="82"/>
      <c r="AFT138" s="82"/>
      <c r="AFU138" s="82"/>
      <c r="AFV138" s="82"/>
      <c r="AFW138" s="82"/>
      <c r="AFX138" s="82"/>
      <c r="AFY138" s="82"/>
      <c r="AFZ138" s="82"/>
      <c r="AGA138" s="82"/>
      <c r="AGB138" s="82"/>
      <c r="AGC138" s="82"/>
      <c r="AGD138" s="82"/>
      <c r="AGE138" s="82"/>
      <c r="AGF138" s="82"/>
      <c r="AGG138" s="82"/>
      <c r="AGH138" s="82"/>
      <c r="AGI138" s="82"/>
      <c r="AGJ138" s="82"/>
      <c r="AGK138" s="82"/>
      <c r="AGL138" s="82"/>
      <c r="AGM138" s="82"/>
      <c r="AGN138" s="82"/>
      <c r="AGO138" s="82"/>
      <c r="AGP138" s="82"/>
      <c r="AGQ138" s="82"/>
      <c r="AGR138" s="82"/>
      <c r="AGS138" s="82"/>
      <c r="AGT138" s="82"/>
      <c r="AGU138" s="82"/>
      <c r="AGV138" s="82"/>
      <c r="AGW138" s="82"/>
      <c r="AGX138" s="82"/>
      <c r="AGY138" s="82"/>
      <c r="AGZ138" s="82"/>
      <c r="AHA138" s="82"/>
      <c r="AHB138" s="82"/>
      <c r="AHC138" s="82"/>
      <c r="AHD138" s="82"/>
      <c r="AHE138" s="82"/>
      <c r="AHF138" s="82"/>
      <c r="AHG138" s="82"/>
      <c r="AHH138" s="82"/>
      <c r="AHI138" s="82"/>
      <c r="AHJ138" s="82"/>
      <c r="AHK138" s="82"/>
      <c r="AHL138" s="82"/>
      <c r="AHM138" s="82"/>
      <c r="AHN138" s="82"/>
      <c r="AHO138" s="82"/>
      <c r="AHP138" s="82"/>
      <c r="AHQ138" s="82"/>
      <c r="AHR138" s="82"/>
      <c r="AHS138" s="82"/>
      <c r="AHT138" s="82"/>
      <c r="AHU138" s="82"/>
      <c r="AHV138" s="82"/>
      <c r="AHW138" s="82"/>
      <c r="AHX138" s="82"/>
      <c r="AHY138" s="82"/>
      <c r="AHZ138" s="82"/>
      <c r="AIA138" s="82"/>
      <c r="AIB138" s="82"/>
      <c r="AIC138" s="82"/>
      <c r="AID138" s="82"/>
      <c r="AIE138" s="82"/>
      <c r="AIF138" s="82"/>
      <c r="AIG138" s="82"/>
      <c r="AIH138" s="82"/>
    </row>
    <row r="139" spans="1:918" s="99" customFormat="1" ht="22.5" x14ac:dyDescent="0.2">
      <c r="A139" s="98"/>
      <c r="B139" s="100" t="s">
        <v>257</v>
      </c>
      <c r="C139" s="91" t="s">
        <v>354</v>
      </c>
      <c r="D139" s="93"/>
      <c r="E139" s="93"/>
      <c r="F139" s="93"/>
      <c r="G139" s="93"/>
      <c r="H139" s="93"/>
      <c r="I139" s="93"/>
      <c r="J139" s="93">
        <v>1</v>
      </c>
      <c r="K139" s="93"/>
      <c r="L139" s="82"/>
      <c r="M139" s="82"/>
      <c r="N139" s="82"/>
      <c r="O139" s="82"/>
      <c r="P139" s="82"/>
      <c r="Q139" s="82"/>
      <c r="R139" s="82"/>
      <c r="S139" s="82"/>
      <c r="T139" s="82"/>
      <c r="U139" s="82"/>
      <c r="V139" s="82"/>
      <c r="W139" s="82"/>
      <c r="X139" s="82"/>
      <c r="Y139" s="82"/>
      <c r="Z139" s="82"/>
      <c r="AA139" s="82"/>
      <c r="AB139" s="82"/>
      <c r="AC139" s="82"/>
      <c r="AD139" s="82"/>
      <c r="AE139" s="82"/>
      <c r="AF139" s="82"/>
      <c r="AG139" s="82"/>
      <c r="AH139" s="82"/>
      <c r="AI139" s="82"/>
      <c r="AJ139" s="82"/>
      <c r="AK139" s="82"/>
      <c r="AL139" s="82"/>
      <c r="AM139" s="82"/>
      <c r="AN139" s="82"/>
      <c r="AO139" s="82"/>
      <c r="AP139" s="82"/>
      <c r="AQ139" s="82"/>
      <c r="AR139" s="82"/>
      <c r="AS139" s="82"/>
      <c r="AT139" s="82"/>
      <c r="AU139" s="82"/>
      <c r="AV139" s="82"/>
      <c r="AW139" s="82"/>
      <c r="AX139" s="82"/>
      <c r="AY139" s="82"/>
      <c r="AZ139" s="82"/>
      <c r="BA139" s="82"/>
      <c r="BB139" s="82"/>
      <c r="BC139" s="82"/>
      <c r="BD139" s="82"/>
      <c r="BE139" s="82"/>
      <c r="BF139" s="82"/>
      <c r="BG139" s="82"/>
      <c r="BH139" s="82"/>
      <c r="BI139" s="82"/>
      <c r="BJ139" s="82"/>
      <c r="BK139" s="82"/>
      <c r="BL139" s="82"/>
      <c r="BM139" s="82"/>
      <c r="BN139" s="82"/>
      <c r="BO139" s="82"/>
      <c r="BP139" s="82"/>
      <c r="BQ139" s="82"/>
      <c r="BR139" s="82"/>
      <c r="BS139" s="82"/>
      <c r="BT139" s="82"/>
      <c r="BU139" s="82"/>
      <c r="BV139" s="82"/>
      <c r="BW139" s="82"/>
      <c r="BX139" s="82"/>
      <c r="BY139" s="82"/>
      <c r="BZ139" s="82"/>
      <c r="CA139" s="82"/>
      <c r="CB139" s="82"/>
      <c r="CC139" s="82"/>
      <c r="CD139" s="82"/>
      <c r="CE139" s="82"/>
      <c r="CF139" s="82"/>
      <c r="CG139" s="82"/>
      <c r="CH139" s="82"/>
      <c r="CI139" s="82"/>
      <c r="CJ139" s="82"/>
      <c r="CK139" s="82"/>
      <c r="CL139" s="82"/>
      <c r="CM139" s="82"/>
      <c r="CN139" s="82"/>
      <c r="CO139" s="82"/>
      <c r="CP139" s="82"/>
      <c r="CQ139" s="82"/>
      <c r="CR139" s="82"/>
      <c r="CS139" s="82"/>
      <c r="CT139" s="82"/>
      <c r="CU139" s="82"/>
      <c r="CV139" s="82"/>
      <c r="CW139" s="82"/>
      <c r="CX139" s="82"/>
      <c r="CY139" s="82"/>
      <c r="CZ139" s="82"/>
      <c r="DA139" s="82"/>
      <c r="DB139" s="82"/>
      <c r="DC139" s="82"/>
      <c r="DD139" s="82"/>
      <c r="DE139" s="82"/>
      <c r="DF139" s="82"/>
      <c r="DG139" s="82"/>
      <c r="DH139" s="82"/>
      <c r="DI139" s="82"/>
      <c r="DJ139" s="82"/>
      <c r="DK139" s="82"/>
      <c r="DL139" s="82"/>
      <c r="DM139" s="82"/>
      <c r="DN139" s="82"/>
      <c r="DO139" s="82"/>
      <c r="DP139" s="82"/>
      <c r="DQ139" s="82"/>
      <c r="DR139" s="82"/>
      <c r="DS139" s="82"/>
      <c r="DT139" s="82"/>
      <c r="DU139" s="82"/>
      <c r="DV139" s="82"/>
      <c r="DW139" s="82"/>
      <c r="DX139" s="82"/>
      <c r="DY139" s="82"/>
      <c r="DZ139" s="82"/>
      <c r="EA139" s="82"/>
      <c r="EB139" s="82"/>
      <c r="EC139" s="82"/>
      <c r="ED139" s="82"/>
      <c r="EE139" s="82"/>
      <c r="EF139" s="82"/>
      <c r="EG139" s="82"/>
      <c r="EH139" s="82"/>
      <c r="EI139" s="82"/>
      <c r="EJ139" s="82"/>
      <c r="EK139" s="82"/>
      <c r="EL139" s="82"/>
      <c r="EM139" s="82"/>
      <c r="EN139" s="82"/>
      <c r="EO139" s="82"/>
      <c r="EP139" s="82"/>
      <c r="EQ139" s="82"/>
      <c r="ER139" s="82"/>
      <c r="ES139" s="82"/>
      <c r="ET139" s="82"/>
      <c r="EU139" s="82"/>
      <c r="EV139" s="82"/>
      <c r="EW139" s="82"/>
      <c r="EX139" s="82"/>
      <c r="EY139" s="82"/>
      <c r="EZ139" s="82"/>
      <c r="FA139" s="82"/>
      <c r="FB139" s="82"/>
      <c r="FC139" s="82"/>
      <c r="FD139" s="82"/>
      <c r="FE139" s="82"/>
      <c r="FF139" s="82"/>
      <c r="FG139" s="82"/>
      <c r="FH139" s="82"/>
      <c r="FI139" s="82"/>
      <c r="FJ139" s="82"/>
      <c r="FK139" s="82"/>
      <c r="FL139" s="82"/>
      <c r="FM139" s="82"/>
      <c r="FN139" s="82"/>
      <c r="FO139" s="82"/>
      <c r="FP139" s="82"/>
      <c r="FQ139" s="82"/>
      <c r="FR139" s="82"/>
      <c r="FS139" s="82"/>
      <c r="FT139" s="82"/>
      <c r="FU139" s="82"/>
      <c r="FV139" s="82"/>
      <c r="FW139" s="82"/>
      <c r="FX139" s="82"/>
      <c r="FY139" s="82"/>
      <c r="FZ139" s="82"/>
      <c r="GA139" s="82"/>
      <c r="GB139" s="82"/>
      <c r="GC139" s="82"/>
      <c r="GD139" s="82"/>
      <c r="GE139" s="82"/>
      <c r="GF139" s="82"/>
      <c r="GG139" s="82"/>
      <c r="GH139" s="82"/>
      <c r="GI139" s="82"/>
      <c r="GJ139" s="82"/>
      <c r="GK139" s="82"/>
      <c r="GL139" s="82"/>
      <c r="GM139" s="82"/>
      <c r="GN139" s="82"/>
      <c r="GO139" s="82"/>
      <c r="GP139" s="82"/>
      <c r="GQ139" s="82"/>
      <c r="GR139" s="82"/>
      <c r="GS139" s="82"/>
      <c r="GT139" s="82"/>
      <c r="GU139" s="82"/>
      <c r="GV139" s="82"/>
      <c r="GW139" s="82"/>
      <c r="GX139" s="82"/>
      <c r="GY139" s="82"/>
      <c r="GZ139" s="82"/>
      <c r="HA139" s="82"/>
      <c r="HB139" s="82"/>
      <c r="HC139" s="82"/>
      <c r="HD139" s="82"/>
      <c r="HE139" s="82"/>
      <c r="HF139" s="82"/>
      <c r="HG139" s="82"/>
      <c r="HH139" s="82"/>
      <c r="HI139" s="82"/>
      <c r="HJ139" s="82"/>
      <c r="HK139" s="82"/>
      <c r="HL139" s="82"/>
      <c r="HM139" s="82"/>
      <c r="HN139" s="82"/>
      <c r="HO139" s="82"/>
      <c r="HP139" s="82"/>
      <c r="HQ139" s="82"/>
      <c r="HR139" s="82"/>
      <c r="HS139" s="82"/>
      <c r="HT139" s="82"/>
      <c r="HU139" s="82"/>
      <c r="HV139" s="82"/>
      <c r="HW139" s="82"/>
      <c r="HX139" s="82"/>
      <c r="HY139" s="82"/>
      <c r="HZ139" s="82"/>
      <c r="IA139" s="82"/>
      <c r="IB139" s="82"/>
      <c r="IC139" s="82"/>
      <c r="ID139" s="82"/>
      <c r="IE139" s="82"/>
      <c r="IF139" s="82"/>
      <c r="IG139" s="82"/>
      <c r="IH139" s="82"/>
      <c r="II139" s="82"/>
      <c r="IJ139" s="82"/>
      <c r="IK139" s="82"/>
      <c r="IL139" s="82"/>
      <c r="IM139" s="82"/>
      <c r="IN139" s="82"/>
      <c r="IO139" s="82"/>
      <c r="IP139" s="82"/>
      <c r="IQ139" s="82"/>
      <c r="IR139" s="82"/>
      <c r="IS139" s="82"/>
      <c r="IT139" s="82"/>
      <c r="IU139" s="82"/>
      <c r="IV139" s="82"/>
      <c r="IW139" s="82"/>
      <c r="IX139" s="82"/>
      <c r="IY139" s="82"/>
      <c r="IZ139" s="82"/>
      <c r="JA139" s="82"/>
      <c r="JB139" s="82"/>
      <c r="JC139" s="82"/>
      <c r="JD139" s="82"/>
      <c r="JE139" s="82"/>
      <c r="JF139" s="82"/>
      <c r="JG139" s="82"/>
      <c r="JH139" s="82"/>
      <c r="JI139" s="82"/>
      <c r="JJ139" s="82"/>
      <c r="JK139" s="82"/>
      <c r="JL139" s="82"/>
      <c r="JM139" s="82"/>
      <c r="JN139" s="82"/>
      <c r="JO139" s="82"/>
      <c r="JP139" s="82"/>
      <c r="JQ139" s="82"/>
      <c r="JR139" s="82"/>
      <c r="JS139" s="82"/>
      <c r="JT139" s="82"/>
      <c r="JU139" s="82"/>
      <c r="JV139" s="82"/>
      <c r="JW139" s="82"/>
      <c r="JX139" s="82"/>
      <c r="JY139" s="82"/>
      <c r="JZ139" s="82"/>
      <c r="KA139" s="82"/>
      <c r="KB139" s="82"/>
      <c r="KC139" s="82"/>
      <c r="KD139" s="82"/>
      <c r="KE139" s="82"/>
      <c r="KF139" s="82"/>
      <c r="KG139" s="82"/>
      <c r="KH139" s="82"/>
      <c r="KI139" s="82"/>
      <c r="KJ139" s="82"/>
      <c r="KK139" s="82"/>
      <c r="KL139" s="82"/>
      <c r="KM139" s="82"/>
      <c r="KN139" s="82"/>
      <c r="KO139" s="82"/>
      <c r="KP139" s="82"/>
      <c r="KQ139" s="82"/>
      <c r="KR139" s="82"/>
      <c r="KS139" s="82"/>
      <c r="KT139" s="82"/>
      <c r="KU139" s="82"/>
      <c r="KV139" s="82"/>
      <c r="KW139" s="82"/>
      <c r="KX139" s="82"/>
      <c r="KY139" s="82"/>
      <c r="KZ139" s="82"/>
      <c r="LA139" s="82"/>
      <c r="LB139" s="82"/>
      <c r="LC139" s="82"/>
      <c r="LD139" s="82"/>
      <c r="LE139" s="82"/>
      <c r="LF139" s="82"/>
      <c r="LG139" s="82"/>
      <c r="LH139" s="82"/>
      <c r="LI139" s="82"/>
      <c r="LJ139" s="82"/>
      <c r="LK139" s="82"/>
      <c r="LL139" s="82"/>
      <c r="LM139" s="82"/>
      <c r="LN139" s="82"/>
      <c r="LO139" s="82"/>
      <c r="LP139" s="82"/>
      <c r="LQ139" s="82"/>
      <c r="LR139" s="82"/>
      <c r="LS139" s="82"/>
      <c r="LT139" s="82"/>
      <c r="LU139" s="82"/>
      <c r="LV139" s="82"/>
      <c r="LW139" s="82"/>
      <c r="LX139" s="82"/>
      <c r="LY139" s="82"/>
      <c r="LZ139" s="82"/>
      <c r="MA139" s="82"/>
      <c r="MB139" s="82"/>
      <c r="MC139" s="82"/>
      <c r="MD139" s="82"/>
      <c r="ME139" s="82"/>
      <c r="MF139" s="82"/>
      <c r="MG139" s="82"/>
      <c r="MH139" s="82"/>
      <c r="MI139" s="82"/>
      <c r="MJ139" s="82"/>
      <c r="MK139" s="82"/>
      <c r="ML139" s="82"/>
      <c r="MM139" s="82"/>
      <c r="MN139" s="82"/>
      <c r="MO139" s="82"/>
      <c r="MP139" s="82"/>
      <c r="MQ139" s="82"/>
      <c r="MR139" s="82"/>
      <c r="MS139" s="82"/>
      <c r="MT139" s="82"/>
      <c r="MU139" s="82"/>
      <c r="MV139" s="82"/>
      <c r="MW139" s="82"/>
      <c r="MX139" s="82"/>
      <c r="MY139" s="82"/>
      <c r="MZ139" s="82"/>
      <c r="NA139" s="82"/>
      <c r="NB139" s="82"/>
      <c r="NC139" s="82"/>
      <c r="ND139" s="82"/>
      <c r="NE139" s="82"/>
      <c r="NF139" s="82"/>
      <c r="NG139" s="82"/>
      <c r="NH139" s="82"/>
      <c r="NI139" s="82"/>
      <c r="NJ139" s="82"/>
      <c r="NK139" s="82"/>
      <c r="NL139" s="82"/>
      <c r="NM139" s="82"/>
      <c r="NN139" s="82"/>
      <c r="NO139" s="82"/>
      <c r="NP139" s="82"/>
      <c r="NQ139" s="82"/>
      <c r="NR139" s="82"/>
      <c r="NS139" s="82"/>
      <c r="NT139" s="82"/>
      <c r="NU139" s="82"/>
      <c r="NV139" s="82"/>
      <c r="NW139" s="82"/>
      <c r="NX139" s="82"/>
      <c r="NY139" s="82"/>
      <c r="NZ139" s="82"/>
      <c r="OA139" s="82"/>
      <c r="OB139" s="82"/>
      <c r="OC139" s="82"/>
      <c r="OD139" s="82"/>
      <c r="OE139" s="82"/>
      <c r="OF139" s="82"/>
      <c r="OG139" s="82"/>
      <c r="OH139" s="82"/>
      <c r="OI139" s="82"/>
      <c r="OJ139" s="82"/>
      <c r="OK139" s="82"/>
      <c r="OL139" s="82"/>
      <c r="OM139" s="82"/>
      <c r="ON139" s="82"/>
      <c r="OO139" s="82"/>
      <c r="OP139" s="82"/>
      <c r="OQ139" s="82"/>
      <c r="OR139" s="82"/>
      <c r="OS139" s="82"/>
      <c r="OT139" s="82"/>
      <c r="OU139" s="82"/>
      <c r="OV139" s="82"/>
      <c r="OW139" s="82"/>
      <c r="OX139" s="82"/>
      <c r="OY139" s="82"/>
      <c r="OZ139" s="82"/>
      <c r="PA139" s="82"/>
      <c r="PB139" s="82"/>
      <c r="PC139" s="82"/>
      <c r="PD139" s="82"/>
      <c r="PE139" s="82"/>
      <c r="PF139" s="82"/>
      <c r="PG139" s="82"/>
      <c r="PH139" s="82"/>
      <c r="PI139" s="82"/>
      <c r="PJ139" s="82"/>
      <c r="PK139" s="82"/>
      <c r="PL139" s="82"/>
      <c r="PM139" s="82"/>
      <c r="PN139" s="82"/>
      <c r="PO139" s="82"/>
      <c r="PP139" s="82"/>
      <c r="PQ139" s="82"/>
      <c r="PR139" s="82"/>
      <c r="PS139" s="82"/>
      <c r="PT139" s="82"/>
      <c r="PU139" s="82"/>
      <c r="PV139" s="82"/>
      <c r="PW139" s="82"/>
      <c r="PX139" s="82"/>
      <c r="PY139" s="82"/>
      <c r="PZ139" s="82"/>
      <c r="QA139" s="82"/>
      <c r="QB139" s="82"/>
      <c r="QC139" s="82"/>
      <c r="QD139" s="82"/>
      <c r="QE139" s="82"/>
      <c r="QF139" s="82"/>
      <c r="QG139" s="82"/>
      <c r="QH139" s="82"/>
      <c r="QI139" s="82"/>
      <c r="QJ139" s="82"/>
      <c r="QK139" s="82"/>
      <c r="QL139" s="82"/>
      <c r="QM139" s="82"/>
      <c r="QN139" s="82"/>
      <c r="QO139" s="82"/>
      <c r="QP139" s="82"/>
      <c r="QQ139" s="82"/>
      <c r="QR139" s="82"/>
      <c r="QS139" s="82"/>
      <c r="QT139" s="82"/>
      <c r="QU139" s="82"/>
      <c r="QV139" s="82"/>
      <c r="QW139" s="82"/>
      <c r="QX139" s="82"/>
      <c r="QY139" s="82"/>
      <c r="QZ139" s="82"/>
      <c r="RA139" s="82"/>
      <c r="RB139" s="82"/>
      <c r="RC139" s="82"/>
      <c r="RD139" s="82"/>
      <c r="RE139" s="82"/>
      <c r="RF139" s="82"/>
      <c r="RG139" s="82"/>
      <c r="RH139" s="82"/>
      <c r="RI139" s="82"/>
      <c r="RJ139" s="82"/>
      <c r="RK139" s="82"/>
      <c r="RL139" s="82"/>
      <c r="RM139" s="82"/>
      <c r="RN139" s="82"/>
      <c r="RO139" s="82"/>
      <c r="RP139" s="82"/>
      <c r="RQ139" s="82"/>
      <c r="RR139" s="82"/>
      <c r="RS139" s="82"/>
      <c r="RT139" s="82"/>
      <c r="RU139" s="82"/>
      <c r="RV139" s="82"/>
      <c r="RW139" s="82"/>
      <c r="RX139" s="82"/>
      <c r="RY139" s="82"/>
      <c r="RZ139" s="82"/>
      <c r="SA139" s="82"/>
      <c r="SB139" s="82"/>
      <c r="SC139" s="82"/>
      <c r="SD139" s="82"/>
      <c r="SE139" s="82"/>
      <c r="SF139" s="82"/>
      <c r="SG139" s="82"/>
      <c r="SH139" s="82"/>
      <c r="SI139" s="82"/>
      <c r="SJ139" s="82"/>
      <c r="SK139" s="82"/>
      <c r="SL139" s="82"/>
      <c r="SM139" s="82"/>
      <c r="SN139" s="82"/>
      <c r="SO139" s="82"/>
      <c r="SP139" s="82"/>
      <c r="SQ139" s="82"/>
      <c r="SR139" s="82"/>
      <c r="SS139" s="82"/>
      <c r="ST139" s="82"/>
      <c r="SU139" s="82"/>
      <c r="SV139" s="82"/>
      <c r="SW139" s="82"/>
      <c r="SX139" s="82"/>
      <c r="SY139" s="82"/>
      <c r="SZ139" s="82"/>
      <c r="TA139" s="82"/>
      <c r="TB139" s="82"/>
      <c r="TC139" s="82"/>
      <c r="TD139" s="82"/>
      <c r="TE139" s="82"/>
      <c r="TF139" s="82"/>
      <c r="TG139" s="82"/>
      <c r="TH139" s="82"/>
      <c r="TI139" s="82"/>
      <c r="TJ139" s="82"/>
      <c r="TK139" s="82"/>
      <c r="TL139" s="82"/>
      <c r="TM139" s="82"/>
      <c r="TN139" s="82"/>
      <c r="TO139" s="82"/>
      <c r="TP139" s="82"/>
      <c r="TQ139" s="82"/>
      <c r="TR139" s="82"/>
      <c r="TS139" s="82"/>
      <c r="TT139" s="82"/>
      <c r="TU139" s="82"/>
      <c r="TV139" s="82"/>
      <c r="TW139" s="82"/>
      <c r="TX139" s="82"/>
      <c r="TY139" s="82"/>
      <c r="TZ139" s="82"/>
      <c r="UA139" s="82"/>
      <c r="UB139" s="82"/>
      <c r="UC139" s="82"/>
      <c r="UD139" s="82"/>
      <c r="UE139" s="82"/>
      <c r="UF139" s="82"/>
      <c r="UG139" s="82"/>
      <c r="UH139" s="82"/>
      <c r="UI139" s="82"/>
      <c r="UJ139" s="82"/>
      <c r="UK139" s="82"/>
      <c r="UL139" s="82"/>
      <c r="UM139" s="82"/>
      <c r="UN139" s="82"/>
      <c r="UO139" s="82"/>
      <c r="UP139" s="82"/>
      <c r="UQ139" s="82"/>
      <c r="UR139" s="82"/>
      <c r="US139" s="82"/>
      <c r="UT139" s="82"/>
      <c r="UU139" s="82"/>
      <c r="UV139" s="82"/>
      <c r="UW139" s="82"/>
      <c r="UX139" s="82"/>
      <c r="UY139" s="82"/>
      <c r="UZ139" s="82"/>
      <c r="VA139" s="82"/>
      <c r="VB139" s="82"/>
      <c r="VC139" s="82"/>
      <c r="VD139" s="82"/>
      <c r="VE139" s="82"/>
      <c r="VF139" s="82"/>
      <c r="VG139" s="82"/>
      <c r="VH139" s="82"/>
      <c r="VI139" s="82"/>
      <c r="VJ139" s="82"/>
      <c r="VK139" s="82"/>
      <c r="VL139" s="82"/>
      <c r="VM139" s="82"/>
      <c r="VN139" s="82"/>
      <c r="VO139" s="82"/>
      <c r="VP139" s="82"/>
      <c r="VQ139" s="82"/>
      <c r="VR139" s="82"/>
      <c r="VS139" s="82"/>
      <c r="VT139" s="82"/>
      <c r="VU139" s="82"/>
      <c r="VV139" s="82"/>
      <c r="VW139" s="82"/>
      <c r="VX139" s="82"/>
      <c r="VY139" s="82"/>
      <c r="VZ139" s="82"/>
      <c r="WA139" s="82"/>
      <c r="WB139" s="82"/>
      <c r="WC139" s="82"/>
      <c r="WD139" s="82"/>
      <c r="WE139" s="82"/>
      <c r="WF139" s="82"/>
      <c r="WG139" s="82"/>
      <c r="WH139" s="82"/>
      <c r="WI139" s="82"/>
      <c r="WJ139" s="82"/>
      <c r="WK139" s="82"/>
      <c r="WL139" s="82"/>
      <c r="WM139" s="82"/>
      <c r="WN139" s="82"/>
      <c r="WO139" s="82"/>
      <c r="WP139" s="82"/>
      <c r="WQ139" s="82"/>
      <c r="WR139" s="82"/>
      <c r="WS139" s="82"/>
      <c r="WT139" s="82"/>
      <c r="WU139" s="82"/>
      <c r="WV139" s="82"/>
      <c r="WW139" s="82"/>
      <c r="WX139" s="82"/>
      <c r="WY139" s="82"/>
      <c r="WZ139" s="82"/>
      <c r="XA139" s="82"/>
      <c r="XB139" s="82"/>
      <c r="XC139" s="82"/>
      <c r="XD139" s="82"/>
      <c r="XE139" s="82"/>
      <c r="XF139" s="82"/>
      <c r="XG139" s="82"/>
      <c r="XH139" s="82"/>
      <c r="XI139" s="82"/>
      <c r="XJ139" s="82"/>
      <c r="XK139" s="82"/>
      <c r="XL139" s="82"/>
      <c r="XM139" s="82"/>
      <c r="XN139" s="82"/>
      <c r="XO139" s="82"/>
      <c r="XP139" s="82"/>
      <c r="XQ139" s="82"/>
      <c r="XR139" s="82"/>
      <c r="XS139" s="82"/>
      <c r="XT139" s="82"/>
      <c r="XU139" s="82"/>
      <c r="XV139" s="82"/>
      <c r="XW139" s="82"/>
      <c r="XX139" s="82"/>
      <c r="XY139" s="82"/>
      <c r="XZ139" s="82"/>
      <c r="YA139" s="82"/>
      <c r="YB139" s="82"/>
      <c r="YC139" s="82"/>
      <c r="YD139" s="82"/>
      <c r="YE139" s="82"/>
      <c r="YF139" s="82"/>
      <c r="YG139" s="82"/>
      <c r="YH139" s="82"/>
      <c r="YI139" s="82"/>
      <c r="YJ139" s="82"/>
      <c r="YK139" s="82"/>
      <c r="YL139" s="82"/>
      <c r="YM139" s="82"/>
      <c r="YN139" s="82"/>
      <c r="YO139" s="82"/>
      <c r="YP139" s="82"/>
      <c r="YQ139" s="82"/>
      <c r="YR139" s="82"/>
      <c r="YS139" s="82"/>
      <c r="YT139" s="82"/>
      <c r="YU139" s="82"/>
      <c r="YV139" s="82"/>
      <c r="YW139" s="82"/>
      <c r="YX139" s="82"/>
      <c r="YY139" s="82"/>
      <c r="YZ139" s="82"/>
      <c r="ZA139" s="82"/>
      <c r="ZB139" s="82"/>
      <c r="ZC139" s="82"/>
      <c r="ZD139" s="82"/>
      <c r="ZE139" s="82"/>
      <c r="ZF139" s="82"/>
      <c r="ZG139" s="82"/>
      <c r="ZH139" s="82"/>
      <c r="ZI139" s="82"/>
      <c r="ZJ139" s="82"/>
      <c r="ZK139" s="82"/>
      <c r="ZL139" s="82"/>
      <c r="ZM139" s="82"/>
      <c r="ZN139" s="82"/>
      <c r="ZO139" s="82"/>
      <c r="ZP139" s="82"/>
      <c r="ZQ139" s="82"/>
      <c r="ZR139" s="82"/>
      <c r="ZS139" s="82"/>
      <c r="ZT139" s="82"/>
      <c r="ZU139" s="82"/>
      <c r="ZV139" s="82"/>
      <c r="ZW139" s="82"/>
      <c r="ZX139" s="82"/>
      <c r="ZY139" s="82"/>
      <c r="ZZ139" s="82"/>
      <c r="AAA139" s="82"/>
      <c r="AAB139" s="82"/>
      <c r="AAC139" s="82"/>
      <c r="AAD139" s="82"/>
      <c r="AAE139" s="82"/>
      <c r="AAF139" s="82"/>
      <c r="AAG139" s="82"/>
      <c r="AAH139" s="82"/>
      <c r="AAI139" s="82"/>
      <c r="AAJ139" s="82"/>
      <c r="AAK139" s="82"/>
      <c r="AAL139" s="82"/>
      <c r="AAM139" s="82"/>
      <c r="AAN139" s="82"/>
      <c r="AAO139" s="82"/>
      <c r="AAP139" s="82"/>
      <c r="AAQ139" s="82"/>
      <c r="AAR139" s="82"/>
      <c r="AAS139" s="82"/>
      <c r="AAT139" s="82"/>
      <c r="AAU139" s="82"/>
      <c r="AAV139" s="82"/>
      <c r="AAW139" s="82"/>
      <c r="AAX139" s="82"/>
      <c r="AAY139" s="82"/>
      <c r="AAZ139" s="82"/>
      <c r="ABA139" s="82"/>
      <c r="ABB139" s="82"/>
      <c r="ABC139" s="82"/>
      <c r="ABD139" s="82"/>
      <c r="ABE139" s="82"/>
      <c r="ABF139" s="82"/>
      <c r="ABG139" s="82"/>
      <c r="ABH139" s="82"/>
      <c r="ABI139" s="82"/>
      <c r="ABJ139" s="82"/>
      <c r="ABK139" s="82"/>
      <c r="ABL139" s="82"/>
      <c r="ABM139" s="82"/>
      <c r="ABN139" s="82"/>
      <c r="ABO139" s="82"/>
      <c r="ABP139" s="82"/>
      <c r="ABQ139" s="82"/>
      <c r="ABR139" s="82"/>
      <c r="ABS139" s="82"/>
      <c r="ABT139" s="82"/>
      <c r="ABU139" s="82"/>
      <c r="ABV139" s="82"/>
      <c r="ABW139" s="82"/>
      <c r="ABX139" s="82"/>
      <c r="ABY139" s="82"/>
      <c r="ABZ139" s="82"/>
      <c r="ACA139" s="82"/>
      <c r="ACB139" s="82"/>
      <c r="ACC139" s="82"/>
      <c r="ACD139" s="82"/>
      <c r="ACE139" s="82"/>
      <c r="ACF139" s="82"/>
      <c r="ACG139" s="82"/>
      <c r="ACH139" s="82"/>
      <c r="ACI139" s="82"/>
      <c r="ACJ139" s="82"/>
      <c r="ACK139" s="82"/>
      <c r="ACL139" s="82"/>
      <c r="ACM139" s="82"/>
      <c r="ACN139" s="82"/>
      <c r="ACO139" s="82"/>
      <c r="ACP139" s="82"/>
      <c r="ACQ139" s="82"/>
      <c r="ACR139" s="82"/>
      <c r="ACS139" s="82"/>
      <c r="ACT139" s="82"/>
      <c r="ACU139" s="82"/>
      <c r="ACV139" s="82"/>
      <c r="ACW139" s="82"/>
      <c r="ACX139" s="82"/>
      <c r="ACY139" s="82"/>
      <c r="ACZ139" s="82"/>
      <c r="ADA139" s="82"/>
      <c r="ADB139" s="82"/>
      <c r="ADC139" s="82"/>
      <c r="ADD139" s="82"/>
      <c r="ADE139" s="82"/>
      <c r="ADF139" s="82"/>
      <c r="ADG139" s="82"/>
      <c r="ADH139" s="82"/>
      <c r="ADI139" s="82"/>
      <c r="ADJ139" s="82"/>
      <c r="ADK139" s="82"/>
      <c r="ADL139" s="82"/>
      <c r="ADM139" s="82"/>
      <c r="ADN139" s="82"/>
      <c r="ADO139" s="82"/>
      <c r="ADP139" s="82"/>
      <c r="ADQ139" s="82"/>
      <c r="ADR139" s="82"/>
      <c r="ADS139" s="82"/>
      <c r="ADT139" s="82"/>
      <c r="ADU139" s="82"/>
      <c r="ADV139" s="82"/>
      <c r="ADW139" s="82"/>
      <c r="ADX139" s="82"/>
      <c r="ADY139" s="82"/>
      <c r="ADZ139" s="82"/>
      <c r="AEA139" s="82"/>
      <c r="AEB139" s="82"/>
      <c r="AEC139" s="82"/>
      <c r="AED139" s="82"/>
      <c r="AEE139" s="82"/>
      <c r="AEF139" s="82"/>
      <c r="AEG139" s="82"/>
      <c r="AEH139" s="82"/>
      <c r="AEI139" s="82"/>
      <c r="AEJ139" s="82"/>
      <c r="AEK139" s="82"/>
      <c r="AEL139" s="82"/>
      <c r="AEM139" s="82"/>
      <c r="AEN139" s="82"/>
      <c r="AEO139" s="82"/>
      <c r="AEP139" s="82"/>
      <c r="AEQ139" s="82"/>
      <c r="AER139" s="82"/>
      <c r="AES139" s="82"/>
      <c r="AET139" s="82"/>
      <c r="AEU139" s="82"/>
      <c r="AEV139" s="82"/>
      <c r="AEW139" s="82"/>
      <c r="AEX139" s="82"/>
      <c r="AEY139" s="82"/>
      <c r="AEZ139" s="82"/>
      <c r="AFA139" s="82"/>
      <c r="AFB139" s="82"/>
      <c r="AFC139" s="82"/>
      <c r="AFD139" s="82"/>
      <c r="AFE139" s="82"/>
      <c r="AFF139" s="82"/>
      <c r="AFG139" s="82"/>
      <c r="AFH139" s="82"/>
      <c r="AFI139" s="82"/>
      <c r="AFJ139" s="82"/>
      <c r="AFK139" s="82"/>
      <c r="AFL139" s="82"/>
      <c r="AFM139" s="82"/>
      <c r="AFN139" s="82"/>
      <c r="AFO139" s="82"/>
      <c r="AFP139" s="82"/>
      <c r="AFQ139" s="82"/>
      <c r="AFR139" s="82"/>
      <c r="AFS139" s="82"/>
      <c r="AFT139" s="82"/>
      <c r="AFU139" s="82"/>
      <c r="AFV139" s="82"/>
      <c r="AFW139" s="82"/>
      <c r="AFX139" s="82"/>
      <c r="AFY139" s="82"/>
      <c r="AFZ139" s="82"/>
      <c r="AGA139" s="82"/>
      <c r="AGB139" s="82"/>
      <c r="AGC139" s="82"/>
      <c r="AGD139" s="82"/>
      <c r="AGE139" s="82"/>
      <c r="AGF139" s="82"/>
      <c r="AGG139" s="82"/>
      <c r="AGH139" s="82"/>
      <c r="AGI139" s="82"/>
      <c r="AGJ139" s="82"/>
      <c r="AGK139" s="82"/>
      <c r="AGL139" s="82"/>
      <c r="AGM139" s="82"/>
      <c r="AGN139" s="82"/>
      <c r="AGO139" s="82"/>
      <c r="AGP139" s="82"/>
      <c r="AGQ139" s="82"/>
      <c r="AGR139" s="82"/>
      <c r="AGS139" s="82"/>
      <c r="AGT139" s="82"/>
      <c r="AGU139" s="82"/>
      <c r="AGV139" s="82"/>
      <c r="AGW139" s="82"/>
      <c r="AGX139" s="82"/>
      <c r="AGY139" s="82"/>
      <c r="AGZ139" s="82"/>
      <c r="AHA139" s="82"/>
      <c r="AHB139" s="82"/>
      <c r="AHC139" s="82"/>
      <c r="AHD139" s="82"/>
      <c r="AHE139" s="82"/>
      <c r="AHF139" s="82"/>
      <c r="AHG139" s="82"/>
      <c r="AHH139" s="82"/>
      <c r="AHI139" s="82"/>
      <c r="AHJ139" s="82"/>
      <c r="AHK139" s="82"/>
      <c r="AHL139" s="82"/>
      <c r="AHM139" s="82"/>
      <c r="AHN139" s="82"/>
      <c r="AHO139" s="82"/>
      <c r="AHP139" s="82"/>
      <c r="AHQ139" s="82"/>
      <c r="AHR139" s="82"/>
      <c r="AHS139" s="82"/>
      <c r="AHT139" s="82"/>
      <c r="AHU139" s="82"/>
      <c r="AHV139" s="82"/>
      <c r="AHW139" s="82"/>
      <c r="AHX139" s="82"/>
      <c r="AHY139" s="82"/>
      <c r="AHZ139" s="82"/>
      <c r="AIA139" s="82"/>
      <c r="AIB139" s="82"/>
      <c r="AIC139" s="82"/>
      <c r="AID139" s="82"/>
      <c r="AIE139" s="82"/>
      <c r="AIF139" s="82"/>
      <c r="AIG139" s="82"/>
      <c r="AIH139" s="82"/>
    </row>
    <row r="140" spans="1:918" s="99" customFormat="1" ht="33.75" x14ac:dyDescent="0.2">
      <c r="A140" s="98"/>
      <c r="B140" s="100" t="s">
        <v>258</v>
      </c>
      <c r="C140" s="91" t="s">
        <v>393</v>
      </c>
      <c r="D140" s="93"/>
      <c r="E140" s="93"/>
      <c r="F140" s="93"/>
      <c r="G140" s="93"/>
      <c r="H140" s="93"/>
      <c r="I140" s="93"/>
      <c r="J140" s="93">
        <v>1</v>
      </c>
      <c r="K140" s="93"/>
      <c r="L140" s="82"/>
      <c r="M140" s="82"/>
      <c r="N140" s="82"/>
      <c r="O140" s="82"/>
      <c r="P140" s="82"/>
      <c r="Q140" s="82"/>
      <c r="R140" s="82"/>
      <c r="S140" s="82"/>
      <c r="T140" s="82"/>
      <c r="U140" s="82"/>
      <c r="V140" s="82"/>
      <c r="W140" s="82"/>
      <c r="X140" s="82"/>
      <c r="Y140" s="82"/>
      <c r="Z140" s="82"/>
      <c r="AA140" s="82"/>
      <c r="AB140" s="82"/>
      <c r="AC140" s="82"/>
      <c r="AD140" s="82"/>
      <c r="AE140" s="82"/>
      <c r="AF140" s="82"/>
      <c r="AG140" s="82"/>
      <c r="AH140" s="82"/>
      <c r="AI140" s="82"/>
      <c r="AJ140" s="82"/>
      <c r="AK140" s="82"/>
      <c r="AL140" s="82"/>
      <c r="AM140" s="82"/>
      <c r="AN140" s="82"/>
      <c r="AO140" s="82"/>
      <c r="AP140" s="82"/>
      <c r="AQ140" s="82"/>
      <c r="AR140" s="82"/>
      <c r="AS140" s="82"/>
      <c r="AT140" s="82"/>
      <c r="AU140" s="82"/>
      <c r="AV140" s="82"/>
      <c r="AW140" s="82"/>
      <c r="AX140" s="82"/>
      <c r="AY140" s="82"/>
      <c r="AZ140" s="82"/>
      <c r="BA140" s="82"/>
      <c r="BB140" s="82"/>
      <c r="BC140" s="82"/>
      <c r="BD140" s="82"/>
      <c r="BE140" s="82"/>
      <c r="BF140" s="82"/>
      <c r="BG140" s="82"/>
      <c r="BH140" s="82"/>
      <c r="BI140" s="82"/>
      <c r="BJ140" s="82"/>
      <c r="BK140" s="82"/>
      <c r="BL140" s="82"/>
      <c r="BM140" s="82"/>
      <c r="BN140" s="82"/>
      <c r="BO140" s="82"/>
      <c r="BP140" s="82"/>
      <c r="BQ140" s="82"/>
      <c r="BR140" s="82"/>
      <c r="BS140" s="82"/>
      <c r="BT140" s="82"/>
      <c r="BU140" s="82"/>
      <c r="BV140" s="82"/>
      <c r="BW140" s="82"/>
      <c r="BX140" s="82"/>
      <c r="BY140" s="82"/>
      <c r="BZ140" s="82"/>
      <c r="CA140" s="82"/>
      <c r="CB140" s="82"/>
      <c r="CC140" s="82"/>
      <c r="CD140" s="82"/>
      <c r="CE140" s="82"/>
      <c r="CF140" s="82"/>
      <c r="CG140" s="82"/>
      <c r="CH140" s="82"/>
      <c r="CI140" s="82"/>
      <c r="CJ140" s="82"/>
      <c r="CK140" s="82"/>
      <c r="CL140" s="82"/>
      <c r="CM140" s="82"/>
      <c r="CN140" s="82"/>
      <c r="CO140" s="82"/>
      <c r="CP140" s="82"/>
      <c r="CQ140" s="82"/>
      <c r="CR140" s="82"/>
      <c r="CS140" s="82"/>
      <c r="CT140" s="82"/>
      <c r="CU140" s="82"/>
      <c r="CV140" s="82"/>
      <c r="CW140" s="82"/>
      <c r="CX140" s="82"/>
      <c r="CY140" s="82"/>
      <c r="CZ140" s="82"/>
      <c r="DA140" s="82"/>
      <c r="DB140" s="82"/>
      <c r="DC140" s="82"/>
      <c r="DD140" s="82"/>
      <c r="DE140" s="82"/>
      <c r="DF140" s="82"/>
      <c r="DG140" s="82"/>
      <c r="DH140" s="82"/>
      <c r="DI140" s="82"/>
      <c r="DJ140" s="82"/>
      <c r="DK140" s="82"/>
      <c r="DL140" s="82"/>
      <c r="DM140" s="82"/>
      <c r="DN140" s="82"/>
      <c r="DO140" s="82"/>
      <c r="DP140" s="82"/>
      <c r="DQ140" s="82"/>
      <c r="DR140" s="82"/>
      <c r="DS140" s="82"/>
      <c r="DT140" s="82"/>
      <c r="DU140" s="82"/>
      <c r="DV140" s="82"/>
      <c r="DW140" s="82"/>
      <c r="DX140" s="82"/>
      <c r="DY140" s="82"/>
      <c r="DZ140" s="82"/>
      <c r="EA140" s="82"/>
      <c r="EB140" s="82"/>
      <c r="EC140" s="82"/>
      <c r="ED140" s="82"/>
      <c r="EE140" s="82"/>
      <c r="EF140" s="82"/>
      <c r="EG140" s="82"/>
      <c r="EH140" s="82"/>
      <c r="EI140" s="82"/>
      <c r="EJ140" s="82"/>
      <c r="EK140" s="82"/>
      <c r="EL140" s="82"/>
      <c r="EM140" s="82"/>
      <c r="EN140" s="82"/>
      <c r="EO140" s="82"/>
      <c r="EP140" s="82"/>
      <c r="EQ140" s="82"/>
      <c r="ER140" s="82"/>
      <c r="ES140" s="82"/>
      <c r="ET140" s="82"/>
      <c r="EU140" s="82"/>
      <c r="EV140" s="82"/>
      <c r="EW140" s="82"/>
      <c r="EX140" s="82"/>
      <c r="EY140" s="82"/>
      <c r="EZ140" s="82"/>
      <c r="FA140" s="82"/>
      <c r="FB140" s="82"/>
      <c r="FC140" s="82"/>
      <c r="FD140" s="82"/>
      <c r="FE140" s="82"/>
      <c r="FF140" s="82"/>
      <c r="FG140" s="82"/>
      <c r="FH140" s="82"/>
      <c r="FI140" s="82"/>
      <c r="FJ140" s="82"/>
      <c r="FK140" s="82"/>
      <c r="FL140" s="82"/>
      <c r="FM140" s="82"/>
      <c r="FN140" s="82"/>
      <c r="FO140" s="82"/>
      <c r="FP140" s="82"/>
      <c r="FQ140" s="82"/>
      <c r="FR140" s="82"/>
      <c r="FS140" s="82"/>
      <c r="FT140" s="82"/>
      <c r="FU140" s="82"/>
      <c r="FV140" s="82"/>
      <c r="FW140" s="82"/>
      <c r="FX140" s="82"/>
      <c r="FY140" s="82"/>
      <c r="FZ140" s="82"/>
      <c r="GA140" s="82"/>
      <c r="GB140" s="82"/>
      <c r="GC140" s="82"/>
      <c r="GD140" s="82"/>
      <c r="GE140" s="82"/>
      <c r="GF140" s="82"/>
      <c r="GG140" s="82"/>
      <c r="GH140" s="82"/>
      <c r="GI140" s="82"/>
      <c r="GJ140" s="82"/>
      <c r="GK140" s="82"/>
      <c r="GL140" s="82"/>
      <c r="GM140" s="82"/>
      <c r="GN140" s="82"/>
      <c r="GO140" s="82"/>
      <c r="GP140" s="82"/>
      <c r="GQ140" s="82"/>
      <c r="GR140" s="82"/>
      <c r="GS140" s="82"/>
      <c r="GT140" s="82"/>
      <c r="GU140" s="82"/>
      <c r="GV140" s="82"/>
      <c r="GW140" s="82"/>
      <c r="GX140" s="82"/>
      <c r="GY140" s="82"/>
      <c r="GZ140" s="82"/>
      <c r="HA140" s="82"/>
      <c r="HB140" s="82"/>
      <c r="HC140" s="82"/>
      <c r="HD140" s="82"/>
      <c r="HE140" s="82"/>
      <c r="HF140" s="82"/>
      <c r="HG140" s="82"/>
      <c r="HH140" s="82"/>
      <c r="HI140" s="82"/>
      <c r="HJ140" s="82"/>
      <c r="HK140" s="82"/>
      <c r="HL140" s="82"/>
      <c r="HM140" s="82"/>
      <c r="HN140" s="82"/>
      <c r="HO140" s="82"/>
      <c r="HP140" s="82"/>
      <c r="HQ140" s="82"/>
      <c r="HR140" s="82"/>
      <c r="HS140" s="82"/>
      <c r="HT140" s="82"/>
      <c r="HU140" s="82"/>
      <c r="HV140" s="82"/>
      <c r="HW140" s="82"/>
      <c r="HX140" s="82"/>
      <c r="HY140" s="82"/>
      <c r="HZ140" s="82"/>
      <c r="IA140" s="82"/>
      <c r="IB140" s="82"/>
      <c r="IC140" s="82"/>
      <c r="ID140" s="82"/>
      <c r="IE140" s="82"/>
      <c r="IF140" s="82"/>
      <c r="IG140" s="82"/>
      <c r="IH140" s="82"/>
      <c r="II140" s="82"/>
      <c r="IJ140" s="82"/>
      <c r="IK140" s="82"/>
      <c r="IL140" s="82"/>
      <c r="IM140" s="82"/>
      <c r="IN140" s="82"/>
      <c r="IO140" s="82"/>
      <c r="IP140" s="82"/>
      <c r="IQ140" s="82"/>
      <c r="IR140" s="82"/>
      <c r="IS140" s="82"/>
      <c r="IT140" s="82"/>
      <c r="IU140" s="82"/>
      <c r="IV140" s="82"/>
      <c r="IW140" s="82"/>
      <c r="IX140" s="82"/>
      <c r="IY140" s="82"/>
      <c r="IZ140" s="82"/>
      <c r="JA140" s="82"/>
      <c r="JB140" s="82"/>
      <c r="JC140" s="82"/>
      <c r="JD140" s="82"/>
      <c r="JE140" s="82"/>
      <c r="JF140" s="82"/>
      <c r="JG140" s="82"/>
      <c r="JH140" s="82"/>
      <c r="JI140" s="82"/>
      <c r="JJ140" s="82"/>
      <c r="JK140" s="82"/>
      <c r="JL140" s="82"/>
      <c r="JM140" s="82"/>
      <c r="JN140" s="82"/>
      <c r="JO140" s="82"/>
      <c r="JP140" s="82"/>
      <c r="JQ140" s="82"/>
      <c r="JR140" s="82"/>
      <c r="JS140" s="82"/>
      <c r="JT140" s="82"/>
      <c r="JU140" s="82"/>
      <c r="JV140" s="82"/>
      <c r="JW140" s="82"/>
      <c r="JX140" s="82"/>
      <c r="JY140" s="82"/>
      <c r="JZ140" s="82"/>
      <c r="KA140" s="82"/>
      <c r="KB140" s="82"/>
      <c r="KC140" s="82"/>
      <c r="KD140" s="82"/>
      <c r="KE140" s="82"/>
      <c r="KF140" s="82"/>
      <c r="KG140" s="82"/>
      <c r="KH140" s="82"/>
      <c r="KI140" s="82"/>
      <c r="KJ140" s="82"/>
      <c r="KK140" s="82"/>
      <c r="KL140" s="82"/>
      <c r="KM140" s="82"/>
      <c r="KN140" s="82"/>
      <c r="KO140" s="82"/>
      <c r="KP140" s="82"/>
      <c r="KQ140" s="82"/>
      <c r="KR140" s="82"/>
      <c r="KS140" s="82"/>
      <c r="KT140" s="82"/>
      <c r="KU140" s="82"/>
      <c r="KV140" s="82"/>
      <c r="KW140" s="82"/>
      <c r="KX140" s="82"/>
      <c r="KY140" s="82"/>
      <c r="KZ140" s="82"/>
      <c r="LA140" s="82"/>
      <c r="LB140" s="82"/>
      <c r="LC140" s="82"/>
      <c r="LD140" s="82"/>
      <c r="LE140" s="82"/>
      <c r="LF140" s="82"/>
      <c r="LG140" s="82"/>
      <c r="LH140" s="82"/>
      <c r="LI140" s="82"/>
      <c r="LJ140" s="82"/>
      <c r="LK140" s="82"/>
      <c r="LL140" s="82"/>
      <c r="LM140" s="82"/>
      <c r="LN140" s="82"/>
      <c r="LO140" s="82"/>
      <c r="LP140" s="82"/>
      <c r="LQ140" s="82"/>
      <c r="LR140" s="82"/>
      <c r="LS140" s="82"/>
      <c r="LT140" s="82"/>
      <c r="LU140" s="82"/>
      <c r="LV140" s="82"/>
      <c r="LW140" s="82"/>
      <c r="LX140" s="82"/>
      <c r="LY140" s="82"/>
      <c r="LZ140" s="82"/>
      <c r="MA140" s="82"/>
      <c r="MB140" s="82"/>
      <c r="MC140" s="82"/>
      <c r="MD140" s="82"/>
      <c r="ME140" s="82"/>
      <c r="MF140" s="82"/>
      <c r="MG140" s="82"/>
      <c r="MH140" s="82"/>
      <c r="MI140" s="82"/>
      <c r="MJ140" s="82"/>
      <c r="MK140" s="82"/>
      <c r="ML140" s="82"/>
      <c r="MM140" s="82"/>
      <c r="MN140" s="82"/>
      <c r="MO140" s="82"/>
      <c r="MP140" s="82"/>
      <c r="MQ140" s="82"/>
      <c r="MR140" s="82"/>
      <c r="MS140" s="82"/>
      <c r="MT140" s="82"/>
      <c r="MU140" s="82"/>
      <c r="MV140" s="82"/>
      <c r="MW140" s="82"/>
      <c r="MX140" s="82"/>
      <c r="MY140" s="82"/>
      <c r="MZ140" s="82"/>
      <c r="NA140" s="82"/>
      <c r="NB140" s="82"/>
      <c r="NC140" s="82"/>
      <c r="ND140" s="82"/>
      <c r="NE140" s="82"/>
      <c r="NF140" s="82"/>
      <c r="NG140" s="82"/>
      <c r="NH140" s="82"/>
      <c r="NI140" s="82"/>
      <c r="NJ140" s="82"/>
      <c r="NK140" s="82"/>
      <c r="NL140" s="82"/>
      <c r="NM140" s="82"/>
      <c r="NN140" s="82"/>
      <c r="NO140" s="82"/>
      <c r="NP140" s="82"/>
      <c r="NQ140" s="82"/>
      <c r="NR140" s="82"/>
      <c r="NS140" s="82"/>
      <c r="NT140" s="82"/>
      <c r="NU140" s="82"/>
      <c r="NV140" s="82"/>
      <c r="NW140" s="82"/>
      <c r="NX140" s="82"/>
      <c r="NY140" s="82"/>
      <c r="NZ140" s="82"/>
      <c r="OA140" s="82"/>
      <c r="OB140" s="82"/>
      <c r="OC140" s="82"/>
      <c r="OD140" s="82"/>
      <c r="OE140" s="82"/>
      <c r="OF140" s="82"/>
      <c r="OG140" s="82"/>
      <c r="OH140" s="82"/>
      <c r="OI140" s="82"/>
      <c r="OJ140" s="82"/>
      <c r="OK140" s="82"/>
      <c r="OL140" s="82"/>
      <c r="OM140" s="82"/>
      <c r="ON140" s="82"/>
      <c r="OO140" s="82"/>
      <c r="OP140" s="82"/>
      <c r="OQ140" s="82"/>
      <c r="OR140" s="82"/>
      <c r="OS140" s="82"/>
      <c r="OT140" s="82"/>
      <c r="OU140" s="82"/>
      <c r="OV140" s="82"/>
      <c r="OW140" s="82"/>
      <c r="OX140" s="82"/>
      <c r="OY140" s="82"/>
      <c r="OZ140" s="82"/>
      <c r="PA140" s="82"/>
      <c r="PB140" s="82"/>
      <c r="PC140" s="82"/>
      <c r="PD140" s="82"/>
      <c r="PE140" s="82"/>
      <c r="PF140" s="82"/>
      <c r="PG140" s="82"/>
      <c r="PH140" s="82"/>
      <c r="PI140" s="82"/>
      <c r="PJ140" s="82"/>
      <c r="PK140" s="82"/>
      <c r="PL140" s="82"/>
      <c r="PM140" s="82"/>
      <c r="PN140" s="82"/>
      <c r="PO140" s="82"/>
      <c r="PP140" s="82"/>
      <c r="PQ140" s="82"/>
      <c r="PR140" s="82"/>
      <c r="PS140" s="82"/>
      <c r="PT140" s="82"/>
      <c r="PU140" s="82"/>
      <c r="PV140" s="82"/>
      <c r="PW140" s="82"/>
      <c r="PX140" s="82"/>
      <c r="PY140" s="82"/>
      <c r="PZ140" s="82"/>
      <c r="QA140" s="82"/>
      <c r="QB140" s="82"/>
      <c r="QC140" s="82"/>
      <c r="QD140" s="82"/>
      <c r="QE140" s="82"/>
      <c r="QF140" s="82"/>
      <c r="QG140" s="82"/>
      <c r="QH140" s="82"/>
      <c r="QI140" s="82"/>
      <c r="QJ140" s="82"/>
      <c r="QK140" s="82"/>
      <c r="QL140" s="82"/>
      <c r="QM140" s="82"/>
      <c r="QN140" s="82"/>
      <c r="QO140" s="82"/>
      <c r="QP140" s="82"/>
      <c r="QQ140" s="82"/>
      <c r="QR140" s="82"/>
      <c r="QS140" s="82"/>
      <c r="QT140" s="82"/>
      <c r="QU140" s="82"/>
      <c r="QV140" s="82"/>
      <c r="QW140" s="82"/>
      <c r="QX140" s="82"/>
      <c r="QY140" s="82"/>
      <c r="QZ140" s="82"/>
      <c r="RA140" s="82"/>
      <c r="RB140" s="82"/>
      <c r="RC140" s="82"/>
      <c r="RD140" s="82"/>
      <c r="RE140" s="82"/>
      <c r="RF140" s="82"/>
      <c r="RG140" s="82"/>
      <c r="RH140" s="82"/>
      <c r="RI140" s="82"/>
      <c r="RJ140" s="82"/>
      <c r="RK140" s="82"/>
      <c r="RL140" s="82"/>
      <c r="RM140" s="82"/>
      <c r="RN140" s="82"/>
      <c r="RO140" s="82"/>
      <c r="RP140" s="82"/>
      <c r="RQ140" s="82"/>
      <c r="RR140" s="82"/>
      <c r="RS140" s="82"/>
      <c r="RT140" s="82"/>
      <c r="RU140" s="82"/>
      <c r="RV140" s="82"/>
      <c r="RW140" s="82"/>
      <c r="RX140" s="82"/>
      <c r="RY140" s="82"/>
      <c r="RZ140" s="82"/>
      <c r="SA140" s="82"/>
      <c r="SB140" s="82"/>
      <c r="SC140" s="82"/>
      <c r="SD140" s="82"/>
      <c r="SE140" s="82"/>
      <c r="SF140" s="82"/>
      <c r="SG140" s="82"/>
      <c r="SH140" s="82"/>
      <c r="SI140" s="82"/>
      <c r="SJ140" s="82"/>
      <c r="SK140" s="82"/>
      <c r="SL140" s="82"/>
      <c r="SM140" s="82"/>
      <c r="SN140" s="82"/>
      <c r="SO140" s="82"/>
      <c r="SP140" s="82"/>
      <c r="SQ140" s="82"/>
      <c r="SR140" s="82"/>
      <c r="SS140" s="82"/>
      <c r="ST140" s="82"/>
      <c r="SU140" s="82"/>
      <c r="SV140" s="82"/>
      <c r="SW140" s="82"/>
      <c r="SX140" s="82"/>
      <c r="SY140" s="82"/>
      <c r="SZ140" s="82"/>
      <c r="TA140" s="82"/>
      <c r="TB140" s="82"/>
      <c r="TC140" s="82"/>
      <c r="TD140" s="82"/>
      <c r="TE140" s="82"/>
      <c r="TF140" s="82"/>
      <c r="TG140" s="82"/>
      <c r="TH140" s="82"/>
      <c r="TI140" s="82"/>
      <c r="TJ140" s="82"/>
      <c r="TK140" s="82"/>
      <c r="TL140" s="82"/>
      <c r="TM140" s="82"/>
      <c r="TN140" s="82"/>
      <c r="TO140" s="82"/>
      <c r="TP140" s="82"/>
      <c r="TQ140" s="82"/>
      <c r="TR140" s="82"/>
      <c r="TS140" s="82"/>
      <c r="TT140" s="82"/>
      <c r="TU140" s="82"/>
      <c r="TV140" s="82"/>
      <c r="TW140" s="82"/>
      <c r="TX140" s="82"/>
      <c r="TY140" s="82"/>
      <c r="TZ140" s="82"/>
      <c r="UA140" s="82"/>
      <c r="UB140" s="82"/>
      <c r="UC140" s="82"/>
      <c r="UD140" s="82"/>
      <c r="UE140" s="82"/>
      <c r="UF140" s="82"/>
      <c r="UG140" s="82"/>
      <c r="UH140" s="82"/>
      <c r="UI140" s="82"/>
      <c r="UJ140" s="82"/>
      <c r="UK140" s="82"/>
      <c r="UL140" s="82"/>
      <c r="UM140" s="82"/>
      <c r="UN140" s="82"/>
      <c r="UO140" s="82"/>
      <c r="UP140" s="82"/>
      <c r="UQ140" s="82"/>
      <c r="UR140" s="82"/>
      <c r="US140" s="82"/>
      <c r="UT140" s="82"/>
      <c r="UU140" s="82"/>
      <c r="UV140" s="82"/>
      <c r="UW140" s="82"/>
      <c r="UX140" s="82"/>
      <c r="UY140" s="82"/>
      <c r="UZ140" s="82"/>
      <c r="VA140" s="82"/>
      <c r="VB140" s="82"/>
      <c r="VC140" s="82"/>
      <c r="VD140" s="82"/>
      <c r="VE140" s="82"/>
      <c r="VF140" s="82"/>
      <c r="VG140" s="82"/>
      <c r="VH140" s="82"/>
      <c r="VI140" s="82"/>
      <c r="VJ140" s="82"/>
      <c r="VK140" s="82"/>
      <c r="VL140" s="82"/>
      <c r="VM140" s="82"/>
      <c r="VN140" s="82"/>
      <c r="VO140" s="82"/>
      <c r="VP140" s="82"/>
      <c r="VQ140" s="82"/>
      <c r="VR140" s="82"/>
      <c r="VS140" s="82"/>
      <c r="VT140" s="82"/>
      <c r="VU140" s="82"/>
      <c r="VV140" s="82"/>
      <c r="VW140" s="82"/>
      <c r="VX140" s="82"/>
      <c r="VY140" s="82"/>
      <c r="VZ140" s="82"/>
      <c r="WA140" s="82"/>
      <c r="WB140" s="82"/>
      <c r="WC140" s="82"/>
      <c r="WD140" s="82"/>
      <c r="WE140" s="82"/>
      <c r="WF140" s="82"/>
      <c r="WG140" s="82"/>
      <c r="WH140" s="82"/>
      <c r="WI140" s="82"/>
      <c r="WJ140" s="82"/>
      <c r="WK140" s="82"/>
      <c r="WL140" s="82"/>
      <c r="WM140" s="82"/>
      <c r="WN140" s="82"/>
      <c r="WO140" s="82"/>
      <c r="WP140" s="82"/>
      <c r="WQ140" s="82"/>
      <c r="WR140" s="82"/>
      <c r="WS140" s="82"/>
      <c r="WT140" s="82"/>
      <c r="WU140" s="82"/>
      <c r="WV140" s="82"/>
      <c r="WW140" s="82"/>
      <c r="WX140" s="82"/>
      <c r="WY140" s="82"/>
      <c r="WZ140" s="82"/>
      <c r="XA140" s="82"/>
      <c r="XB140" s="82"/>
      <c r="XC140" s="82"/>
      <c r="XD140" s="82"/>
      <c r="XE140" s="82"/>
      <c r="XF140" s="82"/>
      <c r="XG140" s="82"/>
      <c r="XH140" s="82"/>
      <c r="XI140" s="82"/>
      <c r="XJ140" s="82"/>
      <c r="XK140" s="82"/>
      <c r="XL140" s="82"/>
      <c r="XM140" s="82"/>
      <c r="XN140" s="82"/>
      <c r="XO140" s="82"/>
      <c r="XP140" s="82"/>
      <c r="XQ140" s="82"/>
      <c r="XR140" s="82"/>
      <c r="XS140" s="82"/>
      <c r="XT140" s="82"/>
      <c r="XU140" s="82"/>
      <c r="XV140" s="82"/>
      <c r="XW140" s="82"/>
      <c r="XX140" s="82"/>
      <c r="XY140" s="82"/>
      <c r="XZ140" s="82"/>
      <c r="YA140" s="82"/>
      <c r="YB140" s="82"/>
      <c r="YC140" s="82"/>
      <c r="YD140" s="82"/>
      <c r="YE140" s="82"/>
      <c r="YF140" s="82"/>
      <c r="YG140" s="82"/>
      <c r="YH140" s="82"/>
      <c r="YI140" s="82"/>
      <c r="YJ140" s="82"/>
      <c r="YK140" s="82"/>
      <c r="YL140" s="82"/>
      <c r="YM140" s="82"/>
      <c r="YN140" s="82"/>
      <c r="YO140" s="82"/>
      <c r="YP140" s="82"/>
      <c r="YQ140" s="82"/>
      <c r="YR140" s="82"/>
      <c r="YS140" s="82"/>
      <c r="YT140" s="82"/>
      <c r="YU140" s="82"/>
      <c r="YV140" s="82"/>
      <c r="YW140" s="82"/>
      <c r="YX140" s="82"/>
      <c r="YY140" s="82"/>
      <c r="YZ140" s="82"/>
      <c r="ZA140" s="82"/>
      <c r="ZB140" s="82"/>
      <c r="ZC140" s="82"/>
      <c r="ZD140" s="82"/>
      <c r="ZE140" s="82"/>
      <c r="ZF140" s="82"/>
      <c r="ZG140" s="82"/>
      <c r="ZH140" s="82"/>
      <c r="ZI140" s="82"/>
      <c r="ZJ140" s="82"/>
      <c r="ZK140" s="82"/>
      <c r="ZL140" s="82"/>
      <c r="ZM140" s="82"/>
      <c r="ZN140" s="82"/>
      <c r="ZO140" s="82"/>
      <c r="ZP140" s="82"/>
      <c r="ZQ140" s="82"/>
      <c r="ZR140" s="82"/>
      <c r="ZS140" s="82"/>
      <c r="ZT140" s="82"/>
      <c r="ZU140" s="82"/>
      <c r="ZV140" s="82"/>
      <c r="ZW140" s="82"/>
      <c r="ZX140" s="82"/>
      <c r="ZY140" s="82"/>
      <c r="ZZ140" s="82"/>
      <c r="AAA140" s="82"/>
      <c r="AAB140" s="82"/>
      <c r="AAC140" s="82"/>
      <c r="AAD140" s="82"/>
      <c r="AAE140" s="82"/>
      <c r="AAF140" s="82"/>
      <c r="AAG140" s="82"/>
      <c r="AAH140" s="82"/>
      <c r="AAI140" s="82"/>
      <c r="AAJ140" s="82"/>
      <c r="AAK140" s="82"/>
      <c r="AAL140" s="82"/>
      <c r="AAM140" s="82"/>
      <c r="AAN140" s="82"/>
      <c r="AAO140" s="82"/>
      <c r="AAP140" s="82"/>
      <c r="AAQ140" s="82"/>
      <c r="AAR140" s="82"/>
      <c r="AAS140" s="82"/>
      <c r="AAT140" s="82"/>
      <c r="AAU140" s="82"/>
      <c r="AAV140" s="82"/>
      <c r="AAW140" s="82"/>
      <c r="AAX140" s="82"/>
      <c r="AAY140" s="82"/>
      <c r="AAZ140" s="82"/>
      <c r="ABA140" s="82"/>
      <c r="ABB140" s="82"/>
      <c r="ABC140" s="82"/>
      <c r="ABD140" s="82"/>
      <c r="ABE140" s="82"/>
      <c r="ABF140" s="82"/>
      <c r="ABG140" s="82"/>
      <c r="ABH140" s="82"/>
      <c r="ABI140" s="82"/>
      <c r="ABJ140" s="82"/>
      <c r="ABK140" s="82"/>
      <c r="ABL140" s="82"/>
      <c r="ABM140" s="82"/>
      <c r="ABN140" s="82"/>
      <c r="ABO140" s="82"/>
      <c r="ABP140" s="82"/>
      <c r="ABQ140" s="82"/>
      <c r="ABR140" s="82"/>
      <c r="ABS140" s="82"/>
      <c r="ABT140" s="82"/>
      <c r="ABU140" s="82"/>
      <c r="ABV140" s="82"/>
      <c r="ABW140" s="82"/>
      <c r="ABX140" s="82"/>
      <c r="ABY140" s="82"/>
      <c r="ABZ140" s="82"/>
      <c r="ACA140" s="82"/>
      <c r="ACB140" s="82"/>
      <c r="ACC140" s="82"/>
      <c r="ACD140" s="82"/>
      <c r="ACE140" s="82"/>
      <c r="ACF140" s="82"/>
      <c r="ACG140" s="82"/>
      <c r="ACH140" s="82"/>
      <c r="ACI140" s="82"/>
      <c r="ACJ140" s="82"/>
      <c r="ACK140" s="82"/>
      <c r="ACL140" s="82"/>
      <c r="ACM140" s="82"/>
      <c r="ACN140" s="82"/>
      <c r="ACO140" s="82"/>
      <c r="ACP140" s="82"/>
      <c r="ACQ140" s="82"/>
      <c r="ACR140" s="82"/>
      <c r="ACS140" s="82"/>
      <c r="ACT140" s="82"/>
      <c r="ACU140" s="82"/>
      <c r="ACV140" s="82"/>
      <c r="ACW140" s="82"/>
      <c r="ACX140" s="82"/>
      <c r="ACY140" s="82"/>
      <c r="ACZ140" s="82"/>
      <c r="ADA140" s="82"/>
      <c r="ADB140" s="82"/>
      <c r="ADC140" s="82"/>
      <c r="ADD140" s="82"/>
      <c r="ADE140" s="82"/>
      <c r="ADF140" s="82"/>
      <c r="ADG140" s="82"/>
      <c r="ADH140" s="82"/>
      <c r="ADI140" s="82"/>
      <c r="ADJ140" s="82"/>
      <c r="ADK140" s="82"/>
      <c r="ADL140" s="82"/>
      <c r="ADM140" s="82"/>
      <c r="ADN140" s="82"/>
      <c r="ADO140" s="82"/>
      <c r="ADP140" s="82"/>
      <c r="ADQ140" s="82"/>
      <c r="ADR140" s="82"/>
      <c r="ADS140" s="82"/>
      <c r="ADT140" s="82"/>
      <c r="ADU140" s="82"/>
      <c r="ADV140" s="82"/>
      <c r="ADW140" s="82"/>
      <c r="ADX140" s="82"/>
      <c r="ADY140" s="82"/>
      <c r="ADZ140" s="82"/>
      <c r="AEA140" s="82"/>
      <c r="AEB140" s="82"/>
      <c r="AEC140" s="82"/>
      <c r="AED140" s="82"/>
      <c r="AEE140" s="82"/>
      <c r="AEF140" s="82"/>
      <c r="AEG140" s="82"/>
      <c r="AEH140" s="82"/>
      <c r="AEI140" s="82"/>
      <c r="AEJ140" s="82"/>
      <c r="AEK140" s="82"/>
      <c r="AEL140" s="82"/>
      <c r="AEM140" s="82"/>
      <c r="AEN140" s="82"/>
      <c r="AEO140" s="82"/>
      <c r="AEP140" s="82"/>
      <c r="AEQ140" s="82"/>
      <c r="AER140" s="82"/>
      <c r="AES140" s="82"/>
      <c r="AET140" s="82"/>
      <c r="AEU140" s="82"/>
      <c r="AEV140" s="82"/>
      <c r="AEW140" s="82"/>
      <c r="AEX140" s="82"/>
      <c r="AEY140" s="82"/>
      <c r="AEZ140" s="82"/>
      <c r="AFA140" s="82"/>
      <c r="AFB140" s="82"/>
      <c r="AFC140" s="82"/>
      <c r="AFD140" s="82"/>
      <c r="AFE140" s="82"/>
      <c r="AFF140" s="82"/>
      <c r="AFG140" s="82"/>
      <c r="AFH140" s="82"/>
      <c r="AFI140" s="82"/>
      <c r="AFJ140" s="82"/>
      <c r="AFK140" s="82"/>
      <c r="AFL140" s="82"/>
      <c r="AFM140" s="82"/>
      <c r="AFN140" s="82"/>
      <c r="AFO140" s="82"/>
      <c r="AFP140" s="82"/>
      <c r="AFQ140" s="82"/>
      <c r="AFR140" s="82"/>
      <c r="AFS140" s="82"/>
      <c r="AFT140" s="82"/>
      <c r="AFU140" s="82"/>
      <c r="AFV140" s="82"/>
      <c r="AFW140" s="82"/>
      <c r="AFX140" s="82"/>
      <c r="AFY140" s="82"/>
      <c r="AFZ140" s="82"/>
      <c r="AGA140" s="82"/>
      <c r="AGB140" s="82"/>
      <c r="AGC140" s="82"/>
      <c r="AGD140" s="82"/>
      <c r="AGE140" s="82"/>
      <c r="AGF140" s="82"/>
      <c r="AGG140" s="82"/>
      <c r="AGH140" s="82"/>
      <c r="AGI140" s="82"/>
      <c r="AGJ140" s="82"/>
      <c r="AGK140" s="82"/>
      <c r="AGL140" s="82"/>
      <c r="AGM140" s="82"/>
      <c r="AGN140" s="82"/>
      <c r="AGO140" s="82"/>
      <c r="AGP140" s="82"/>
      <c r="AGQ140" s="82"/>
      <c r="AGR140" s="82"/>
      <c r="AGS140" s="82"/>
      <c r="AGT140" s="82"/>
      <c r="AGU140" s="82"/>
      <c r="AGV140" s="82"/>
      <c r="AGW140" s="82"/>
      <c r="AGX140" s="82"/>
      <c r="AGY140" s="82"/>
      <c r="AGZ140" s="82"/>
      <c r="AHA140" s="82"/>
      <c r="AHB140" s="82"/>
      <c r="AHC140" s="82"/>
      <c r="AHD140" s="82"/>
      <c r="AHE140" s="82"/>
      <c r="AHF140" s="82"/>
      <c r="AHG140" s="82"/>
      <c r="AHH140" s="82"/>
      <c r="AHI140" s="82"/>
      <c r="AHJ140" s="82"/>
      <c r="AHK140" s="82"/>
      <c r="AHL140" s="82"/>
      <c r="AHM140" s="82"/>
      <c r="AHN140" s="82"/>
      <c r="AHO140" s="82"/>
      <c r="AHP140" s="82"/>
      <c r="AHQ140" s="82"/>
      <c r="AHR140" s="82"/>
      <c r="AHS140" s="82"/>
      <c r="AHT140" s="82"/>
      <c r="AHU140" s="82"/>
      <c r="AHV140" s="82"/>
      <c r="AHW140" s="82"/>
      <c r="AHX140" s="82"/>
      <c r="AHY140" s="82"/>
      <c r="AHZ140" s="82"/>
      <c r="AIA140" s="82"/>
      <c r="AIB140" s="82"/>
      <c r="AIC140" s="82"/>
      <c r="AID140" s="82"/>
      <c r="AIE140" s="82"/>
      <c r="AIF140" s="82"/>
      <c r="AIG140" s="82"/>
      <c r="AIH140" s="82"/>
    </row>
    <row r="141" spans="1:918" s="99" customFormat="1" ht="33.75" x14ac:dyDescent="0.2">
      <c r="A141" s="98"/>
      <c r="B141" s="100" t="s">
        <v>259</v>
      </c>
      <c r="C141" s="91" t="s">
        <v>394</v>
      </c>
      <c r="D141" s="93"/>
      <c r="E141" s="93"/>
      <c r="F141" s="93"/>
      <c r="G141" s="93"/>
      <c r="H141" s="93"/>
      <c r="I141" s="93"/>
      <c r="J141" s="93">
        <v>1</v>
      </c>
      <c r="K141" s="93"/>
      <c r="L141" s="82"/>
      <c r="M141" s="82"/>
      <c r="N141" s="82"/>
      <c r="O141" s="82"/>
      <c r="P141" s="82"/>
      <c r="Q141" s="82"/>
      <c r="R141" s="82"/>
      <c r="S141" s="82"/>
      <c r="T141" s="82"/>
      <c r="U141" s="82"/>
      <c r="V141" s="82"/>
      <c r="W141" s="82"/>
      <c r="X141" s="82"/>
      <c r="Y141" s="82"/>
      <c r="Z141" s="82"/>
      <c r="AA141" s="82"/>
      <c r="AB141" s="82"/>
      <c r="AC141" s="82"/>
      <c r="AD141" s="82"/>
      <c r="AE141" s="82"/>
      <c r="AF141" s="82"/>
      <c r="AG141" s="82"/>
      <c r="AH141" s="82"/>
      <c r="AI141" s="82"/>
      <c r="AJ141" s="82"/>
      <c r="AK141" s="82"/>
      <c r="AL141" s="82"/>
      <c r="AM141" s="82"/>
      <c r="AN141" s="82"/>
      <c r="AO141" s="82"/>
      <c r="AP141" s="82"/>
      <c r="AQ141" s="82"/>
      <c r="AR141" s="82"/>
      <c r="AS141" s="82"/>
      <c r="AT141" s="82"/>
      <c r="AU141" s="82"/>
      <c r="AV141" s="82"/>
      <c r="AW141" s="82"/>
      <c r="AX141" s="82"/>
      <c r="AY141" s="82"/>
      <c r="AZ141" s="82"/>
      <c r="BA141" s="82"/>
      <c r="BB141" s="82"/>
      <c r="BC141" s="82"/>
      <c r="BD141" s="82"/>
      <c r="BE141" s="82"/>
      <c r="BF141" s="82"/>
      <c r="BG141" s="82"/>
      <c r="BH141" s="82"/>
      <c r="BI141" s="82"/>
      <c r="BJ141" s="82"/>
      <c r="BK141" s="82"/>
      <c r="BL141" s="82"/>
      <c r="BM141" s="82"/>
      <c r="BN141" s="82"/>
      <c r="BO141" s="82"/>
      <c r="BP141" s="82"/>
      <c r="BQ141" s="82"/>
      <c r="BR141" s="82"/>
      <c r="BS141" s="82"/>
      <c r="BT141" s="82"/>
      <c r="BU141" s="82"/>
      <c r="BV141" s="82"/>
      <c r="BW141" s="82"/>
      <c r="BX141" s="82"/>
      <c r="BY141" s="82"/>
      <c r="BZ141" s="82"/>
      <c r="CA141" s="82"/>
      <c r="CB141" s="82"/>
      <c r="CC141" s="82"/>
      <c r="CD141" s="82"/>
      <c r="CE141" s="82"/>
      <c r="CF141" s="82"/>
      <c r="CG141" s="82"/>
      <c r="CH141" s="82"/>
      <c r="CI141" s="82"/>
      <c r="CJ141" s="82"/>
      <c r="CK141" s="82"/>
      <c r="CL141" s="82"/>
      <c r="CM141" s="82"/>
      <c r="CN141" s="82"/>
      <c r="CO141" s="82"/>
      <c r="CP141" s="82"/>
      <c r="CQ141" s="82"/>
      <c r="CR141" s="82"/>
      <c r="CS141" s="82"/>
      <c r="CT141" s="82"/>
      <c r="CU141" s="82"/>
      <c r="CV141" s="82"/>
      <c r="CW141" s="82"/>
      <c r="CX141" s="82"/>
      <c r="CY141" s="82"/>
      <c r="CZ141" s="82"/>
      <c r="DA141" s="82"/>
      <c r="DB141" s="82"/>
      <c r="DC141" s="82"/>
      <c r="DD141" s="82"/>
      <c r="DE141" s="82"/>
      <c r="DF141" s="82"/>
      <c r="DG141" s="82"/>
      <c r="DH141" s="82"/>
      <c r="DI141" s="82"/>
      <c r="DJ141" s="82"/>
      <c r="DK141" s="82"/>
      <c r="DL141" s="82"/>
      <c r="DM141" s="82"/>
      <c r="DN141" s="82"/>
      <c r="DO141" s="82"/>
      <c r="DP141" s="82"/>
      <c r="DQ141" s="82"/>
      <c r="DR141" s="82"/>
      <c r="DS141" s="82"/>
      <c r="DT141" s="82"/>
      <c r="DU141" s="82"/>
      <c r="DV141" s="82"/>
      <c r="DW141" s="82"/>
      <c r="DX141" s="82"/>
      <c r="DY141" s="82"/>
      <c r="DZ141" s="82"/>
      <c r="EA141" s="82"/>
      <c r="EB141" s="82"/>
      <c r="EC141" s="82"/>
      <c r="ED141" s="82"/>
      <c r="EE141" s="82"/>
      <c r="EF141" s="82"/>
      <c r="EG141" s="82"/>
      <c r="EH141" s="82"/>
      <c r="EI141" s="82"/>
      <c r="EJ141" s="82"/>
      <c r="EK141" s="82"/>
      <c r="EL141" s="82"/>
      <c r="EM141" s="82"/>
      <c r="EN141" s="82"/>
      <c r="EO141" s="82"/>
      <c r="EP141" s="82"/>
      <c r="EQ141" s="82"/>
      <c r="ER141" s="82"/>
      <c r="ES141" s="82"/>
      <c r="ET141" s="82"/>
      <c r="EU141" s="82"/>
      <c r="EV141" s="82"/>
      <c r="EW141" s="82"/>
      <c r="EX141" s="82"/>
      <c r="EY141" s="82"/>
      <c r="EZ141" s="82"/>
      <c r="FA141" s="82"/>
      <c r="FB141" s="82"/>
      <c r="FC141" s="82"/>
      <c r="FD141" s="82"/>
      <c r="FE141" s="82"/>
      <c r="FF141" s="82"/>
      <c r="FG141" s="82"/>
      <c r="FH141" s="82"/>
      <c r="FI141" s="82"/>
      <c r="FJ141" s="82"/>
      <c r="FK141" s="82"/>
      <c r="FL141" s="82"/>
      <c r="FM141" s="82"/>
      <c r="FN141" s="82"/>
      <c r="FO141" s="82"/>
      <c r="FP141" s="82"/>
      <c r="FQ141" s="82"/>
      <c r="FR141" s="82"/>
      <c r="FS141" s="82"/>
      <c r="FT141" s="82"/>
      <c r="FU141" s="82"/>
      <c r="FV141" s="82"/>
      <c r="FW141" s="82"/>
      <c r="FX141" s="82"/>
      <c r="FY141" s="82"/>
      <c r="FZ141" s="82"/>
      <c r="GA141" s="82"/>
      <c r="GB141" s="82"/>
      <c r="GC141" s="82"/>
      <c r="GD141" s="82"/>
      <c r="GE141" s="82"/>
      <c r="GF141" s="82"/>
      <c r="GG141" s="82"/>
      <c r="GH141" s="82"/>
      <c r="GI141" s="82"/>
      <c r="GJ141" s="82"/>
      <c r="GK141" s="82"/>
      <c r="GL141" s="82"/>
      <c r="GM141" s="82"/>
      <c r="GN141" s="82"/>
      <c r="GO141" s="82"/>
      <c r="GP141" s="82"/>
      <c r="GQ141" s="82"/>
      <c r="GR141" s="82"/>
      <c r="GS141" s="82"/>
      <c r="GT141" s="82"/>
      <c r="GU141" s="82"/>
      <c r="GV141" s="82"/>
      <c r="GW141" s="82"/>
      <c r="GX141" s="82"/>
      <c r="GY141" s="82"/>
      <c r="GZ141" s="82"/>
      <c r="HA141" s="82"/>
      <c r="HB141" s="82"/>
      <c r="HC141" s="82"/>
      <c r="HD141" s="82"/>
      <c r="HE141" s="82"/>
      <c r="HF141" s="82"/>
      <c r="HG141" s="82"/>
      <c r="HH141" s="82"/>
      <c r="HI141" s="82"/>
      <c r="HJ141" s="82"/>
      <c r="HK141" s="82"/>
      <c r="HL141" s="82"/>
      <c r="HM141" s="82"/>
      <c r="HN141" s="82"/>
      <c r="HO141" s="82"/>
      <c r="HP141" s="82"/>
      <c r="HQ141" s="82"/>
      <c r="HR141" s="82"/>
      <c r="HS141" s="82"/>
      <c r="HT141" s="82"/>
      <c r="HU141" s="82"/>
      <c r="HV141" s="82"/>
      <c r="HW141" s="82"/>
      <c r="HX141" s="82"/>
      <c r="HY141" s="82"/>
      <c r="HZ141" s="82"/>
      <c r="IA141" s="82"/>
      <c r="IB141" s="82"/>
      <c r="IC141" s="82"/>
      <c r="ID141" s="82"/>
      <c r="IE141" s="82"/>
      <c r="IF141" s="82"/>
      <c r="IG141" s="82"/>
      <c r="IH141" s="82"/>
      <c r="II141" s="82"/>
      <c r="IJ141" s="82"/>
      <c r="IK141" s="82"/>
      <c r="IL141" s="82"/>
      <c r="IM141" s="82"/>
      <c r="IN141" s="82"/>
      <c r="IO141" s="82"/>
      <c r="IP141" s="82"/>
      <c r="IQ141" s="82"/>
      <c r="IR141" s="82"/>
      <c r="IS141" s="82"/>
      <c r="IT141" s="82"/>
      <c r="IU141" s="82"/>
      <c r="IV141" s="82"/>
      <c r="IW141" s="82"/>
      <c r="IX141" s="82"/>
      <c r="IY141" s="82"/>
      <c r="IZ141" s="82"/>
      <c r="JA141" s="82"/>
      <c r="JB141" s="82"/>
      <c r="JC141" s="82"/>
      <c r="JD141" s="82"/>
      <c r="JE141" s="82"/>
      <c r="JF141" s="82"/>
      <c r="JG141" s="82"/>
      <c r="JH141" s="82"/>
      <c r="JI141" s="82"/>
      <c r="JJ141" s="82"/>
      <c r="JK141" s="82"/>
      <c r="JL141" s="82"/>
      <c r="JM141" s="82"/>
      <c r="JN141" s="82"/>
      <c r="JO141" s="82"/>
      <c r="JP141" s="82"/>
      <c r="JQ141" s="82"/>
      <c r="JR141" s="82"/>
      <c r="JS141" s="82"/>
      <c r="JT141" s="82"/>
      <c r="JU141" s="82"/>
      <c r="JV141" s="82"/>
      <c r="JW141" s="82"/>
      <c r="JX141" s="82"/>
      <c r="JY141" s="82"/>
      <c r="JZ141" s="82"/>
      <c r="KA141" s="82"/>
      <c r="KB141" s="82"/>
      <c r="KC141" s="82"/>
      <c r="KD141" s="82"/>
      <c r="KE141" s="82"/>
      <c r="KF141" s="82"/>
      <c r="KG141" s="82"/>
      <c r="KH141" s="82"/>
      <c r="KI141" s="82"/>
      <c r="KJ141" s="82"/>
      <c r="KK141" s="82"/>
      <c r="KL141" s="82"/>
      <c r="KM141" s="82"/>
      <c r="KN141" s="82"/>
      <c r="KO141" s="82"/>
      <c r="KP141" s="82"/>
      <c r="KQ141" s="82"/>
      <c r="KR141" s="82"/>
      <c r="KS141" s="82"/>
      <c r="KT141" s="82"/>
      <c r="KU141" s="82"/>
      <c r="KV141" s="82"/>
      <c r="KW141" s="82"/>
      <c r="KX141" s="82"/>
      <c r="KY141" s="82"/>
      <c r="KZ141" s="82"/>
      <c r="LA141" s="82"/>
      <c r="LB141" s="82"/>
      <c r="LC141" s="82"/>
      <c r="LD141" s="82"/>
      <c r="LE141" s="82"/>
      <c r="LF141" s="82"/>
      <c r="LG141" s="82"/>
      <c r="LH141" s="82"/>
      <c r="LI141" s="82"/>
      <c r="LJ141" s="82"/>
      <c r="LK141" s="82"/>
      <c r="LL141" s="82"/>
      <c r="LM141" s="82"/>
      <c r="LN141" s="82"/>
      <c r="LO141" s="82"/>
      <c r="LP141" s="82"/>
      <c r="LQ141" s="82"/>
      <c r="LR141" s="82"/>
      <c r="LS141" s="82"/>
      <c r="LT141" s="82"/>
      <c r="LU141" s="82"/>
      <c r="LV141" s="82"/>
      <c r="LW141" s="82"/>
      <c r="LX141" s="82"/>
      <c r="LY141" s="82"/>
      <c r="LZ141" s="82"/>
      <c r="MA141" s="82"/>
      <c r="MB141" s="82"/>
      <c r="MC141" s="82"/>
      <c r="MD141" s="82"/>
      <c r="ME141" s="82"/>
      <c r="MF141" s="82"/>
      <c r="MG141" s="82"/>
      <c r="MH141" s="82"/>
      <c r="MI141" s="82"/>
      <c r="MJ141" s="82"/>
      <c r="MK141" s="82"/>
      <c r="ML141" s="82"/>
      <c r="MM141" s="82"/>
      <c r="MN141" s="82"/>
      <c r="MO141" s="82"/>
      <c r="MP141" s="82"/>
      <c r="MQ141" s="82"/>
      <c r="MR141" s="82"/>
      <c r="MS141" s="82"/>
      <c r="MT141" s="82"/>
      <c r="MU141" s="82"/>
      <c r="MV141" s="82"/>
      <c r="MW141" s="82"/>
      <c r="MX141" s="82"/>
      <c r="MY141" s="82"/>
      <c r="MZ141" s="82"/>
      <c r="NA141" s="82"/>
      <c r="NB141" s="82"/>
      <c r="NC141" s="82"/>
      <c r="ND141" s="82"/>
      <c r="NE141" s="82"/>
      <c r="NF141" s="82"/>
      <c r="NG141" s="82"/>
      <c r="NH141" s="82"/>
      <c r="NI141" s="82"/>
      <c r="NJ141" s="82"/>
      <c r="NK141" s="82"/>
      <c r="NL141" s="82"/>
      <c r="NM141" s="82"/>
      <c r="NN141" s="82"/>
      <c r="NO141" s="82"/>
      <c r="NP141" s="82"/>
      <c r="NQ141" s="82"/>
      <c r="NR141" s="82"/>
      <c r="NS141" s="82"/>
      <c r="NT141" s="82"/>
      <c r="NU141" s="82"/>
      <c r="NV141" s="82"/>
      <c r="NW141" s="82"/>
      <c r="NX141" s="82"/>
      <c r="NY141" s="82"/>
      <c r="NZ141" s="82"/>
      <c r="OA141" s="82"/>
      <c r="OB141" s="82"/>
      <c r="OC141" s="82"/>
      <c r="OD141" s="82"/>
      <c r="OE141" s="82"/>
      <c r="OF141" s="82"/>
      <c r="OG141" s="82"/>
      <c r="OH141" s="82"/>
      <c r="OI141" s="82"/>
      <c r="OJ141" s="82"/>
      <c r="OK141" s="82"/>
      <c r="OL141" s="82"/>
      <c r="OM141" s="82"/>
      <c r="ON141" s="82"/>
      <c r="OO141" s="82"/>
      <c r="OP141" s="82"/>
      <c r="OQ141" s="82"/>
      <c r="OR141" s="82"/>
      <c r="OS141" s="82"/>
      <c r="OT141" s="82"/>
      <c r="OU141" s="82"/>
      <c r="OV141" s="82"/>
      <c r="OW141" s="82"/>
      <c r="OX141" s="82"/>
      <c r="OY141" s="82"/>
      <c r="OZ141" s="82"/>
      <c r="PA141" s="82"/>
      <c r="PB141" s="82"/>
      <c r="PC141" s="82"/>
      <c r="PD141" s="82"/>
      <c r="PE141" s="82"/>
      <c r="PF141" s="82"/>
      <c r="PG141" s="82"/>
      <c r="PH141" s="82"/>
      <c r="PI141" s="82"/>
      <c r="PJ141" s="82"/>
      <c r="PK141" s="82"/>
      <c r="PL141" s="82"/>
      <c r="PM141" s="82"/>
      <c r="PN141" s="82"/>
      <c r="PO141" s="82"/>
      <c r="PP141" s="82"/>
      <c r="PQ141" s="82"/>
      <c r="PR141" s="82"/>
      <c r="PS141" s="82"/>
      <c r="PT141" s="82"/>
      <c r="PU141" s="82"/>
      <c r="PV141" s="82"/>
      <c r="PW141" s="82"/>
      <c r="PX141" s="82"/>
      <c r="PY141" s="82"/>
      <c r="PZ141" s="82"/>
      <c r="QA141" s="82"/>
      <c r="QB141" s="82"/>
      <c r="QC141" s="82"/>
      <c r="QD141" s="82"/>
      <c r="QE141" s="82"/>
      <c r="QF141" s="82"/>
      <c r="QG141" s="82"/>
      <c r="QH141" s="82"/>
      <c r="QI141" s="82"/>
      <c r="QJ141" s="82"/>
      <c r="QK141" s="82"/>
      <c r="QL141" s="82"/>
      <c r="QM141" s="82"/>
      <c r="QN141" s="82"/>
      <c r="QO141" s="82"/>
      <c r="QP141" s="82"/>
      <c r="QQ141" s="82"/>
      <c r="QR141" s="82"/>
      <c r="QS141" s="82"/>
      <c r="QT141" s="82"/>
      <c r="QU141" s="82"/>
      <c r="QV141" s="82"/>
      <c r="QW141" s="82"/>
      <c r="QX141" s="82"/>
      <c r="QY141" s="82"/>
      <c r="QZ141" s="82"/>
      <c r="RA141" s="82"/>
      <c r="RB141" s="82"/>
      <c r="RC141" s="82"/>
      <c r="RD141" s="82"/>
      <c r="RE141" s="82"/>
      <c r="RF141" s="82"/>
      <c r="RG141" s="82"/>
      <c r="RH141" s="82"/>
      <c r="RI141" s="82"/>
      <c r="RJ141" s="82"/>
      <c r="RK141" s="82"/>
      <c r="RL141" s="82"/>
      <c r="RM141" s="82"/>
      <c r="RN141" s="82"/>
      <c r="RO141" s="82"/>
      <c r="RP141" s="82"/>
      <c r="RQ141" s="82"/>
      <c r="RR141" s="82"/>
      <c r="RS141" s="82"/>
      <c r="RT141" s="82"/>
      <c r="RU141" s="82"/>
      <c r="RV141" s="82"/>
      <c r="RW141" s="82"/>
      <c r="RX141" s="82"/>
      <c r="RY141" s="82"/>
      <c r="RZ141" s="82"/>
      <c r="SA141" s="82"/>
      <c r="SB141" s="82"/>
      <c r="SC141" s="82"/>
      <c r="SD141" s="82"/>
      <c r="SE141" s="82"/>
      <c r="SF141" s="82"/>
      <c r="SG141" s="82"/>
      <c r="SH141" s="82"/>
      <c r="SI141" s="82"/>
      <c r="SJ141" s="82"/>
      <c r="SK141" s="82"/>
      <c r="SL141" s="82"/>
      <c r="SM141" s="82"/>
      <c r="SN141" s="82"/>
      <c r="SO141" s="82"/>
      <c r="SP141" s="82"/>
      <c r="SQ141" s="82"/>
      <c r="SR141" s="82"/>
      <c r="SS141" s="82"/>
      <c r="ST141" s="82"/>
      <c r="SU141" s="82"/>
      <c r="SV141" s="82"/>
      <c r="SW141" s="82"/>
      <c r="SX141" s="82"/>
      <c r="SY141" s="82"/>
      <c r="SZ141" s="82"/>
      <c r="TA141" s="82"/>
      <c r="TB141" s="82"/>
      <c r="TC141" s="82"/>
      <c r="TD141" s="82"/>
      <c r="TE141" s="82"/>
      <c r="TF141" s="82"/>
      <c r="TG141" s="82"/>
      <c r="TH141" s="82"/>
      <c r="TI141" s="82"/>
      <c r="TJ141" s="82"/>
      <c r="TK141" s="82"/>
      <c r="TL141" s="82"/>
      <c r="TM141" s="82"/>
      <c r="TN141" s="82"/>
      <c r="TO141" s="82"/>
      <c r="TP141" s="82"/>
      <c r="TQ141" s="82"/>
      <c r="TR141" s="82"/>
      <c r="TS141" s="82"/>
      <c r="TT141" s="82"/>
      <c r="TU141" s="82"/>
      <c r="TV141" s="82"/>
      <c r="TW141" s="82"/>
      <c r="TX141" s="82"/>
      <c r="TY141" s="82"/>
      <c r="TZ141" s="82"/>
      <c r="UA141" s="82"/>
      <c r="UB141" s="82"/>
      <c r="UC141" s="82"/>
      <c r="UD141" s="82"/>
      <c r="UE141" s="82"/>
      <c r="UF141" s="82"/>
      <c r="UG141" s="82"/>
      <c r="UH141" s="82"/>
      <c r="UI141" s="82"/>
      <c r="UJ141" s="82"/>
      <c r="UK141" s="82"/>
      <c r="UL141" s="82"/>
      <c r="UM141" s="82"/>
      <c r="UN141" s="82"/>
      <c r="UO141" s="82"/>
      <c r="UP141" s="82"/>
      <c r="UQ141" s="82"/>
      <c r="UR141" s="82"/>
      <c r="US141" s="82"/>
      <c r="UT141" s="82"/>
      <c r="UU141" s="82"/>
      <c r="UV141" s="82"/>
      <c r="UW141" s="82"/>
      <c r="UX141" s="82"/>
      <c r="UY141" s="82"/>
      <c r="UZ141" s="82"/>
      <c r="VA141" s="82"/>
      <c r="VB141" s="82"/>
      <c r="VC141" s="82"/>
      <c r="VD141" s="82"/>
      <c r="VE141" s="82"/>
      <c r="VF141" s="82"/>
      <c r="VG141" s="82"/>
      <c r="VH141" s="82"/>
      <c r="VI141" s="82"/>
      <c r="VJ141" s="82"/>
      <c r="VK141" s="82"/>
      <c r="VL141" s="82"/>
      <c r="VM141" s="82"/>
      <c r="VN141" s="82"/>
      <c r="VO141" s="82"/>
      <c r="VP141" s="82"/>
      <c r="VQ141" s="82"/>
      <c r="VR141" s="82"/>
      <c r="VS141" s="82"/>
      <c r="VT141" s="82"/>
      <c r="VU141" s="82"/>
      <c r="VV141" s="82"/>
      <c r="VW141" s="82"/>
      <c r="VX141" s="82"/>
      <c r="VY141" s="82"/>
      <c r="VZ141" s="82"/>
      <c r="WA141" s="82"/>
      <c r="WB141" s="82"/>
      <c r="WC141" s="82"/>
      <c r="WD141" s="82"/>
      <c r="WE141" s="82"/>
      <c r="WF141" s="82"/>
      <c r="WG141" s="82"/>
      <c r="WH141" s="82"/>
      <c r="WI141" s="82"/>
      <c r="WJ141" s="82"/>
      <c r="WK141" s="82"/>
      <c r="WL141" s="82"/>
      <c r="WM141" s="82"/>
      <c r="WN141" s="82"/>
      <c r="WO141" s="82"/>
      <c r="WP141" s="82"/>
      <c r="WQ141" s="82"/>
      <c r="WR141" s="82"/>
      <c r="WS141" s="82"/>
      <c r="WT141" s="82"/>
      <c r="WU141" s="82"/>
      <c r="WV141" s="82"/>
      <c r="WW141" s="82"/>
      <c r="WX141" s="82"/>
      <c r="WY141" s="82"/>
      <c r="WZ141" s="82"/>
      <c r="XA141" s="82"/>
      <c r="XB141" s="82"/>
      <c r="XC141" s="82"/>
      <c r="XD141" s="82"/>
      <c r="XE141" s="82"/>
      <c r="XF141" s="82"/>
      <c r="XG141" s="82"/>
      <c r="XH141" s="82"/>
      <c r="XI141" s="82"/>
      <c r="XJ141" s="82"/>
      <c r="XK141" s="82"/>
      <c r="XL141" s="82"/>
      <c r="XM141" s="82"/>
      <c r="XN141" s="82"/>
      <c r="XO141" s="82"/>
      <c r="XP141" s="82"/>
      <c r="XQ141" s="82"/>
      <c r="XR141" s="82"/>
      <c r="XS141" s="82"/>
      <c r="XT141" s="82"/>
      <c r="XU141" s="82"/>
      <c r="XV141" s="82"/>
      <c r="XW141" s="82"/>
      <c r="XX141" s="82"/>
      <c r="XY141" s="82"/>
      <c r="XZ141" s="82"/>
      <c r="YA141" s="82"/>
      <c r="YB141" s="82"/>
      <c r="YC141" s="82"/>
      <c r="YD141" s="82"/>
      <c r="YE141" s="82"/>
      <c r="YF141" s="82"/>
      <c r="YG141" s="82"/>
      <c r="YH141" s="82"/>
      <c r="YI141" s="82"/>
      <c r="YJ141" s="82"/>
      <c r="YK141" s="82"/>
      <c r="YL141" s="82"/>
      <c r="YM141" s="82"/>
      <c r="YN141" s="82"/>
      <c r="YO141" s="82"/>
      <c r="YP141" s="82"/>
      <c r="YQ141" s="82"/>
      <c r="YR141" s="82"/>
      <c r="YS141" s="82"/>
      <c r="YT141" s="82"/>
      <c r="YU141" s="82"/>
      <c r="YV141" s="82"/>
      <c r="YW141" s="82"/>
      <c r="YX141" s="82"/>
      <c r="YY141" s="82"/>
      <c r="YZ141" s="82"/>
      <c r="ZA141" s="82"/>
      <c r="ZB141" s="82"/>
      <c r="ZC141" s="82"/>
      <c r="ZD141" s="82"/>
      <c r="ZE141" s="82"/>
      <c r="ZF141" s="82"/>
      <c r="ZG141" s="82"/>
      <c r="ZH141" s="82"/>
      <c r="ZI141" s="82"/>
      <c r="ZJ141" s="82"/>
      <c r="ZK141" s="82"/>
      <c r="ZL141" s="82"/>
      <c r="ZM141" s="82"/>
      <c r="ZN141" s="82"/>
      <c r="ZO141" s="82"/>
      <c r="ZP141" s="82"/>
      <c r="ZQ141" s="82"/>
      <c r="ZR141" s="82"/>
      <c r="ZS141" s="82"/>
      <c r="ZT141" s="82"/>
      <c r="ZU141" s="82"/>
      <c r="ZV141" s="82"/>
      <c r="ZW141" s="82"/>
      <c r="ZX141" s="82"/>
      <c r="ZY141" s="82"/>
      <c r="ZZ141" s="82"/>
      <c r="AAA141" s="82"/>
      <c r="AAB141" s="82"/>
      <c r="AAC141" s="82"/>
      <c r="AAD141" s="82"/>
      <c r="AAE141" s="82"/>
      <c r="AAF141" s="82"/>
      <c r="AAG141" s="82"/>
      <c r="AAH141" s="82"/>
      <c r="AAI141" s="82"/>
      <c r="AAJ141" s="82"/>
      <c r="AAK141" s="82"/>
      <c r="AAL141" s="82"/>
      <c r="AAM141" s="82"/>
      <c r="AAN141" s="82"/>
      <c r="AAO141" s="82"/>
      <c r="AAP141" s="82"/>
      <c r="AAQ141" s="82"/>
      <c r="AAR141" s="82"/>
      <c r="AAS141" s="82"/>
      <c r="AAT141" s="82"/>
      <c r="AAU141" s="82"/>
      <c r="AAV141" s="82"/>
      <c r="AAW141" s="82"/>
      <c r="AAX141" s="82"/>
      <c r="AAY141" s="82"/>
      <c r="AAZ141" s="82"/>
      <c r="ABA141" s="82"/>
      <c r="ABB141" s="82"/>
      <c r="ABC141" s="82"/>
      <c r="ABD141" s="82"/>
      <c r="ABE141" s="82"/>
      <c r="ABF141" s="82"/>
      <c r="ABG141" s="82"/>
      <c r="ABH141" s="82"/>
      <c r="ABI141" s="82"/>
      <c r="ABJ141" s="82"/>
      <c r="ABK141" s="82"/>
      <c r="ABL141" s="82"/>
      <c r="ABM141" s="82"/>
      <c r="ABN141" s="82"/>
      <c r="ABO141" s="82"/>
      <c r="ABP141" s="82"/>
      <c r="ABQ141" s="82"/>
      <c r="ABR141" s="82"/>
      <c r="ABS141" s="82"/>
      <c r="ABT141" s="82"/>
      <c r="ABU141" s="82"/>
      <c r="ABV141" s="82"/>
      <c r="ABW141" s="82"/>
      <c r="ABX141" s="82"/>
      <c r="ABY141" s="82"/>
      <c r="ABZ141" s="82"/>
      <c r="ACA141" s="82"/>
      <c r="ACB141" s="82"/>
      <c r="ACC141" s="82"/>
      <c r="ACD141" s="82"/>
      <c r="ACE141" s="82"/>
      <c r="ACF141" s="82"/>
      <c r="ACG141" s="82"/>
      <c r="ACH141" s="82"/>
      <c r="ACI141" s="82"/>
      <c r="ACJ141" s="82"/>
      <c r="ACK141" s="82"/>
      <c r="ACL141" s="82"/>
      <c r="ACM141" s="82"/>
      <c r="ACN141" s="82"/>
      <c r="ACO141" s="82"/>
      <c r="ACP141" s="82"/>
      <c r="ACQ141" s="82"/>
      <c r="ACR141" s="82"/>
      <c r="ACS141" s="82"/>
      <c r="ACT141" s="82"/>
      <c r="ACU141" s="82"/>
      <c r="ACV141" s="82"/>
      <c r="ACW141" s="82"/>
      <c r="ACX141" s="82"/>
      <c r="ACY141" s="82"/>
      <c r="ACZ141" s="82"/>
      <c r="ADA141" s="82"/>
      <c r="ADB141" s="82"/>
      <c r="ADC141" s="82"/>
      <c r="ADD141" s="82"/>
      <c r="ADE141" s="82"/>
      <c r="ADF141" s="82"/>
      <c r="ADG141" s="82"/>
      <c r="ADH141" s="82"/>
      <c r="ADI141" s="82"/>
      <c r="ADJ141" s="82"/>
      <c r="ADK141" s="82"/>
      <c r="ADL141" s="82"/>
      <c r="ADM141" s="82"/>
      <c r="ADN141" s="82"/>
      <c r="ADO141" s="82"/>
      <c r="ADP141" s="82"/>
      <c r="ADQ141" s="82"/>
      <c r="ADR141" s="82"/>
      <c r="ADS141" s="82"/>
      <c r="ADT141" s="82"/>
      <c r="ADU141" s="82"/>
      <c r="ADV141" s="82"/>
      <c r="ADW141" s="82"/>
      <c r="ADX141" s="82"/>
      <c r="ADY141" s="82"/>
      <c r="ADZ141" s="82"/>
      <c r="AEA141" s="82"/>
      <c r="AEB141" s="82"/>
      <c r="AEC141" s="82"/>
      <c r="AED141" s="82"/>
      <c r="AEE141" s="82"/>
      <c r="AEF141" s="82"/>
      <c r="AEG141" s="82"/>
      <c r="AEH141" s="82"/>
      <c r="AEI141" s="82"/>
      <c r="AEJ141" s="82"/>
      <c r="AEK141" s="82"/>
      <c r="AEL141" s="82"/>
      <c r="AEM141" s="82"/>
      <c r="AEN141" s="82"/>
      <c r="AEO141" s="82"/>
      <c r="AEP141" s="82"/>
      <c r="AEQ141" s="82"/>
      <c r="AER141" s="82"/>
      <c r="AES141" s="82"/>
      <c r="AET141" s="82"/>
      <c r="AEU141" s="82"/>
      <c r="AEV141" s="82"/>
      <c r="AEW141" s="82"/>
      <c r="AEX141" s="82"/>
      <c r="AEY141" s="82"/>
      <c r="AEZ141" s="82"/>
      <c r="AFA141" s="82"/>
      <c r="AFB141" s="82"/>
      <c r="AFC141" s="82"/>
      <c r="AFD141" s="82"/>
      <c r="AFE141" s="82"/>
      <c r="AFF141" s="82"/>
      <c r="AFG141" s="82"/>
      <c r="AFH141" s="82"/>
      <c r="AFI141" s="82"/>
      <c r="AFJ141" s="82"/>
      <c r="AFK141" s="82"/>
      <c r="AFL141" s="82"/>
      <c r="AFM141" s="82"/>
      <c r="AFN141" s="82"/>
      <c r="AFO141" s="82"/>
      <c r="AFP141" s="82"/>
      <c r="AFQ141" s="82"/>
      <c r="AFR141" s="82"/>
      <c r="AFS141" s="82"/>
      <c r="AFT141" s="82"/>
      <c r="AFU141" s="82"/>
      <c r="AFV141" s="82"/>
      <c r="AFW141" s="82"/>
      <c r="AFX141" s="82"/>
      <c r="AFY141" s="82"/>
      <c r="AFZ141" s="82"/>
      <c r="AGA141" s="82"/>
      <c r="AGB141" s="82"/>
      <c r="AGC141" s="82"/>
      <c r="AGD141" s="82"/>
      <c r="AGE141" s="82"/>
      <c r="AGF141" s="82"/>
      <c r="AGG141" s="82"/>
      <c r="AGH141" s="82"/>
      <c r="AGI141" s="82"/>
      <c r="AGJ141" s="82"/>
      <c r="AGK141" s="82"/>
      <c r="AGL141" s="82"/>
      <c r="AGM141" s="82"/>
      <c r="AGN141" s="82"/>
      <c r="AGO141" s="82"/>
      <c r="AGP141" s="82"/>
      <c r="AGQ141" s="82"/>
      <c r="AGR141" s="82"/>
      <c r="AGS141" s="82"/>
      <c r="AGT141" s="82"/>
      <c r="AGU141" s="82"/>
      <c r="AGV141" s="82"/>
      <c r="AGW141" s="82"/>
      <c r="AGX141" s="82"/>
      <c r="AGY141" s="82"/>
      <c r="AGZ141" s="82"/>
      <c r="AHA141" s="82"/>
      <c r="AHB141" s="82"/>
      <c r="AHC141" s="82"/>
      <c r="AHD141" s="82"/>
      <c r="AHE141" s="82"/>
      <c r="AHF141" s="82"/>
      <c r="AHG141" s="82"/>
      <c r="AHH141" s="82"/>
      <c r="AHI141" s="82"/>
      <c r="AHJ141" s="82"/>
      <c r="AHK141" s="82"/>
      <c r="AHL141" s="82"/>
      <c r="AHM141" s="82"/>
      <c r="AHN141" s="82"/>
      <c r="AHO141" s="82"/>
      <c r="AHP141" s="82"/>
      <c r="AHQ141" s="82"/>
      <c r="AHR141" s="82"/>
      <c r="AHS141" s="82"/>
      <c r="AHT141" s="82"/>
      <c r="AHU141" s="82"/>
      <c r="AHV141" s="82"/>
      <c r="AHW141" s="82"/>
      <c r="AHX141" s="82"/>
      <c r="AHY141" s="82"/>
      <c r="AHZ141" s="82"/>
      <c r="AIA141" s="82"/>
      <c r="AIB141" s="82"/>
      <c r="AIC141" s="82"/>
      <c r="AID141" s="82"/>
      <c r="AIE141" s="82"/>
      <c r="AIF141" s="82"/>
      <c r="AIG141" s="82"/>
      <c r="AIH141" s="82"/>
    </row>
    <row r="142" spans="1:918" s="99" customFormat="1" ht="22.5" x14ac:dyDescent="0.2">
      <c r="A142" s="98"/>
      <c r="B142" s="100" t="s">
        <v>260</v>
      </c>
      <c r="C142" s="91" t="s">
        <v>361</v>
      </c>
      <c r="D142" s="93"/>
      <c r="E142" s="93"/>
      <c r="F142" s="93"/>
      <c r="G142" s="93"/>
      <c r="H142" s="93"/>
      <c r="I142" s="93"/>
      <c r="J142" s="93">
        <v>1</v>
      </c>
      <c r="K142" s="92"/>
      <c r="L142" s="82"/>
      <c r="M142" s="82"/>
      <c r="N142" s="82"/>
      <c r="O142" s="82"/>
      <c r="P142" s="82"/>
      <c r="Q142" s="82"/>
      <c r="R142" s="82"/>
      <c r="S142" s="82"/>
      <c r="T142" s="82"/>
      <c r="U142" s="82"/>
      <c r="V142" s="82"/>
      <c r="W142" s="82"/>
      <c r="X142" s="82"/>
      <c r="Y142" s="82"/>
      <c r="Z142" s="82"/>
      <c r="AA142" s="82"/>
      <c r="AB142" s="82"/>
      <c r="AC142" s="82"/>
      <c r="AD142" s="82"/>
      <c r="AE142" s="82"/>
      <c r="AF142" s="82"/>
      <c r="AG142" s="82"/>
      <c r="AH142" s="82"/>
      <c r="AI142" s="82"/>
      <c r="AJ142" s="82"/>
      <c r="AK142" s="82"/>
      <c r="AL142" s="82"/>
      <c r="AM142" s="82"/>
      <c r="AN142" s="82"/>
      <c r="AO142" s="82"/>
      <c r="AP142" s="82"/>
      <c r="AQ142" s="82"/>
      <c r="AR142" s="82"/>
      <c r="AS142" s="82"/>
      <c r="AT142" s="82"/>
      <c r="AU142" s="82"/>
      <c r="AV142" s="82"/>
      <c r="AW142" s="82"/>
      <c r="AX142" s="82"/>
      <c r="AY142" s="82"/>
      <c r="AZ142" s="82"/>
      <c r="BA142" s="82"/>
      <c r="BB142" s="82"/>
      <c r="BC142" s="82"/>
      <c r="BD142" s="82"/>
      <c r="BE142" s="82"/>
      <c r="BF142" s="82"/>
      <c r="BG142" s="82"/>
      <c r="BH142" s="82"/>
      <c r="BI142" s="82"/>
      <c r="BJ142" s="82"/>
      <c r="BK142" s="82"/>
      <c r="BL142" s="82"/>
      <c r="BM142" s="82"/>
      <c r="BN142" s="82"/>
      <c r="BO142" s="82"/>
      <c r="BP142" s="82"/>
      <c r="BQ142" s="82"/>
      <c r="BR142" s="82"/>
      <c r="BS142" s="82"/>
      <c r="BT142" s="82"/>
      <c r="BU142" s="82"/>
      <c r="BV142" s="82"/>
      <c r="BW142" s="82"/>
      <c r="BX142" s="82"/>
      <c r="BY142" s="82"/>
      <c r="BZ142" s="82"/>
      <c r="CA142" s="82"/>
      <c r="CB142" s="82"/>
      <c r="CC142" s="82"/>
      <c r="CD142" s="82"/>
      <c r="CE142" s="82"/>
      <c r="CF142" s="82"/>
      <c r="CG142" s="82"/>
      <c r="CH142" s="82"/>
      <c r="CI142" s="82"/>
      <c r="CJ142" s="82"/>
      <c r="CK142" s="82"/>
      <c r="CL142" s="82"/>
      <c r="CM142" s="82"/>
      <c r="CN142" s="82"/>
      <c r="CO142" s="82"/>
      <c r="CP142" s="82"/>
      <c r="CQ142" s="82"/>
      <c r="CR142" s="82"/>
      <c r="CS142" s="82"/>
      <c r="CT142" s="82"/>
      <c r="CU142" s="82"/>
      <c r="CV142" s="82"/>
      <c r="CW142" s="82"/>
      <c r="CX142" s="82"/>
      <c r="CY142" s="82"/>
      <c r="CZ142" s="82"/>
      <c r="DA142" s="82"/>
      <c r="DB142" s="82"/>
      <c r="DC142" s="82"/>
      <c r="DD142" s="82"/>
      <c r="DE142" s="82"/>
      <c r="DF142" s="82"/>
      <c r="DG142" s="82"/>
      <c r="DH142" s="82"/>
      <c r="DI142" s="82"/>
      <c r="DJ142" s="82"/>
      <c r="DK142" s="82"/>
      <c r="DL142" s="82"/>
      <c r="DM142" s="82"/>
      <c r="DN142" s="82"/>
      <c r="DO142" s="82"/>
      <c r="DP142" s="82"/>
      <c r="DQ142" s="82"/>
      <c r="DR142" s="82"/>
      <c r="DS142" s="82"/>
      <c r="DT142" s="82"/>
      <c r="DU142" s="82"/>
      <c r="DV142" s="82"/>
      <c r="DW142" s="82"/>
      <c r="DX142" s="82"/>
      <c r="DY142" s="82"/>
      <c r="DZ142" s="82"/>
      <c r="EA142" s="82"/>
      <c r="EB142" s="82"/>
      <c r="EC142" s="82"/>
      <c r="ED142" s="82"/>
      <c r="EE142" s="82"/>
      <c r="EF142" s="82"/>
      <c r="EG142" s="82"/>
      <c r="EH142" s="82"/>
      <c r="EI142" s="82"/>
      <c r="EJ142" s="82"/>
      <c r="EK142" s="82"/>
      <c r="EL142" s="82"/>
      <c r="EM142" s="82"/>
      <c r="EN142" s="82"/>
      <c r="EO142" s="82"/>
      <c r="EP142" s="82"/>
      <c r="EQ142" s="82"/>
      <c r="ER142" s="82"/>
      <c r="ES142" s="82"/>
      <c r="ET142" s="82"/>
      <c r="EU142" s="82"/>
      <c r="EV142" s="82"/>
      <c r="EW142" s="82"/>
      <c r="EX142" s="82"/>
      <c r="EY142" s="82"/>
      <c r="EZ142" s="82"/>
      <c r="FA142" s="82"/>
      <c r="FB142" s="82"/>
      <c r="FC142" s="82"/>
      <c r="FD142" s="82"/>
      <c r="FE142" s="82"/>
      <c r="FF142" s="82"/>
      <c r="FG142" s="82"/>
      <c r="FH142" s="82"/>
      <c r="FI142" s="82"/>
      <c r="FJ142" s="82"/>
      <c r="FK142" s="82"/>
      <c r="FL142" s="82"/>
      <c r="FM142" s="82"/>
      <c r="FN142" s="82"/>
      <c r="FO142" s="82"/>
      <c r="FP142" s="82"/>
      <c r="FQ142" s="82"/>
      <c r="FR142" s="82"/>
      <c r="FS142" s="82"/>
      <c r="FT142" s="82"/>
      <c r="FU142" s="82"/>
      <c r="FV142" s="82"/>
      <c r="FW142" s="82"/>
      <c r="FX142" s="82"/>
      <c r="FY142" s="82"/>
      <c r="FZ142" s="82"/>
      <c r="GA142" s="82"/>
      <c r="GB142" s="82"/>
      <c r="GC142" s="82"/>
      <c r="GD142" s="82"/>
      <c r="GE142" s="82"/>
      <c r="GF142" s="82"/>
      <c r="GG142" s="82"/>
      <c r="GH142" s="82"/>
      <c r="GI142" s="82"/>
      <c r="GJ142" s="82"/>
      <c r="GK142" s="82"/>
      <c r="GL142" s="82"/>
      <c r="GM142" s="82"/>
      <c r="GN142" s="82"/>
      <c r="GO142" s="82"/>
      <c r="GP142" s="82"/>
      <c r="GQ142" s="82"/>
      <c r="GR142" s="82"/>
      <c r="GS142" s="82"/>
      <c r="GT142" s="82"/>
      <c r="GU142" s="82"/>
      <c r="GV142" s="82"/>
      <c r="GW142" s="82"/>
      <c r="GX142" s="82"/>
      <c r="GY142" s="82"/>
      <c r="GZ142" s="82"/>
      <c r="HA142" s="82"/>
      <c r="HB142" s="82"/>
      <c r="HC142" s="82"/>
      <c r="HD142" s="82"/>
      <c r="HE142" s="82"/>
      <c r="HF142" s="82"/>
      <c r="HG142" s="82"/>
      <c r="HH142" s="82"/>
      <c r="HI142" s="82"/>
      <c r="HJ142" s="82"/>
      <c r="HK142" s="82"/>
      <c r="HL142" s="82"/>
      <c r="HM142" s="82"/>
      <c r="HN142" s="82"/>
      <c r="HO142" s="82"/>
      <c r="HP142" s="82"/>
      <c r="HQ142" s="82"/>
      <c r="HR142" s="82"/>
      <c r="HS142" s="82"/>
      <c r="HT142" s="82"/>
      <c r="HU142" s="82"/>
      <c r="HV142" s="82"/>
      <c r="HW142" s="82"/>
      <c r="HX142" s="82"/>
      <c r="HY142" s="82"/>
      <c r="HZ142" s="82"/>
      <c r="IA142" s="82"/>
      <c r="IB142" s="82"/>
      <c r="IC142" s="82"/>
      <c r="ID142" s="82"/>
      <c r="IE142" s="82"/>
      <c r="IF142" s="82"/>
      <c r="IG142" s="82"/>
      <c r="IH142" s="82"/>
      <c r="II142" s="82"/>
      <c r="IJ142" s="82"/>
      <c r="IK142" s="82"/>
      <c r="IL142" s="82"/>
      <c r="IM142" s="82"/>
      <c r="IN142" s="82"/>
      <c r="IO142" s="82"/>
      <c r="IP142" s="82"/>
      <c r="IQ142" s="82"/>
      <c r="IR142" s="82"/>
      <c r="IS142" s="82"/>
      <c r="IT142" s="82"/>
      <c r="IU142" s="82"/>
      <c r="IV142" s="82"/>
      <c r="IW142" s="82"/>
      <c r="IX142" s="82"/>
      <c r="IY142" s="82"/>
      <c r="IZ142" s="82"/>
      <c r="JA142" s="82"/>
      <c r="JB142" s="82"/>
      <c r="JC142" s="82"/>
      <c r="JD142" s="82"/>
      <c r="JE142" s="82"/>
      <c r="JF142" s="82"/>
      <c r="JG142" s="82"/>
      <c r="JH142" s="82"/>
      <c r="JI142" s="82"/>
      <c r="JJ142" s="82"/>
      <c r="JK142" s="82"/>
      <c r="JL142" s="82"/>
      <c r="JM142" s="82"/>
      <c r="JN142" s="82"/>
      <c r="JO142" s="82"/>
      <c r="JP142" s="82"/>
      <c r="JQ142" s="82"/>
      <c r="JR142" s="82"/>
      <c r="JS142" s="82"/>
      <c r="JT142" s="82"/>
      <c r="JU142" s="82"/>
      <c r="JV142" s="82"/>
      <c r="JW142" s="82"/>
      <c r="JX142" s="82"/>
      <c r="JY142" s="82"/>
      <c r="JZ142" s="82"/>
      <c r="KA142" s="82"/>
      <c r="KB142" s="82"/>
      <c r="KC142" s="82"/>
      <c r="KD142" s="82"/>
      <c r="KE142" s="82"/>
      <c r="KF142" s="82"/>
      <c r="KG142" s="82"/>
      <c r="KH142" s="82"/>
      <c r="KI142" s="82"/>
      <c r="KJ142" s="82"/>
      <c r="KK142" s="82"/>
      <c r="KL142" s="82"/>
      <c r="KM142" s="82"/>
      <c r="KN142" s="82"/>
      <c r="KO142" s="82"/>
      <c r="KP142" s="82"/>
      <c r="KQ142" s="82"/>
      <c r="KR142" s="82"/>
      <c r="KS142" s="82"/>
      <c r="KT142" s="82"/>
      <c r="KU142" s="82"/>
      <c r="KV142" s="82"/>
      <c r="KW142" s="82"/>
      <c r="KX142" s="82"/>
      <c r="KY142" s="82"/>
      <c r="KZ142" s="82"/>
      <c r="LA142" s="82"/>
      <c r="LB142" s="82"/>
      <c r="LC142" s="82"/>
      <c r="LD142" s="82"/>
      <c r="LE142" s="82"/>
      <c r="LF142" s="82"/>
      <c r="LG142" s="82"/>
      <c r="LH142" s="82"/>
      <c r="LI142" s="82"/>
      <c r="LJ142" s="82"/>
      <c r="LK142" s="82"/>
      <c r="LL142" s="82"/>
      <c r="LM142" s="82"/>
      <c r="LN142" s="82"/>
      <c r="LO142" s="82"/>
      <c r="LP142" s="82"/>
      <c r="LQ142" s="82"/>
      <c r="LR142" s="82"/>
      <c r="LS142" s="82"/>
      <c r="LT142" s="82"/>
      <c r="LU142" s="82"/>
      <c r="LV142" s="82"/>
      <c r="LW142" s="82"/>
      <c r="LX142" s="82"/>
      <c r="LY142" s="82"/>
      <c r="LZ142" s="82"/>
      <c r="MA142" s="82"/>
      <c r="MB142" s="82"/>
      <c r="MC142" s="82"/>
      <c r="MD142" s="82"/>
      <c r="ME142" s="82"/>
      <c r="MF142" s="82"/>
      <c r="MG142" s="82"/>
      <c r="MH142" s="82"/>
      <c r="MI142" s="82"/>
      <c r="MJ142" s="82"/>
      <c r="MK142" s="82"/>
      <c r="ML142" s="82"/>
      <c r="MM142" s="82"/>
      <c r="MN142" s="82"/>
      <c r="MO142" s="82"/>
      <c r="MP142" s="82"/>
      <c r="MQ142" s="82"/>
      <c r="MR142" s="82"/>
      <c r="MS142" s="82"/>
      <c r="MT142" s="82"/>
      <c r="MU142" s="82"/>
      <c r="MV142" s="82"/>
      <c r="MW142" s="82"/>
      <c r="MX142" s="82"/>
      <c r="MY142" s="82"/>
      <c r="MZ142" s="82"/>
      <c r="NA142" s="82"/>
      <c r="NB142" s="82"/>
      <c r="NC142" s="82"/>
      <c r="ND142" s="82"/>
      <c r="NE142" s="82"/>
      <c r="NF142" s="82"/>
      <c r="NG142" s="82"/>
      <c r="NH142" s="82"/>
      <c r="NI142" s="82"/>
      <c r="NJ142" s="82"/>
      <c r="NK142" s="82"/>
      <c r="NL142" s="82"/>
      <c r="NM142" s="82"/>
      <c r="NN142" s="82"/>
      <c r="NO142" s="82"/>
      <c r="NP142" s="82"/>
      <c r="NQ142" s="82"/>
      <c r="NR142" s="82"/>
      <c r="NS142" s="82"/>
      <c r="NT142" s="82"/>
      <c r="NU142" s="82"/>
      <c r="NV142" s="82"/>
      <c r="NW142" s="82"/>
      <c r="NX142" s="82"/>
      <c r="NY142" s="82"/>
      <c r="NZ142" s="82"/>
      <c r="OA142" s="82"/>
      <c r="OB142" s="82"/>
      <c r="OC142" s="82"/>
      <c r="OD142" s="82"/>
      <c r="OE142" s="82"/>
      <c r="OF142" s="82"/>
      <c r="OG142" s="82"/>
      <c r="OH142" s="82"/>
      <c r="OI142" s="82"/>
      <c r="OJ142" s="82"/>
      <c r="OK142" s="82"/>
      <c r="OL142" s="82"/>
      <c r="OM142" s="82"/>
      <c r="ON142" s="82"/>
      <c r="OO142" s="82"/>
      <c r="OP142" s="82"/>
      <c r="OQ142" s="82"/>
      <c r="OR142" s="82"/>
      <c r="OS142" s="82"/>
      <c r="OT142" s="82"/>
      <c r="OU142" s="82"/>
      <c r="OV142" s="82"/>
      <c r="OW142" s="82"/>
      <c r="OX142" s="82"/>
      <c r="OY142" s="82"/>
      <c r="OZ142" s="82"/>
      <c r="PA142" s="82"/>
      <c r="PB142" s="82"/>
      <c r="PC142" s="82"/>
      <c r="PD142" s="82"/>
      <c r="PE142" s="82"/>
      <c r="PF142" s="82"/>
      <c r="PG142" s="82"/>
      <c r="PH142" s="82"/>
      <c r="PI142" s="82"/>
      <c r="PJ142" s="82"/>
      <c r="PK142" s="82"/>
      <c r="PL142" s="82"/>
      <c r="PM142" s="82"/>
      <c r="PN142" s="82"/>
      <c r="PO142" s="82"/>
      <c r="PP142" s="82"/>
      <c r="PQ142" s="82"/>
      <c r="PR142" s="82"/>
      <c r="PS142" s="82"/>
      <c r="PT142" s="82"/>
      <c r="PU142" s="82"/>
      <c r="PV142" s="82"/>
      <c r="PW142" s="82"/>
      <c r="PX142" s="82"/>
      <c r="PY142" s="82"/>
      <c r="PZ142" s="82"/>
      <c r="QA142" s="82"/>
      <c r="QB142" s="82"/>
      <c r="QC142" s="82"/>
      <c r="QD142" s="82"/>
      <c r="QE142" s="82"/>
      <c r="QF142" s="82"/>
      <c r="QG142" s="82"/>
      <c r="QH142" s="82"/>
      <c r="QI142" s="82"/>
      <c r="QJ142" s="82"/>
      <c r="QK142" s="82"/>
      <c r="QL142" s="82"/>
      <c r="QM142" s="82"/>
      <c r="QN142" s="82"/>
      <c r="QO142" s="82"/>
      <c r="QP142" s="82"/>
      <c r="QQ142" s="82"/>
      <c r="QR142" s="82"/>
      <c r="QS142" s="82"/>
      <c r="QT142" s="82"/>
      <c r="QU142" s="82"/>
      <c r="QV142" s="82"/>
      <c r="QW142" s="82"/>
      <c r="QX142" s="82"/>
      <c r="QY142" s="82"/>
      <c r="QZ142" s="82"/>
      <c r="RA142" s="82"/>
      <c r="RB142" s="82"/>
      <c r="RC142" s="82"/>
      <c r="RD142" s="82"/>
      <c r="RE142" s="82"/>
      <c r="RF142" s="82"/>
      <c r="RG142" s="82"/>
      <c r="RH142" s="82"/>
      <c r="RI142" s="82"/>
      <c r="RJ142" s="82"/>
      <c r="RK142" s="82"/>
      <c r="RL142" s="82"/>
      <c r="RM142" s="82"/>
      <c r="RN142" s="82"/>
      <c r="RO142" s="82"/>
      <c r="RP142" s="82"/>
      <c r="RQ142" s="82"/>
      <c r="RR142" s="82"/>
      <c r="RS142" s="82"/>
      <c r="RT142" s="82"/>
      <c r="RU142" s="82"/>
      <c r="RV142" s="82"/>
      <c r="RW142" s="82"/>
      <c r="RX142" s="82"/>
      <c r="RY142" s="82"/>
      <c r="RZ142" s="82"/>
      <c r="SA142" s="82"/>
      <c r="SB142" s="82"/>
      <c r="SC142" s="82"/>
      <c r="SD142" s="82"/>
      <c r="SE142" s="82"/>
      <c r="SF142" s="82"/>
      <c r="SG142" s="82"/>
      <c r="SH142" s="82"/>
      <c r="SI142" s="82"/>
      <c r="SJ142" s="82"/>
      <c r="SK142" s="82"/>
      <c r="SL142" s="82"/>
      <c r="SM142" s="82"/>
      <c r="SN142" s="82"/>
      <c r="SO142" s="82"/>
      <c r="SP142" s="82"/>
      <c r="SQ142" s="82"/>
      <c r="SR142" s="82"/>
      <c r="SS142" s="82"/>
      <c r="ST142" s="82"/>
      <c r="SU142" s="82"/>
      <c r="SV142" s="82"/>
      <c r="SW142" s="82"/>
      <c r="SX142" s="82"/>
      <c r="SY142" s="82"/>
      <c r="SZ142" s="82"/>
      <c r="TA142" s="82"/>
      <c r="TB142" s="82"/>
      <c r="TC142" s="82"/>
      <c r="TD142" s="82"/>
      <c r="TE142" s="82"/>
      <c r="TF142" s="82"/>
      <c r="TG142" s="82"/>
      <c r="TH142" s="82"/>
      <c r="TI142" s="82"/>
      <c r="TJ142" s="82"/>
      <c r="TK142" s="82"/>
      <c r="TL142" s="82"/>
      <c r="TM142" s="82"/>
      <c r="TN142" s="82"/>
      <c r="TO142" s="82"/>
      <c r="TP142" s="82"/>
      <c r="TQ142" s="82"/>
      <c r="TR142" s="82"/>
      <c r="TS142" s="82"/>
      <c r="TT142" s="82"/>
      <c r="TU142" s="82"/>
      <c r="TV142" s="82"/>
      <c r="TW142" s="82"/>
      <c r="TX142" s="82"/>
      <c r="TY142" s="82"/>
      <c r="TZ142" s="82"/>
      <c r="UA142" s="82"/>
      <c r="UB142" s="82"/>
      <c r="UC142" s="82"/>
      <c r="UD142" s="82"/>
      <c r="UE142" s="82"/>
      <c r="UF142" s="82"/>
      <c r="UG142" s="82"/>
      <c r="UH142" s="82"/>
      <c r="UI142" s="82"/>
      <c r="UJ142" s="82"/>
      <c r="UK142" s="82"/>
      <c r="UL142" s="82"/>
      <c r="UM142" s="82"/>
      <c r="UN142" s="82"/>
      <c r="UO142" s="82"/>
      <c r="UP142" s="82"/>
      <c r="UQ142" s="82"/>
      <c r="UR142" s="82"/>
      <c r="US142" s="82"/>
      <c r="UT142" s="82"/>
      <c r="UU142" s="82"/>
      <c r="UV142" s="82"/>
      <c r="UW142" s="82"/>
      <c r="UX142" s="82"/>
      <c r="UY142" s="82"/>
      <c r="UZ142" s="82"/>
      <c r="VA142" s="82"/>
      <c r="VB142" s="82"/>
      <c r="VC142" s="82"/>
      <c r="VD142" s="82"/>
      <c r="VE142" s="82"/>
      <c r="VF142" s="82"/>
      <c r="VG142" s="82"/>
      <c r="VH142" s="82"/>
      <c r="VI142" s="82"/>
      <c r="VJ142" s="82"/>
      <c r="VK142" s="82"/>
      <c r="VL142" s="82"/>
      <c r="VM142" s="82"/>
      <c r="VN142" s="82"/>
      <c r="VO142" s="82"/>
      <c r="VP142" s="82"/>
      <c r="VQ142" s="82"/>
      <c r="VR142" s="82"/>
      <c r="VS142" s="82"/>
      <c r="VT142" s="82"/>
      <c r="VU142" s="82"/>
      <c r="VV142" s="82"/>
      <c r="VW142" s="82"/>
      <c r="VX142" s="82"/>
      <c r="VY142" s="82"/>
      <c r="VZ142" s="82"/>
      <c r="WA142" s="82"/>
      <c r="WB142" s="82"/>
      <c r="WC142" s="82"/>
      <c r="WD142" s="82"/>
      <c r="WE142" s="82"/>
      <c r="WF142" s="82"/>
      <c r="WG142" s="82"/>
      <c r="WH142" s="82"/>
      <c r="WI142" s="82"/>
      <c r="WJ142" s="82"/>
      <c r="WK142" s="82"/>
      <c r="WL142" s="82"/>
      <c r="WM142" s="82"/>
      <c r="WN142" s="82"/>
      <c r="WO142" s="82"/>
      <c r="WP142" s="82"/>
      <c r="WQ142" s="82"/>
      <c r="WR142" s="82"/>
      <c r="WS142" s="82"/>
      <c r="WT142" s="82"/>
      <c r="WU142" s="82"/>
      <c r="WV142" s="82"/>
      <c r="WW142" s="82"/>
      <c r="WX142" s="82"/>
      <c r="WY142" s="82"/>
      <c r="WZ142" s="82"/>
      <c r="XA142" s="82"/>
      <c r="XB142" s="82"/>
      <c r="XC142" s="82"/>
      <c r="XD142" s="82"/>
      <c r="XE142" s="82"/>
      <c r="XF142" s="82"/>
      <c r="XG142" s="82"/>
      <c r="XH142" s="82"/>
      <c r="XI142" s="82"/>
      <c r="XJ142" s="82"/>
      <c r="XK142" s="82"/>
      <c r="XL142" s="82"/>
      <c r="XM142" s="82"/>
      <c r="XN142" s="82"/>
      <c r="XO142" s="82"/>
      <c r="XP142" s="82"/>
      <c r="XQ142" s="82"/>
      <c r="XR142" s="82"/>
      <c r="XS142" s="82"/>
      <c r="XT142" s="82"/>
      <c r="XU142" s="82"/>
      <c r="XV142" s="82"/>
      <c r="XW142" s="82"/>
      <c r="XX142" s="82"/>
      <c r="XY142" s="82"/>
      <c r="XZ142" s="82"/>
      <c r="YA142" s="82"/>
      <c r="YB142" s="82"/>
      <c r="YC142" s="82"/>
      <c r="YD142" s="82"/>
      <c r="YE142" s="82"/>
      <c r="YF142" s="82"/>
      <c r="YG142" s="82"/>
      <c r="YH142" s="82"/>
      <c r="YI142" s="82"/>
      <c r="YJ142" s="82"/>
      <c r="YK142" s="82"/>
      <c r="YL142" s="82"/>
      <c r="YM142" s="82"/>
      <c r="YN142" s="82"/>
      <c r="YO142" s="82"/>
      <c r="YP142" s="82"/>
      <c r="YQ142" s="82"/>
      <c r="YR142" s="82"/>
      <c r="YS142" s="82"/>
      <c r="YT142" s="82"/>
      <c r="YU142" s="82"/>
      <c r="YV142" s="82"/>
      <c r="YW142" s="82"/>
      <c r="YX142" s="82"/>
      <c r="YY142" s="82"/>
      <c r="YZ142" s="82"/>
      <c r="ZA142" s="82"/>
      <c r="ZB142" s="82"/>
      <c r="ZC142" s="82"/>
      <c r="ZD142" s="82"/>
      <c r="ZE142" s="82"/>
      <c r="ZF142" s="82"/>
      <c r="ZG142" s="82"/>
      <c r="ZH142" s="82"/>
      <c r="ZI142" s="82"/>
      <c r="ZJ142" s="82"/>
      <c r="ZK142" s="82"/>
      <c r="ZL142" s="82"/>
      <c r="ZM142" s="82"/>
      <c r="ZN142" s="82"/>
      <c r="ZO142" s="82"/>
      <c r="ZP142" s="82"/>
      <c r="ZQ142" s="82"/>
      <c r="ZR142" s="82"/>
      <c r="ZS142" s="82"/>
      <c r="ZT142" s="82"/>
      <c r="ZU142" s="82"/>
      <c r="ZV142" s="82"/>
      <c r="ZW142" s="82"/>
      <c r="ZX142" s="82"/>
      <c r="ZY142" s="82"/>
      <c r="ZZ142" s="82"/>
      <c r="AAA142" s="82"/>
      <c r="AAB142" s="82"/>
      <c r="AAC142" s="82"/>
      <c r="AAD142" s="82"/>
      <c r="AAE142" s="82"/>
      <c r="AAF142" s="82"/>
      <c r="AAG142" s="82"/>
      <c r="AAH142" s="82"/>
      <c r="AAI142" s="82"/>
      <c r="AAJ142" s="82"/>
      <c r="AAK142" s="82"/>
      <c r="AAL142" s="82"/>
      <c r="AAM142" s="82"/>
      <c r="AAN142" s="82"/>
      <c r="AAO142" s="82"/>
      <c r="AAP142" s="82"/>
      <c r="AAQ142" s="82"/>
      <c r="AAR142" s="82"/>
      <c r="AAS142" s="82"/>
      <c r="AAT142" s="82"/>
      <c r="AAU142" s="82"/>
      <c r="AAV142" s="82"/>
      <c r="AAW142" s="82"/>
      <c r="AAX142" s="82"/>
      <c r="AAY142" s="82"/>
      <c r="AAZ142" s="82"/>
      <c r="ABA142" s="82"/>
      <c r="ABB142" s="82"/>
      <c r="ABC142" s="82"/>
      <c r="ABD142" s="82"/>
      <c r="ABE142" s="82"/>
      <c r="ABF142" s="82"/>
      <c r="ABG142" s="82"/>
      <c r="ABH142" s="82"/>
      <c r="ABI142" s="82"/>
      <c r="ABJ142" s="82"/>
      <c r="ABK142" s="82"/>
      <c r="ABL142" s="82"/>
      <c r="ABM142" s="82"/>
      <c r="ABN142" s="82"/>
      <c r="ABO142" s="82"/>
      <c r="ABP142" s="82"/>
      <c r="ABQ142" s="82"/>
      <c r="ABR142" s="82"/>
      <c r="ABS142" s="82"/>
      <c r="ABT142" s="82"/>
      <c r="ABU142" s="82"/>
      <c r="ABV142" s="82"/>
      <c r="ABW142" s="82"/>
      <c r="ABX142" s="82"/>
      <c r="ABY142" s="82"/>
      <c r="ABZ142" s="82"/>
      <c r="ACA142" s="82"/>
      <c r="ACB142" s="82"/>
      <c r="ACC142" s="82"/>
      <c r="ACD142" s="82"/>
      <c r="ACE142" s="82"/>
      <c r="ACF142" s="82"/>
      <c r="ACG142" s="82"/>
      <c r="ACH142" s="82"/>
      <c r="ACI142" s="82"/>
      <c r="ACJ142" s="82"/>
      <c r="ACK142" s="82"/>
      <c r="ACL142" s="82"/>
      <c r="ACM142" s="82"/>
      <c r="ACN142" s="82"/>
      <c r="ACO142" s="82"/>
      <c r="ACP142" s="82"/>
      <c r="ACQ142" s="82"/>
      <c r="ACR142" s="82"/>
      <c r="ACS142" s="82"/>
      <c r="ACT142" s="82"/>
      <c r="ACU142" s="82"/>
      <c r="ACV142" s="82"/>
      <c r="ACW142" s="82"/>
      <c r="ACX142" s="82"/>
      <c r="ACY142" s="82"/>
      <c r="ACZ142" s="82"/>
      <c r="ADA142" s="82"/>
      <c r="ADB142" s="82"/>
      <c r="ADC142" s="82"/>
      <c r="ADD142" s="82"/>
      <c r="ADE142" s="82"/>
      <c r="ADF142" s="82"/>
      <c r="ADG142" s="82"/>
      <c r="ADH142" s="82"/>
      <c r="ADI142" s="82"/>
      <c r="ADJ142" s="82"/>
      <c r="ADK142" s="82"/>
      <c r="ADL142" s="82"/>
      <c r="ADM142" s="82"/>
      <c r="ADN142" s="82"/>
      <c r="ADO142" s="82"/>
      <c r="ADP142" s="82"/>
      <c r="ADQ142" s="82"/>
      <c r="ADR142" s="82"/>
      <c r="ADS142" s="82"/>
      <c r="ADT142" s="82"/>
      <c r="ADU142" s="82"/>
      <c r="ADV142" s="82"/>
      <c r="ADW142" s="82"/>
      <c r="ADX142" s="82"/>
      <c r="ADY142" s="82"/>
      <c r="ADZ142" s="82"/>
      <c r="AEA142" s="82"/>
      <c r="AEB142" s="82"/>
      <c r="AEC142" s="82"/>
      <c r="AED142" s="82"/>
      <c r="AEE142" s="82"/>
      <c r="AEF142" s="82"/>
      <c r="AEG142" s="82"/>
      <c r="AEH142" s="82"/>
      <c r="AEI142" s="82"/>
      <c r="AEJ142" s="82"/>
      <c r="AEK142" s="82"/>
      <c r="AEL142" s="82"/>
      <c r="AEM142" s="82"/>
      <c r="AEN142" s="82"/>
      <c r="AEO142" s="82"/>
      <c r="AEP142" s="82"/>
      <c r="AEQ142" s="82"/>
      <c r="AER142" s="82"/>
      <c r="AES142" s="82"/>
      <c r="AET142" s="82"/>
      <c r="AEU142" s="82"/>
      <c r="AEV142" s="82"/>
      <c r="AEW142" s="82"/>
      <c r="AEX142" s="82"/>
      <c r="AEY142" s="82"/>
      <c r="AEZ142" s="82"/>
      <c r="AFA142" s="82"/>
      <c r="AFB142" s="82"/>
      <c r="AFC142" s="82"/>
      <c r="AFD142" s="82"/>
      <c r="AFE142" s="82"/>
      <c r="AFF142" s="82"/>
      <c r="AFG142" s="82"/>
      <c r="AFH142" s="82"/>
      <c r="AFI142" s="82"/>
      <c r="AFJ142" s="82"/>
      <c r="AFK142" s="82"/>
      <c r="AFL142" s="82"/>
      <c r="AFM142" s="82"/>
      <c r="AFN142" s="82"/>
      <c r="AFO142" s="82"/>
      <c r="AFP142" s="82"/>
      <c r="AFQ142" s="82"/>
      <c r="AFR142" s="82"/>
      <c r="AFS142" s="82"/>
      <c r="AFT142" s="82"/>
      <c r="AFU142" s="82"/>
      <c r="AFV142" s="82"/>
      <c r="AFW142" s="82"/>
      <c r="AFX142" s="82"/>
      <c r="AFY142" s="82"/>
      <c r="AFZ142" s="82"/>
      <c r="AGA142" s="82"/>
      <c r="AGB142" s="82"/>
      <c r="AGC142" s="82"/>
      <c r="AGD142" s="82"/>
      <c r="AGE142" s="82"/>
      <c r="AGF142" s="82"/>
      <c r="AGG142" s="82"/>
      <c r="AGH142" s="82"/>
      <c r="AGI142" s="82"/>
      <c r="AGJ142" s="82"/>
      <c r="AGK142" s="82"/>
      <c r="AGL142" s="82"/>
      <c r="AGM142" s="82"/>
      <c r="AGN142" s="82"/>
      <c r="AGO142" s="82"/>
      <c r="AGP142" s="82"/>
      <c r="AGQ142" s="82"/>
      <c r="AGR142" s="82"/>
      <c r="AGS142" s="82"/>
      <c r="AGT142" s="82"/>
      <c r="AGU142" s="82"/>
      <c r="AGV142" s="82"/>
      <c r="AGW142" s="82"/>
      <c r="AGX142" s="82"/>
      <c r="AGY142" s="82"/>
      <c r="AGZ142" s="82"/>
      <c r="AHA142" s="82"/>
      <c r="AHB142" s="82"/>
      <c r="AHC142" s="82"/>
      <c r="AHD142" s="82"/>
      <c r="AHE142" s="82"/>
      <c r="AHF142" s="82"/>
      <c r="AHG142" s="82"/>
      <c r="AHH142" s="82"/>
      <c r="AHI142" s="82"/>
      <c r="AHJ142" s="82"/>
      <c r="AHK142" s="82"/>
      <c r="AHL142" s="82"/>
      <c r="AHM142" s="82"/>
      <c r="AHN142" s="82"/>
      <c r="AHO142" s="82"/>
      <c r="AHP142" s="82"/>
      <c r="AHQ142" s="82"/>
      <c r="AHR142" s="82"/>
      <c r="AHS142" s="82"/>
      <c r="AHT142" s="82"/>
      <c r="AHU142" s="82"/>
      <c r="AHV142" s="82"/>
      <c r="AHW142" s="82"/>
      <c r="AHX142" s="82"/>
      <c r="AHY142" s="82"/>
      <c r="AHZ142" s="82"/>
      <c r="AIA142" s="82"/>
      <c r="AIB142" s="82"/>
      <c r="AIC142" s="82"/>
      <c r="AID142" s="82"/>
      <c r="AIE142" s="82"/>
      <c r="AIF142" s="82"/>
      <c r="AIG142" s="82"/>
      <c r="AIH142" s="82"/>
    </row>
    <row r="143" spans="1:918" s="82" customFormat="1" x14ac:dyDescent="0.2">
      <c r="A143" s="81"/>
      <c r="B143" s="100"/>
      <c r="C143" s="91"/>
      <c r="D143" s="93"/>
      <c r="E143" s="93"/>
      <c r="F143" s="93"/>
      <c r="G143" s="93"/>
      <c r="H143" s="93"/>
      <c r="I143" s="93"/>
      <c r="J143" s="93"/>
      <c r="K143" s="92"/>
    </row>
    <row r="144" spans="1:918" s="82" customFormat="1" x14ac:dyDescent="0.2">
      <c r="A144" s="81"/>
      <c r="B144" s="78" t="s">
        <v>266</v>
      </c>
      <c r="C144" s="96" t="s">
        <v>215</v>
      </c>
      <c r="D144" s="93"/>
      <c r="E144" s="93"/>
      <c r="F144" s="93"/>
      <c r="G144" s="93"/>
      <c r="H144" s="93"/>
      <c r="I144" s="93"/>
      <c r="J144" s="93"/>
      <c r="K144" s="92"/>
    </row>
    <row r="145" spans="1:116" s="82" customFormat="1" ht="22.5" x14ac:dyDescent="0.2">
      <c r="A145" s="81"/>
      <c r="B145" s="100" t="s">
        <v>267</v>
      </c>
      <c r="C145" s="91" t="s">
        <v>351</v>
      </c>
      <c r="D145" s="93"/>
      <c r="E145" s="93"/>
      <c r="F145" s="93"/>
      <c r="G145" s="93"/>
      <c r="H145" s="93"/>
      <c r="I145" s="93">
        <v>1</v>
      </c>
      <c r="J145" s="93"/>
      <c r="K145" s="92"/>
    </row>
    <row r="146" spans="1:116" s="82" customFormat="1" ht="33.75" x14ac:dyDescent="0.2">
      <c r="A146" s="81"/>
      <c r="B146" s="100" t="s">
        <v>268</v>
      </c>
      <c r="C146" s="91" t="s">
        <v>352</v>
      </c>
      <c r="D146" s="92"/>
      <c r="E146" s="92"/>
      <c r="F146" s="92"/>
      <c r="G146" s="92"/>
      <c r="H146" s="92"/>
      <c r="I146" s="93">
        <v>1</v>
      </c>
      <c r="J146" s="92"/>
      <c r="K146" s="93"/>
    </row>
    <row r="147" spans="1:116" s="42" customFormat="1" x14ac:dyDescent="0.2">
      <c r="A147" s="45"/>
      <c r="B147" s="61"/>
      <c r="C147" s="51"/>
      <c r="D147" s="63"/>
      <c r="E147" s="63"/>
      <c r="F147" s="63"/>
      <c r="G147" s="63"/>
      <c r="H147" s="63"/>
      <c r="I147" s="62"/>
      <c r="J147" s="63"/>
      <c r="K147" s="62"/>
      <c r="L147" s="82"/>
      <c r="M147" s="82"/>
      <c r="N147" s="82"/>
      <c r="O147" s="82"/>
      <c r="P147" s="82"/>
      <c r="Q147" s="82"/>
      <c r="R147" s="82"/>
      <c r="S147" s="82"/>
      <c r="T147" s="82"/>
      <c r="U147" s="82"/>
      <c r="V147" s="82"/>
      <c r="W147" s="82"/>
      <c r="X147" s="82"/>
      <c r="Y147" s="82"/>
      <c r="Z147" s="82"/>
      <c r="AA147" s="82"/>
      <c r="AB147" s="82"/>
      <c r="AC147" s="82"/>
    </row>
    <row r="148" spans="1:116" s="42" customFormat="1" ht="31.5" x14ac:dyDescent="0.2">
      <c r="B148" s="70" t="s">
        <v>72</v>
      </c>
      <c r="C148" s="48" t="s">
        <v>253</v>
      </c>
      <c r="D148" s="64">
        <f>D149</f>
        <v>1</v>
      </c>
      <c r="E148" s="64">
        <f t="shared" ref="E148:K148" si="8">E149</f>
        <v>2</v>
      </c>
      <c r="F148" s="64">
        <f t="shared" si="8"/>
        <v>0</v>
      </c>
      <c r="G148" s="64">
        <f t="shared" si="8"/>
        <v>0</v>
      </c>
      <c r="H148" s="64">
        <f t="shared" si="8"/>
        <v>1</v>
      </c>
      <c r="I148" s="64">
        <f t="shared" si="8"/>
        <v>0</v>
      </c>
      <c r="J148" s="64">
        <f t="shared" si="8"/>
        <v>0</v>
      </c>
      <c r="K148" s="64">
        <f t="shared" si="8"/>
        <v>0</v>
      </c>
      <c r="L148" s="82"/>
      <c r="M148" s="82"/>
      <c r="N148" s="82"/>
      <c r="O148" s="82"/>
      <c r="P148" s="82"/>
      <c r="Q148" s="82"/>
      <c r="R148" s="82"/>
      <c r="S148" s="82"/>
      <c r="T148" s="82"/>
      <c r="U148" s="82"/>
      <c r="V148" s="82"/>
      <c r="W148" s="82"/>
      <c r="X148" s="82"/>
      <c r="Y148" s="82"/>
      <c r="Z148" s="82"/>
      <c r="AA148" s="82"/>
      <c r="AB148" s="82"/>
      <c r="AC148" s="82"/>
    </row>
    <row r="149" spans="1:116" s="42" customFormat="1" ht="37.5" customHeight="1" x14ac:dyDescent="0.2">
      <c r="B149" s="225" t="s">
        <v>217</v>
      </c>
      <c r="C149" s="225"/>
      <c r="D149" s="65">
        <f>SUM(D150:D167)</f>
        <v>1</v>
      </c>
      <c r="E149" s="65">
        <f>SUM(E150:E167)</f>
        <v>2</v>
      </c>
      <c r="F149" s="65">
        <f t="shared" ref="F149:K149" si="9">SUM(F150:F167)</f>
        <v>0</v>
      </c>
      <c r="G149" s="65">
        <f t="shared" si="9"/>
        <v>0</v>
      </c>
      <c r="H149" s="65">
        <f t="shared" si="9"/>
        <v>1</v>
      </c>
      <c r="I149" s="65">
        <f t="shared" si="9"/>
        <v>0</v>
      </c>
      <c r="J149" s="65">
        <f t="shared" si="9"/>
        <v>0</v>
      </c>
      <c r="K149" s="65">
        <f t="shared" si="9"/>
        <v>0</v>
      </c>
      <c r="L149" s="82"/>
      <c r="M149" s="82"/>
      <c r="N149" s="82"/>
      <c r="O149" s="82"/>
      <c r="P149" s="82"/>
      <c r="Q149" s="82"/>
      <c r="R149" s="82"/>
      <c r="S149" s="82"/>
      <c r="T149" s="82"/>
      <c r="U149" s="82"/>
      <c r="V149" s="82"/>
      <c r="W149" s="82"/>
      <c r="X149" s="82"/>
      <c r="Y149" s="82"/>
      <c r="Z149" s="82"/>
      <c r="AA149" s="82"/>
      <c r="AB149" s="82"/>
      <c r="AC149" s="82"/>
    </row>
    <row r="150" spans="1:116" s="52" customFormat="1" x14ac:dyDescent="0.2">
      <c r="A150" s="45"/>
      <c r="B150" s="103" t="s">
        <v>83</v>
      </c>
      <c r="C150" s="94" t="s">
        <v>214</v>
      </c>
      <c r="D150" s="47"/>
      <c r="E150" s="49"/>
      <c r="F150" s="47"/>
      <c r="G150" s="49"/>
      <c r="H150" s="47"/>
      <c r="I150" s="49"/>
      <c r="J150" s="47"/>
      <c r="K150" s="57"/>
      <c r="L150" s="82"/>
      <c r="M150" s="82"/>
      <c r="N150" s="82"/>
      <c r="O150" s="82"/>
      <c r="P150" s="82"/>
      <c r="Q150" s="82"/>
      <c r="R150" s="82"/>
      <c r="S150" s="82"/>
      <c r="T150" s="82"/>
      <c r="U150" s="82"/>
      <c r="V150" s="82"/>
      <c r="W150" s="82"/>
      <c r="X150" s="82"/>
      <c r="Y150" s="82"/>
      <c r="Z150" s="82"/>
      <c r="AA150" s="82"/>
      <c r="AB150" s="82"/>
      <c r="AC150" s="82"/>
      <c r="AD150" s="42"/>
      <c r="AE150" s="42"/>
      <c r="AF150" s="42"/>
      <c r="AG150" s="42"/>
      <c r="AH150" s="42"/>
      <c r="AI150" s="42"/>
      <c r="AJ150" s="42"/>
      <c r="AK150" s="42"/>
      <c r="AL150" s="42"/>
      <c r="AM150" s="42"/>
      <c r="AN150" s="42"/>
      <c r="AO150" s="42"/>
      <c r="AP150" s="42"/>
      <c r="AQ150" s="42"/>
      <c r="AR150" s="42"/>
      <c r="AS150" s="42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  <c r="BF150" s="42"/>
      <c r="BG150" s="42"/>
      <c r="BH150" s="42"/>
      <c r="BI150" s="42"/>
      <c r="BJ150" s="42"/>
      <c r="BK150" s="42"/>
      <c r="BL150" s="42"/>
      <c r="BM150" s="42"/>
      <c r="BN150" s="42"/>
      <c r="BO150" s="42"/>
      <c r="BP150" s="42"/>
      <c r="BQ150" s="42"/>
      <c r="BR150" s="42"/>
      <c r="BS150" s="42"/>
      <c r="BT150" s="42"/>
      <c r="BU150" s="42"/>
      <c r="BV150" s="42"/>
      <c r="BW150" s="42"/>
      <c r="BX150" s="42"/>
      <c r="BY150" s="42"/>
      <c r="BZ150" s="42"/>
      <c r="CA150" s="42"/>
      <c r="CB150" s="42"/>
      <c r="CC150" s="42"/>
      <c r="CD150" s="42"/>
      <c r="CE150" s="42"/>
      <c r="CF150" s="42"/>
      <c r="CG150" s="42"/>
      <c r="CH150" s="42"/>
      <c r="CI150" s="42"/>
      <c r="CJ150" s="42"/>
      <c r="CK150" s="42"/>
      <c r="CL150" s="42"/>
      <c r="CM150" s="42"/>
      <c r="CN150" s="42"/>
      <c r="CO150" s="42"/>
      <c r="CP150" s="42"/>
      <c r="CQ150" s="42"/>
      <c r="CR150" s="42"/>
      <c r="CS150" s="42"/>
      <c r="CT150" s="42"/>
      <c r="CU150" s="42"/>
      <c r="CV150" s="42"/>
      <c r="CW150" s="42"/>
      <c r="CX150" s="42"/>
      <c r="CY150" s="42"/>
      <c r="CZ150" s="42"/>
      <c r="DA150" s="42"/>
      <c r="DB150" s="42"/>
      <c r="DC150" s="42"/>
      <c r="DD150" s="42"/>
      <c r="DE150" s="42"/>
      <c r="DF150" s="42"/>
      <c r="DG150" s="42"/>
      <c r="DH150" s="42"/>
      <c r="DI150" s="42"/>
      <c r="DJ150" s="42"/>
      <c r="DK150" s="42"/>
      <c r="DL150" s="42"/>
    </row>
    <row r="151" spans="1:116" s="82" customFormat="1" ht="21" x14ac:dyDescent="0.2">
      <c r="A151" s="81"/>
      <c r="B151" s="103" t="s">
        <v>84</v>
      </c>
      <c r="C151" s="94" t="s">
        <v>201</v>
      </c>
      <c r="D151" s="83"/>
      <c r="E151" s="101"/>
      <c r="F151" s="83"/>
      <c r="G151" s="101"/>
      <c r="H151" s="83"/>
      <c r="I151" s="101"/>
      <c r="J151" s="83"/>
      <c r="K151" s="89"/>
    </row>
    <row r="152" spans="1:116" s="82" customFormat="1" ht="33.75" x14ac:dyDescent="0.2">
      <c r="A152" s="81"/>
      <c r="B152" s="104" t="s">
        <v>85</v>
      </c>
      <c r="C152" s="88" t="s">
        <v>245</v>
      </c>
      <c r="D152" s="89"/>
      <c r="E152" s="89"/>
      <c r="F152" s="89"/>
      <c r="G152" s="89"/>
      <c r="H152" s="89"/>
      <c r="I152" s="89"/>
      <c r="J152" s="89"/>
      <c r="K152" s="89"/>
    </row>
    <row r="153" spans="1:116" s="42" customFormat="1" ht="33.75" x14ac:dyDescent="0.2">
      <c r="A153" s="45"/>
      <c r="B153" s="104" t="s">
        <v>86</v>
      </c>
      <c r="C153" s="88" t="s">
        <v>382</v>
      </c>
      <c r="D153" s="89"/>
      <c r="E153" s="89"/>
      <c r="F153" s="82"/>
      <c r="G153" s="87"/>
      <c r="H153" s="87"/>
      <c r="I153" s="87"/>
      <c r="J153" s="87"/>
      <c r="K153" s="89"/>
      <c r="L153" s="82"/>
      <c r="M153" s="82"/>
      <c r="N153" s="82"/>
      <c r="O153" s="82"/>
      <c r="P153" s="82"/>
      <c r="Q153" s="82"/>
      <c r="R153" s="82"/>
      <c r="S153" s="82"/>
      <c r="T153" s="82"/>
      <c r="U153" s="82"/>
      <c r="V153" s="82"/>
      <c r="W153" s="82"/>
      <c r="X153" s="82"/>
      <c r="Y153" s="82"/>
      <c r="Z153" s="82"/>
      <c r="AA153" s="82"/>
      <c r="AB153" s="82"/>
      <c r="AC153" s="82"/>
    </row>
    <row r="154" spans="1:116" s="52" customFormat="1" ht="37.5" customHeight="1" x14ac:dyDescent="0.2">
      <c r="A154" s="45"/>
      <c r="B154" s="104" t="s">
        <v>152</v>
      </c>
      <c r="C154" s="88" t="s">
        <v>202</v>
      </c>
      <c r="D154" s="89"/>
      <c r="E154" s="89">
        <v>1</v>
      </c>
      <c r="F154" s="89"/>
      <c r="G154" s="89"/>
      <c r="H154" s="76"/>
      <c r="I154" s="89"/>
      <c r="J154" s="89"/>
      <c r="K154" s="89"/>
      <c r="L154" s="82"/>
      <c r="M154" s="82"/>
      <c r="N154" s="82"/>
      <c r="O154" s="82"/>
      <c r="P154" s="82"/>
      <c r="Q154" s="82"/>
      <c r="R154" s="82"/>
      <c r="S154" s="82"/>
      <c r="T154" s="82"/>
      <c r="U154" s="82"/>
      <c r="V154" s="82"/>
      <c r="W154" s="82"/>
      <c r="X154" s="82"/>
      <c r="Y154" s="82"/>
      <c r="Z154" s="82"/>
      <c r="AA154" s="82"/>
      <c r="AB154" s="82"/>
      <c r="AC154" s="82"/>
      <c r="AD154" s="42"/>
      <c r="AE154" s="42"/>
      <c r="AF154" s="42"/>
      <c r="AG154" s="42"/>
      <c r="AH154" s="42"/>
      <c r="AI154" s="42"/>
      <c r="AJ154" s="42"/>
      <c r="AK154" s="42"/>
      <c r="AL154" s="42"/>
      <c r="AM154" s="42"/>
      <c r="AN154" s="42"/>
      <c r="AO154" s="42"/>
      <c r="AP154" s="42"/>
      <c r="AQ154" s="42"/>
      <c r="AR154" s="42"/>
      <c r="AS154" s="42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  <c r="BF154" s="42"/>
      <c r="BG154" s="42"/>
      <c r="BH154" s="42"/>
      <c r="BI154" s="42"/>
      <c r="BJ154" s="42"/>
      <c r="BK154" s="42"/>
      <c r="BL154" s="42"/>
      <c r="BM154" s="42"/>
      <c r="BN154" s="42"/>
      <c r="BO154" s="42"/>
      <c r="BP154" s="42"/>
      <c r="BQ154" s="42"/>
      <c r="BR154" s="42"/>
      <c r="BS154" s="42"/>
      <c r="BT154" s="42"/>
      <c r="BU154" s="42"/>
      <c r="BV154" s="42"/>
      <c r="BW154" s="42"/>
      <c r="BX154" s="42"/>
      <c r="BY154" s="42"/>
      <c r="BZ154" s="42"/>
      <c r="CA154" s="42"/>
      <c r="CB154" s="42"/>
      <c r="CC154" s="42"/>
      <c r="CD154" s="42"/>
      <c r="CE154" s="42"/>
      <c r="CF154" s="42"/>
      <c r="CG154" s="42"/>
      <c r="CH154" s="42"/>
      <c r="CI154" s="42"/>
      <c r="CJ154" s="42"/>
      <c r="CK154" s="42"/>
      <c r="CL154" s="42"/>
      <c r="CM154" s="42"/>
      <c r="CN154" s="42"/>
      <c r="CO154" s="42"/>
      <c r="CP154" s="42"/>
      <c r="CQ154" s="42"/>
      <c r="CR154" s="42"/>
      <c r="CS154" s="42"/>
      <c r="CT154" s="42"/>
      <c r="CU154" s="42"/>
      <c r="CV154" s="42"/>
      <c r="CW154" s="42"/>
      <c r="CX154" s="42"/>
      <c r="CY154" s="42"/>
      <c r="CZ154" s="42"/>
      <c r="DA154" s="42"/>
      <c r="DB154" s="42"/>
      <c r="DC154" s="42"/>
      <c r="DD154" s="42"/>
      <c r="DE154" s="42"/>
      <c r="DF154" s="42"/>
      <c r="DG154" s="42"/>
      <c r="DH154" s="42"/>
      <c r="DI154" s="42"/>
      <c r="DJ154" s="42"/>
      <c r="DK154" s="42"/>
      <c r="DL154" s="42"/>
    </row>
    <row r="155" spans="1:116" s="82" customFormat="1" x14ac:dyDescent="0.2">
      <c r="A155" s="81"/>
      <c r="B155" s="104"/>
      <c r="C155" s="88"/>
      <c r="D155" s="89"/>
      <c r="E155" s="89"/>
      <c r="F155" s="89"/>
      <c r="G155" s="89"/>
      <c r="H155" s="89"/>
      <c r="I155" s="89"/>
      <c r="J155" s="89"/>
      <c r="K155" s="89"/>
    </row>
    <row r="156" spans="1:116" s="82" customFormat="1" x14ac:dyDescent="0.2">
      <c r="A156" s="81"/>
      <c r="B156" s="103" t="s">
        <v>224</v>
      </c>
      <c r="C156" s="105" t="s">
        <v>124</v>
      </c>
      <c r="D156" s="89"/>
      <c r="E156" s="89"/>
      <c r="F156" s="89"/>
      <c r="G156" s="89"/>
      <c r="H156" s="89"/>
      <c r="I156" s="89"/>
      <c r="J156" s="89"/>
      <c r="K156" s="106"/>
    </row>
    <row r="157" spans="1:116" s="82" customFormat="1" ht="21" x14ac:dyDescent="0.2">
      <c r="A157" s="81"/>
      <c r="B157" s="103" t="s">
        <v>87</v>
      </c>
      <c r="C157" s="94" t="s">
        <v>125</v>
      </c>
      <c r="D157" s="89"/>
      <c r="E157" s="89"/>
      <c r="F157" s="89"/>
      <c r="G157" s="89"/>
      <c r="H157" s="89"/>
      <c r="I157" s="89"/>
      <c r="J157" s="89"/>
      <c r="K157" s="106"/>
    </row>
    <row r="158" spans="1:116" s="52" customFormat="1" ht="22.5" x14ac:dyDescent="0.2">
      <c r="A158" s="45"/>
      <c r="B158" s="104" t="s">
        <v>173</v>
      </c>
      <c r="C158" s="88" t="s">
        <v>164</v>
      </c>
      <c r="D158" s="106"/>
      <c r="E158" s="106"/>
      <c r="F158" s="106"/>
      <c r="G158" s="106"/>
      <c r="H158" s="107"/>
      <c r="I158" s="107"/>
      <c r="J158" s="107"/>
      <c r="K158" s="107"/>
      <c r="L158" s="82"/>
      <c r="M158" s="82"/>
      <c r="N158" s="82"/>
      <c r="O158" s="82"/>
      <c r="P158" s="82"/>
      <c r="Q158" s="82"/>
      <c r="R158" s="82"/>
      <c r="S158" s="82"/>
      <c r="T158" s="82"/>
      <c r="U158" s="82"/>
      <c r="V158" s="82"/>
      <c r="W158" s="82"/>
      <c r="X158" s="82"/>
      <c r="Y158" s="82"/>
      <c r="Z158" s="82"/>
      <c r="AA158" s="82"/>
      <c r="AB158" s="82"/>
      <c r="AC158" s="82"/>
      <c r="AD158" s="42"/>
      <c r="AE158" s="42"/>
      <c r="AF158" s="42"/>
      <c r="AG158" s="42"/>
      <c r="AH158" s="42"/>
      <c r="AI158" s="42"/>
      <c r="AJ158" s="42"/>
      <c r="AK158" s="42"/>
      <c r="AL158" s="42"/>
      <c r="AM158" s="42"/>
      <c r="AN158" s="42"/>
      <c r="AO158" s="42"/>
      <c r="AP158" s="42"/>
      <c r="AQ158" s="42"/>
      <c r="AR158" s="42"/>
      <c r="AS158" s="42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  <c r="BF158" s="42"/>
      <c r="BG158" s="42"/>
      <c r="BH158" s="42"/>
      <c r="BI158" s="42"/>
      <c r="BJ158" s="42"/>
      <c r="BK158" s="42"/>
      <c r="BL158" s="42"/>
      <c r="BM158" s="42"/>
      <c r="BN158" s="42"/>
      <c r="BO158" s="42"/>
      <c r="BP158" s="42"/>
      <c r="BQ158" s="42"/>
      <c r="BR158" s="42"/>
      <c r="BS158" s="42"/>
      <c r="BT158" s="42"/>
      <c r="BU158" s="42"/>
      <c r="BV158" s="42"/>
      <c r="BW158" s="42"/>
      <c r="BX158" s="42"/>
      <c r="BY158" s="42"/>
      <c r="BZ158" s="42"/>
      <c r="CA158" s="42"/>
      <c r="CB158" s="42"/>
      <c r="CC158" s="42"/>
      <c r="CD158" s="42"/>
      <c r="CE158" s="42"/>
      <c r="CF158" s="42"/>
      <c r="CG158" s="42"/>
      <c r="CH158" s="42"/>
      <c r="CI158" s="42"/>
      <c r="CJ158" s="42"/>
      <c r="CK158" s="42"/>
      <c r="CL158" s="42"/>
      <c r="CM158" s="42"/>
      <c r="CN158" s="42"/>
      <c r="CO158" s="42"/>
      <c r="CP158" s="42"/>
      <c r="CQ158" s="42"/>
      <c r="CR158" s="42"/>
      <c r="CS158" s="42"/>
      <c r="CT158" s="42"/>
      <c r="CU158" s="42"/>
      <c r="CV158" s="42"/>
      <c r="CW158" s="42"/>
      <c r="CX158" s="42"/>
      <c r="CY158" s="42"/>
      <c r="CZ158" s="42"/>
      <c r="DA158" s="42"/>
      <c r="DB158" s="42"/>
      <c r="DC158" s="42"/>
      <c r="DD158" s="42"/>
      <c r="DE158" s="42"/>
      <c r="DF158" s="42"/>
      <c r="DG158" s="42"/>
      <c r="DH158" s="42"/>
      <c r="DI158" s="42"/>
      <c r="DJ158" s="42"/>
      <c r="DK158" s="42"/>
      <c r="DL158" s="42"/>
    </row>
    <row r="159" spans="1:116" s="52" customFormat="1" ht="45" x14ac:dyDescent="0.2">
      <c r="A159" s="45"/>
      <c r="B159" s="104" t="s">
        <v>225</v>
      </c>
      <c r="C159" s="88" t="s">
        <v>203</v>
      </c>
      <c r="D159" s="106"/>
      <c r="E159" s="82"/>
      <c r="F159" s="106"/>
      <c r="G159" s="106"/>
      <c r="H159" s="107"/>
      <c r="I159" s="107"/>
      <c r="J159" s="107"/>
      <c r="K159" s="107"/>
      <c r="L159" s="82"/>
      <c r="M159" s="82"/>
      <c r="N159" s="82"/>
      <c r="O159" s="82"/>
      <c r="P159" s="82"/>
      <c r="Q159" s="82"/>
      <c r="R159" s="82"/>
      <c r="S159" s="82"/>
      <c r="T159" s="82"/>
      <c r="U159" s="82"/>
      <c r="V159" s="82"/>
      <c r="W159" s="82"/>
      <c r="X159" s="82"/>
      <c r="Y159" s="82"/>
      <c r="Z159" s="82"/>
      <c r="AA159" s="82"/>
      <c r="AB159" s="82"/>
      <c r="AC159" s="82"/>
      <c r="AD159" s="42"/>
      <c r="AE159" s="42"/>
      <c r="AF159" s="42"/>
      <c r="AG159" s="42"/>
      <c r="AH159" s="42"/>
      <c r="AI159" s="42"/>
      <c r="AJ159" s="42"/>
      <c r="AK159" s="42"/>
      <c r="AL159" s="42"/>
      <c r="AM159" s="42"/>
      <c r="AN159" s="42"/>
      <c r="AO159" s="42"/>
      <c r="AP159" s="42"/>
      <c r="AQ159" s="42"/>
      <c r="AR159" s="42"/>
      <c r="AS159" s="42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  <c r="BF159" s="42"/>
      <c r="BG159" s="42"/>
      <c r="BH159" s="42"/>
      <c r="BI159" s="42"/>
      <c r="BJ159" s="42"/>
      <c r="BK159" s="42"/>
      <c r="BL159" s="42"/>
      <c r="BM159" s="42"/>
      <c r="BN159" s="42"/>
      <c r="BO159" s="42"/>
      <c r="BP159" s="42"/>
      <c r="BQ159" s="42"/>
      <c r="BR159" s="42"/>
      <c r="BS159" s="42"/>
      <c r="BT159" s="42"/>
      <c r="BU159" s="42"/>
      <c r="BV159" s="42"/>
      <c r="BW159" s="42"/>
      <c r="BX159" s="42"/>
      <c r="BY159" s="42"/>
      <c r="BZ159" s="42"/>
      <c r="CA159" s="42"/>
      <c r="CB159" s="42"/>
      <c r="CC159" s="42"/>
      <c r="CD159" s="42"/>
      <c r="CE159" s="42"/>
      <c r="CF159" s="42"/>
      <c r="CG159" s="42"/>
      <c r="CH159" s="42"/>
      <c r="CI159" s="42"/>
      <c r="CJ159" s="42"/>
      <c r="CK159" s="42"/>
      <c r="CL159" s="42"/>
      <c r="CM159" s="42"/>
      <c r="CN159" s="42"/>
      <c r="CO159" s="42"/>
      <c r="CP159" s="42"/>
      <c r="CQ159" s="42"/>
      <c r="CR159" s="42"/>
      <c r="CS159" s="42"/>
      <c r="CT159" s="42"/>
      <c r="CU159" s="42"/>
      <c r="CV159" s="42"/>
      <c r="CW159" s="42"/>
      <c r="CX159" s="42"/>
      <c r="CY159" s="42"/>
      <c r="CZ159" s="42"/>
      <c r="DA159" s="42"/>
      <c r="DB159" s="42"/>
      <c r="DC159" s="42"/>
      <c r="DD159" s="42"/>
      <c r="DE159" s="42"/>
      <c r="DF159" s="42"/>
      <c r="DG159" s="42"/>
      <c r="DH159" s="42"/>
      <c r="DI159" s="42"/>
      <c r="DJ159" s="42"/>
      <c r="DK159" s="42"/>
      <c r="DL159" s="42"/>
    </row>
    <row r="160" spans="1:116" s="52" customFormat="1" ht="22.5" x14ac:dyDescent="0.2">
      <c r="A160" s="45"/>
      <c r="B160" s="104" t="s">
        <v>226</v>
      </c>
      <c r="C160" s="88" t="s">
        <v>180</v>
      </c>
      <c r="D160" s="106"/>
      <c r="E160" s="106"/>
      <c r="F160" s="106"/>
      <c r="G160" s="106"/>
      <c r="H160" s="107"/>
      <c r="I160" s="107"/>
      <c r="J160" s="107"/>
      <c r="K160" s="107"/>
      <c r="L160" s="82"/>
      <c r="M160" s="82"/>
      <c r="N160" s="82"/>
      <c r="O160" s="82"/>
      <c r="P160" s="82"/>
      <c r="Q160" s="82"/>
      <c r="R160" s="82"/>
      <c r="S160" s="82"/>
      <c r="T160" s="82"/>
      <c r="U160" s="82"/>
      <c r="V160" s="82"/>
      <c r="W160" s="82"/>
      <c r="X160" s="82"/>
      <c r="Y160" s="82"/>
      <c r="Z160" s="82"/>
      <c r="AA160" s="82"/>
      <c r="AB160" s="82"/>
      <c r="AC160" s="82"/>
      <c r="AD160" s="42"/>
      <c r="AE160" s="42"/>
      <c r="AF160" s="42"/>
      <c r="AG160" s="42"/>
      <c r="AH160" s="42"/>
      <c r="AI160" s="42"/>
      <c r="AJ160" s="42"/>
      <c r="AK160" s="42"/>
      <c r="AL160" s="42"/>
      <c r="AM160" s="42"/>
      <c r="AN160" s="42"/>
      <c r="AO160" s="42"/>
      <c r="AP160" s="42"/>
      <c r="AQ160" s="42"/>
      <c r="AR160" s="42"/>
      <c r="AS160" s="42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  <c r="BF160" s="42"/>
      <c r="BG160" s="42"/>
      <c r="BH160" s="42"/>
      <c r="BI160" s="42"/>
      <c r="BJ160" s="42"/>
      <c r="BK160" s="42"/>
      <c r="BL160" s="42"/>
      <c r="BM160" s="42"/>
      <c r="BN160" s="42"/>
      <c r="BO160" s="42"/>
      <c r="BP160" s="42"/>
      <c r="BQ160" s="42"/>
      <c r="BR160" s="42"/>
      <c r="BS160" s="42"/>
      <c r="BT160" s="42"/>
      <c r="BU160" s="42"/>
      <c r="BV160" s="42"/>
      <c r="BW160" s="42"/>
      <c r="BX160" s="42"/>
      <c r="BY160" s="42"/>
      <c r="BZ160" s="42"/>
      <c r="CA160" s="42"/>
      <c r="CB160" s="42"/>
      <c r="CC160" s="42"/>
      <c r="CD160" s="42"/>
      <c r="CE160" s="42"/>
      <c r="CF160" s="42"/>
      <c r="CG160" s="42"/>
      <c r="CH160" s="42"/>
      <c r="CI160" s="42"/>
      <c r="CJ160" s="42"/>
      <c r="CK160" s="42"/>
      <c r="CL160" s="42"/>
      <c r="CM160" s="42"/>
      <c r="CN160" s="42"/>
      <c r="CO160" s="42"/>
      <c r="CP160" s="42"/>
      <c r="CQ160" s="42"/>
      <c r="CR160" s="42"/>
      <c r="CS160" s="42"/>
      <c r="CT160" s="42"/>
      <c r="CU160" s="42"/>
      <c r="CV160" s="42"/>
      <c r="CW160" s="42"/>
      <c r="CX160" s="42"/>
      <c r="CY160" s="42"/>
      <c r="CZ160" s="42"/>
      <c r="DA160" s="42"/>
      <c r="DB160" s="42"/>
      <c r="DC160" s="42"/>
      <c r="DD160" s="42"/>
      <c r="DE160" s="42"/>
      <c r="DF160" s="42"/>
      <c r="DG160" s="42"/>
      <c r="DH160" s="42"/>
      <c r="DI160" s="42"/>
      <c r="DJ160" s="42"/>
      <c r="DK160" s="42"/>
      <c r="DL160" s="42"/>
    </row>
    <row r="161" spans="1:918" s="52" customFormat="1" x14ac:dyDescent="0.2">
      <c r="A161" s="45"/>
      <c r="B161" s="104"/>
      <c r="C161" s="88"/>
      <c r="D161" s="106"/>
      <c r="E161" s="106"/>
      <c r="F161" s="106"/>
      <c r="G161" s="106"/>
      <c r="H161" s="106"/>
      <c r="I161" s="106"/>
      <c r="J161" s="106"/>
      <c r="K161" s="106"/>
      <c r="L161" s="82"/>
      <c r="M161" s="82"/>
      <c r="N161" s="82"/>
      <c r="O161" s="82"/>
      <c r="P161" s="82"/>
      <c r="Q161" s="82"/>
      <c r="R161" s="82"/>
      <c r="S161" s="82"/>
      <c r="T161" s="82"/>
      <c r="U161" s="82"/>
      <c r="V161" s="82"/>
      <c r="W161" s="82"/>
      <c r="X161" s="82"/>
      <c r="Y161" s="82"/>
      <c r="Z161" s="82"/>
      <c r="AA161" s="82"/>
      <c r="AB161" s="82"/>
      <c r="AC161" s="82"/>
      <c r="AD161" s="42"/>
      <c r="AE161" s="42"/>
      <c r="AF161" s="42"/>
      <c r="AG161" s="42"/>
      <c r="AH161" s="42"/>
      <c r="AI161" s="42"/>
      <c r="AJ161" s="42"/>
      <c r="AK161" s="42"/>
      <c r="AL161" s="42"/>
      <c r="AM161" s="42"/>
      <c r="AN161" s="42"/>
      <c r="AO161" s="42"/>
      <c r="AP161" s="42"/>
      <c r="AQ161" s="42"/>
      <c r="AR161" s="42"/>
      <c r="AS161" s="42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  <c r="BF161" s="42"/>
      <c r="BG161" s="42"/>
      <c r="BH161" s="42"/>
      <c r="BI161" s="42"/>
      <c r="BJ161" s="42"/>
      <c r="BK161" s="42"/>
      <c r="BL161" s="42"/>
      <c r="BM161" s="42"/>
      <c r="BN161" s="42"/>
      <c r="BO161" s="42"/>
      <c r="BP161" s="42"/>
      <c r="BQ161" s="42"/>
      <c r="BR161" s="42"/>
      <c r="BS161" s="42"/>
      <c r="BT161" s="42"/>
      <c r="BU161" s="42"/>
      <c r="BV161" s="42"/>
      <c r="BW161" s="42"/>
      <c r="BX161" s="42"/>
      <c r="BY161" s="42"/>
      <c r="BZ161" s="42"/>
      <c r="CA161" s="42"/>
      <c r="CB161" s="42"/>
      <c r="CC161" s="42"/>
      <c r="CD161" s="42"/>
      <c r="CE161" s="42"/>
      <c r="CF161" s="42"/>
      <c r="CG161" s="42"/>
      <c r="CH161" s="42"/>
      <c r="CI161" s="42"/>
      <c r="CJ161" s="42"/>
      <c r="CK161" s="42"/>
      <c r="CL161" s="42"/>
      <c r="CM161" s="42"/>
      <c r="CN161" s="42"/>
      <c r="CO161" s="42"/>
      <c r="CP161" s="42"/>
      <c r="CQ161" s="42"/>
      <c r="CR161" s="42"/>
      <c r="CS161" s="42"/>
      <c r="CT161" s="42"/>
      <c r="CU161" s="42"/>
      <c r="CV161" s="42"/>
      <c r="CW161" s="42"/>
      <c r="CX161" s="42"/>
      <c r="CY161" s="42"/>
      <c r="CZ161" s="42"/>
      <c r="DA161" s="42"/>
      <c r="DB161" s="42"/>
      <c r="DC161" s="42"/>
      <c r="DD161" s="42"/>
      <c r="DE161" s="42"/>
      <c r="DF161" s="42"/>
      <c r="DG161" s="42"/>
      <c r="DH161" s="42"/>
      <c r="DI161" s="42"/>
      <c r="DJ161" s="42"/>
      <c r="DK161" s="42"/>
      <c r="DL161" s="42"/>
    </row>
    <row r="162" spans="1:918" s="52" customFormat="1" ht="21" x14ac:dyDescent="0.2">
      <c r="A162" s="45"/>
      <c r="B162" s="103" t="s">
        <v>227</v>
      </c>
      <c r="C162" s="94" t="s">
        <v>219</v>
      </c>
      <c r="D162" s="106"/>
      <c r="E162" s="106"/>
      <c r="F162" s="106"/>
      <c r="G162" s="106"/>
      <c r="H162" s="106"/>
      <c r="I162" s="106"/>
      <c r="J162" s="106"/>
      <c r="K162" s="106"/>
      <c r="L162" s="82"/>
      <c r="M162" s="82"/>
      <c r="N162" s="82"/>
      <c r="O162" s="82"/>
      <c r="P162" s="82"/>
      <c r="Q162" s="82"/>
      <c r="R162" s="82"/>
      <c r="S162" s="82"/>
      <c r="T162" s="82"/>
      <c r="U162" s="82"/>
      <c r="V162" s="82"/>
      <c r="W162" s="82"/>
      <c r="X162" s="82"/>
      <c r="Y162" s="82"/>
      <c r="Z162" s="82"/>
      <c r="AA162" s="82"/>
      <c r="AB162" s="82"/>
      <c r="AC162" s="82"/>
      <c r="AD162" s="42"/>
      <c r="AE162" s="42"/>
      <c r="AF162" s="42"/>
      <c r="AG162" s="42"/>
      <c r="AH162" s="42"/>
      <c r="AI162" s="42"/>
      <c r="AJ162" s="42"/>
      <c r="AK162" s="42"/>
      <c r="AL162" s="42"/>
      <c r="AM162" s="42"/>
      <c r="AN162" s="42"/>
      <c r="AO162" s="42"/>
      <c r="AP162" s="42"/>
      <c r="AQ162" s="42"/>
      <c r="AR162" s="42"/>
      <c r="AS162" s="42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  <c r="BF162" s="42"/>
      <c r="BG162" s="42"/>
      <c r="BH162" s="42"/>
      <c r="BI162" s="42"/>
      <c r="BJ162" s="42"/>
      <c r="BK162" s="42"/>
      <c r="BL162" s="42"/>
      <c r="BM162" s="42"/>
      <c r="BN162" s="42"/>
      <c r="BO162" s="42"/>
      <c r="BP162" s="42"/>
      <c r="BQ162" s="42"/>
      <c r="BR162" s="42"/>
      <c r="BS162" s="42"/>
      <c r="BT162" s="42"/>
      <c r="BU162" s="42"/>
      <c r="BV162" s="42"/>
      <c r="BW162" s="42"/>
      <c r="BX162" s="42"/>
      <c r="BY162" s="42"/>
      <c r="BZ162" s="42"/>
      <c r="CA162" s="42"/>
      <c r="CB162" s="42"/>
      <c r="CC162" s="42"/>
      <c r="CD162" s="42"/>
      <c r="CE162" s="42"/>
      <c r="CF162" s="42"/>
      <c r="CG162" s="42"/>
      <c r="CH162" s="42"/>
      <c r="CI162" s="42"/>
      <c r="CJ162" s="42"/>
      <c r="CK162" s="42"/>
      <c r="CL162" s="42"/>
      <c r="CM162" s="42"/>
      <c r="CN162" s="42"/>
      <c r="CO162" s="42"/>
      <c r="CP162" s="42"/>
      <c r="CQ162" s="42"/>
      <c r="CR162" s="42"/>
      <c r="CS162" s="42"/>
      <c r="CT162" s="42"/>
      <c r="CU162" s="42"/>
      <c r="CV162" s="42"/>
      <c r="CW162" s="42"/>
      <c r="CX162" s="42"/>
      <c r="CY162" s="42"/>
      <c r="CZ162" s="42"/>
      <c r="DA162" s="42"/>
      <c r="DB162" s="42"/>
      <c r="DC162" s="42"/>
      <c r="DD162" s="42"/>
      <c r="DE162" s="42"/>
      <c r="DF162" s="42"/>
      <c r="DG162" s="42"/>
      <c r="DH162" s="42"/>
      <c r="DI162" s="42"/>
      <c r="DJ162" s="42"/>
      <c r="DK162" s="42"/>
      <c r="DL162" s="42"/>
    </row>
    <row r="163" spans="1:918" s="82" customFormat="1" ht="22.5" x14ac:dyDescent="0.2">
      <c r="A163" s="81"/>
      <c r="B163" s="104" t="s">
        <v>228</v>
      </c>
      <c r="C163" s="86" t="s">
        <v>167</v>
      </c>
      <c r="D163" s="87"/>
      <c r="E163" s="87"/>
      <c r="F163" s="87"/>
      <c r="G163" s="87"/>
      <c r="H163" s="87">
        <v>1</v>
      </c>
      <c r="I163" s="87"/>
      <c r="J163" s="87"/>
      <c r="K163" s="87"/>
    </row>
    <row r="164" spans="1:918" s="52" customFormat="1" ht="33.75" x14ac:dyDescent="0.2">
      <c r="A164" s="45"/>
      <c r="B164" s="104" t="s">
        <v>229</v>
      </c>
      <c r="C164" s="86" t="s">
        <v>168</v>
      </c>
      <c r="D164" s="106"/>
      <c r="E164" s="218">
        <v>1</v>
      </c>
      <c r="F164" s="106"/>
      <c r="G164" s="106"/>
      <c r="H164" s="106"/>
      <c r="I164" s="106"/>
      <c r="J164" s="106"/>
      <c r="K164" s="106"/>
      <c r="L164" s="82"/>
      <c r="M164" s="82"/>
      <c r="N164" s="82"/>
      <c r="O164" s="82"/>
      <c r="P164" s="82"/>
      <c r="Q164" s="82"/>
      <c r="R164" s="82"/>
      <c r="S164" s="82"/>
      <c r="T164" s="82"/>
      <c r="U164" s="82"/>
      <c r="V164" s="82"/>
      <c r="W164" s="82"/>
      <c r="X164" s="82"/>
      <c r="Y164" s="82"/>
      <c r="Z164" s="82"/>
      <c r="AA164" s="82"/>
      <c r="AB164" s="82"/>
      <c r="AC164" s="82"/>
      <c r="AD164" s="42"/>
      <c r="AE164" s="42"/>
      <c r="AF164" s="42"/>
      <c r="AG164" s="42"/>
      <c r="AH164" s="42"/>
      <c r="AI164" s="42"/>
      <c r="AJ164" s="42"/>
      <c r="AK164" s="42"/>
      <c r="AL164" s="42"/>
      <c r="AM164" s="42"/>
      <c r="AN164" s="42"/>
      <c r="AO164" s="42"/>
      <c r="AP164" s="42"/>
      <c r="AQ164" s="42"/>
      <c r="AR164" s="42"/>
      <c r="AS164" s="42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  <c r="BF164" s="42"/>
      <c r="BG164" s="42"/>
      <c r="BH164" s="42"/>
      <c r="BI164" s="42"/>
      <c r="BJ164" s="42"/>
      <c r="BK164" s="42"/>
      <c r="BL164" s="42"/>
      <c r="BM164" s="42"/>
      <c r="BN164" s="42"/>
      <c r="BO164" s="42"/>
      <c r="BP164" s="42"/>
      <c r="BQ164" s="42"/>
      <c r="BR164" s="42"/>
      <c r="BS164" s="42"/>
      <c r="BT164" s="42"/>
      <c r="BU164" s="42"/>
      <c r="BV164" s="42"/>
      <c r="BW164" s="42"/>
      <c r="BX164" s="42"/>
      <c r="BY164" s="42"/>
      <c r="BZ164" s="42"/>
      <c r="CA164" s="42"/>
      <c r="CB164" s="42"/>
      <c r="CC164" s="42"/>
      <c r="CD164" s="42"/>
      <c r="CE164" s="42"/>
      <c r="CF164" s="42"/>
      <c r="CG164" s="42"/>
      <c r="CH164" s="42"/>
      <c r="CI164" s="42"/>
      <c r="CJ164" s="42"/>
      <c r="CK164" s="42"/>
      <c r="CL164" s="42"/>
      <c r="CM164" s="42"/>
      <c r="CN164" s="42"/>
      <c r="CO164" s="42"/>
      <c r="CP164" s="42"/>
      <c r="CQ164" s="42"/>
      <c r="CR164" s="42"/>
      <c r="CS164" s="42"/>
      <c r="CT164" s="42"/>
      <c r="CU164" s="42"/>
      <c r="CV164" s="42"/>
      <c r="CW164" s="42"/>
      <c r="CX164" s="42"/>
      <c r="CY164" s="42"/>
      <c r="CZ164" s="42"/>
      <c r="DA164" s="42"/>
      <c r="DB164" s="42"/>
      <c r="DC164" s="42"/>
      <c r="DD164" s="42"/>
      <c r="DE164" s="42"/>
      <c r="DF164" s="42"/>
      <c r="DG164" s="42"/>
      <c r="DH164" s="42"/>
      <c r="DI164" s="42"/>
      <c r="DJ164" s="42"/>
      <c r="DK164" s="42"/>
      <c r="DL164" s="42"/>
    </row>
    <row r="165" spans="1:918" s="52" customFormat="1" ht="33.75" x14ac:dyDescent="0.2">
      <c r="A165" s="45"/>
      <c r="B165" s="104" t="s">
        <v>230</v>
      </c>
      <c r="C165" s="86" t="s">
        <v>204</v>
      </c>
      <c r="D165" s="106"/>
      <c r="E165" s="219"/>
      <c r="F165" s="106"/>
      <c r="G165" s="106"/>
      <c r="H165" s="106"/>
      <c r="I165" s="106"/>
      <c r="J165" s="106"/>
      <c r="K165" s="106"/>
      <c r="L165" s="82"/>
      <c r="M165" s="82"/>
      <c r="N165" s="82"/>
      <c r="O165" s="82"/>
      <c r="P165" s="82"/>
      <c r="Q165" s="82"/>
      <c r="R165" s="82"/>
      <c r="S165" s="82"/>
      <c r="T165" s="82"/>
      <c r="U165" s="82"/>
      <c r="V165" s="82"/>
      <c r="W165" s="82"/>
      <c r="X165" s="82"/>
      <c r="Y165" s="82"/>
      <c r="Z165" s="82"/>
      <c r="AA165" s="82"/>
      <c r="AB165" s="82"/>
      <c r="AC165" s="82"/>
      <c r="AD165" s="42"/>
      <c r="AE165" s="42"/>
      <c r="AF165" s="42"/>
      <c r="AG165" s="42"/>
      <c r="AH165" s="42"/>
      <c r="AI165" s="42"/>
      <c r="AJ165" s="42"/>
      <c r="AK165" s="42"/>
      <c r="AL165" s="42"/>
      <c r="AM165" s="42"/>
      <c r="AN165" s="42"/>
      <c r="AO165" s="42"/>
      <c r="AP165" s="42"/>
      <c r="AQ165" s="42"/>
      <c r="AR165" s="42"/>
      <c r="AS165" s="42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  <c r="BF165" s="42"/>
      <c r="BG165" s="42"/>
      <c r="BH165" s="42"/>
      <c r="BI165" s="42"/>
      <c r="BJ165" s="42"/>
      <c r="BK165" s="42"/>
      <c r="BL165" s="42"/>
      <c r="BM165" s="42"/>
      <c r="BN165" s="42"/>
      <c r="BO165" s="42"/>
      <c r="BP165" s="42"/>
      <c r="BQ165" s="42"/>
      <c r="BR165" s="42"/>
      <c r="BS165" s="42"/>
      <c r="BT165" s="42"/>
      <c r="BU165" s="42"/>
      <c r="BV165" s="42"/>
      <c r="BW165" s="42"/>
      <c r="BX165" s="42"/>
      <c r="BY165" s="42"/>
      <c r="BZ165" s="42"/>
      <c r="CA165" s="42"/>
      <c r="CB165" s="42"/>
      <c r="CC165" s="42"/>
      <c r="CD165" s="42"/>
      <c r="CE165" s="42"/>
      <c r="CF165" s="42"/>
      <c r="CG165" s="42"/>
      <c r="CH165" s="42"/>
      <c r="CI165" s="42"/>
      <c r="CJ165" s="42"/>
      <c r="CK165" s="42"/>
      <c r="CL165" s="42"/>
      <c r="CM165" s="42"/>
      <c r="CN165" s="42"/>
      <c r="CO165" s="42"/>
      <c r="CP165" s="42"/>
      <c r="CQ165" s="42"/>
      <c r="CR165" s="42"/>
      <c r="CS165" s="42"/>
      <c r="CT165" s="42"/>
      <c r="CU165" s="42"/>
      <c r="CV165" s="42"/>
      <c r="CW165" s="42"/>
      <c r="CX165" s="42"/>
      <c r="CY165" s="42"/>
      <c r="CZ165" s="42"/>
      <c r="DA165" s="42"/>
      <c r="DB165" s="42"/>
      <c r="DC165" s="42"/>
      <c r="DD165" s="42"/>
      <c r="DE165" s="42"/>
      <c r="DF165" s="42"/>
      <c r="DG165" s="42"/>
      <c r="DH165" s="42"/>
      <c r="DI165" s="42"/>
      <c r="DJ165" s="42"/>
      <c r="DK165" s="42"/>
      <c r="DL165" s="42"/>
    </row>
    <row r="166" spans="1:918" s="52" customFormat="1" ht="22.5" x14ac:dyDescent="0.2">
      <c r="A166" s="45"/>
      <c r="B166" s="104" t="s">
        <v>231</v>
      </c>
      <c r="C166" s="86" t="s">
        <v>171</v>
      </c>
      <c r="D166" s="106"/>
      <c r="E166" s="220"/>
      <c r="F166" s="106"/>
      <c r="G166" s="106"/>
      <c r="H166" s="106"/>
      <c r="I166" s="106"/>
      <c r="J166" s="106"/>
      <c r="K166" s="106"/>
      <c r="L166" s="82"/>
      <c r="M166" s="82"/>
      <c r="N166" s="82"/>
      <c r="O166" s="82"/>
      <c r="P166" s="82"/>
      <c r="Q166" s="82"/>
      <c r="R166" s="82"/>
      <c r="S166" s="82"/>
      <c r="T166" s="82"/>
      <c r="U166" s="82"/>
      <c r="V166" s="82"/>
      <c r="W166" s="82"/>
      <c r="X166" s="82"/>
      <c r="Y166" s="82"/>
      <c r="Z166" s="82"/>
      <c r="AA166" s="82"/>
      <c r="AB166" s="82"/>
      <c r="AC166" s="82"/>
      <c r="AD166" s="42"/>
      <c r="AE166" s="42"/>
      <c r="AF166" s="42"/>
      <c r="AG166" s="42"/>
      <c r="AH166" s="42"/>
      <c r="AI166" s="42"/>
      <c r="AJ166" s="42"/>
      <c r="AK166" s="42"/>
      <c r="AL166" s="42"/>
      <c r="AM166" s="42"/>
      <c r="AN166" s="42"/>
      <c r="AO166" s="42"/>
      <c r="AP166" s="42"/>
      <c r="AQ166" s="42"/>
      <c r="AR166" s="42"/>
      <c r="AS166" s="42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  <c r="BF166" s="42"/>
      <c r="BG166" s="42"/>
      <c r="BH166" s="42"/>
      <c r="BI166" s="42"/>
      <c r="BJ166" s="42"/>
      <c r="BK166" s="42"/>
      <c r="BL166" s="42"/>
      <c r="BM166" s="42"/>
      <c r="BN166" s="42"/>
      <c r="BO166" s="42"/>
      <c r="BP166" s="42"/>
      <c r="BQ166" s="42"/>
      <c r="BR166" s="42"/>
      <c r="BS166" s="42"/>
      <c r="BT166" s="42"/>
      <c r="BU166" s="42"/>
      <c r="BV166" s="42"/>
      <c r="BW166" s="42"/>
      <c r="BX166" s="42"/>
      <c r="BY166" s="42"/>
      <c r="BZ166" s="42"/>
      <c r="CA166" s="42"/>
      <c r="CB166" s="42"/>
      <c r="CC166" s="42"/>
      <c r="CD166" s="42"/>
      <c r="CE166" s="42"/>
      <c r="CF166" s="42"/>
      <c r="CG166" s="42"/>
      <c r="CH166" s="42"/>
      <c r="CI166" s="42"/>
      <c r="CJ166" s="42"/>
      <c r="CK166" s="42"/>
      <c r="CL166" s="42"/>
      <c r="CM166" s="42"/>
      <c r="CN166" s="42"/>
      <c r="CO166" s="42"/>
      <c r="CP166" s="42"/>
      <c r="CQ166" s="42"/>
      <c r="CR166" s="42"/>
      <c r="CS166" s="42"/>
      <c r="CT166" s="42"/>
      <c r="CU166" s="42"/>
      <c r="CV166" s="42"/>
      <c r="CW166" s="42"/>
      <c r="CX166" s="42"/>
      <c r="CY166" s="42"/>
      <c r="CZ166" s="42"/>
      <c r="DA166" s="42"/>
      <c r="DB166" s="42"/>
      <c r="DC166" s="42"/>
      <c r="DD166" s="42"/>
      <c r="DE166" s="42"/>
      <c r="DF166" s="42"/>
      <c r="DG166" s="42"/>
      <c r="DH166" s="42"/>
      <c r="DI166" s="42"/>
      <c r="DJ166" s="42"/>
      <c r="DK166" s="42"/>
      <c r="DL166" s="42"/>
    </row>
    <row r="167" spans="1:918" s="52" customFormat="1" ht="33.75" x14ac:dyDescent="0.2">
      <c r="A167" s="45"/>
      <c r="B167" s="104" t="s">
        <v>232</v>
      </c>
      <c r="C167" s="86" t="s">
        <v>264</v>
      </c>
      <c r="D167" s="87">
        <v>1</v>
      </c>
      <c r="E167" s="106"/>
      <c r="F167" s="106"/>
      <c r="G167" s="106"/>
      <c r="H167" s="106"/>
      <c r="I167" s="106"/>
      <c r="J167" s="106"/>
      <c r="K167" s="106"/>
      <c r="L167" s="82"/>
      <c r="M167" s="82"/>
      <c r="N167" s="82"/>
      <c r="O167" s="82"/>
      <c r="P167" s="82"/>
      <c r="Q167" s="82"/>
      <c r="R167" s="82"/>
      <c r="S167" s="82"/>
      <c r="T167" s="82"/>
      <c r="U167" s="82"/>
      <c r="V167" s="82"/>
      <c r="W167" s="82"/>
      <c r="X167" s="82"/>
      <c r="Y167" s="82"/>
      <c r="Z167" s="82"/>
      <c r="AA167" s="82"/>
      <c r="AB167" s="82"/>
      <c r="AC167" s="82"/>
      <c r="AD167" s="42"/>
      <c r="AE167" s="42"/>
      <c r="AF167" s="42"/>
      <c r="AG167" s="42"/>
      <c r="AH167" s="42"/>
      <c r="AI167" s="42"/>
      <c r="AJ167" s="42"/>
      <c r="AK167" s="42"/>
      <c r="AL167" s="42"/>
      <c r="AM167" s="42"/>
      <c r="AN167" s="42"/>
      <c r="AO167" s="42"/>
      <c r="AP167" s="42"/>
      <c r="AQ167" s="42"/>
      <c r="AR167" s="42"/>
      <c r="AS167" s="42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  <c r="BF167" s="42"/>
      <c r="BG167" s="42"/>
      <c r="BH167" s="42"/>
      <c r="BI167" s="42"/>
      <c r="BJ167" s="42"/>
      <c r="BK167" s="42"/>
      <c r="BL167" s="42"/>
      <c r="BM167" s="42"/>
      <c r="BN167" s="42"/>
      <c r="BO167" s="42"/>
      <c r="BP167" s="42"/>
      <c r="BQ167" s="42"/>
      <c r="BR167" s="42"/>
      <c r="BS167" s="42"/>
      <c r="BT167" s="42"/>
      <c r="BU167" s="42"/>
      <c r="BV167" s="42"/>
      <c r="BW167" s="42"/>
      <c r="BX167" s="42"/>
      <c r="BY167" s="42"/>
      <c r="BZ167" s="42"/>
      <c r="CA167" s="42"/>
      <c r="CB167" s="42"/>
      <c r="CC167" s="42"/>
      <c r="CD167" s="42"/>
      <c r="CE167" s="42"/>
      <c r="CF167" s="42"/>
      <c r="CG167" s="42"/>
      <c r="CH167" s="42"/>
      <c r="CI167" s="42"/>
      <c r="CJ167" s="42"/>
      <c r="CK167" s="42"/>
      <c r="CL167" s="42"/>
      <c r="CM167" s="42"/>
      <c r="CN167" s="42"/>
      <c r="CO167" s="42"/>
      <c r="CP167" s="42"/>
      <c r="CQ167" s="42"/>
      <c r="CR167" s="42"/>
      <c r="CS167" s="42"/>
      <c r="CT167" s="42"/>
      <c r="CU167" s="42"/>
      <c r="CV167" s="42"/>
      <c r="CW167" s="42"/>
      <c r="CX167" s="42"/>
      <c r="CY167" s="42"/>
      <c r="CZ167" s="42"/>
      <c r="DA167" s="42"/>
      <c r="DB167" s="42"/>
      <c r="DC167" s="42"/>
      <c r="DD167" s="42"/>
      <c r="DE167" s="42"/>
      <c r="DF167" s="42"/>
      <c r="DG167" s="42"/>
      <c r="DH167" s="42"/>
      <c r="DI167" s="42"/>
      <c r="DJ167" s="42"/>
      <c r="DK167" s="42"/>
      <c r="DL167" s="42"/>
    </row>
    <row r="168" spans="1:918" x14ac:dyDescent="0.2">
      <c r="B168" s="53"/>
      <c r="C168" s="58"/>
      <c r="D168" s="87"/>
      <c r="E168" s="87"/>
      <c r="F168" s="87"/>
      <c r="G168" s="87"/>
      <c r="H168" s="87"/>
      <c r="I168" s="87"/>
      <c r="J168" s="87"/>
      <c r="K168" s="87"/>
      <c r="L168" s="82"/>
      <c r="M168" s="82"/>
      <c r="N168" s="82"/>
      <c r="O168" s="82"/>
      <c r="P168" s="82"/>
      <c r="Q168" s="82"/>
      <c r="R168" s="82"/>
      <c r="S168" s="82"/>
      <c r="T168" s="82"/>
      <c r="U168" s="82"/>
      <c r="V168" s="82"/>
      <c r="W168" s="82"/>
      <c r="X168" s="82"/>
      <c r="Y168" s="82"/>
      <c r="Z168" s="82"/>
      <c r="AA168" s="82"/>
      <c r="AB168" s="82"/>
      <c r="AC168" s="82"/>
    </row>
    <row r="169" spans="1:918" ht="21.6" customHeight="1" x14ac:dyDescent="0.2">
      <c r="B169" s="70">
        <v>4</v>
      </c>
      <c r="C169" s="72" t="s">
        <v>222</v>
      </c>
      <c r="D169" s="64">
        <f>D170</f>
        <v>1</v>
      </c>
      <c r="E169" s="64">
        <f t="shared" ref="E169:K169" si="10">E170</f>
        <v>0</v>
      </c>
      <c r="F169" s="64">
        <f t="shared" si="10"/>
        <v>0</v>
      </c>
      <c r="G169" s="64">
        <f t="shared" si="10"/>
        <v>0</v>
      </c>
      <c r="H169" s="64">
        <f t="shared" si="10"/>
        <v>14</v>
      </c>
      <c r="I169" s="64">
        <f t="shared" si="10"/>
        <v>0</v>
      </c>
      <c r="J169" s="64">
        <f t="shared" si="10"/>
        <v>0</v>
      </c>
      <c r="K169" s="64">
        <f t="shared" si="10"/>
        <v>0</v>
      </c>
      <c r="L169" s="82"/>
      <c r="M169" s="82"/>
      <c r="N169" s="82"/>
      <c r="O169" s="82"/>
      <c r="P169" s="82"/>
      <c r="Q169" s="82"/>
      <c r="R169" s="82"/>
      <c r="S169" s="82"/>
      <c r="T169" s="82"/>
      <c r="U169" s="82"/>
      <c r="V169" s="82"/>
      <c r="W169" s="82"/>
      <c r="X169" s="82"/>
      <c r="Y169" s="82"/>
      <c r="Z169" s="82"/>
      <c r="AA169" s="82"/>
      <c r="AB169" s="82"/>
      <c r="AC169" s="82"/>
    </row>
    <row r="170" spans="1:918" ht="21" customHeight="1" x14ac:dyDescent="0.2">
      <c r="B170" s="225" t="s">
        <v>223</v>
      </c>
      <c r="C170" s="225"/>
      <c r="D170" s="65">
        <f>SUM(D171:D199)</f>
        <v>1</v>
      </c>
      <c r="E170" s="65">
        <f t="shared" ref="E170:K170" si="11">SUM(E171:E199)</f>
        <v>0</v>
      </c>
      <c r="F170" s="65">
        <f t="shared" si="11"/>
        <v>0</v>
      </c>
      <c r="G170" s="65">
        <f t="shared" si="11"/>
        <v>0</v>
      </c>
      <c r="H170" s="65">
        <f t="shared" si="11"/>
        <v>14</v>
      </c>
      <c r="I170" s="65">
        <f t="shared" si="11"/>
        <v>0</v>
      </c>
      <c r="J170" s="65">
        <f t="shared" si="11"/>
        <v>0</v>
      </c>
      <c r="K170" s="65">
        <f t="shared" si="11"/>
        <v>0</v>
      </c>
      <c r="L170" s="82"/>
      <c r="M170" s="82"/>
      <c r="N170" s="82"/>
      <c r="O170" s="82"/>
      <c r="P170" s="82"/>
      <c r="Q170" s="82"/>
      <c r="R170" s="82"/>
      <c r="S170" s="82"/>
      <c r="T170" s="82"/>
      <c r="U170" s="82"/>
      <c r="V170" s="82"/>
      <c r="W170" s="82"/>
      <c r="X170" s="82"/>
      <c r="Y170" s="82"/>
      <c r="Z170" s="82"/>
      <c r="AA170" s="82"/>
      <c r="AB170" s="82"/>
      <c r="AC170" s="82"/>
    </row>
    <row r="171" spans="1:918" x14ac:dyDescent="0.2">
      <c r="B171" s="78" t="s">
        <v>127</v>
      </c>
      <c r="C171" s="94" t="s">
        <v>249</v>
      </c>
      <c r="D171" s="58"/>
      <c r="E171" s="58"/>
      <c r="F171" s="58"/>
      <c r="G171" s="58"/>
      <c r="H171" s="58"/>
      <c r="I171" s="58"/>
      <c r="J171" s="58"/>
      <c r="K171" s="69"/>
      <c r="L171" s="82"/>
      <c r="M171" s="82"/>
      <c r="N171" s="82"/>
      <c r="O171" s="82"/>
      <c r="P171" s="82"/>
      <c r="Q171" s="82"/>
      <c r="R171" s="82"/>
      <c r="S171" s="82"/>
      <c r="T171" s="82"/>
      <c r="U171" s="82"/>
      <c r="V171" s="82"/>
      <c r="W171" s="82"/>
      <c r="X171" s="82"/>
      <c r="Y171" s="82"/>
      <c r="Z171" s="82"/>
      <c r="AA171" s="82"/>
      <c r="AB171" s="82"/>
      <c r="AC171" s="82"/>
    </row>
    <row r="172" spans="1:918" s="99" customFormat="1" ht="21" x14ac:dyDescent="0.2">
      <c r="A172" s="98"/>
      <c r="B172" s="78" t="s">
        <v>155</v>
      </c>
      <c r="C172" s="94" t="s">
        <v>205</v>
      </c>
      <c r="D172" s="87"/>
      <c r="E172" s="87"/>
      <c r="F172" s="87"/>
      <c r="G172" s="87"/>
      <c r="H172" s="87"/>
      <c r="I172" s="87"/>
      <c r="J172" s="87"/>
      <c r="K172" s="76"/>
      <c r="L172" s="82"/>
      <c r="M172" s="82"/>
      <c r="N172" s="82"/>
      <c r="O172" s="82"/>
      <c r="P172" s="82"/>
      <c r="Q172" s="82"/>
      <c r="R172" s="82"/>
      <c r="S172" s="82"/>
      <c r="T172" s="82"/>
      <c r="U172" s="82"/>
      <c r="V172" s="82"/>
      <c r="W172" s="82"/>
      <c r="X172" s="82"/>
      <c r="Y172" s="82"/>
      <c r="Z172" s="82"/>
      <c r="AA172" s="82"/>
      <c r="AB172" s="82"/>
      <c r="AC172" s="82"/>
      <c r="AD172" s="82"/>
      <c r="AE172" s="82"/>
      <c r="AF172" s="82"/>
      <c r="AG172" s="82"/>
      <c r="AH172" s="82"/>
      <c r="AI172" s="82"/>
      <c r="AJ172" s="82"/>
      <c r="AK172" s="82"/>
      <c r="AL172" s="82"/>
      <c r="AM172" s="82"/>
      <c r="AN172" s="82"/>
      <c r="AO172" s="82"/>
      <c r="AP172" s="82"/>
      <c r="AQ172" s="82"/>
      <c r="AR172" s="82"/>
      <c r="AS172" s="82"/>
      <c r="AT172" s="82"/>
      <c r="AU172" s="82"/>
      <c r="AV172" s="82"/>
      <c r="AW172" s="82"/>
      <c r="AX172" s="82"/>
      <c r="AY172" s="82"/>
      <c r="AZ172" s="82"/>
      <c r="BA172" s="82"/>
      <c r="BB172" s="82"/>
      <c r="BC172" s="82"/>
      <c r="BD172" s="82"/>
      <c r="BE172" s="82"/>
      <c r="BF172" s="82"/>
      <c r="BG172" s="82"/>
      <c r="BH172" s="82"/>
      <c r="BI172" s="82"/>
      <c r="BJ172" s="82"/>
      <c r="BK172" s="82"/>
      <c r="BL172" s="82"/>
      <c r="BM172" s="82"/>
      <c r="BN172" s="82"/>
      <c r="BO172" s="82"/>
      <c r="BP172" s="82"/>
      <c r="BQ172" s="82"/>
      <c r="BR172" s="82"/>
      <c r="BS172" s="82"/>
      <c r="BT172" s="82"/>
      <c r="BU172" s="82"/>
      <c r="BV172" s="82"/>
      <c r="BW172" s="82"/>
      <c r="BX172" s="82"/>
      <c r="BY172" s="82"/>
      <c r="BZ172" s="82"/>
      <c r="CA172" s="82"/>
      <c r="CB172" s="82"/>
      <c r="CC172" s="82"/>
      <c r="CD172" s="82"/>
      <c r="CE172" s="82"/>
      <c r="CF172" s="82"/>
      <c r="CG172" s="82"/>
      <c r="CH172" s="82"/>
      <c r="CI172" s="82"/>
      <c r="CJ172" s="82"/>
      <c r="CK172" s="82"/>
      <c r="CL172" s="82"/>
      <c r="CM172" s="82"/>
      <c r="CN172" s="82"/>
      <c r="CO172" s="82"/>
      <c r="CP172" s="82"/>
      <c r="CQ172" s="82"/>
      <c r="CR172" s="82"/>
      <c r="CS172" s="82"/>
      <c r="CT172" s="82"/>
      <c r="CU172" s="82"/>
      <c r="CV172" s="82"/>
      <c r="CW172" s="82"/>
      <c r="CX172" s="82"/>
      <c r="CY172" s="82"/>
      <c r="CZ172" s="82"/>
      <c r="DA172" s="82"/>
      <c r="DB172" s="82"/>
      <c r="DC172" s="82"/>
      <c r="DD172" s="82"/>
      <c r="DE172" s="82"/>
      <c r="DF172" s="82"/>
      <c r="DG172" s="82"/>
      <c r="DH172" s="82"/>
      <c r="DI172" s="82"/>
      <c r="DJ172" s="82"/>
      <c r="DK172" s="82"/>
      <c r="DL172" s="82"/>
      <c r="DM172" s="82"/>
      <c r="DN172" s="82"/>
      <c r="DO172" s="82"/>
      <c r="DP172" s="82"/>
      <c r="DQ172" s="82"/>
      <c r="DR172" s="82"/>
      <c r="DS172" s="82"/>
      <c r="DT172" s="82"/>
      <c r="DU172" s="82"/>
      <c r="DV172" s="82"/>
      <c r="DW172" s="82"/>
      <c r="DX172" s="82"/>
      <c r="DY172" s="82"/>
      <c r="DZ172" s="82"/>
      <c r="EA172" s="82"/>
      <c r="EB172" s="82"/>
      <c r="EC172" s="82"/>
      <c r="ED172" s="82"/>
      <c r="EE172" s="82"/>
      <c r="EF172" s="82"/>
      <c r="EG172" s="82"/>
      <c r="EH172" s="82"/>
      <c r="EI172" s="82"/>
      <c r="EJ172" s="82"/>
      <c r="EK172" s="82"/>
      <c r="EL172" s="82"/>
      <c r="EM172" s="82"/>
      <c r="EN172" s="82"/>
      <c r="EO172" s="82"/>
      <c r="EP172" s="82"/>
      <c r="EQ172" s="82"/>
      <c r="ER172" s="82"/>
      <c r="ES172" s="82"/>
      <c r="ET172" s="82"/>
      <c r="EU172" s="82"/>
      <c r="EV172" s="82"/>
      <c r="EW172" s="82"/>
      <c r="EX172" s="82"/>
      <c r="EY172" s="82"/>
      <c r="EZ172" s="82"/>
      <c r="FA172" s="82"/>
      <c r="FB172" s="82"/>
      <c r="FC172" s="82"/>
      <c r="FD172" s="82"/>
      <c r="FE172" s="82"/>
      <c r="FF172" s="82"/>
      <c r="FG172" s="82"/>
      <c r="FH172" s="82"/>
      <c r="FI172" s="82"/>
      <c r="FJ172" s="82"/>
      <c r="FK172" s="82"/>
      <c r="FL172" s="82"/>
      <c r="FM172" s="82"/>
      <c r="FN172" s="82"/>
      <c r="FO172" s="82"/>
      <c r="FP172" s="82"/>
      <c r="FQ172" s="82"/>
      <c r="FR172" s="82"/>
      <c r="FS172" s="82"/>
      <c r="FT172" s="82"/>
      <c r="FU172" s="82"/>
      <c r="FV172" s="82"/>
      <c r="FW172" s="82"/>
      <c r="FX172" s="82"/>
      <c r="FY172" s="82"/>
      <c r="FZ172" s="82"/>
      <c r="GA172" s="82"/>
      <c r="GB172" s="82"/>
      <c r="GC172" s="82"/>
      <c r="GD172" s="82"/>
      <c r="GE172" s="82"/>
      <c r="GF172" s="82"/>
      <c r="GG172" s="82"/>
      <c r="GH172" s="82"/>
      <c r="GI172" s="82"/>
      <c r="GJ172" s="82"/>
      <c r="GK172" s="82"/>
      <c r="GL172" s="82"/>
      <c r="GM172" s="82"/>
      <c r="GN172" s="82"/>
      <c r="GO172" s="82"/>
      <c r="GP172" s="82"/>
      <c r="GQ172" s="82"/>
      <c r="GR172" s="82"/>
      <c r="GS172" s="82"/>
      <c r="GT172" s="82"/>
      <c r="GU172" s="82"/>
      <c r="GV172" s="82"/>
      <c r="GW172" s="82"/>
      <c r="GX172" s="82"/>
      <c r="GY172" s="82"/>
      <c r="GZ172" s="82"/>
      <c r="HA172" s="82"/>
      <c r="HB172" s="82"/>
      <c r="HC172" s="82"/>
      <c r="HD172" s="82"/>
      <c r="HE172" s="82"/>
      <c r="HF172" s="82"/>
      <c r="HG172" s="82"/>
      <c r="HH172" s="82"/>
      <c r="HI172" s="82"/>
      <c r="HJ172" s="82"/>
      <c r="HK172" s="82"/>
      <c r="HL172" s="82"/>
      <c r="HM172" s="82"/>
      <c r="HN172" s="82"/>
      <c r="HO172" s="82"/>
      <c r="HP172" s="82"/>
      <c r="HQ172" s="82"/>
      <c r="HR172" s="82"/>
      <c r="HS172" s="82"/>
      <c r="HT172" s="82"/>
      <c r="HU172" s="82"/>
      <c r="HV172" s="82"/>
      <c r="HW172" s="82"/>
      <c r="HX172" s="82"/>
      <c r="HY172" s="82"/>
      <c r="HZ172" s="82"/>
      <c r="IA172" s="82"/>
      <c r="IB172" s="82"/>
      <c r="IC172" s="82"/>
      <c r="ID172" s="82"/>
      <c r="IE172" s="82"/>
      <c r="IF172" s="82"/>
      <c r="IG172" s="82"/>
      <c r="IH172" s="82"/>
      <c r="II172" s="82"/>
      <c r="IJ172" s="82"/>
      <c r="IK172" s="82"/>
      <c r="IL172" s="82"/>
      <c r="IM172" s="82"/>
      <c r="IN172" s="82"/>
      <c r="IO172" s="82"/>
      <c r="IP172" s="82"/>
      <c r="IQ172" s="82"/>
      <c r="IR172" s="82"/>
      <c r="IS172" s="82"/>
      <c r="IT172" s="82"/>
      <c r="IU172" s="82"/>
      <c r="IV172" s="82"/>
      <c r="IW172" s="82"/>
      <c r="IX172" s="82"/>
      <c r="IY172" s="82"/>
      <c r="IZ172" s="82"/>
      <c r="JA172" s="82"/>
      <c r="JB172" s="82"/>
      <c r="JC172" s="82"/>
      <c r="JD172" s="82"/>
      <c r="JE172" s="82"/>
      <c r="JF172" s="82"/>
      <c r="JG172" s="82"/>
      <c r="JH172" s="82"/>
      <c r="JI172" s="82"/>
      <c r="JJ172" s="82"/>
      <c r="JK172" s="82"/>
      <c r="JL172" s="82"/>
      <c r="JM172" s="82"/>
      <c r="JN172" s="82"/>
      <c r="JO172" s="82"/>
      <c r="JP172" s="82"/>
      <c r="JQ172" s="82"/>
      <c r="JR172" s="82"/>
      <c r="JS172" s="82"/>
      <c r="JT172" s="82"/>
      <c r="JU172" s="82"/>
      <c r="JV172" s="82"/>
      <c r="JW172" s="82"/>
      <c r="JX172" s="82"/>
      <c r="JY172" s="82"/>
      <c r="JZ172" s="82"/>
      <c r="KA172" s="82"/>
      <c r="KB172" s="82"/>
      <c r="KC172" s="82"/>
      <c r="KD172" s="82"/>
      <c r="KE172" s="82"/>
      <c r="KF172" s="82"/>
      <c r="KG172" s="82"/>
      <c r="KH172" s="82"/>
      <c r="KI172" s="82"/>
      <c r="KJ172" s="82"/>
      <c r="KK172" s="82"/>
      <c r="KL172" s="82"/>
      <c r="KM172" s="82"/>
      <c r="KN172" s="82"/>
      <c r="KO172" s="82"/>
      <c r="KP172" s="82"/>
      <c r="KQ172" s="82"/>
      <c r="KR172" s="82"/>
      <c r="KS172" s="82"/>
      <c r="KT172" s="82"/>
      <c r="KU172" s="82"/>
      <c r="KV172" s="82"/>
      <c r="KW172" s="82"/>
      <c r="KX172" s="82"/>
      <c r="KY172" s="82"/>
      <c r="KZ172" s="82"/>
      <c r="LA172" s="82"/>
      <c r="LB172" s="82"/>
      <c r="LC172" s="82"/>
      <c r="LD172" s="82"/>
      <c r="LE172" s="82"/>
      <c r="LF172" s="82"/>
      <c r="LG172" s="82"/>
      <c r="LH172" s="82"/>
      <c r="LI172" s="82"/>
      <c r="LJ172" s="82"/>
      <c r="LK172" s="82"/>
      <c r="LL172" s="82"/>
      <c r="LM172" s="82"/>
      <c r="LN172" s="82"/>
      <c r="LO172" s="82"/>
      <c r="LP172" s="82"/>
      <c r="LQ172" s="82"/>
      <c r="LR172" s="82"/>
      <c r="LS172" s="82"/>
      <c r="LT172" s="82"/>
      <c r="LU172" s="82"/>
      <c r="LV172" s="82"/>
      <c r="LW172" s="82"/>
      <c r="LX172" s="82"/>
      <c r="LY172" s="82"/>
      <c r="LZ172" s="82"/>
      <c r="MA172" s="82"/>
      <c r="MB172" s="82"/>
      <c r="MC172" s="82"/>
      <c r="MD172" s="82"/>
      <c r="ME172" s="82"/>
      <c r="MF172" s="82"/>
      <c r="MG172" s="82"/>
      <c r="MH172" s="82"/>
      <c r="MI172" s="82"/>
      <c r="MJ172" s="82"/>
      <c r="MK172" s="82"/>
      <c r="ML172" s="82"/>
      <c r="MM172" s="82"/>
      <c r="MN172" s="82"/>
      <c r="MO172" s="82"/>
      <c r="MP172" s="82"/>
      <c r="MQ172" s="82"/>
      <c r="MR172" s="82"/>
      <c r="MS172" s="82"/>
      <c r="MT172" s="82"/>
      <c r="MU172" s="82"/>
      <c r="MV172" s="82"/>
      <c r="MW172" s="82"/>
      <c r="MX172" s="82"/>
      <c r="MY172" s="82"/>
      <c r="MZ172" s="82"/>
      <c r="NA172" s="82"/>
      <c r="NB172" s="82"/>
      <c r="NC172" s="82"/>
      <c r="ND172" s="82"/>
      <c r="NE172" s="82"/>
      <c r="NF172" s="82"/>
      <c r="NG172" s="82"/>
      <c r="NH172" s="82"/>
      <c r="NI172" s="82"/>
      <c r="NJ172" s="82"/>
      <c r="NK172" s="82"/>
      <c r="NL172" s="82"/>
      <c r="NM172" s="82"/>
      <c r="NN172" s="82"/>
      <c r="NO172" s="82"/>
      <c r="NP172" s="82"/>
      <c r="NQ172" s="82"/>
      <c r="NR172" s="82"/>
      <c r="NS172" s="82"/>
      <c r="NT172" s="82"/>
      <c r="NU172" s="82"/>
      <c r="NV172" s="82"/>
      <c r="NW172" s="82"/>
      <c r="NX172" s="82"/>
      <c r="NY172" s="82"/>
      <c r="NZ172" s="82"/>
      <c r="OA172" s="82"/>
      <c r="OB172" s="82"/>
      <c r="OC172" s="82"/>
      <c r="OD172" s="82"/>
      <c r="OE172" s="82"/>
      <c r="OF172" s="82"/>
      <c r="OG172" s="82"/>
      <c r="OH172" s="82"/>
      <c r="OI172" s="82"/>
      <c r="OJ172" s="82"/>
      <c r="OK172" s="82"/>
      <c r="OL172" s="82"/>
      <c r="OM172" s="82"/>
      <c r="ON172" s="82"/>
      <c r="OO172" s="82"/>
      <c r="OP172" s="82"/>
      <c r="OQ172" s="82"/>
      <c r="OR172" s="82"/>
      <c r="OS172" s="82"/>
      <c r="OT172" s="82"/>
      <c r="OU172" s="82"/>
      <c r="OV172" s="82"/>
      <c r="OW172" s="82"/>
      <c r="OX172" s="82"/>
      <c r="OY172" s="82"/>
      <c r="OZ172" s="82"/>
      <c r="PA172" s="82"/>
      <c r="PB172" s="82"/>
      <c r="PC172" s="82"/>
      <c r="PD172" s="82"/>
      <c r="PE172" s="82"/>
      <c r="PF172" s="82"/>
      <c r="PG172" s="82"/>
      <c r="PH172" s="82"/>
      <c r="PI172" s="82"/>
      <c r="PJ172" s="82"/>
      <c r="PK172" s="82"/>
      <c r="PL172" s="82"/>
      <c r="PM172" s="82"/>
      <c r="PN172" s="82"/>
      <c r="PO172" s="82"/>
      <c r="PP172" s="82"/>
      <c r="PQ172" s="82"/>
      <c r="PR172" s="82"/>
      <c r="PS172" s="82"/>
      <c r="PT172" s="82"/>
      <c r="PU172" s="82"/>
      <c r="PV172" s="82"/>
      <c r="PW172" s="82"/>
      <c r="PX172" s="82"/>
      <c r="PY172" s="82"/>
      <c r="PZ172" s="82"/>
      <c r="QA172" s="82"/>
      <c r="QB172" s="82"/>
      <c r="QC172" s="82"/>
      <c r="QD172" s="82"/>
      <c r="QE172" s="82"/>
      <c r="QF172" s="82"/>
      <c r="QG172" s="82"/>
      <c r="QH172" s="82"/>
      <c r="QI172" s="82"/>
      <c r="QJ172" s="82"/>
      <c r="QK172" s="82"/>
      <c r="QL172" s="82"/>
      <c r="QM172" s="82"/>
      <c r="QN172" s="82"/>
      <c r="QO172" s="82"/>
      <c r="QP172" s="82"/>
      <c r="QQ172" s="82"/>
      <c r="QR172" s="82"/>
      <c r="QS172" s="82"/>
      <c r="QT172" s="82"/>
      <c r="QU172" s="82"/>
      <c r="QV172" s="82"/>
      <c r="QW172" s="82"/>
      <c r="QX172" s="82"/>
      <c r="QY172" s="82"/>
      <c r="QZ172" s="82"/>
      <c r="RA172" s="82"/>
      <c r="RB172" s="82"/>
      <c r="RC172" s="82"/>
      <c r="RD172" s="82"/>
      <c r="RE172" s="82"/>
      <c r="RF172" s="82"/>
      <c r="RG172" s="82"/>
      <c r="RH172" s="82"/>
      <c r="RI172" s="82"/>
      <c r="RJ172" s="82"/>
      <c r="RK172" s="82"/>
      <c r="RL172" s="82"/>
      <c r="RM172" s="82"/>
      <c r="RN172" s="82"/>
      <c r="RO172" s="82"/>
      <c r="RP172" s="82"/>
      <c r="RQ172" s="82"/>
      <c r="RR172" s="82"/>
      <c r="RS172" s="82"/>
      <c r="RT172" s="82"/>
      <c r="RU172" s="82"/>
      <c r="RV172" s="82"/>
      <c r="RW172" s="82"/>
      <c r="RX172" s="82"/>
      <c r="RY172" s="82"/>
      <c r="RZ172" s="82"/>
      <c r="SA172" s="82"/>
      <c r="SB172" s="82"/>
      <c r="SC172" s="82"/>
      <c r="SD172" s="82"/>
      <c r="SE172" s="82"/>
      <c r="SF172" s="82"/>
      <c r="SG172" s="82"/>
      <c r="SH172" s="82"/>
      <c r="SI172" s="82"/>
      <c r="SJ172" s="82"/>
      <c r="SK172" s="82"/>
      <c r="SL172" s="82"/>
      <c r="SM172" s="82"/>
      <c r="SN172" s="82"/>
      <c r="SO172" s="82"/>
      <c r="SP172" s="82"/>
      <c r="SQ172" s="82"/>
      <c r="SR172" s="82"/>
      <c r="SS172" s="82"/>
      <c r="ST172" s="82"/>
      <c r="SU172" s="82"/>
      <c r="SV172" s="82"/>
      <c r="SW172" s="82"/>
      <c r="SX172" s="82"/>
      <c r="SY172" s="82"/>
      <c r="SZ172" s="82"/>
      <c r="TA172" s="82"/>
      <c r="TB172" s="82"/>
      <c r="TC172" s="82"/>
      <c r="TD172" s="82"/>
      <c r="TE172" s="82"/>
      <c r="TF172" s="82"/>
      <c r="TG172" s="82"/>
      <c r="TH172" s="82"/>
      <c r="TI172" s="82"/>
      <c r="TJ172" s="82"/>
      <c r="TK172" s="82"/>
      <c r="TL172" s="82"/>
      <c r="TM172" s="82"/>
      <c r="TN172" s="82"/>
      <c r="TO172" s="82"/>
      <c r="TP172" s="82"/>
      <c r="TQ172" s="82"/>
      <c r="TR172" s="82"/>
      <c r="TS172" s="82"/>
      <c r="TT172" s="82"/>
      <c r="TU172" s="82"/>
      <c r="TV172" s="82"/>
      <c r="TW172" s="82"/>
      <c r="TX172" s="82"/>
      <c r="TY172" s="82"/>
      <c r="TZ172" s="82"/>
      <c r="UA172" s="82"/>
      <c r="UB172" s="82"/>
      <c r="UC172" s="82"/>
      <c r="UD172" s="82"/>
      <c r="UE172" s="82"/>
      <c r="UF172" s="82"/>
      <c r="UG172" s="82"/>
      <c r="UH172" s="82"/>
      <c r="UI172" s="82"/>
      <c r="UJ172" s="82"/>
      <c r="UK172" s="82"/>
      <c r="UL172" s="82"/>
      <c r="UM172" s="82"/>
      <c r="UN172" s="82"/>
      <c r="UO172" s="82"/>
      <c r="UP172" s="82"/>
      <c r="UQ172" s="82"/>
      <c r="UR172" s="82"/>
      <c r="US172" s="82"/>
      <c r="UT172" s="82"/>
      <c r="UU172" s="82"/>
      <c r="UV172" s="82"/>
      <c r="UW172" s="82"/>
      <c r="UX172" s="82"/>
      <c r="UY172" s="82"/>
      <c r="UZ172" s="82"/>
      <c r="VA172" s="82"/>
      <c r="VB172" s="82"/>
      <c r="VC172" s="82"/>
      <c r="VD172" s="82"/>
      <c r="VE172" s="82"/>
      <c r="VF172" s="82"/>
      <c r="VG172" s="82"/>
      <c r="VH172" s="82"/>
      <c r="VI172" s="82"/>
      <c r="VJ172" s="82"/>
      <c r="VK172" s="82"/>
      <c r="VL172" s="82"/>
      <c r="VM172" s="82"/>
      <c r="VN172" s="82"/>
      <c r="VO172" s="82"/>
      <c r="VP172" s="82"/>
      <c r="VQ172" s="82"/>
      <c r="VR172" s="82"/>
      <c r="VS172" s="82"/>
      <c r="VT172" s="82"/>
      <c r="VU172" s="82"/>
      <c r="VV172" s="82"/>
      <c r="VW172" s="82"/>
      <c r="VX172" s="82"/>
      <c r="VY172" s="82"/>
      <c r="VZ172" s="82"/>
      <c r="WA172" s="82"/>
      <c r="WB172" s="82"/>
      <c r="WC172" s="82"/>
      <c r="WD172" s="82"/>
      <c r="WE172" s="82"/>
      <c r="WF172" s="82"/>
      <c r="WG172" s="82"/>
      <c r="WH172" s="82"/>
      <c r="WI172" s="82"/>
      <c r="WJ172" s="82"/>
      <c r="WK172" s="82"/>
      <c r="WL172" s="82"/>
      <c r="WM172" s="82"/>
      <c r="WN172" s="82"/>
      <c r="WO172" s="82"/>
      <c r="WP172" s="82"/>
      <c r="WQ172" s="82"/>
      <c r="WR172" s="82"/>
      <c r="WS172" s="82"/>
      <c r="WT172" s="82"/>
      <c r="WU172" s="82"/>
      <c r="WV172" s="82"/>
      <c r="WW172" s="82"/>
      <c r="WX172" s="82"/>
      <c r="WY172" s="82"/>
      <c r="WZ172" s="82"/>
      <c r="XA172" s="82"/>
      <c r="XB172" s="82"/>
      <c r="XC172" s="82"/>
      <c r="XD172" s="82"/>
      <c r="XE172" s="82"/>
      <c r="XF172" s="82"/>
      <c r="XG172" s="82"/>
      <c r="XH172" s="82"/>
      <c r="XI172" s="82"/>
      <c r="XJ172" s="82"/>
      <c r="XK172" s="82"/>
      <c r="XL172" s="82"/>
      <c r="XM172" s="82"/>
      <c r="XN172" s="82"/>
      <c r="XO172" s="82"/>
      <c r="XP172" s="82"/>
      <c r="XQ172" s="82"/>
      <c r="XR172" s="82"/>
      <c r="XS172" s="82"/>
      <c r="XT172" s="82"/>
      <c r="XU172" s="82"/>
      <c r="XV172" s="82"/>
      <c r="XW172" s="82"/>
      <c r="XX172" s="82"/>
      <c r="XY172" s="82"/>
      <c r="XZ172" s="82"/>
      <c r="YA172" s="82"/>
      <c r="YB172" s="82"/>
      <c r="YC172" s="82"/>
      <c r="YD172" s="82"/>
      <c r="YE172" s="82"/>
      <c r="YF172" s="82"/>
      <c r="YG172" s="82"/>
      <c r="YH172" s="82"/>
      <c r="YI172" s="82"/>
      <c r="YJ172" s="82"/>
      <c r="YK172" s="82"/>
      <c r="YL172" s="82"/>
      <c r="YM172" s="82"/>
      <c r="YN172" s="82"/>
      <c r="YO172" s="82"/>
      <c r="YP172" s="82"/>
      <c r="YQ172" s="82"/>
      <c r="YR172" s="82"/>
      <c r="YS172" s="82"/>
      <c r="YT172" s="82"/>
      <c r="YU172" s="82"/>
      <c r="YV172" s="82"/>
      <c r="YW172" s="82"/>
      <c r="YX172" s="82"/>
      <c r="YY172" s="82"/>
      <c r="YZ172" s="82"/>
      <c r="ZA172" s="82"/>
      <c r="ZB172" s="82"/>
      <c r="ZC172" s="82"/>
      <c r="ZD172" s="82"/>
      <c r="ZE172" s="82"/>
      <c r="ZF172" s="82"/>
      <c r="ZG172" s="82"/>
      <c r="ZH172" s="82"/>
      <c r="ZI172" s="82"/>
      <c r="ZJ172" s="82"/>
      <c r="ZK172" s="82"/>
      <c r="ZL172" s="82"/>
      <c r="ZM172" s="82"/>
      <c r="ZN172" s="82"/>
      <c r="ZO172" s="82"/>
      <c r="ZP172" s="82"/>
      <c r="ZQ172" s="82"/>
      <c r="ZR172" s="82"/>
      <c r="ZS172" s="82"/>
      <c r="ZT172" s="82"/>
      <c r="ZU172" s="82"/>
      <c r="ZV172" s="82"/>
      <c r="ZW172" s="82"/>
      <c r="ZX172" s="82"/>
      <c r="ZY172" s="82"/>
      <c r="ZZ172" s="82"/>
      <c r="AAA172" s="82"/>
      <c r="AAB172" s="82"/>
      <c r="AAC172" s="82"/>
      <c r="AAD172" s="82"/>
      <c r="AAE172" s="82"/>
      <c r="AAF172" s="82"/>
      <c r="AAG172" s="82"/>
      <c r="AAH172" s="82"/>
      <c r="AAI172" s="82"/>
      <c r="AAJ172" s="82"/>
      <c r="AAK172" s="82"/>
      <c r="AAL172" s="82"/>
      <c r="AAM172" s="82"/>
      <c r="AAN172" s="82"/>
      <c r="AAO172" s="82"/>
      <c r="AAP172" s="82"/>
      <c r="AAQ172" s="82"/>
      <c r="AAR172" s="82"/>
      <c r="AAS172" s="82"/>
      <c r="AAT172" s="82"/>
      <c r="AAU172" s="82"/>
      <c r="AAV172" s="82"/>
      <c r="AAW172" s="82"/>
      <c r="AAX172" s="82"/>
      <c r="AAY172" s="82"/>
      <c r="AAZ172" s="82"/>
      <c r="ABA172" s="82"/>
      <c r="ABB172" s="82"/>
      <c r="ABC172" s="82"/>
      <c r="ABD172" s="82"/>
      <c r="ABE172" s="82"/>
      <c r="ABF172" s="82"/>
      <c r="ABG172" s="82"/>
      <c r="ABH172" s="82"/>
      <c r="ABI172" s="82"/>
      <c r="ABJ172" s="82"/>
      <c r="ABK172" s="82"/>
      <c r="ABL172" s="82"/>
      <c r="ABM172" s="82"/>
      <c r="ABN172" s="82"/>
      <c r="ABO172" s="82"/>
      <c r="ABP172" s="82"/>
      <c r="ABQ172" s="82"/>
      <c r="ABR172" s="82"/>
      <c r="ABS172" s="82"/>
      <c r="ABT172" s="82"/>
      <c r="ABU172" s="82"/>
      <c r="ABV172" s="82"/>
      <c r="ABW172" s="82"/>
      <c r="ABX172" s="82"/>
      <c r="ABY172" s="82"/>
      <c r="ABZ172" s="82"/>
      <c r="ACA172" s="82"/>
      <c r="ACB172" s="82"/>
      <c r="ACC172" s="82"/>
      <c r="ACD172" s="82"/>
      <c r="ACE172" s="82"/>
      <c r="ACF172" s="82"/>
      <c r="ACG172" s="82"/>
      <c r="ACH172" s="82"/>
      <c r="ACI172" s="82"/>
      <c r="ACJ172" s="82"/>
      <c r="ACK172" s="82"/>
      <c r="ACL172" s="82"/>
      <c r="ACM172" s="82"/>
      <c r="ACN172" s="82"/>
      <c r="ACO172" s="82"/>
      <c r="ACP172" s="82"/>
      <c r="ACQ172" s="82"/>
      <c r="ACR172" s="82"/>
      <c r="ACS172" s="82"/>
      <c r="ACT172" s="82"/>
      <c r="ACU172" s="82"/>
      <c r="ACV172" s="82"/>
      <c r="ACW172" s="82"/>
      <c r="ACX172" s="82"/>
      <c r="ACY172" s="82"/>
      <c r="ACZ172" s="82"/>
      <c r="ADA172" s="82"/>
      <c r="ADB172" s="82"/>
      <c r="ADC172" s="82"/>
      <c r="ADD172" s="82"/>
      <c r="ADE172" s="82"/>
      <c r="ADF172" s="82"/>
      <c r="ADG172" s="82"/>
      <c r="ADH172" s="82"/>
      <c r="ADI172" s="82"/>
      <c r="ADJ172" s="82"/>
      <c r="ADK172" s="82"/>
      <c r="ADL172" s="82"/>
      <c r="ADM172" s="82"/>
      <c r="ADN172" s="82"/>
      <c r="ADO172" s="82"/>
      <c r="ADP172" s="82"/>
      <c r="ADQ172" s="82"/>
      <c r="ADR172" s="82"/>
      <c r="ADS172" s="82"/>
      <c r="ADT172" s="82"/>
      <c r="ADU172" s="82"/>
      <c r="ADV172" s="82"/>
      <c r="ADW172" s="82"/>
      <c r="ADX172" s="82"/>
      <c r="ADY172" s="82"/>
      <c r="ADZ172" s="82"/>
      <c r="AEA172" s="82"/>
      <c r="AEB172" s="82"/>
      <c r="AEC172" s="82"/>
      <c r="AED172" s="82"/>
      <c r="AEE172" s="82"/>
      <c r="AEF172" s="82"/>
      <c r="AEG172" s="82"/>
      <c r="AEH172" s="82"/>
      <c r="AEI172" s="82"/>
      <c r="AEJ172" s="82"/>
      <c r="AEK172" s="82"/>
      <c r="AEL172" s="82"/>
      <c r="AEM172" s="82"/>
      <c r="AEN172" s="82"/>
      <c r="AEO172" s="82"/>
      <c r="AEP172" s="82"/>
      <c r="AEQ172" s="82"/>
      <c r="AER172" s="82"/>
      <c r="AES172" s="82"/>
      <c r="AET172" s="82"/>
      <c r="AEU172" s="82"/>
      <c r="AEV172" s="82"/>
      <c r="AEW172" s="82"/>
      <c r="AEX172" s="82"/>
      <c r="AEY172" s="82"/>
      <c r="AEZ172" s="82"/>
      <c r="AFA172" s="82"/>
      <c r="AFB172" s="82"/>
      <c r="AFC172" s="82"/>
      <c r="AFD172" s="82"/>
      <c r="AFE172" s="82"/>
      <c r="AFF172" s="82"/>
      <c r="AFG172" s="82"/>
      <c r="AFH172" s="82"/>
      <c r="AFI172" s="82"/>
      <c r="AFJ172" s="82"/>
      <c r="AFK172" s="82"/>
      <c r="AFL172" s="82"/>
      <c r="AFM172" s="82"/>
      <c r="AFN172" s="82"/>
      <c r="AFO172" s="82"/>
      <c r="AFP172" s="82"/>
      <c r="AFQ172" s="82"/>
      <c r="AFR172" s="82"/>
      <c r="AFS172" s="82"/>
      <c r="AFT172" s="82"/>
      <c r="AFU172" s="82"/>
      <c r="AFV172" s="82"/>
      <c r="AFW172" s="82"/>
      <c r="AFX172" s="82"/>
      <c r="AFY172" s="82"/>
      <c r="AFZ172" s="82"/>
      <c r="AGA172" s="82"/>
      <c r="AGB172" s="82"/>
      <c r="AGC172" s="82"/>
      <c r="AGD172" s="82"/>
      <c r="AGE172" s="82"/>
      <c r="AGF172" s="82"/>
      <c r="AGG172" s="82"/>
      <c r="AGH172" s="82"/>
      <c r="AGI172" s="82"/>
      <c r="AGJ172" s="82"/>
      <c r="AGK172" s="82"/>
      <c r="AGL172" s="82"/>
      <c r="AGM172" s="82"/>
      <c r="AGN172" s="82"/>
      <c r="AGO172" s="82"/>
      <c r="AGP172" s="82"/>
      <c r="AGQ172" s="82"/>
      <c r="AGR172" s="82"/>
      <c r="AGS172" s="82"/>
      <c r="AGT172" s="82"/>
      <c r="AGU172" s="82"/>
      <c r="AGV172" s="82"/>
      <c r="AGW172" s="82"/>
      <c r="AGX172" s="82"/>
      <c r="AGY172" s="82"/>
      <c r="AGZ172" s="82"/>
      <c r="AHA172" s="82"/>
      <c r="AHB172" s="82"/>
      <c r="AHC172" s="82"/>
      <c r="AHD172" s="82"/>
      <c r="AHE172" s="82"/>
      <c r="AHF172" s="82"/>
      <c r="AHG172" s="82"/>
      <c r="AHH172" s="82"/>
      <c r="AHI172" s="82"/>
      <c r="AHJ172" s="82"/>
      <c r="AHK172" s="82"/>
      <c r="AHL172" s="82"/>
      <c r="AHM172" s="82"/>
      <c r="AHN172" s="82"/>
      <c r="AHO172" s="82"/>
      <c r="AHP172" s="82"/>
      <c r="AHQ172" s="82"/>
      <c r="AHR172" s="82"/>
      <c r="AHS172" s="82"/>
      <c r="AHT172" s="82"/>
      <c r="AHU172" s="82"/>
      <c r="AHV172" s="82"/>
      <c r="AHW172" s="82"/>
      <c r="AHX172" s="82"/>
      <c r="AHY172" s="82"/>
      <c r="AHZ172" s="82"/>
      <c r="AIA172" s="82"/>
      <c r="AIB172" s="82"/>
      <c r="AIC172" s="82"/>
      <c r="AID172" s="82"/>
      <c r="AIE172" s="82"/>
      <c r="AIF172" s="82"/>
      <c r="AIG172" s="82"/>
      <c r="AIH172" s="82"/>
    </row>
    <row r="173" spans="1:918" ht="33.75" x14ac:dyDescent="0.2">
      <c r="B173" s="104" t="s">
        <v>165</v>
      </c>
      <c r="C173" s="91" t="s">
        <v>247</v>
      </c>
      <c r="D173" s="76"/>
      <c r="E173" s="76"/>
      <c r="F173" s="76"/>
      <c r="G173" s="76"/>
      <c r="H173" s="76">
        <v>1</v>
      </c>
      <c r="I173" s="76"/>
      <c r="J173" s="76"/>
      <c r="K173" s="76"/>
      <c r="L173" s="82"/>
      <c r="M173" s="82"/>
      <c r="N173" s="82"/>
      <c r="O173" s="82"/>
      <c r="P173" s="82"/>
      <c r="Q173" s="82"/>
      <c r="R173" s="82"/>
      <c r="S173" s="82"/>
      <c r="T173" s="82"/>
      <c r="U173" s="82"/>
      <c r="V173" s="82"/>
      <c r="W173" s="82"/>
      <c r="X173" s="82"/>
      <c r="Y173" s="82"/>
      <c r="Z173" s="82"/>
      <c r="AA173" s="82"/>
      <c r="AB173" s="82"/>
      <c r="AC173" s="82"/>
    </row>
    <row r="174" spans="1:918" ht="33.75" x14ac:dyDescent="0.2">
      <c r="B174" s="104" t="s">
        <v>166</v>
      </c>
      <c r="C174" s="91" t="s">
        <v>248</v>
      </c>
      <c r="D174" s="76">
        <v>1</v>
      </c>
      <c r="E174" s="76"/>
      <c r="F174" s="76"/>
      <c r="G174" s="76"/>
      <c r="H174" s="76"/>
      <c r="I174" s="76"/>
      <c r="J174" s="76"/>
      <c r="K174" s="76"/>
      <c r="L174" s="82"/>
      <c r="M174" s="82"/>
      <c r="N174" s="82"/>
      <c r="O174" s="82"/>
      <c r="P174" s="82"/>
      <c r="Q174" s="82"/>
      <c r="R174" s="82"/>
      <c r="S174" s="82"/>
      <c r="T174" s="82"/>
      <c r="U174" s="82"/>
      <c r="V174" s="82"/>
      <c r="W174" s="82"/>
      <c r="X174" s="82"/>
      <c r="Y174" s="82"/>
      <c r="Z174" s="82"/>
      <c r="AA174" s="82"/>
      <c r="AB174" s="82"/>
      <c r="AC174" s="82"/>
    </row>
    <row r="175" spans="1:918" s="99" customFormat="1" x14ac:dyDescent="0.2">
      <c r="A175" s="98"/>
      <c r="B175" s="104"/>
      <c r="C175" s="91"/>
      <c r="D175" s="76"/>
      <c r="E175" s="76"/>
      <c r="F175" s="76"/>
      <c r="G175" s="76"/>
      <c r="H175" s="76"/>
      <c r="I175" s="76"/>
      <c r="J175" s="76"/>
      <c r="K175" s="76"/>
      <c r="L175" s="82"/>
      <c r="M175" s="82"/>
      <c r="N175" s="82"/>
      <c r="O175" s="82"/>
      <c r="P175" s="82"/>
      <c r="Q175" s="82"/>
      <c r="R175" s="82"/>
      <c r="S175" s="82"/>
      <c r="T175" s="82"/>
      <c r="U175" s="82"/>
      <c r="V175" s="82"/>
      <c r="W175" s="82"/>
      <c r="X175" s="82"/>
      <c r="Y175" s="82"/>
      <c r="Z175" s="82"/>
      <c r="AA175" s="82"/>
      <c r="AB175" s="82"/>
      <c r="AC175" s="82"/>
      <c r="AD175" s="82"/>
      <c r="AE175" s="82"/>
      <c r="AF175" s="82"/>
      <c r="AG175" s="82"/>
      <c r="AH175" s="82"/>
      <c r="AI175" s="82"/>
      <c r="AJ175" s="82"/>
      <c r="AK175" s="82"/>
      <c r="AL175" s="82"/>
      <c r="AM175" s="82"/>
      <c r="AN175" s="82"/>
      <c r="AO175" s="82"/>
      <c r="AP175" s="82"/>
      <c r="AQ175" s="82"/>
      <c r="AR175" s="82"/>
      <c r="AS175" s="82"/>
      <c r="AT175" s="82"/>
      <c r="AU175" s="82"/>
      <c r="AV175" s="82"/>
      <c r="AW175" s="82"/>
      <c r="AX175" s="82"/>
      <c r="AY175" s="82"/>
      <c r="AZ175" s="82"/>
      <c r="BA175" s="82"/>
      <c r="BB175" s="82"/>
      <c r="BC175" s="82"/>
      <c r="BD175" s="82"/>
      <c r="BE175" s="82"/>
      <c r="BF175" s="82"/>
      <c r="BG175" s="82"/>
      <c r="BH175" s="82"/>
      <c r="BI175" s="82"/>
      <c r="BJ175" s="82"/>
      <c r="BK175" s="82"/>
      <c r="BL175" s="82"/>
      <c r="BM175" s="82"/>
      <c r="BN175" s="82"/>
      <c r="BO175" s="82"/>
      <c r="BP175" s="82"/>
      <c r="BQ175" s="82"/>
      <c r="BR175" s="82"/>
      <c r="BS175" s="82"/>
      <c r="BT175" s="82"/>
      <c r="BU175" s="82"/>
      <c r="BV175" s="82"/>
      <c r="BW175" s="82"/>
      <c r="BX175" s="82"/>
      <c r="BY175" s="82"/>
      <c r="BZ175" s="82"/>
      <c r="CA175" s="82"/>
      <c r="CB175" s="82"/>
      <c r="CC175" s="82"/>
      <c r="CD175" s="82"/>
      <c r="CE175" s="82"/>
      <c r="CF175" s="82"/>
      <c r="CG175" s="82"/>
      <c r="CH175" s="82"/>
      <c r="CI175" s="82"/>
      <c r="CJ175" s="82"/>
      <c r="CK175" s="82"/>
      <c r="CL175" s="82"/>
      <c r="CM175" s="82"/>
      <c r="CN175" s="82"/>
      <c r="CO175" s="82"/>
      <c r="CP175" s="82"/>
      <c r="CQ175" s="82"/>
      <c r="CR175" s="82"/>
      <c r="CS175" s="82"/>
      <c r="CT175" s="82"/>
      <c r="CU175" s="82"/>
      <c r="CV175" s="82"/>
      <c r="CW175" s="82"/>
      <c r="CX175" s="82"/>
      <c r="CY175" s="82"/>
      <c r="CZ175" s="82"/>
      <c r="DA175" s="82"/>
      <c r="DB175" s="82"/>
      <c r="DC175" s="82"/>
      <c r="DD175" s="82"/>
      <c r="DE175" s="82"/>
      <c r="DF175" s="82"/>
      <c r="DG175" s="82"/>
      <c r="DH175" s="82"/>
      <c r="DI175" s="82"/>
      <c r="DJ175" s="82"/>
      <c r="DK175" s="82"/>
      <c r="DL175" s="82"/>
      <c r="DM175" s="82"/>
      <c r="DN175" s="82"/>
      <c r="DO175" s="82"/>
      <c r="DP175" s="82"/>
      <c r="DQ175" s="82"/>
      <c r="DR175" s="82"/>
      <c r="DS175" s="82"/>
      <c r="DT175" s="82"/>
      <c r="DU175" s="82"/>
      <c r="DV175" s="82"/>
      <c r="DW175" s="82"/>
      <c r="DX175" s="82"/>
      <c r="DY175" s="82"/>
      <c r="DZ175" s="82"/>
      <c r="EA175" s="82"/>
      <c r="EB175" s="82"/>
      <c r="EC175" s="82"/>
      <c r="ED175" s="82"/>
      <c r="EE175" s="82"/>
      <c r="EF175" s="82"/>
      <c r="EG175" s="82"/>
      <c r="EH175" s="82"/>
      <c r="EI175" s="82"/>
      <c r="EJ175" s="82"/>
      <c r="EK175" s="82"/>
      <c r="EL175" s="82"/>
      <c r="EM175" s="82"/>
      <c r="EN175" s="82"/>
      <c r="EO175" s="82"/>
      <c r="EP175" s="82"/>
      <c r="EQ175" s="82"/>
      <c r="ER175" s="82"/>
      <c r="ES175" s="82"/>
      <c r="ET175" s="82"/>
      <c r="EU175" s="82"/>
      <c r="EV175" s="82"/>
      <c r="EW175" s="82"/>
      <c r="EX175" s="82"/>
      <c r="EY175" s="82"/>
      <c r="EZ175" s="82"/>
      <c r="FA175" s="82"/>
      <c r="FB175" s="82"/>
      <c r="FC175" s="82"/>
      <c r="FD175" s="82"/>
      <c r="FE175" s="82"/>
      <c r="FF175" s="82"/>
      <c r="FG175" s="82"/>
      <c r="FH175" s="82"/>
      <c r="FI175" s="82"/>
      <c r="FJ175" s="82"/>
      <c r="FK175" s="82"/>
      <c r="FL175" s="82"/>
      <c r="FM175" s="82"/>
      <c r="FN175" s="82"/>
      <c r="FO175" s="82"/>
      <c r="FP175" s="82"/>
      <c r="FQ175" s="82"/>
      <c r="FR175" s="82"/>
      <c r="FS175" s="82"/>
      <c r="FT175" s="82"/>
      <c r="FU175" s="82"/>
      <c r="FV175" s="82"/>
      <c r="FW175" s="82"/>
      <c r="FX175" s="82"/>
      <c r="FY175" s="82"/>
      <c r="FZ175" s="82"/>
      <c r="GA175" s="82"/>
      <c r="GB175" s="82"/>
      <c r="GC175" s="82"/>
      <c r="GD175" s="82"/>
      <c r="GE175" s="82"/>
      <c r="GF175" s="82"/>
      <c r="GG175" s="82"/>
      <c r="GH175" s="82"/>
      <c r="GI175" s="82"/>
      <c r="GJ175" s="82"/>
      <c r="GK175" s="82"/>
      <c r="GL175" s="82"/>
      <c r="GM175" s="82"/>
      <c r="GN175" s="82"/>
      <c r="GO175" s="82"/>
      <c r="GP175" s="82"/>
      <c r="GQ175" s="82"/>
      <c r="GR175" s="82"/>
      <c r="GS175" s="82"/>
      <c r="GT175" s="82"/>
      <c r="GU175" s="82"/>
      <c r="GV175" s="82"/>
      <c r="GW175" s="82"/>
      <c r="GX175" s="82"/>
      <c r="GY175" s="82"/>
      <c r="GZ175" s="82"/>
      <c r="HA175" s="82"/>
      <c r="HB175" s="82"/>
      <c r="HC175" s="82"/>
      <c r="HD175" s="82"/>
      <c r="HE175" s="82"/>
      <c r="HF175" s="82"/>
      <c r="HG175" s="82"/>
      <c r="HH175" s="82"/>
      <c r="HI175" s="82"/>
      <c r="HJ175" s="82"/>
      <c r="HK175" s="82"/>
      <c r="HL175" s="82"/>
      <c r="HM175" s="82"/>
      <c r="HN175" s="82"/>
      <c r="HO175" s="82"/>
      <c r="HP175" s="82"/>
      <c r="HQ175" s="82"/>
      <c r="HR175" s="82"/>
      <c r="HS175" s="82"/>
      <c r="HT175" s="82"/>
      <c r="HU175" s="82"/>
      <c r="HV175" s="82"/>
      <c r="HW175" s="82"/>
      <c r="HX175" s="82"/>
      <c r="HY175" s="82"/>
      <c r="HZ175" s="82"/>
      <c r="IA175" s="82"/>
      <c r="IB175" s="82"/>
      <c r="IC175" s="82"/>
      <c r="ID175" s="82"/>
      <c r="IE175" s="82"/>
      <c r="IF175" s="82"/>
      <c r="IG175" s="82"/>
      <c r="IH175" s="82"/>
      <c r="II175" s="82"/>
      <c r="IJ175" s="82"/>
      <c r="IK175" s="82"/>
      <c r="IL175" s="82"/>
      <c r="IM175" s="82"/>
      <c r="IN175" s="82"/>
      <c r="IO175" s="82"/>
      <c r="IP175" s="82"/>
      <c r="IQ175" s="82"/>
      <c r="IR175" s="82"/>
      <c r="IS175" s="82"/>
      <c r="IT175" s="82"/>
      <c r="IU175" s="82"/>
      <c r="IV175" s="82"/>
      <c r="IW175" s="82"/>
      <c r="IX175" s="82"/>
      <c r="IY175" s="82"/>
      <c r="IZ175" s="82"/>
      <c r="JA175" s="82"/>
      <c r="JB175" s="82"/>
      <c r="JC175" s="82"/>
      <c r="JD175" s="82"/>
      <c r="JE175" s="82"/>
      <c r="JF175" s="82"/>
      <c r="JG175" s="82"/>
      <c r="JH175" s="82"/>
      <c r="JI175" s="82"/>
      <c r="JJ175" s="82"/>
      <c r="JK175" s="82"/>
      <c r="JL175" s="82"/>
      <c r="JM175" s="82"/>
      <c r="JN175" s="82"/>
      <c r="JO175" s="82"/>
      <c r="JP175" s="82"/>
      <c r="JQ175" s="82"/>
      <c r="JR175" s="82"/>
      <c r="JS175" s="82"/>
      <c r="JT175" s="82"/>
      <c r="JU175" s="82"/>
      <c r="JV175" s="82"/>
      <c r="JW175" s="82"/>
      <c r="JX175" s="82"/>
      <c r="JY175" s="82"/>
      <c r="JZ175" s="82"/>
      <c r="KA175" s="82"/>
      <c r="KB175" s="82"/>
      <c r="KC175" s="82"/>
      <c r="KD175" s="82"/>
      <c r="KE175" s="82"/>
      <c r="KF175" s="82"/>
      <c r="KG175" s="82"/>
      <c r="KH175" s="82"/>
      <c r="KI175" s="82"/>
      <c r="KJ175" s="82"/>
      <c r="KK175" s="82"/>
      <c r="KL175" s="82"/>
      <c r="KM175" s="82"/>
      <c r="KN175" s="82"/>
      <c r="KO175" s="82"/>
      <c r="KP175" s="82"/>
      <c r="KQ175" s="82"/>
      <c r="KR175" s="82"/>
      <c r="KS175" s="82"/>
      <c r="KT175" s="82"/>
      <c r="KU175" s="82"/>
      <c r="KV175" s="82"/>
      <c r="KW175" s="82"/>
      <c r="KX175" s="82"/>
      <c r="KY175" s="82"/>
      <c r="KZ175" s="82"/>
      <c r="LA175" s="82"/>
      <c r="LB175" s="82"/>
      <c r="LC175" s="82"/>
      <c r="LD175" s="82"/>
      <c r="LE175" s="82"/>
      <c r="LF175" s="82"/>
      <c r="LG175" s="82"/>
      <c r="LH175" s="82"/>
      <c r="LI175" s="82"/>
      <c r="LJ175" s="82"/>
      <c r="LK175" s="82"/>
      <c r="LL175" s="82"/>
      <c r="LM175" s="82"/>
      <c r="LN175" s="82"/>
      <c r="LO175" s="82"/>
      <c r="LP175" s="82"/>
      <c r="LQ175" s="82"/>
      <c r="LR175" s="82"/>
      <c r="LS175" s="82"/>
      <c r="LT175" s="82"/>
      <c r="LU175" s="82"/>
      <c r="LV175" s="82"/>
      <c r="LW175" s="82"/>
      <c r="LX175" s="82"/>
      <c r="LY175" s="82"/>
      <c r="LZ175" s="82"/>
      <c r="MA175" s="82"/>
      <c r="MB175" s="82"/>
      <c r="MC175" s="82"/>
      <c r="MD175" s="82"/>
      <c r="ME175" s="82"/>
      <c r="MF175" s="82"/>
      <c r="MG175" s="82"/>
      <c r="MH175" s="82"/>
      <c r="MI175" s="82"/>
      <c r="MJ175" s="82"/>
      <c r="MK175" s="82"/>
      <c r="ML175" s="82"/>
      <c r="MM175" s="82"/>
      <c r="MN175" s="82"/>
      <c r="MO175" s="82"/>
      <c r="MP175" s="82"/>
      <c r="MQ175" s="82"/>
      <c r="MR175" s="82"/>
      <c r="MS175" s="82"/>
      <c r="MT175" s="82"/>
      <c r="MU175" s="82"/>
      <c r="MV175" s="82"/>
      <c r="MW175" s="82"/>
      <c r="MX175" s="82"/>
      <c r="MY175" s="82"/>
      <c r="MZ175" s="82"/>
      <c r="NA175" s="82"/>
      <c r="NB175" s="82"/>
      <c r="NC175" s="82"/>
      <c r="ND175" s="82"/>
      <c r="NE175" s="82"/>
      <c r="NF175" s="82"/>
      <c r="NG175" s="82"/>
      <c r="NH175" s="82"/>
      <c r="NI175" s="82"/>
      <c r="NJ175" s="82"/>
      <c r="NK175" s="82"/>
      <c r="NL175" s="82"/>
      <c r="NM175" s="82"/>
      <c r="NN175" s="82"/>
      <c r="NO175" s="82"/>
      <c r="NP175" s="82"/>
      <c r="NQ175" s="82"/>
      <c r="NR175" s="82"/>
      <c r="NS175" s="82"/>
      <c r="NT175" s="82"/>
      <c r="NU175" s="82"/>
      <c r="NV175" s="82"/>
      <c r="NW175" s="82"/>
      <c r="NX175" s="82"/>
      <c r="NY175" s="82"/>
      <c r="NZ175" s="82"/>
      <c r="OA175" s="82"/>
      <c r="OB175" s="82"/>
      <c r="OC175" s="82"/>
      <c r="OD175" s="82"/>
      <c r="OE175" s="82"/>
      <c r="OF175" s="82"/>
      <c r="OG175" s="82"/>
      <c r="OH175" s="82"/>
      <c r="OI175" s="82"/>
      <c r="OJ175" s="82"/>
      <c r="OK175" s="82"/>
      <c r="OL175" s="82"/>
      <c r="OM175" s="82"/>
      <c r="ON175" s="82"/>
      <c r="OO175" s="82"/>
      <c r="OP175" s="82"/>
      <c r="OQ175" s="82"/>
      <c r="OR175" s="82"/>
      <c r="OS175" s="82"/>
      <c r="OT175" s="82"/>
      <c r="OU175" s="82"/>
      <c r="OV175" s="82"/>
      <c r="OW175" s="82"/>
      <c r="OX175" s="82"/>
      <c r="OY175" s="82"/>
      <c r="OZ175" s="82"/>
      <c r="PA175" s="82"/>
      <c r="PB175" s="82"/>
      <c r="PC175" s="82"/>
      <c r="PD175" s="82"/>
      <c r="PE175" s="82"/>
      <c r="PF175" s="82"/>
      <c r="PG175" s="82"/>
      <c r="PH175" s="82"/>
      <c r="PI175" s="82"/>
      <c r="PJ175" s="82"/>
      <c r="PK175" s="82"/>
      <c r="PL175" s="82"/>
      <c r="PM175" s="82"/>
      <c r="PN175" s="82"/>
      <c r="PO175" s="82"/>
      <c r="PP175" s="82"/>
      <c r="PQ175" s="82"/>
      <c r="PR175" s="82"/>
      <c r="PS175" s="82"/>
      <c r="PT175" s="82"/>
      <c r="PU175" s="82"/>
      <c r="PV175" s="82"/>
      <c r="PW175" s="82"/>
      <c r="PX175" s="82"/>
      <c r="PY175" s="82"/>
      <c r="PZ175" s="82"/>
      <c r="QA175" s="82"/>
      <c r="QB175" s="82"/>
      <c r="QC175" s="82"/>
      <c r="QD175" s="82"/>
      <c r="QE175" s="82"/>
      <c r="QF175" s="82"/>
      <c r="QG175" s="82"/>
      <c r="QH175" s="82"/>
      <c r="QI175" s="82"/>
      <c r="QJ175" s="82"/>
      <c r="QK175" s="82"/>
      <c r="QL175" s="82"/>
      <c r="QM175" s="82"/>
      <c r="QN175" s="82"/>
      <c r="QO175" s="82"/>
      <c r="QP175" s="82"/>
      <c r="QQ175" s="82"/>
      <c r="QR175" s="82"/>
      <c r="QS175" s="82"/>
      <c r="QT175" s="82"/>
      <c r="QU175" s="82"/>
      <c r="QV175" s="82"/>
      <c r="QW175" s="82"/>
      <c r="QX175" s="82"/>
      <c r="QY175" s="82"/>
      <c r="QZ175" s="82"/>
      <c r="RA175" s="82"/>
      <c r="RB175" s="82"/>
      <c r="RC175" s="82"/>
      <c r="RD175" s="82"/>
      <c r="RE175" s="82"/>
      <c r="RF175" s="82"/>
      <c r="RG175" s="82"/>
      <c r="RH175" s="82"/>
      <c r="RI175" s="82"/>
      <c r="RJ175" s="82"/>
      <c r="RK175" s="82"/>
      <c r="RL175" s="82"/>
      <c r="RM175" s="82"/>
      <c r="RN175" s="82"/>
      <c r="RO175" s="82"/>
      <c r="RP175" s="82"/>
      <c r="RQ175" s="82"/>
      <c r="RR175" s="82"/>
      <c r="RS175" s="82"/>
      <c r="RT175" s="82"/>
      <c r="RU175" s="82"/>
      <c r="RV175" s="82"/>
      <c r="RW175" s="82"/>
      <c r="RX175" s="82"/>
      <c r="RY175" s="82"/>
      <c r="RZ175" s="82"/>
      <c r="SA175" s="82"/>
      <c r="SB175" s="82"/>
      <c r="SC175" s="82"/>
      <c r="SD175" s="82"/>
      <c r="SE175" s="82"/>
      <c r="SF175" s="82"/>
      <c r="SG175" s="82"/>
      <c r="SH175" s="82"/>
      <c r="SI175" s="82"/>
      <c r="SJ175" s="82"/>
      <c r="SK175" s="82"/>
      <c r="SL175" s="82"/>
      <c r="SM175" s="82"/>
      <c r="SN175" s="82"/>
      <c r="SO175" s="82"/>
      <c r="SP175" s="82"/>
      <c r="SQ175" s="82"/>
      <c r="SR175" s="82"/>
      <c r="SS175" s="82"/>
      <c r="ST175" s="82"/>
      <c r="SU175" s="82"/>
      <c r="SV175" s="82"/>
      <c r="SW175" s="82"/>
      <c r="SX175" s="82"/>
      <c r="SY175" s="82"/>
      <c r="SZ175" s="82"/>
      <c r="TA175" s="82"/>
      <c r="TB175" s="82"/>
      <c r="TC175" s="82"/>
      <c r="TD175" s="82"/>
      <c r="TE175" s="82"/>
      <c r="TF175" s="82"/>
      <c r="TG175" s="82"/>
      <c r="TH175" s="82"/>
      <c r="TI175" s="82"/>
      <c r="TJ175" s="82"/>
      <c r="TK175" s="82"/>
      <c r="TL175" s="82"/>
      <c r="TM175" s="82"/>
      <c r="TN175" s="82"/>
      <c r="TO175" s="82"/>
      <c r="TP175" s="82"/>
      <c r="TQ175" s="82"/>
      <c r="TR175" s="82"/>
      <c r="TS175" s="82"/>
      <c r="TT175" s="82"/>
      <c r="TU175" s="82"/>
      <c r="TV175" s="82"/>
      <c r="TW175" s="82"/>
      <c r="TX175" s="82"/>
      <c r="TY175" s="82"/>
      <c r="TZ175" s="82"/>
      <c r="UA175" s="82"/>
      <c r="UB175" s="82"/>
      <c r="UC175" s="82"/>
      <c r="UD175" s="82"/>
      <c r="UE175" s="82"/>
      <c r="UF175" s="82"/>
      <c r="UG175" s="82"/>
      <c r="UH175" s="82"/>
      <c r="UI175" s="82"/>
      <c r="UJ175" s="82"/>
      <c r="UK175" s="82"/>
      <c r="UL175" s="82"/>
      <c r="UM175" s="82"/>
      <c r="UN175" s="82"/>
      <c r="UO175" s="82"/>
      <c r="UP175" s="82"/>
      <c r="UQ175" s="82"/>
      <c r="UR175" s="82"/>
      <c r="US175" s="82"/>
      <c r="UT175" s="82"/>
      <c r="UU175" s="82"/>
      <c r="UV175" s="82"/>
      <c r="UW175" s="82"/>
      <c r="UX175" s="82"/>
      <c r="UY175" s="82"/>
      <c r="UZ175" s="82"/>
      <c r="VA175" s="82"/>
      <c r="VB175" s="82"/>
      <c r="VC175" s="82"/>
      <c r="VD175" s="82"/>
      <c r="VE175" s="82"/>
      <c r="VF175" s="82"/>
      <c r="VG175" s="82"/>
      <c r="VH175" s="82"/>
      <c r="VI175" s="82"/>
      <c r="VJ175" s="82"/>
      <c r="VK175" s="82"/>
      <c r="VL175" s="82"/>
      <c r="VM175" s="82"/>
      <c r="VN175" s="82"/>
      <c r="VO175" s="82"/>
      <c r="VP175" s="82"/>
      <c r="VQ175" s="82"/>
      <c r="VR175" s="82"/>
      <c r="VS175" s="82"/>
      <c r="VT175" s="82"/>
      <c r="VU175" s="82"/>
      <c r="VV175" s="82"/>
      <c r="VW175" s="82"/>
      <c r="VX175" s="82"/>
      <c r="VY175" s="82"/>
      <c r="VZ175" s="82"/>
      <c r="WA175" s="82"/>
      <c r="WB175" s="82"/>
      <c r="WC175" s="82"/>
      <c r="WD175" s="82"/>
      <c r="WE175" s="82"/>
      <c r="WF175" s="82"/>
      <c r="WG175" s="82"/>
      <c r="WH175" s="82"/>
      <c r="WI175" s="82"/>
      <c r="WJ175" s="82"/>
      <c r="WK175" s="82"/>
      <c r="WL175" s="82"/>
      <c r="WM175" s="82"/>
      <c r="WN175" s="82"/>
      <c r="WO175" s="82"/>
      <c r="WP175" s="82"/>
      <c r="WQ175" s="82"/>
      <c r="WR175" s="82"/>
      <c r="WS175" s="82"/>
      <c r="WT175" s="82"/>
      <c r="WU175" s="82"/>
      <c r="WV175" s="82"/>
      <c r="WW175" s="82"/>
      <c r="WX175" s="82"/>
      <c r="WY175" s="82"/>
      <c r="WZ175" s="82"/>
      <c r="XA175" s="82"/>
      <c r="XB175" s="82"/>
      <c r="XC175" s="82"/>
      <c r="XD175" s="82"/>
      <c r="XE175" s="82"/>
      <c r="XF175" s="82"/>
      <c r="XG175" s="82"/>
      <c r="XH175" s="82"/>
      <c r="XI175" s="82"/>
      <c r="XJ175" s="82"/>
      <c r="XK175" s="82"/>
      <c r="XL175" s="82"/>
      <c r="XM175" s="82"/>
      <c r="XN175" s="82"/>
      <c r="XO175" s="82"/>
      <c r="XP175" s="82"/>
      <c r="XQ175" s="82"/>
      <c r="XR175" s="82"/>
      <c r="XS175" s="82"/>
      <c r="XT175" s="82"/>
      <c r="XU175" s="82"/>
      <c r="XV175" s="82"/>
      <c r="XW175" s="82"/>
      <c r="XX175" s="82"/>
      <c r="XY175" s="82"/>
      <c r="XZ175" s="82"/>
      <c r="YA175" s="82"/>
      <c r="YB175" s="82"/>
      <c r="YC175" s="82"/>
      <c r="YD175" s="82"/>
      <c r="YE175" s="82"/>
      <c r="YF175" s="82"/>
      <c r="YG175" s="82"/>
      <c r="YH175" s="82"/>
      <c r="YI175" s="82"/>
      <c r="YJ175" s="82"/>
      <c r="YK175" s="82"/>
      <c r="YL175" s="82"/>
      <c r="YM175" s="82"/>
      <c r="YN175" s="82"/>
      <c r="YO175" s="82"/>
      <c r="YP175" s="82"/>
      <c r="YQ175" s="82"/>
      <c r="YR175" s="82"/>
      <c r="YS175" s="82"/>
      <c r="YT175" s="82"/>
      <c r="YU175" s="82"/>
      <c r="YV175" s="82"/>
      <c r="YW175" s="82"/>
      <c r="YX175" s="82"/>
      <c r="YY175" s="82"/>
      <c r="YZ175" s="82"/>
      <c r="ZA175" s="82"/>
      <c r="ZB175" s="82"/>
      <c r="ZC175" s="82"/>
      <c r="ZD175" s="82"/>
      <c r="ZE175" s="82"/>
      <c r="ZF175" s="82"/>
      <c r="ZG175" s="82"/>
      <c r="ZH175" s="82"/>
      <c r="ZI175" s="82"/>
      <c r="ZJ175" s="82"/>
      <c r="ZK175" s="82"/>
      <c r="ZL175" s="82"/>
      <c r="ZM175" s="82"/>
      <c r="ZN175" s="82"/>
      <c r="ZO175" s="82"/>
      <c r="ZP175" s="82"/>
      <c r="ZQ175" s="82"/>
      <c r="ZR175" s="82"/>
      <c r="ZS175" s="82"/>
      <c r="ZT175" s="82"/>
      <c r="ZU175" s="82"/>
      <c r="ZV175" s="82"/>
      <c r="ZW175" s="82"/>
      <c r="ZX175" s="82"/>
      <c r="ZY175" s="82"/>
      <c r="ZZ175" s="82"/>
      <c r="AAA175" s="82"/>
      <c r="AAB175" s="82"/>
      <c r="AAC175" s="82"/>
      <c r="AAD175" s="82"/>
      <c r="AAE175" s="82"/>
      <c r="AAF175" s="82"/>
      <c r="AAG175" s="82"/>
      <c r="AAH175" s="82"/>
      <c r="AAI175" s="82"/>
      <c r="AAJ175" s="82"/>
      <c r="AAK175" s="82"/>
      <c r="AAL175" s="82"/>
      <c r="AAM175" s="82"/>
      <c r="AAN175" s="82"/>
      <c r="AAO175" s="82"/>
      <c r="AAP175" s="82"/>
      <c r="AAQ175" s="82"/>
      <c r="AAR175" s="82"/>
      <c r="AAS175" s="82"/>
      <c r="AAT175" s="82"/>
      <c r="AAU175" s="82"/>
      <c r="AAV175" s="82"/>
      <c r="AAW175" s="82"/>
      <c r="AAX175" s="82"/>
      <c r="AAY175" s="82"/>
      <c r="AAZ175" s="82"/>
      <c r="ABA175" s="82"/>
      <c r="ABB175" s="82"/>
      <c r="ABC175" s="82"/>
      <c r="ABD175" s="82"/>
      <c r="ABE175" s="82"/>
      <c r="ABF175" s="82"/>
      <c r="ABG175" s="82"/>
      <c r="ABH175" s="82"/>
      <c r="ABI175" s="82"/>
      <c r="ABJ175" s="82"/>
      <c r="ABK175" s="82"/>
      <c r="ABL175" s="82"/>
      <c r="ABM175" s="82"/>
      <c r="ABN175" s="82"/>
      <c r="ABO175" s="82"/>
      <c r="ABP175" s="82"/>
      <c r="ABQ175" s="82"/>
      <c r="ABR175" s="82"/>
      <c r="ABS175" s="82"/>
      <c r="ABT175" s="82"/>
      <c r="ABU175" s="82"/>
      <c r="ABV175" s="82"/>
      <c r="ABW175" s="82"/>
      <c r="ABX175" s="82"/>
      <c r="ABY175" s="82"/>
      <c r="ABZ175" s="82"/>
      <c r="ACA175" s="82"/>
      <c r="ACB175" s="82"/>
      <c r="ACC175" s="82"/>
      <c r="ACD175" s="82"/>
      <c r="ACE175" s="82"/>
      <c r="ACF175" s="82"/>
      <c r="ACG175" s="82"/>
      <c r="ACH175" s="82"/>
      <c r="ACI175" s="82"/>
      <c r="ACJ175" s="82"/>
      <c r="ACK175" s="82"/>
      <c r="ACL175" s="82"/>
      <c r="ACM175" s="82"/>
      <c r="ACN175" s="82"/>
      <c r="ACO175" s="82"/>
      <c r="ACP175" s="82"/>
      <c r="ACQ175" s="82"/>
      <c r="ACR175" s="82"/>
      <c r="ACS175" s="82"/>
      <c r="ACT175" s="82"/>
      <c r="ACU175" s="82"/>
      <c r="ACV175" s="82"/>
      <c r="ACW175" s="82"/>
      <c r="ACX175" s="82"/>
      <c r="ACY175" s="82"/>
      <c r="ACZ175" s="82"/>
      <c r="ADA175" s="82"/>
      <c r="ADB175" s="82"/>
      <c r="ADC175" s="82"/>
      <c r="ADD175" s="82"/>
      <c r="ADE175" s="82"/>
      <c r="ADF175" s="82"/>
      <c r="ADG175" s="82"/>
      <c r="ADH175" s="82"/>
      <c r="ADI175" s="82"/>
      <c r="ADJ175" s="82"/>
      <c r="ADK175" s="82"/>
      <c r="ADL175" s="82"/>
      <c r="ADM175" s="82"/>
      <c r="ADN175" s="82"/>
      <c r="ADO175" s="82"/>
      <c r="ADP175" s="82"/>
      <c r="ADQ175" s="82"/>
      <c r="ADR175" s="82"/>
      <c r="ADS175" s="82"/>
      <c r="ADT175" s="82"/>
      <c r="ADU175" s="82"/>
      <c r="ADV175" s="82"/>
      <c r="ADW175" s="82"/>
      <c r="ADX175" s="82"/>
      <c r="ADY175" s="82"/>
      <c r="ADZ175" s="82"/>
      <c r="AEA175" s="82"/>
      <c r="AEB175" s="82"/>
      <c r="AEC175" s="82"/>
      <c r="AED175" s="82"/>
      <c r="AEE175" s="82"/>
      <c r="AEF175" s="82"/>
      <c r="AEG175" s="82"/>
      <c r="AEH175" s="82"/>
      <c r="AEI175" s="82"/>
      <c r="AEJ175" s="82"/>
      <c r="AEK175" s="82"/>
      <c r="AEL175" s="82"/>
      <c r="AEM175" s="82"/>
      <c r="AEN175" s="82"/>
      <c r="AEO175" s="82"/>
      <c r="AEP175" s="82"/>
      <c r="AEQ175" s="82"/>
      <c r="AER175" s="82"/>
      <c r="AES175" s="82"/>
      <c r="AET175" s="82"/>
      <c r="AEU175" s="82"/>
      <c r="AEV175" s="82"/>
      <c r="AEW175" s="82"/>
      <c r="AEX175" s="82"/>
      <c r="AEY175" s="82"/>
      <c r="AEZ175" s="82"/>
      <c r="AFA175" s="82"/>
      <c r="AFB175" s="82"/>
      <c r="AFC175" s="82"/>
      <c r="AFD175" s="82"/>
      <c r="AFE175" s="82"/>
      <c r="AFF175" s="82"/>
      <c r="AFG175" s="82"/>
      <c r="AFH175" s="82"/>
      <c r="AFI175" s="82"/>
      <c r="AFJ175" s="82"/>
      <c r="AFK175" s="82"/>
      <c r="AFL175" s="82"/>
      <c r="AFM175" s="82"/>
      <c r="AFN175" s="82"/>
      <c r="AFO175" s="82"/>
      <c r="AFP175" s="82"/>
      <c r="AFQ175" s="82"/>
      <c r="AFR175" s="82"/>
      <c r="AFS175" s="82"/>
      <c r="AFT175" s="82"/>
      <c r="AFU175" s="82"/>
      <c r="AFV175" s="82"/>
      <c r="AFW175" s="82"/>
      <c r="AFX175" s="82"/>
      <c r="AFY175" s="82"/>
      <c r="AFZ175" s="82"/>
      <c r="AGA175" s="82"/>
      <c r="AGB175" s="82"/>
      <c r="AGC175" s="82"/>
      <c r="AGD175" s="82"/>
      <c r="AGE175" s="82"/>
      <c r="AGF175" s="82"/>
      <c r="AGG175" s="82"/>
      <c r="AGH175" s="82"/>
      <c r="AGI175" s="82"/>
      <c r="AGJ175" s="82"/>
      <c r="AGK175" s="82"/>
      <c r="AGL175" s="82"/>
      <c r="AGM175" s="82"/>
      <c r="AGN175" s="82"/>
      <c r="AGO175" s="82"/>
      <c r="AGP175" s="82"/>
      <c r="AGQ175" s="82"/>
      <c r="AGR175" s="82"/>
      <c r="AGS175" s="82"/>
      <c r="AGT175" s="82"/>
      <c r="AGU175" s="82"/>
      <c r="AGV175" s="82"/>
      <c r="AGW175" s="82"/>
      <c r="AGX175" s="82"/>
      <c r="AGY175" s="82"/>
      <c r="AGZ175" s="82"/>
      <c r="AHA175" s="82"/>
      <c r="AHB175" s="82"/>
      <c r="AHC175" s="82"/>
      <c r="AHD175" s="82"/>
      <c r="AHE175" s="82"/>
      <c r="AHF175" s="82"/>
      <c r="AHG175" s="82"/>
      <c r="AHH175" s="82"/>
      <c r="AHI175" s="82"/>
      <c r="AHJ175" s="82"/>
      <c r="AHK175" s="82"/>
      <c r="AHL175" s="82"/>
      <c r="AHM175" s="82"/>
      <c r="AHN175" s="82"/>
      <c r="AHO175" s="82"/>
      <c r="AHP175" s="82"/>
      <c r="AHQ175" s="82"/>
      <c r="AHR175" s="82"/>
      <c r="AHS175" s="82"/>
      <c r="AHT175" s="82"/>
      <c r="AHU175" s="82"/>
      <c r="AHV175" s="82"/>
      <c r="AHW175" s="82"/>
      <c r="AHX175" s="82"/>
      <c r="AHY175" s="82"/>
      <c r="AHZ175" s="82"/>
      <c r="AIA175" s="82"/>
      <c r="AIB175" s="82"/>
      <c r="AIC175" s="82"/>
      <c r="AID175" s="82"/>
      <c r="AIE175" s="82"/>
      <c r="AIF175" s="82"/>
      <c r="AIG175" s="82"/>
      <c r="AIH175" s="82"/>
    </row>
    <row r="176" spans="1:918" s="99" customFormat="1" x14ac:dyDescent="0.2">
      <c r="A176" s="98"/>
      <c r="B176" s="78" t="s">
        <v>156</v>
      </c>
      <c r="C176" s="108" t="s">
        <v>213</v>
      </c>
      <c r="D176" s="101"/>
      <c r="E176" s="76"/>
      <c r="F176" s="76"/>
      <c r="G176" s="76"/>
      <c r="H176" s="76"/>
      <c r="I176" s="76"/>
      <c r="J176" s="76"/>
      <c r="K176" s="76"/>
      <c r="L176" s="82"/>
      <c r="M176" s="82"/>
      <c r="N176" s="82"/>
      <c r="O176" s="82"/>
      <c r="P176" s="82"/>
      <c r="Q176" s="82"/>
      <c r="R176" s="82"/>
      <c r="S176" s="82"/>
      <c r="T176" s="82"/>
      <c r="U176" s="82"/>
      <c r="V176" s="82"/>
      <c r="W176" s="82"/>
      <c r="X176" s="82"/>
      <c r="Y176" s="82"/>
      <c r="Z176" s="82"/>
      <c r="AA176" s="82"/>
      <c r="AB176" s="82"/>
      <c r="AC176" s="82"/>
      <c r="AD176" s="82"/>
      <c r="AE176" s="82"/>
      <c r="AF176" s="82"/>
      <c r="AG176" s="82"/>
      <c r="AH176" s="82"/>
      <c r="AI176" s="82"/>
      <c r="AJ176" s="82"/>
      <c r="AK176" s="82"/>
      <c r="AL176" s="82"/>
      <c r="AM176" s="82"/>
      <c r="AN176" s="82"/>
      <c r="AO176" s="82"/>
      <c r="AP176" s="82"/>
      <c r="AQ176" s="82"/>
      <c r="AR176" s="82"/>
      <c r="AS176" s="82"/>
      <c r="AT176" s="82"/>
      <c r="AU176" s="82"/>
      <c r="AV176" s="82"/>
      <c r="AW176" s="82"/>
      <c r="AX176" s="82"/>
      <c r="AY176" s="82"/>
      <c r="AZ176" s="82"/>
      <c r="BA176" s="82"/>
      <c r="BB176" s="82"/>
      <c r="BC176" s="82"/>
      <c r="BD176" s="82"/>
      <c r="BE176" s="82"/>
      <c r="BF176" s="82"/>
      <c r="BG176" s="82"/>
      <c r="BH176" s="82"/>
      <c r="BI176" s="82"/>
      <c r="BJ176" s="82"/>
      <c r="BK176" s="82"/>
      <c r="BL176" s="82"/>
      <c r="BM176" s="82"/>
      <c r="BN176" s="82"/>
      <c r="BO176" s="82"/>
      <c r="BP176" s="82"/>
      <c r="BQ176" s="82"/>
      <c r="BR176" s="82"/>
      <c r="BS176" s="82"/>
      <c r="BT176" s="82"/>
      <c r="BU176" s="82"/>
      <c r="BV176" s="82"/>
      <c r="BW176" s="82"/>
      <c r="BX176" s="82"/>
      <c r="BY176" s="82"/>
      <c r="BZ176" s="82"/>
      <c r="CA176" s="82"/>
      <c r="CB176" s="82"/>
      <c r="CC176" s="82"/>
      <c r="CD176" s="82"/>
      <c r="CE176" s="82"/>
      <c r="CF176" s="82"/>
      <c r="CG176" s="82"/>
      <c r="CH176" s="82"/>
      <c r="CI176" s="82"/>
      <c r="CJ176" s="82"/>
      <c r="CK176" s="82"/>
      <c r="CL176" s="82"/>
      <c r="CM176" s="82"/>
      <c r="CN176" s="82"/>
      <c r="CO176" s="82"/>
      <c r="CP176" s="82"/>
      <c r="CQ176" s="82"/>
      <c r="CR176" s="82"/>
      <c r="CS176" s="82"/>
      <c r="CT176" s="82"/>
      <c r="CU176" s="82"/>
      <c r="CV176" s="82"/>
      <c r="CW176" s="82"/>
      <c r="CX176" s="82"/>
      <c r="CY176" s="82"/>
      <c r="CZ176" s="82"/>
      <c r="DA176" s="82"/>
      <c r="DB176" s="82"/>
      <c r="DC176" s="82"/>
      <c r="DD176" s="82"/>
      <c r="DE176" s="82"/>
      <c r="DF176" s="82"/>
      <c r="DG176" s="82"/>
      <c r="DH176" s="82"/>
      <c r="DI176" s="82"/>
      <c r="DJ176" s="82"/>
      <c r="DK176" s="82"/>
      <c r="DL176" s="82"/>
      <c r="DM176" s="82"/>
      <c r="DN176" s="82"/>
      <c r="DO176" s="82"/>
      <c r="DP176" s="82"/>
      <c r="DQ176" s="82"/>
      <c r="DR176" s="82"/>
      <c r="DS176" s="82"/>
      <c r="DT176" s="82"/>
      <c r="DU176" s="82"/>
      <c r="DV176" s="82"/>
      <c r="DW176" s="82"/>
      <c r="DX176" s="82"/>
      <c r="DY176" s="82"/>
      <c r="DZ176" s="82"/>
      <c r="EA176" s="82"/>
      <c r="EB176" s="82"/>
      <c r="EC176" s="82"/>
      <c r="ED176" s="82"/>
      <c r="EE176" s="82"/>
      <c r="EF176" s="82"/>
      <c r="EG176" s="82"/>
      <c r="EH176" s="82"/>
      <c r="EI176" s="82"/>
      <c r="EJ176" s="82"/>
      <c r="EK176" s="82"/>
      <c r="EL176" s="82"/>
      <c r="EM176" s="82"/>
      <c r="EN176" s="82"/>
      <c r="EO176" s="82"/>
      <c r="EP176" s="82"/>
      <c r="EQ176" s="82"/>
      <c r="ER176" s="82"/>
      <c r="ES176" s="82"/>
      <c r="ET176" s="82"/>
      <c r="EU176" s="82"/>
      <c r="EV176" s="82"/>
      <c r="EW176" s="82"/>
      <c r="EX176" s="82"/>
      <c r="EY176" s="82"/>
      <c r="EZ176" s="82"/>
      <c r="FA176" s="82"/>
      <c r="FB176" s="82"/>
      <c r="FC176" s="82"/>
      <c r="FD176" s="82"/>
      <c r="FE176" s="82"/>
      <c r="FF176" s="82"/>
      <c r="FG176" s="82"/>
      <c r="FH176" s="82"/>
      <c r="FI176" s="82"/>
      <c r="FJ176" s="82"/>
      <c r="FK176" s="82"/>
      <c r="FL176" s="82"/>
      <c r="FM176" s="82"/>
      <c r="FN176" s="82"/>
      <c r="FO176" s="82"/>
      <c r="FP176" s="82"/>
      <c r="FQ176" s="82"/>
      <c r="FR176" s="82"/>
      <c r="FS176" s="82"/>
      <c r="FT176" s="82"/>
      <c r="FU176" s="82"/>
      <c r="FV176" s="82"/>
      <c r="FW176" s="82"/>
      <c r="FX176" s="82"/>
      <c r="FY176" s="82"/>
      <c r="FZ176" s="82"/>
      <c r="GA176" s="82"/>
      <c r="GB176" s="82"/>
      <c r="GC176" s="82"/>
      <c r="GD176" s="82"/>
      <c r="GE176" s="82"/>
      <c r="GF176" s="82"/>
      <c r="GG176" s="82"/>
      <c r="GH176" s="82"/>
      <c r="GI176" s="82"/>
      <c r="GJ176" s="82"/>
      <c r="GK176" s="82"/>
      <c r="GL176" s="82"/>
      <c r="GM176" s="82"/>
      <c r="GN176" s="82"/>
      <c r="GO176" s="82"/>
      <c r="GP176" s="82"/>
      <c r="GQ176" s="82"/>
      <c r="GR176" s="82"/>
      <c r="GS176" s="82"/>
      <c r="GT176" s="82"/>
      <c r="GU176" s="82"/>
      <c r="GV176" s="82"/>
      <c r="GW176" s="82"/>
      <c r="GX176" s="82"/>
      <c r="GY176" s="82"/>
      <c r="GZ176" s="82"/>
      <c r="HA176" s="82"/>
      <c r="HB176" s="82"/>
      <c r="HC176" s="82"/>
      <c r="HD176" s="82"/>
      <c r="HE176" s="82"/>
      <c r="HF176" s="82"/>
      <c r="HG176" s="82"/>
      <c r="HH176" s="82"/>
      <c r="HI176" s="82"/>
      <c r="HJ176" s="82"/>
      <c r="HK176" s="82"/>
      <c r="HL176" s="82"/>
      <c r="HM176" s="82"/>
      <c r="HN176" s="82"/>
      <c r="HO176" s="82"/>
      <c r="HP176" s="82"/>
      <c r="HQ176" s="82"/>
      <c r="HR176" s="82"/>
      <c r="HS176" s="82"/>
      <c r="HT176" s="82"/>
      <c r="HU176" s="82"/>
      <c r="HV176" s="82"/>
      <c r="HW176" s="82"/>
      <c r="HX176" s="82"/>
      <c r="HY176" s="82"/>
      <c r="HZ176" s="82"/>
      <c r="IA176" s="82"/>
      <c r="IB176" s="82"/>
      <c r="IC176" s="82"/>
      <c r="ID176" s="82"/>
      <c r="IE176" s="82"/>
      <c r="IF176" s="82"/>
      <c r="IG176" s="82"/>
      <c r="IH176" s="82"/>
      <c r="II176" s="82"/>
      <c r="IJ176" s="82"/>
      <c r="IK176" s="82"/>
      <c r="IL176" s="82"/>
      <c r="IM176" s="82"/>
      <c r="IN176" s="82"/>
      <c r="IO176" s="82"/>
      <c r="IP176" s="82"/>
      <c r="IQ176" s="82"/>
      <c r="IR176" s="82"/>
      <c r="IS176" s="82"/>
      <c r="IT176" s="82"/>
      <c r="IU176" s="82"/>
      <c r="IV176" s="82"/>
      <c r="IW176" s="82"/>
      <c r="IX176" s="82"/>
      <c r="IY176" s="82"/>
      <c r="IZ176" s="82"/>
      <c r="JA176" s="82"/>
      <c r="JB176" s="82"/>
      <c r="JC176" s="82"/>
      <c r="JD176" s="82"/>
      <c r="JE176" s="82"/>
      <c r="JF176" s="82"/>
      <c r="JG176" s="82"/>
      <c r="JH176" s="82"/>
      <c r="JI176" s="82"/>
      <c r="JJ176" s="82"/>
      <c r="JK176" s="82"/>
      <c r="JL176" s="82"/>
      <c r="JM176" s="82"/>
      <c r="JN176" s="82"/>
      <c r="JO176" s="82"/>
      <c r="JP176" s="82"/>
      <c r="JQ176" s="82"/>
      <c r="JR176" s="82"/>
      <c r="JS176" s="82"/>
      <c r="JT176" s="82"/>
      <c r="JU176" s="82"/>
      <c r="JV176" s="82"/>
      <c r="JW176" s="82"/>
      <c r="JX176" s="82"/>
      <c r="JY176" s="82"/>
      <c r="JZ176" s="82"/>
      <c r="KA176" s="82"/>
      <c r="KB176" s="82"/>
      <c r="KC176" s="82"/>
      <c r="KD176" s="82"/>
      <c r="KE176" s="82"/>
      <c r="KF176" s="82"/>
      <c r="KG176" s="82"/>
      <c r="KH176" s="82"/>
      <c r="KI176" s="82"/>
      <c r="KJ176" s="82"/>
      <c r="KK176" s="82"/>
      <c r="KL176" s="82"/>
      <c r="KM176" s="82"/>
      <c r="KN176" s="82"/>
      <c r="KO176" s="82"/>
      <c r="KP176" s="82"/>
      <c r="KQ176" s="82"/>
      <c r="KR176" s="82"/>
      <c r="KS176" s="82"/>
      <c r="KT176" s="82"/>
      <c r="KU176" s="82"/>
      <c r="KV176" s="82"/>
      <c r="KW176" s="82"/>
      <c r="KX176" s="82"/>
      <c r="KY176" s="82"/>
      <c r="KZ176" s="82"/>
      <c r="LA176" s="82"/>
      <c r="LB176" s="82"/>
      <c r="LC176" s="82"/>
      <c r="LD176" s="82"/>
      <c r="LE176" s="82"/>
      <c r="LF176" s="82"/>
      <c r="LG176" s="82"/>
      <c r="LH176" s="82"/>
      <c r="LI176" s="82"/>
      <c r="LJ176" s="82"/>
      <c r="LK176" s="82"/>
      <c r="LL176" s="82"/>
      <c r="LM176" s="82"/>
      <c r="LN176" s="82"/>
      <c r="LO176" s="82"/>
      <c r="LP176" s="82"/>
      <c r="LQ176" s="82"/>
      <c r="LR176" s="82"/>
      <c r="LS176" s="82"/>
      <c r="LT176" s="82"/>
      <c r="LU176" s="82"/>
      <c r="LV176" s="82"/>
      <c r="LW176" s="82"/>
      <c r="LX176" s="82"/>
      <c r="LY176" s="82"/>
      <c r="LZ176" s="82"/>
      <c r="MA176" s="82"/>
      <c r="MB176" s="82"/>
      <c r="MC176" s="82"/>
      <c r="MD176" s="82"/>
      <c r="ME176" s="82"/>
      <c r="MF176" s="82"/>
      <c r="MG176" s="82"/>
      <c r="MH176" s="82"/>
      <c r="MI176" s="82"/>
      <c r="MJ176" s="82"/>
      <c r="MK176" s="82"/>
      <c r="ML176" s="82"/>
      <c r="MM176" s="82"/>
      <c r="MN176" s="82"/>
      <c r="MO176" s="82"/>
      <c r="MP176" s="82"/>
      <c r="MQ176" s="82"/>
      <c r="MR176" s="82"/>
      <c r="MS176" s="82"/>
      <c r="MT176" s="82"/>
      <c r="MU176" s="82"/>
      <c r="MV176" s="82"/>
      <c r="MW176" s="82"/>
      <c r="MX176" s="82"/>
      <c r="MY176" s="82"/>
      <c r="MZ176" s="82"/>
      <c r="NA176" s="82"/>
      <c r="NB176" s="82"/>
      <c r="NC176" s="82"/>
      <c r="ND176" s="82"/>
      <c r="NE176" s="82"/>
      <c r="NF176" s="82"/>
      <c r="NG176" s="82"/>
      <c r="NH176" s="82"/>
      <c r="NI176" s="82"/>
      <c r="NJ176" s="82"/>
      <c r="NK176" s="82"/>
      <c r="NL176" s="82"/>
      <c r="NM176" s="82"/>
      <c r="NN176" s="82"/>
      <c r="NO176" s="82"/>
      <c r="NP176" s="82"/>
      <c r="NQ176" s="82"/>
      <c r="NR176" s="82"/>
      <c r="NS176" s="82"/>
      <c r="NT176" s="82"/>
      <c r="NU176" s="82"/>
      <c r="NV176" s="82"/>
      <c r="NW176" s="82"/>
      <c r="NX176" s="82"/>
      <c r="NY176" s="82"/>
      <c r="NZ176" s="82"/>
      <c r="OA176" s="82"/>
      <c r="OB176" s="82"/>
      <c r="OC176" s="82"/>
      <c r="OD176" s="82"/>
      <c r="OE176" s="82"/>
      <c r="OF176" s="82"/>
      <c r="OG176" s="82"/>
      <c r="OH176" s="82"/>
      <c r="OI176" s="82"/>
      <c r="OJ176" s="82"/>
      <c r="OK176" s="82"/>
      <c r="OL176" s="82"/>
      <c r="OM176" s="82"/>
      <c r="ON176" s="82"/>
      <c r="OO176" s="82"/>
      <c r="OP176" s="82"/>
      <c r="OQ176" s="82"/>
      <c r="OR176" s="82"/>
      <c r="OS176" s="82"/>
      <c r="OT176" s="82"/>
      <c r="OU176" s="82"/>
      <c r="OV176" s="82"/>
      <c r="OW176" s="82"/>
      <c r="OX176" s="82"/>
      <c r="OY176" s="82"/>
      <c r="OZ176" s="82"/>
      <c r="PA176" s="82"/>
      <c r="PB176" s="82"/>
      <c r="PC176" s="82"/>
      <c r="PD176" s="82"/>
      <c r="PE176" s="82"/>
      <c r="PF176" s="82"/>
      <c r="PG176" s="82"/>
      <c r="PH176" s="82"/>
      <c r="PI176" s="82"/>
      <c r="PJ176" s="82"/>
      <c r="PK176" s="82"/>
      <c r="PL176" s="82"/>
      <c r="PM176" s="82"/>
      <c r="PN176" s="82"/>
      <c r="PO176" s="82"/>
      <c r="PP176" s="82"/>
      <c r="PQ176" s="82"/>
      <c r="PR176" s="82"/>
      <c r="PS176" s="82"/>
      <c r="PT176" s="82"/>
      <c r="PU176" s="82"/>
      <c r="PV176" s="82"/>
      <c r="PW176" s="82"/>
      <c r="PX176" s="82"/>
      <c r="PY176" s="82"/>
      <c r="PZ176" s="82"/>
      <c r="QA176" s="82"/>
      <c r="QB176" s="82"/>
      <c r="QC176" s="82"/>
      <c r="QD176" s="82"/>
      <c r="QE176" s="82"/>
      <c r="QF176" s="82"/>
      <c r="QG176" s="82"/>
      <c r="QH176" s="82"/>
      <c r="QI176" s="82"/>
      <c r="QJ176" s="82"/>
      <c r="QK176" s="82"/>
      <c r="QL176" s="82"/>
      <c r="QM176" s="82"/>
      <c r="QN176" s="82"/>
      <c r="QO176" s="82"/>
      <c r="QP176" s="82"/>
      <c r="QQ176" s="82"/>
      <c r="QR176" s="82"/>
      <c r="QS176" s="82"/>
      <c r="QT176" s="82"/>
      <c r="QU176" s="82"/>
      <c r="QV176" s="82"/>
      <c r="QW176" s="82"/>
      <c r="QX176" s="82"/>
      <c r="QY176" s="82"/>
      <c r="QZ176" s="82"/>
      <c r="RA176" s="82"/>
      <c r="RB176" s="82"/>
      <c r="RC176" s="82"/>
      <c r="RD176" s="82"/>
      <c r="RE176" s="82"/>
      <c r="RF176" s="82"/>
      <c r="RG176" s="82"/>
      <c r="RH176" s="82"/>
      <c r="RI176" s="82"/>
      <c r="RJ176" s="82"/>
      <c r="RK176" s="82"/>
      <c r="RL176" s="82"/>
      <c r="RM176" s="82"/>
      <c r="RN176" s="82"/>
      <c r="RO176" s="82"/>
      <c r="RP176" s="82"/>
      <c r="RQ176" s="82"/>
      <c r="RR176" s="82"/>
      <c r="RS176" s="82"/>
      <c r="RT176" s="82"/>
      <c r="RU176" s="82"/>
      <c r="RV176" s="82"/>
      <c r="RW176" s="82"/>
      <c r="RX176" s="82"/>
      <c r="RY176" s="82"/>
      <c r="RZ176" s="82"/>
      <c r="SA176" s="82"/>
      <c r="SB176" s="82"/>
      <c r="SC176" s="82"/>
      <c r="SD176" s="82"/>
      <c r="SE176" s="82"/>
      <c r="SF176" s="82"/>
      <c r="SG176" s="82"/>
      <c r="SH176" s="82"/>
      <c r="SI176" s="82"/>
      <c r="SJ176" s="82"/>
      <c r="SK176" s="82"/>
      <c r="SL176" s="82"/>
      <c r="SM176" s="82"/>
      <c r="SN176" s="82"/>
      <c r="SO176" s="82"/>
      <c r="SP176" s="82"/>
      <c r="SQ176" s="82"/>
      <c r="SR176" s="82"/>
      <c r="SS176" s="82"/>
      <c r="ST176" s="82"/>
      <c r="SU176" s="82"/>
      <c r="SV176" s="82"/>
      <c r="SW176" s="82"/>
      <c r="SX176" s="82"/>
      <c r="SY176" s="82"/>
      <c r="SZ176" s="82"/>
      <c r="TA176" s="82"/>
      <c r="TB176" s="82"/>
      <c r="TC176" s="82"/>
      <c r="TD176" s="82"/>
      <c r="TE176" s="82"/>
      <c r="TF176" s="82"/>
      <c r="TG176" s="82"/>
      <c r="TH176" s="82"/>
      <c r="TI176" s="82"/>
      <c r="TJ176" s="82"/>
      <c r="TK176" s="82"/>
      <c r="TL176" s="82"/>
      <c r="TM176" s="82"/>
      <c r="TN176" s="82"/>
      <c r="TO176" s="82"/>
      <c r="TP176" s="82"/>
      <c r="TQ176" s="82"/>
      <c r="TR176" s="82"/>
      <c r="TS176" s="82"/>
      <c r="TT176" s="82"/>
      <c r="TU176" s="82"/>
      <c r="TV176" s="82"/>
      <c r="TW176" s="82"/>
      <c r="TX176" s="82"/>
      <c r="TY176" s="82"/>
      <c r="TZ176" s="82"/>
      <c r="UA176" s="82"/>
      <c r="UB176" s="82"/>
      <c r="UC176" s="82"/>
      <c r="UD176" s="82"/>
      <c r="UE176" s="82"/>
      <c r="UF176" s="82"/>
      <c r="UG176" s="82"/>
      <c r="UH176" s="82"/>
      <c r="UI176" s="82"/>
      <c r="UJ176" s="82"/>
      <c r="UK176" s="82"/>
      <c r="UL176" s="82"/>
      <c r="UM176" s="82"/>
      <c r="UN176" s="82"/>
      <c r="UO176" s="82"/>
      <c r="UP176" s="82"/>
      <c r="UQ176" s="82"/>
      <c r="UR176" s="82"/>
      <c r="US176" s="82"/>
      <c r="UT176" s="82"/>
      <c r="UU176" s="82"/>
      <c r="UV176" s="82"/>
      <c r="UW176" s="82"/>
      <c r="UX176" s="82"/>
      <c r="UY176" s="82"/>
      <c r="UZ176" s="82"/>
      <c r="VA176" s="82"/>
      <c r="VB176" s="82"/>
      <c r="VC176" s="82"/>
      <c r="VD176" s="82"/>
      <c r="VE176" s="82"/>
      <c r="VF176" s="82"/>
      <c r="VG176" s="82"/>
      <c r="VH176" s="82"/>
      <c r="VI176" s="82"/>
      <c r="VJ176" s="82"/>
      <c r="VK176" s="82"/>
      <c r="VL176" s="82"/>
      <c r="VM176" s="82"/>
      <c r="VN176" s="82"/>
      <c r="VO176" s="82"/>
      <c r="VP176" s="82"/>
      <c r="VQ176" s="82"/>
      <c r="VR176" s="82"/>
      <c r="VS176" s="82"/>
      <c r="VT176" s="82"/>
      <c r="VU176" s="82"/>
      <c r="VV176" s="82"/>
      <c r="VW176" s="82"/>
      <c r="VX176" s="82"/>
      <c r="VY176" s="82"/>
      <c r="VZ176" s="82"/>
      <c r="WA176" s="82"/>
      <c r="WB176" s="82"/>
      <c r="WC176" s="82"/>
      <c r="WD176" s="82"/>
      <c r="WE176" s="82"/>
      <c r="WF176" s="82"/>
      <c r="WG176" s="82"/>
      <c r="WH176" s="82"/>
      <c r="WI176" s="82"/>
      <c r="WJ176" s="82"/>
      <c r="WK176" s="82"/>
      <c r="WL176" s="82"/>
      <c r="WM176" s="82"/>
      <c r="WN176" s="82"/>
      <c r="WO176" s="82"/>
      <c r="WP176" s="82"/>
      <c r="WQ176" s="82"/>
      <c r="WR176" s="82"/>
      <c r="WS176" s="82"/>
      <c r="WT176" s="82"/>
      <c r="WU176" s="82"/>
      <c r="WV176" s="82"/>
      <c r="WW176" s="82"/>
      <c r="WX176" s="82"/>
      <c r="WY176" s="82"/>
      <c r="WZ176" s="82"/>
      <c r="XA176" s="82"/>
      <c r="XB176" s="82"/>
      <c r="XC176" s="82"/>
      <c r="XD176" s="82"/>
      <c r="XE176" s="82"/>
      <c r="XF176" s="82"/>
      <c r="XG176" s="82"/>
      <c r="XH176" s="82"/>
      <c r="XI176" s="82"/>
      <c r="XJ176" s="82"/>
      <c r="XK176" s="82"/>
      <c r="XL176" s="82"/>
      <c r="XM176" s="82"/>
      <c r="XN176" s="82"/>
      <c r="XO176" s="82"/>
      <c r="XP176" s="82"/>
      <c r="XQ176" s="82"/>
      <c r="XR176" s="82"/>
      <c r="XS176" s="82"/>
      <c r="XT176" s="82"/>
      <c r="XU176" s="82"/>
      <c r="XV176" s="82"/>
      <c r="XW176" s="82"/>
      <c r="XX176" s="82"/>
      <c r="XY176" s="82"/>
      <c r="XZ176" s="82"/>
      <c r="YA176" s="82"/>
      <c r="YB176" s="82"/>
      <c r="YC176" s="82"/>
      <c r="YD176" s="82"/>
      <c r="YE176" s="82"/>
      <c r="YF176" s="82"/>
      <c r="YG176" s="82"/>
      <c r="YH176" s="82"/>
      <c r="YI176" s="82"/>
      <c r="YJ176" s="82"/>
      <c r="YK176" s="82"/>
      <c r="YL176" s="82"/>
      <c r="YM176" s="82"/>
      <c r="YN176" s="82"/>
      <c r="YO176" s="82"/>
      <c r="YP176" s="82"/>
      <c r="YQ176" s="82"/>
      <c r="YR176" s="82"/>
      <c r="YS176" s="82"/>
      <c r="YT176" s="82"/>
      <c r="YU176" s="82"/>
      <c r="YV176" s="82"/>
      <c r="YW176" s="82"/>
      <c r="YX176" s="82"/>
      <c r="YY176" s="82"/>
      <c r="YZ176" s="82"/>
      <c r="ZA176" s="82"/>
      <c r="ZB176" s="82"/>
      <c r="ZC176" s="82"/>
      <c r="ZD176" s="82"/>
      <c r="ZE176" s="82"/>
      <c r="ZF176" s="82"/>
      <c r="ZG176" s="82"/>
      <c r="ZH176" s="82"/>
      <c r="ZI176" s="82"/>
      <c r="ZJ176" s="82"/>
      <c r="ZK176" s="82"/>
      <c r="ZL176" s="82"/>
      <c r="ZM176" s="82"/>
      <c r="ZN176" s="82"/>
      <c r="ZO176" s="82"/>
      <c r="ZP176" s="82"/>
      <c r="ZQ176" s="82"/>
      <c r="ZR176" s="82"/>
      <c r="ZS176" s="82"/>
      <c r="ZT176" s="82"/>
      <c r="ZU176" s="82"/>
      <c r="ZV176" s="82"/>
      <c r="ZW176" s="82"/>
      <c r="ZX176" s="82"/>
      <c r="ZY176" s="82"/>
      <c r="ZZ176" s="82"/>
      <c r="AAA176" s="82"/>
      <c r="AAB176" s="82"/>
      <c r="AAC176" s="82"/>
      <c r="AAD176" s="82"/>
      <c r="AAE176" s="82"/>
      <c r="AAF176" s="82"/>
      <c r="AAG176" s="82"/>
      <c r="AAH176" s="82"/>
      <c r="AAI176" s="82"/>
      <c r="AAJ176" s="82"/>
      <c r="AAK176" s="82"/>
      <c r="AAL176" s="82"/>
      <c r="AAM176" s="82"/>
      <c r="AAN176" s="82"/>
      <c r="AAO176" s="82"/>
      <c r="AAP176" s="82"/>
      <c r="AAQ176" s="82"/>
      <c r="AAR176" s="82"/>
      <c r="AAS176" s="82"/>
      <c r="AAT176" s="82"/>
      <c r="AAU176" s="82"/>
      <c r="AAV176" s="82"/>
      <c r="AAW176" s="82"/>
      <c r="AAX176" s="82"/>
      <c r="AAY176" s="82"/>
      <c r="AAZ176" s="82"/>
      <c r="ABA176" s="82"/>
      <c r="ABB176" s="82"/>
      <c r="ABC176" s="82"/>
      <c r="ABD176" s="82"/>
      <c r="ABE176" s="82"/>
      <c r="ABF176" s="82"/>
      <c r="ABG176" s="82"/>
      <c r="ABH176" s="82"/>
      <c r="ABI176" s="82"/>
      <c r="ABJ176" s="82"/>
      <c r="ABK176" s="82"/>
      <c r="ABL176" s="82"/>
      <c r="ABM176" s="82"/>
      <c r="ABN176" s="82"/>
      <c r="ABO176" s="82"/>
      <c r="ABP176" s="82"/>
      <c r="ABQ176" s="82"/>
      <c r="ABR176" s="82"/>
      <c r="ABS176" s="82"/>
      <c r="ABT176" s="82"/>
      <c r="ABU176" s="82"/>
      <c r="ABV176" s="82"/>
      <c r="ABW176" s="82"/>
      <c r="ABX176" s="82"/>
      <c r="ABY176" s="82"/>
      <c r="ABZ176" s="82"/>
      <c r="ACA176" s="82"/>
      <c r="ACB176" s="82"/>
      <c r="ACC176" s="82"/>
      <c r="ACD176" s="82"/>
      <c r="ACE176" s="82"/>
      <c r="ACF176" s="82"/>
      <c r="ACG176" s="82"/>
      <c r="ACH176" s="82"/>
      <c r="ACI176" s="82"/>
      <c r="ACJ176" s="82"/>
      <c r="ACK176" s="82"/>
      <c r="ACL176" s="82"/>
      <c r="ACM176" s="82"/>
      <c r="ACN176" s="82"/>
      <c r="ACO176" s="82"/>
      <c r="ACP176" s="82"/>
      <c r="ACQ176" s="82"/>
      <c r="ACR176" s="82"/>
      <c r="ACS176" s="82"/>
      <c r="ACT176" s="82"/>
      <c r="ACU176" s="82"/>
      <c r="ACV176" s="82"/>
      <c r="ACW176" s="82"/>
      <c r="ACX176" s="82"/>
      <c r="ACY176" s="82"/>
      <c r="ACZ176" s="82"/>
      <c r="ADA176" s="82"/>
      <c r="ADB176" s="82"/>
      <c r="ADC176" s="82"/>
      <c r="ADD176" s="82"/>
      <c r="ADE176" s="82"/>
      <c r="ADF176" s="82"/>
      <c r="ADG176" s="82"/>
      <c r="ADH176" s="82"/>
      <c r="ADI176" s="82"/>
      <c r="ADJ176" s="82"/>
      <c r="ADK176" s="82"/>
      <c r="ADL176" s="82"/>
      <c r="ADM176" s="82"/>
      <c r="ADN176" s="82"/>
      <c r="ADO176" s="82"/>
      <c r="ADP176" s="82"/>
      <c r="ADQ176" s="82"/>
      <c r="ADR176" s="82"/>
      <c r="ADS176" s="82"/>
      <c r="ADT176" s="82"/>
      <c r="ADU176" s="82"/>
      <c r="ADV176" s="82"/>
      <c r="ADW176" s="82"/>
      <c r="ADX176" s="82"/>
      <c r="ADY176" s="82"/>
      <c r="ADZ176" s="82"/>
      <c r="AEA176" s="82"/>
      <c r="AEB176" s="82"/>
      <c r="AEC176" s="82"/>
      <c r="AED176" s="82"/>
      <c r="AEE176" s="82"/>
      <c r="AEF176" s="82"/>
      <c r="AEG176" s="82"/>
      <c r="AEH176" s="82"/>
      <c r="AEI176" s="82"/>
      <c r="AEJ176" s="82"/>
      <c r="AEK176" s="82"/>
      <c r="AEL176" s="82"/>
      <c r="AEM176" s="82"/>
      <c r="AEN176" s="82"/>
      <c r="AEO176" s="82"/>
      <c r="AEP176" s="82"/>
      <c r="AEQ176" s="82"/>
      <c r="AER176" s="82"/>
      <c r="AES176" s="82"/>
      <c r="AET176" s="82"/>
      <c r="AEU176" s="82"/>
      <c r="AEV176" s="82"/>
      <c r="AEW176" s="82"/>
      <c r="AEX176" s="82"/>
      <c r="AEY176" s="82"/>
      <c r="AEZ176" s="82"/>
      <c r="AFA176" s="82"/>
      <c r="AFB176" s="82"/>
      <c r="AFC176" s="82"/>
      <c r="AFD176" s="82"/>
      <c r="AFE176" s="82"/>
      <c r="AFF176" s="82"/>
      <c r="AFG176" s="82"/>
      <c r="AFH176" s="82"/>
      <c r="AFI176" s="82"/>
      <c r="AFJ176" s="82"/>
      <c r="AFK176" s="82"/>
      <c r="AFL176" s="82"/>
      <c r="AFM176" s="82"/>
      <c r="AFN176" s="82"/>
      <c r="AFO176" s="82"/>
      <c r="AFP176" s="82"/>
      <c r="AFQ176" s="82"/>
      <c r="AFR176" s="82"/>
      <c r="AFS176" s="82"/>
      <c r="AFT176" s="82"/>
      <c r="AFU176" s="82"/>
      <c r="AFV176" s="82"/>
      <c r="AFW176" s="82"/>
      <c r="AFX176" s="82"/>
      <c r="AFY176" s="82"/>
      <c r="AFZ176" s="82"/>
      <c r="AGA176" s="82"/>
      <c r="AGB176" s="82"/>
      <c r="AGC176" s="82"/>
      <c r="AGD176" s="82"/>
      <c r="AGE176" s="82"/>
      <c r="AGF176" s="82"/>
      <c r="AGG176" s="82"/>
      <c r="AGH176" s="82"/>
      <c r="AGI176" s="82"/>
      <c r="AGJ176" s="82"/>
      <c r="AGK176" s="82"/>
      <c r="AGL176" s="82"/>
      <c r="AGM176" s="82"/>
      <c r="AGN176" s="82"/>
      <c r="AGO176" s="82"/>
      <c r="AGP176" s="82"/>
      <c r="AGQ176" s="82"/>
      <c r="AGR176" s="82"/>
      <c r="AGS176" s="82"/>
      <c r="AGT176" s="82"/>
      <c r="AGU176" s="82"/>
      <c r="AGV176" s="82"/>
      <c r="AGW176" s="82"/>
      <c r="AGX176" s="82"/>
      <c r="AGY176" s="82"/>
      <c r="AGZ176" s="82"/>
      <c r="AHA176" s="82"/>
      <c r="AHB176" s="82"/>
      <c r="AHC176" s="82"/>
      <c r="AHD176" s="82"/>
      <c r="AHE176" s="82"/>
      <c r="AHF176" s="82"/>
      <c r="AHG176" s="82"/>
      <c r="AHH176" s="82"/>
      <c r="AHI176" s="82"/>
      <c r="AHJ176" s="82"/>
      <c r="AHK176" s="82"/>
      <c r="AHL176" s="82"/>
      <c r="AHM176" s="82"/>
      <c r="AHN176" s="82"/>
      <c r="AHO176" s="82"/>
      <c r="AHP176" s="82"/>
      <c r="AHQ176" s="82"/>
      <c r="AHR176" s="82"/>
      <c r="AHS176" s="82"/>
      <c r="AHT176" s="82"/>
      <c r="AHU176" s="82"/>
      <c r="AHV176" s="82"/>
      <c r="AHW176" s="82"/>
      <c r="AHX176" s="82"/>
      <c r="AHY176" s="82"/>
      <c r="AHZ176" s="82"/>
      <c r="AIA176" s="82"/>
      <c r="AIB176" s="82"/>
      <c r="AIC176" s="82"/>
      <c r="AID176" s="82"/>
      <c r="AIE176" s="82"/>
      <c r="AIF176" s="82"/>
      <c r="AIG176" s="82"/>
      <c r="AIH176" s="82"/>
    </row>
    <row r="177" spans="1:918" ht="22.5" x14ac:dyDescent="0.2">
      <c r="B177" s="104" t="s">
        <v>169</v>
      </c>
      <c r="C177" s="91" t="s">
        <v>383</v>
      </c>
      <c r="D177" s="76"/>
      <c r="E177" s="76"/>
      <c r="F177" s="76"/>
      <c r="G177" s="76"/>
      <c r="H177" s="76">
        <v>1</v>
      </c>
      <c r="I177" s="76"/>
      <c r="J177" s="76"/>
      <c r="K177" s="76"/>
      <c r="L177" s="82"/>
      <c r="M177" s="82"/>
      <c r="N177" s="82"/>
      <c r="O177" s="82"/>
      <c r="P177" s="82"/>
      <c r="Q177" s="82"/>
      <c r="R177" s="82"/>
      <c r="S177" s="82"/>
      <c r="T177" s="82"/>
      <c r="U177" s="82"/>
      <c r="V177" s="82"/>
      <c r="W177" s="82"/>
      <c r="X177" s="82"/>
      <c r="Y177" s="82"/>
      <c r="Z177" s="82"/>
      <c r="AA177" s="82"/>
      <c r="AB177" s="82"/>
      <c r="AC177" s="82"/>
    </row>
    <row r="178" spans="1:918" s="99" customFormat="1" x14ac:dyDescent="0.2">
      <c r="A178" s="98"/>
      <c r="B178" s="109"/>
      <c r="C178" s="110"/>
      <c r="D178" s="101"/>
      <c r="E178" s="101"/>
      <c r="F178" s="101"/>
      <c r="G178" s="101"/>
      <c r="H178" s="101"/>
      <c r="I178" s="101"/>
      <c r="J178" s="101"/>
      <c r="K178" s="101"/>
      <c r="L178" s="82"/>
      <c r="M178" s="82"/>
      <c r="N178" s="82"/>
      <c r="O178" s="82"/>
      <c r="P178" s="82"/>
      <c r="Q178" s="82"/>
      <c r="R178" s="82"/>
      <c r="S178" s="82"/>
      <c r="T178" s="82"/>
      <c r="U178" s="82"/>
      <c r="V178" s="82"/>
      <c r="W178" s="82"/>
      <c r="X178" s="82"/>
      <c r="Y178" s="82"/>
      <c r="Z178" s="82"/>
      <c r="AA178" s="82"/>
      <c r="AB178" s="82"/>
      <c r="AC178" s="82"/>
      <c r="AD178" s="82"/>
      <c r="AE178" s="82"/>
      <c r="AF178" s="82"/>
      <c r="AG178" s="82"/>
      <c r="AH178" s="82"/>
      <c r="AI178" s="82"/>
      <c r="AJ178" s="82"/>
      <c r="AK178" s="82"/>
      <c r="AL178" s="82"/>
      <c r="AM178" s="82"/>
      <c r="AN178" s="82"/>
      <c r="AO178" s="82"/>
      <c r="AP178" s="82"/>
      <c r="AQ178" s="82"/>
      <c r="AR178" s="82"/>
      <c r="AS178" s="82"/>
      <c r="AT178" s="82"/>
      <c r="AU178" s="82"/>
      <c r="AV178" s="82"/>
      <c r="AW178" s="82"/>
      <c r="AX178" s="82"/>
      <c r="AY178" s="82"/>
      <c r="AZ178" s="82"/>
      <c r="BA178" s="82"/>
      <c r="BB178" s="82"/>
      <c r="BC178" s="82"/>
      <c r="BD178" s="82"/>
      <c r="BE178" s="82"/>
      <c r="BF178" s="82"/>
      <c r="BG178" s="82"/>
      <c r="BH178" s="82"/>
      <c r="BI178" s="82"/>
      <c r="BJ178" s="82"/>
      <c r="BK178" s="82"/>
      <c r="BL178" s="82"/>
      <c r="BM178" s="82"/>
      <c r="BN178" s="82"/>
      <c r="BO178" s="82"/>
      <c r="BP178" s="82"/>
      <c r="BQ178" s="82"/>
      <c r="BR178" s="82"/>
      <c r="BS178" s="82"/>
      <c r="BT178" s="82"/>
      <c r="BU178" s="82"/>
      <c r="BV178" s="82"/>
      <c r="BW178" s="82"/>
      <c r="BX178" s="82"/>
      <c r="BY178" s="82"/>
      <c r="BZ178" s="82"/>
      <c r="CA178" s="82"/>
      <c r="CB178" s="82"/>
      <c r="CC178" s="82"/>
      <c r="CD178" s="82"/>
      <c r="CE178" s="82"/>
      <c r="CF178" s="82"/>
      <c r="CG178" s="82"/>
      <c r="CH178" s="82"/>
      <c r="CI178" s="82"/>
      <c r="CJ178" s="82"/>
      <c r="CK178" s="82"/>
      <c r="CL178" s="82"/>
      <c r="CM178" s="82"/>
      <c r="CN178" s="82"/>
      <c r="CO178" s="82"/>
      <c r="CP178" s="82"/>
      <c r="CQ178" s="82"/>
      <c r="CR178" s="82"/>
      <c r="CS178" s="82"/>
      <c r="CT178" s="82"/>
      <c r="CU178" s="82"/>
      <c r="CV178" s="82"/>
      <c r="CW178" s="82"/>
      <c r="CX178" s="82"/>
      <c r="CY178" s="82"/>
      <c r="CZ178" s="82"/>
      <c r="DA178" s="82"/>
      <c r="DB178" s="82"/>
      <c r="DC178" s="82"/>
      <c r="DD178" s="82"/>
      <c r="DE178" s="82"/>
      <c r="DF178" s="82"/>
      <c r="DG178" s="82"/>
      <c r="DH178" s="82"/>
      <c r="DI178" s="82"/>
      <c r="DJ178" s="82"/>
      <c r="DK178" s="82"/>
      <c r="DL178" s="82"/>
      <c r="DM178" s="82"/>
      <c r="DN178" s="82"/>
      <c r="DO178" s="82"/>
      <c r="DP178" s="82"/>
      <c r="DQ178" s="82"/>
      <c r="DR178" s="82"/>
      <c r="DS178" s="82"/>
      <c r="DT178" s="82"/>
      <c r="DU178" s="82"/>
      <c r="DV178" s="82"/>
      <c r="DW178" s="82"/>
      <c r="DX178" s="82"/>
      <c r="DY178" s="82"/>
      <c r="DZ178" s="82"/>
      <c r="EA178" s="82"/>
      <c r="EB178" s="82"/>
      <c r="EC178" s="82"/>
      <c r="ED178" s="82"/>
      <c r="EE178" s="82"/>
      <c r="EF178" s="82"/>
      <c r="EG178" s="82"/>
      <c r="EH178" s="82"/>
      <c r="EI178" s="82"/>
      <c r="EJ178" s="82"/>
      <c r="EK178" s="82"/>
      <c r="EL178" s="82"/>
      <c r="EM178" s="82"/>
      <c r="EN178" s="82"/>
      <c r="EO178" s="82"/>
      <c r="EP178" s="82"/>
      <c r="EQ178" s="82"/>
      <c r="ER178" s="82"/>
      <c r="ES178" s="82"/>
      <c r="ET178" s="82"/>
      <c r="EU178" s="82"/>
      <c r="EV178" s="82"/>
      <c r="EW178" s="82"/>
      <c r="EX178" s="82"/>
      <c r="EY178" s="82"/>
      <c r="EZ178" s="82"/>
      <c r="FA178" s="82"/>
      <c r="FB178" s="82"/>
      <c r="FC178" s="82"/>
      <c r="FD178" s="82"/>
      <c r="FE178" s="82"/>
      <c r="FF178" s="82"/>
      <c r="FG178" s="82"/>
      <c r="FH178" s="82"/>
      <c r="FI178" s="82"/>
      <c r="FJ178" s="82"/>
      <c r="FK178" s="82"/>
      <c r="FL178" s="82"/>
      <c r="FM178" s="82"/>
      <c r="FN178" s="82"/>
      <c r="FO178" s="82"/>
      <c r="FP178" s="82"/>
      <c r="FQ178" s="82"/>
      <c r="FR178" s="82"/>
      <c r="FS178" s="82"/>
      <c r="FT178" s="82"/>
      <c r="FU178" s="82"/>
      <c r="FV178" s="82"/>
      <c r="FW178" s="82"/>
      <c r="FX178" s="82"/>
      <c r="FY178" s="82"/>
      <c r="FZ178" s="82"/>
      <c r="GA178" s="82"/>
      <c r="GB178" s="82"/>
      <c r="GC178" s="82"/>
      <c r="GD178" s="82"/>
      <c r="GE178" s="82"/>
      <c r="GF178" s="82"/>
      <c r="GG178" s="82"/>
      <c r="GH178" s="82"/>
      <c r="GI178" s="82"/>
      <c r="GJ178" s="82"/>
      <c r="GK178" s="82"/>
      <c r="GL178" s="82"/>
      <c r="GM178" s="82"/>
      <c r="GN178" s="82"/>
      <c r="GO178" s="82"/>
      <c r="GP178" s="82"/>
      <c r="GQ178" s="82"/>
      <c r="GR178" s="82"/>
      <c r="GS178" s="82"/>
      <c r="GT178" s="82"/>
      <c r="GU178" s="82"/>
      <c r="GV178" s="82"/>
      <c r="GW178" s="82"/>
      <c r="GX178" s="82"/>
      <c r="GY178" s="82"/>
      <c r="GZ178" s="82"/>
      <c r="HA178" s="82"/>
      <c r="HB178" s="82"/>
      <c r="HC178" s="82"/>
      <c r="HD178" s="82"/>
      <c r="HE178" s="82"/>
      <c r="HF178" s="82"/>
      <c r="HG178" s="82"/>
      <c r="HH178" s="82"/>
      <c r="HI178" s="82"/>
      <c r="HJ178" s="82"/>
      <c r="HK178" s="82"/>
      <c r="HL178" s="82"/>
      <c r="HM178" s="82"/>
      <c r="HN178" s="82"/>
      <c r="HO178" s="82"/>
      <c r="HP178" s="82"/>
      <c r="HQ178" s="82"/>
      <c r="HR178" s="82"/>
      <c r="HS178" s="82"/>
      <c r="HT178" s="82"/>
      <c r="HU178" s="82"/>
      <c r="HV178" s="82"/>
      <c r="HW178" s="82"/>
      <c r="HX178" s="82"/>
      <c r="HY178" s="82"/>
      <c r="HZ178" s="82"/>
      <c r="IA178" s="82"/>
      <c r="IB178" s="82"/>
      <c r="IC178" s="82"/>
      <c r="ID178" s="82"/>
      <c r="IE178" s="82"/>
      <c r="IF178" s="82"/>
      <c r="IG178" s="82"/>
      <c r="IH178" s="82"/>
      <c r="II178" s="82"/>
      <c r="IJ178" s="82"/>
      <c r="IK178" s="82"/>
      <c r="IL178" s="82"/>
      <c r="IM178" s="82"/>
      <c r="IN178" s="82"/>
      <c r="IO178" s="82"/>
      <c r="IP178" s="82"/>
      <c r="IQ178" s="82"/>
      <c r="IR178" s="82"/>
      <c r="IS178" s="82"/>
      <c r="IT178" s="82"/>
      <c r="IU178" s="82"/>
      <c r="IV178" s="82"/>
      <c r="IW178" s="82"/>
      <c r="IX178" s="82"/>
      <c r="IY178" s="82"/>
      <c r="IZ178" s="82"/>
      <c r="JA178" s="82"/>
      <c r="JB178" s="82"/>
      <c r="JC178" s="82"/>
      <c r="JD178" s="82"/>
      <c r="JE178" s="82"/>
      <c r="JF178" s="82"/>
      <c r="JG178" s="82"/>
      <c r="JH178" s="82"/>
      <c r="JI178" s="82"/>
      <c r="JJ178" s="82"/>
      <c r="JK178" s="82"/>
      <c r="JL178" s="82"/>
      <c r="JM178" s="82"/>
      <c r="JN178" s="82"/>
      <c r="JO178" s="82"/>
      <c r="JP178" s="82"/>
      <c r="JQ178" s="82"/>
      <c r="JR178" s="82"/>
      <c r="JS178" s="82"/>
      <c r="JT178" s="82"/>
      <c r="JU178" s="82"/>
      <c r="JV178" s="82"/>
      <c r="JW178" s="82"/>
      <c r="JX178" s="82"/>
      <c r="JY178" s="82"/>
      <c r="JZ178" s="82"/>
      <c r="KA178" s="82"/>
      <c r="KB178" s="82"/>
      <c r="KC178" s="82"/>
      <c r="KD178" s="82"/>
      <c r="KE178" s="82"/>
      <c r="KF178" s="82"/>
      <c r="KG178" s="82"/>
      <c r="KH178" s="82"/>
      <c r="KI178" s="82"/>
      <c r="KJ178" s="82"/>
      <c r="KK178" s="82"/>
      <c r="KL178" s="82"/>
      <c r="KM178" s="82"/>
      <c r="KN178" s="82"/>
      <c r="KO178" s="82"/>
      <c r="KP178" s="82"/>
      <c r="KQ178" s="82"/>
      <c r="KR178" s="82"/>
      <c r="KS178" s="82"/>
      <c r="KT178" s="82"/>
      <c r="KU178" s="82"/>
      <c r="KV178" s="82"/>
      <c r="KW178" s="82"/>
      <c r="KX178" s="82"/>
      <c r="KY178" s="82"/>
      <c r="KZ178" s="82"/>
      <c r="LA178" s="82"/>
      <c r="LB178" s="82"/>
      <c r="LC178" s="82"/>
      <c r="LD178" s="82"/>
      <c r="LE178" s="82"/>
      <c r="LF178" s="82"/>
      <c r="LG178" s="82"/>
      <c r="LH178" s="82"/>
      <c r="LI178" s="82"/>
      <c r="LJ178" s="82"/>
      <c r="LK178" s="82"/>
      <c r="LL178" s="82"/>
      <c r="LM178" s="82"/>
      <c r="LN178" s="82"/>
      <c r="LO178" s="82"/>
      <c r="LP178" s="82"/>
      <c r="LQ178" s="82"/>
      <c r="LR178" s="82"/>
      <c r="LS178" s="82"/>
      <c r="LT178" s="82"/>
      <c r="LU178" s="82"/>
      <c r="LV178" s="82"/>
      <c r="LW178" s="82"/>
      <c r="LX178" s="82"/>
      <c r="LY178" s="82"/>
      <c r="LZ178" s="82"/>
      <c r="MA178" s="82"/>
      <c r="MB178" s="82"/>
      <c r="MC178" s="82"/>
      <c r="MD178" s="82"/>
      <c r="ME178" s="82"/>
      <c r="MF178" s="82"/>
      <c r="MG178" s="82"/>
      <c r="MH178" s="82"/>
      <c r="MI178" s="82"/>
      <c r="MJ178" s="82"/>
      <c r="MK178" s="82"/>
      <c r="ML178" s="82"/>
      <c r="MM178" s="82"/>
      <c r="MN178" s="82"/>
      <c r="MO178" s="82"/>
      <c r="MP178" s="82"/>
      <c r="MQ178" s="82"/>
      <c r="MR178" s="82"/>
      <c r="MS178" s="82"/>
      <c r="MT178" s="82"/>
      <c r="MU178" s="82"/>
      <c r="MV178" s="82"/>
      <c r="MW178" s="82"/>
      <c r="MX178" s="82"/>
      <c r="MY178" s="82"/>
      <c r="MZ178" s="82"/>
      <c r="NA178" s="82"/>
      <c r="NB178" s="82"/>
      <c r="NC178" s="82"/>
      <c r="ND178" s="82"/>
      <c r="NE178" s="82"/>
      <c r="NF178" s="82"/>
      <c r="NG178" s="82"/>
      <c r="NH178" s="82"/>
      <c r="NI178" s="82"/>
      <c r="NJ178" s="82"/>
      <c r="NK178" s="82"/>
      <c r="NL178" s="82"/>
      <c r="NM178" s="82"/>
      <c r="NN178" s="82"/>
      <c r="NO178" s="82"/>
      <c r="NP178" s="82"/>
      <c r="NQ178" s="82"/>
      <c r="NR178" s="82"/>
      <c r="NS178" s="82"/>
      <c r="NT178" s="82"/>
      <c r="NU178" s="82"/>
      <c r="NV178" s="82"/>
      <c r="NW178" s="82"/>
      <c r="NX178" s="82"/>
      <c r="NY178" s="82"/>
      <c r="NZ178" s="82"/>
      <c r="OA178" s="82"/>
      <c r="OB178" s="82"/>
      <c r="OC178" s="82"/>
      <c r="OD178" s="82"/>
      <c r="OE178" s="82"/>
      <c r="OF178" s="82"/>
      <c r="OG178" s="82"/>
      <c r="OH178" s="82"/>
      <c r="OI178" s="82"/>
      <c r="OJ178" s="82"/>
      <c r="OK178" s="82"/>
      <c r="OL178" s="82"/>
      <c r="OM178" s="82"/>
      <c r="ON178" s="82"/>
      <c r="OO178" s="82"/>
      <c r="OP178" s="82"/>
      <c r="OQ178" s="82"/>
      <c r="OR178" s="82"/>
      <c r="OS178" s="82"/>
      <c r="OT178" s="82"/>
      <c r="OU178" s="82"/>
      <c r="OV178" s="82"/>
      <c r="OW178" s="82"/>
      <c r="OX178" s="82"/>
      <c r="OY178" s="82"/>
      <c r="OZ178" s="82"/>
      <c r="PA178" s="82"/>
      <c r="PB178" s="82"/>
      <c r="PC178" s="82"/>
      <c r="PD178" s="82"/>
      <c r="PE178" s="82"/>
      <c r="PF178" s="82"/>
      <c r="PG178" s="82"/>
      <c r="PH178" s="82"/>
      <c r="PI178" s="82"/>
      <c r="PJ178" s="82"/>
      <c r="PK178" s="82"/>
      <c r="PL178" s="82"/>
      <c r="PM178" s="82"/>
      <c r="PN178" s="82"/>
      <c r="PO178" s="82"/>
      <c r="PP178" s="82"/>
      <c r="PQ178" s="82"/>
      <c r="PR178" s="82"/>
      <c r="PS178" s="82"/>
      <c r="PT178" s="82"/>
      <c r="PU178" s="82"/>
      <c r="PV178" s="82"/>
      <c r="PW178" s="82"/>
      <c r="PX178" s="82"/>
      <c r="PY178" s="82"/>
      <c r="PZ178" s="82"/>
      <c r="QA178" s="82"/>
      <c r="QB178" s="82"/>
      <c r="QC178" s="82"/>
      <c r="QD178" s="82"/>
      <c r="QE178" s="82"/>
      <c r="QF178" s="82"/>
      <c r="QG178" s="82"/>
      <c r="QH178" s="82"/>
      <c r="QI178" s="82"/>
      <c r="QJ178" s="82"/>
      <c r="QK178" s="82"/>
      <c r="QL178" s="82"/>
      <c r="QM178" s="82"/>
      <c r="QN178" s="82"/>
      <c r="QO178" s="82"/>
      <c r="QP178" s="82"/>
      <c r="QQ178" s="82"/>
      <c r="QR178" s="82"/>
      <c r="QS178" s="82"/>
      <c r="QT178" s="82"/>
      <c r="QU178" s="82"/>
      <c r="QV178" s="82"/>
      <c r="QW178" s="82"/>
      <c r="QX178" s="82"/>
      <c r="QY178" s="82"/>
      <c r="QZ178" s="82"/>
      <c r="RA178" s="82"/>
      <c r="RB178" s="82"/>
      <c r="RC178" s="82"/>
      <c r="RD178" s="82"/>
      <c r="RE178" s="82"/>
      <c r="RF178" s="82"/>
      <c r="RG178" s="82"/>
      <c r="RH178" s="82"/>
      <c r="RI178" s="82"/>
      <c r="RJ178" s="82"/>
      <c r="RK178" s="82"/>
      <c r="RL178" s="82"/>
      <c r="RM178" s="82"/>
      <c r="RN178" s="82"/>
      <c r="RO178" s="82"/>
      <c r="RP178" s="82"/>
      <c r="RQ178" s="82"/>
      <c r="RR178" s="82"/>
      <c r="RS178" s="82"/>
      <c r="RT178" s="82"/>
      <c r="RU178" s="82"/>
      <c r="RV178" s="82"/>
      <c r="RW178" s="82"/>
      <c r="RX178" s="82"/>
      <c r="RY178" s="82"/>
      <c r="RZ178" s="82"/>
      <c r="SA178" s="82"/>
      <c r="SB178" s="82"/>
      <c r="SC178" s="82"/>
      <c r="SD178" s="82"/>
      <c r="SE178" s="82"/>
      <c r="SF178" s="82"/>
      <c r="SG178" s="82"/>
      <c r="SH178" s="82"/>
      <c r="SI178" s="82"/>
      <c r="SJ178" s="82"/>
      <c r="SK178" s="82"/>
      <c r="SL178" s="82"/>
      <c r="SM178" s="82"/>
      <c r="SN178" s="82"/>
      <c r="SO178" s="82"/>
      <c r="SP178" s="82"/>
      <c r="SQ178" s="82"/>
      <c r="SR178" s="82"/>
      <c r="SS178" s="82"/>
      <c r="ST178" s="82"/>
      <c r="SU178" s="82"/>
      <c r="SV178" s="82"/>
      <c r="SW178" s="82"/>
      <c r="SX178" s="82"/>
      <c r="SY178" s="82"/>
      <c r="SZ178" s="82"/>
      <c r="TA178" s="82"/>
      <c r="TB178" s="82"/>
      <c r="TC178" s="82"/>
      <c r="TD178" s="82"/>
      <c r="TE178" s="82"/>
      <c r="TF178" s="82"/>
      <c r="TG178" s="82"/>
      <c r="TH178" s="82"/>
      <c r="TI178" s="82"/>
      <c r="TJ178" s="82"/>
      <c r="TK178" s="82"/>
      <c r="TL178" s="82"/>
      <c r="TM178" s="82"/>
      <c r="TN178" s="82"/>
      <c r="TO178" s="82"/>
      <c r="TP178" s="82"/>
      <c r="TQ178" s="82"/>
      <c r="TR178" s="82"/>
      <c r="TS178" s="82"/>
      <c r="TT178" s="82"/>
      <c r="TU178" s="82"/>
      <c r="TV178" s="82"/>
      <c r="TW178" s="82"/>
      <c r="TX178" s="82"/>
      <c r="TY178" s="82"/>
      <c r="TZ178" s="82"/>
      <c r="UA178" s="82"/>
      <c r="UB178" s="82"/>
      <c r="UC178" s="82"/>
      <c r="UD178" s="82"/>
      <c r="UE178" s="82"/>
      <c r="UF178" s="82"/>
      <c r="UG178" s="82"/>
      <c r="UH178" s="82"/>
      <c r="UI178" s="82"/>
      <c r="UJ178" s="82"/>
      <c r="UK178" s="82"/>
      <c r="UL178" s="82"/>
      <c r="UM178" s="82"/>
      <c r="UN178" s="82"/>
      <c r="UO178" s="82"/>
      <c r="UP178" s="82"/>
      <c r="UQ178" s="82"/>
      <c r="UR178" s="82"/>
      <c r="US178" s="82"/>
      <c r="UT178" s="82"/>
      <c r="UU178" s="82"/>
      <c r="UV178" s="82"/>
      <c r="UW178" s="82"/>
      <c r="UX178" s="82"/>
      <c r="UY178" s="82"/>
      <c r="UZ178" s="82"/>
      <c r="VA178" s="82"/>
      <c r="VB178" s="82"/>
      <c r="VC178" s="82"/>
      <c r="VD178" s="82"/>
      <c r="VE178" s="82"/>
      <c r="VF178" s="82"/>
      <c r="VG178" s="82"/>
      <c r="VH178" s="82"/>
      <c r="VI178" s="82"/>
      <c r="VJ178" s="82"/>
      <c r="VK178" s="82"/>
      <c r="VL178" s="82"/>
      <c r="VM178" s="82"/>
      <c r="VN178" s="82"/>
      <c r="VO178" s="82"/>
      <c r="VP178" s="82"/>
      <c r="VQ178" s="82"/>
      <c r="VR178" s="82"/>
      <c r="VS178" s="82"/>
      <c r="VT178" s="82"/>
      <c r="VU178" s="82"/>
      <c r="VV178" s="82"/>
      <c r="VW178" s="82"/>
      <c r="VX178" s="82"/>
      <c r="VY178" s="82"/>
      <c r="VZ178" s="82"/>
      <c r="WA178" s="82"/>
      <c r="WB178" s="82"/>
      <c r="WC178" s="82"/>
      <c r="WD178" s="82"/>
      <c r="WE178" s="82"/>
      <c r="WF178" s="82"/>
      <c r="WG178" s="82"/>
      <c r="WH178" s="82"/>
      <c r="WI178" s="82"/>
      <c r="WJ178" s="82"/>
      <c r="WK178" s="82"/>
      <c r="WL178" s="82"/>
      <c r="WM178" s="82"/>
      <c r="WN178" s="82"/>
      <c r="WO178" s="82"/>
      <c r="WP178" s="82"/>
      <c r="WQ178" s="82"/>
      <c r="WR178" s="82"/>
      <c r="WS178" s="82"/>
      <c r="WT178" s="82"/>
      <c r="WU178" s="82"/>
      <c r="WV178" s="82"/>
      <c r="WW178" s="82"/>
      <c r="WX178" s="82"/>
      <c r="WY178" s="82"/>
      <c r="WZ178" s="82"/>
      <c r="XA178" s="82"/>
      <c r="XB178" s="82"/>
      <c r="XC178" s="82"/>
      <c r="XD178" s="82"/>
      <c r="XE178" s="82"/>
      <c r="XF178" s="82"/>
      <c r="XG178" s="82"/>
      <c r="XH178" s="82"/>
      <c r="XI178" s="82"/>
      <c r="XJ178" s="82"/>
      <c r="XK178" s="82"/>
      <c r="XL178" s="82"/>
      <c r="XM178" s="82"/>
      <c r="XN178" s="82"/>
      <c r="XO178" s="82"/>
      <c r="XP178" s="82"/>
      <c r="XQ178" s="82"/>
      <c r="XR178" s="82"/>
      <c r="XS178" s="82"/>
      <c r="XT178" s="82"/>
      <c r="XU178" s="82"/>
      <c r="XV178" s="82"/>
      <c r="XW178" s="82"/>
      <c r="XX178" s="82"/>
      <c r="XY178" s="82"/>
      <c r="XZ178" s="82"/>
      <c r="YA178" s="82"/>
      <c r="YB178" s="82"/>
      <c r="YC178" s="82"/>
      <c r="YD178" s="82"/>
      <c r="YE178" s="82"/>
      <c r="YF178" s="82"/>
      <c r="YG178" s="82"/>
      <c r="YH178" s="82"/>
      <c r="YI178" s="82"/>
      <c r="YJ178" s="82"/>
      <c r="YK178" s="82"/>
      <c r="YL178" s="82"/>
      <c r="YM178" s="82"/>
      <c r="YN178" s="82"/>
      <c r="YO178" s="82"/>
      <c r="YP178" s="82"/>
      <c r="YQ178" s="82"/>
      <c r="YR178" s="82"/>
      <c r="YS178" s="82"/>
      <c r="YT178" s="82"/>
      <c r="YU178" s="82"/>
      <c r="YV178" s="82"/>
      <c r="YW178" s="82"/>
      <c r="YX178" s="82"/>
      <c r="YY178" s="82"/>
      <c r="YZ178" s="82"/>
      <c r="ZA178" s="82"/>
      <c r="ZB178" s="82"/>
      <c r="ZC178" s="82"/>
      <c r="ZD178" s="82"/>
      <c r="ZE178" s="82"/>
      <c r="ZF178" s="82"/>
      <c r="ZG178" s="82"/>
      <c r="ZH178" s="82"/>
      <c r="ZI178" s="82"/>
      <c r="ZJ178" s="82"/>
      <c r="ZK178" s="82"/>
      <c r="ZL178" s="82"/>
      <c r="ZM178" s="82"/>
      <c r="ZN178" s="82"/>
      <c r="ZO178" s="82"/>
      <c r="ZP178" s="82"/>
      <c r="ZQ178" s="82"/>
      <c r="ZR178" s="82"/>
      <c r="ZS178" s="82"/>
      <c r="ZT178" s="82"/>
      <c r="ZU178" s="82"/>
      <c r="ZV178" s="82"/>
      <c r="ZW178" s="82"/>
      <c r="ZX178" s="82"/>
      <c r="ZY178" s="82"/>
      <c r="ZZ178" s="82"/>
      <c r="AAA178" s="82"/>
      <c r="AAB178" s="82"/>
      <c r="AAC178" s="82"/>
      <c r="AAD178" s="82"/>
      <c r="AAE178" s="82"/>
      <c r="AAF178" s="82"/>
      <c r="AAG178" s="82"/>
      <c r="AAH178" s="82"/>
      <c r="AAI178" s="82"/>
      <c r="AAJ178" s="82"/>
      <c r="AAK178" s="82"/>
      <c r="AAL178" s="82"/>
      <c r="AAM178" s="82"/>
      <c r="AAN178" s="82"/>
      <c r="AAO178" s="82"/>
      <c r="AAP178" s="82"/>
      <c r="AAQ178" s="82"/>
      <c r="AAR178" s="82"/>
      <c r="AAS178" s="82"/>
      <c r="AAT178" s="82"/>
      <c r="AAU178" s="82"/>
      <c r="AAV178" s="82"/>
      <c r="AAW178" s="82"/>
      <c r="AAX178" s="82"/>
      <c r="AAY178" s="82"/>
      <c r="AAZ178" s="82"/>
      <c r="ABA178" s="82"/>
      <c r="ABB178" s="82"/>
      <c r="ABC178" s="82"/>
      <c r="ABD178" s="82"/>
      <c r="ABE178" s="82"/>
      <c r="ABF178" s="82"/>
      <c r="ABG178" s="82"/>
      <c r="ABH178" s="82"/>
      <c r="ABI178" s="82"/>
      <c r="ABJ178" s="82"/>
      <c r="ABK178" s="82"/>
      <c r="ABL178" s="82"/>
      <c r="ABM178" s="82"/>
      <c r="ABN178" s="82"/>
      <c r="ABO178" s="82"/>
      <c r="ABP178" s="82"/>
      <c r="ABQ178" s="82"/>
      <c r="ABR178" s="82"/>
      <c r="ABS178" s="82"/>
      <c r="ABT178" s="82"/>
      <c r="ABU178" s="82"/>
      <c r="ABV178" s="82"/>
      <c r="ABW178" s="82"/>
      <c r="ABX178" s="82"/>
      <c r="ABY178" s="82"/>
      <c r="ABZ178" s="82"/>
      <c r="ACA178" s="82"/>
      <c r="ACB178" s="82"/>
      <c r="ACC178" s="82"/>
      <c r="ACD178" s="82"/>
      <c r="ACE178" s="82"/>
      <c r="ACF178" s="82"/>
      <c r="ACG178" s="82"/>
      <c r="ACH178" s="82"/>
      <c r="ACI178" s="82"/>
      <c r="ACJ178" s="82"/>
      <c r="ACK178" s="82"/>
      <c r="ACL178" s="82"/>
      <c r="ACM178" s="82"/>
      <c r="ACN178" s="82"/>
      <c r="ACO178" s="82"/>
      <c r="ACP178" s="82"/>
      <c r="ACQ178" s="82"/>
      <c r="ACR178" s="82"/>
      <c r="ACS178" s="82"/>
      <c r="ACT178" s="82"/>
      <c r="ACU178" s="82"/>
      <c r="ACV178" s="82"/>
      <c r="ACW178" s="82"/>
      <c r="ACX178" s="82"/>
      <c r="ACY178" s="82"/>
      <c r="ACZ178" s="82"/>
      <c r="ADA178" s="82"/>
      <c r="ADB178" s="82"/>
      <c r="ADC178" s="82"/>
      <c r="ADD178" s="82"/>
      <c r="ADE178" s="82"/>
      <c r="ADF178" s="82"/>
      <c r="ADG178" s="82"/>
      <c r="ADH178" s="82"/>
      <c r="ADI178" s="82"/>
      <c r="ADJ178" s="82"/>
      <c r="ADK178" s="82"/>
      <c r="ADL178" s="82"/>
      <c r="ADM178" s="82"/>
      <c r="ADN178" s="82"/>
      <c r="ADO178" s="82"/>
      <c r="ADP178" s="82"/>
      <c r="ADQ178" s="82"/>
      <c r="ADR178" s="82"/>
      <c r="ADS178" s="82"/>
      <c r="ADT178" s="82"/>
      <c r="ADU178" s="82"/>
      <c r="ADV178" s="82"/>
      <c r="ADW178" s="82"/>
      <c r="ADX178" s="82"/>
      <c r="ADY178" s="82"/>
      <c r="ADZ178" s="82"/>
      <c r="AEA178" s="82"/>
      <c r="AEB178" s="82"/>
      <c r="AEC178" s="82"/>
      <c r="AED178" s="82"/>
      <c r="AEE178" s="82"/>
      <c r="AEF178" s="82"/>
      <c r="AEG178" s="82"/>
      <c r="AEH178" s="82"/>
      <c r="AEI178" s="82"/>
      <c r="AEJ178" s="82"/>
      <c r="AEK178" s="82"/>
      <c r="AEL178" s="82"/>
      <c r="AEM178" s="82"/>
      <c r="AEN178" s="82"/>
      <c r="AEO178" s="82"/>
      <c r="AEP178" s="82"/>
      <c r="AEQ178" s="82"/>
      <c r="AER178" s="82"/>
      <c r="AES178" s="82"/>
      <c r="AET178" s="82"/>
      <c r="AEU178" s="82"/>
      <c r="AEV178" s="82"/>
      <c r="AEW178" s="82"/>
      <c r="AEX178" s="82"/>
      <c r="AEY178" s="82"/>
      <c r="AEZ178" s="82"/>
      <c r="AFA178" s="82"/>
      <c r="AFB178" s="82"/>
      <c r="AFC178" s="82"/>
      <c r="AFD178" s="82"/>
      <c r="AFE178" s="82"/>
      <c r="AFF178" s="82"/>
      <c r="AFG178" s="82"/>
      <c r="AFH178" s="82"/>
      <c r="AFI178" s="82"/>
      <c r="AFJ178" s="82"/>
      <c r="AFK178" s="82"/>
      <c r="AFL178" s="82"/>
      <c r="AFM178" s="82"/>
      <c r="AFN178" s="82"/>
      <c r="AFO178" s="82"/>
      <c r="AFP178" s="82"/>
      <c r="AFQ178" s="82"/>
      <c r="AFR178" s="82"/>
      <c r="AFS178" s="82"/>
      <c r="AFT178" s="82"/>
      <c r="AFU178" s="82"/>
      <c r="AFV178" s="82"/>
      <c r="AFW178" s="82"/>
      <c r="AFX178" s="82"/>
      <c r="AFY178" s="82"/>
      <c r="AFZ178" s="82"/>
      <c r="AGA178" s="82"/>
      <c r="AGB178" s="82"/>
      <c r="AGC178" s="82"/>
      <c r="AGD178" s="82"/>
      <c r="AGE178" s="82"/>
      <c r="AGF178" s="82"/>
      <c r="AGG178" s="82"/>
      <c r="AGH178" s="82"/>
      <c r="AGI178" s="82"/>
      <c r="AGJ178" s="82"/>
      <c r="AGK178" s="82"/>
      <c r="AGL178" s="82"/>
      <c r="AGM178" s="82"/>
      <c r="AGN178" s="82"/>
      <c r="AGO178" s="82"/>
      <c r="AGP178" s="82"/>
      <c r="AGQ178" s="82"/>
      <c r="AGR178" s="82"/>
      <c r="AGS178" s="82"/>
      <c r="AGT178" s="82"/>
      <c r="AGU178" s="82"/>
      <c r="AGV178" s="82"/>
      <c r="AGW178" s="82"/>
      <c r="AGX178" s="82"/>
      <c r="AGY178" s="82"/>
      <c r="AGZ178" s="82"/>
      <c r="AHA178" s="82"/>
      <c r="AHB178" s="82"/>
      <c r="AHC178" s="82"/>
      <c r="AHD178" s="82"/>
      <c r="AHE178" s="82"/>
      <c r="AHF178" s="82"/>
      <c r="AHG178" s="82"/>
      <c r="AHH178" s="82"/>
      <c r="AHI178" s="82"/>
      <c r="AHJ178" s="82"/>
      <c r="AHK178" s="82"/>
      <c r="AHL178" s="82"/>
      <c r="AHM178" s="82"/>
      <c r="AHN178" s="82"/>
      <c r="AHO178" s="82"/>
      <c r="AHP178" s="82"/>
      <c r="AHQ178" s="82"/>
      <c r="AHR178" s="82"/>
      <c r="AHS178" s="82"/>
      <c r="AHT178" s="82"/>
      <c r="AHU178" s="82"/>
      <c r="AHV178" s="82"/>
      <c r="AHW178" s="82"/>
      <c r="AHX178" s="82"/>
      <c r="AHY178" s="82"/>
      <c r="AHZ178" s="82"/>
      <c r="AIA178" s="82"/>
      <c r="AIB178" s="82"/>
      <c r="AIC178" s="82"/>
      <c r="AID178" s="82"/>
      <c r="AIE178" s="82"/>
      <c r="AIF178" s="82"/>
      <c r="AIG178" s="82"/>
      <c r="AIH178" s="82"/>
    </row>
    <row r="179" spans="1:918" s="99" customFormat="1" x14ac:dyDescent="0.2">
      <c r="A179" s="98"/>
      <c r="B179" s="78" t="s">
        <v>157</v>
      </c>
      <c r="C179" s="96" t="s">
        <v>250</v>
      </c>
      <c r="D179" s="76"/>
      <c r="E179" s="76"/>
      <c r="F179" s="76"/>
      <c r="G179" s="76"/>
      <c r="H179" s="76"/>
      <c r="I179" s="76"/>
      <c r="J179" s="76"/>
      <c r="K179" s="76"/>
      <c r="L179" s="82"/>
      <c r="M179" s="82"/>
      <c r="N179" s="82"/>
      <c r="O179" s="82"/>
      <c r="P179" s="82"/>
      <c r="Q179" s="82"/>
      <c r="R179" s="82"/>
      <c r="S179" s="82"/>
      <c r="T179" s="82"/>
      <c r="U179" s="82"/>
      <c r="V179" s="82"/>
      <c r="W179" s="82"/>
      <c r="X179" s="82"/>
      <c r="Y179" s="82"/>
      <c r="Z179" s="82"/>
      <c r="AA179" s="82"/>
      <c r="AB179" s="82"/>
      <c r="AC179" s="82"/>
      <c r="AD179" s="82"/>
      <c r="AE179" s="82"/>
      <c r="AF179" s="82"/>
      <c r="AG179" s="82"/>
      <c r="AH179" s="82"/>
      <c r="AI179" s="82"/>
      <c r="AJ179" s="82"/>
      <c r="AK179" s="82"/>
      <c r="AL179" s="82"/>
      <c r="AM179" s="82"/>
      <c r="AN179" s="82"/>
      <c r="AO179" s="82"/>
      <c r="AP179" s="82"/>
      <c r="AQ179" s="82"/>
      <c r="AR179" s="82"/>
      <c r="AS179" s="82"/>
      <c r="AT179" s="82"/>
      <c r="AU179" s="82"/>
      <c r="AV179" s="82"/>
      <c r="AW179" s="82"/>
      <c r="AX179" s="82"/>
      <c r="AY179" s="82"/>
      <c r="AZ179" s="82"/>
      <c r="BA179" s="82"/>
      <c r="BB179" s="82"/>
      <c r="BC179" s="82"/>
      <c r="BD179" s="82"/>
      <c r="BE179" s="82"/>
      <c r="BF179" s="82"/>
      <c r="BG179" s="82"/>
      <c r="BH179" s="82"/>
      <c r="BI179" s="82"/>
      <c r="BJ179" s="82"/>
      <c r="BK179" s="82"/>
      <c r="BL179" s="82"/>
      <c r="BM179" s="82"/>
      <c r="BN179" s="82"/>
      <c r="BO179" s="82"/>
      <c r="BP179" s="82"/>
      <c r="BQ179" s="82"/>
      <c r="BR179" s="82"/>
      <c r="BS179" s="82"/>
      <c r="BT179" s="82"/>
      <c r="BU179" s="82"/>
      <c r="BV179" s="82"/>
      <c r="BW179" s="82"/>
      <c r="BX179" s="82"/>
      <c r="BY179" s="82"/>
      <c r="BZ179" s="82"/>
      <c r="CA179" s="82"/>
      <c r="CB179" s="82"/>
      <c r="CC179" s="82"/>
      <c r="CD179" s="82"/>
      <c r="CE179" s="82"/>
      <c r="CF179" s="82"/>
      <c r="CG179" s="82"/>
      <c r="CH179" s="82"/>
      <c r="CI179" s="82"/>
      <c r="CJ179" s="82"/>
      <c r="CK179" s="82"/>
      <c r="CL179" s="82"/>
      <c r="CM179" s="82"/>
      <c r="CN179" s="82"/>
      <c r="CO179" s="82"/>
      <c r="CP179" s="82"/>
      <c r="CQ179" s="82"/>
      <c r="CR179" s="82"/>
      <c r="CS179" s="82"/>
      <c r="CT179" s="82"/>
      <c r="CU179" s="82"/>
      <c r="CV179" s="82"/>
      <c r="CW179" s="82"/>
      <c r="CX179" s="82"/>
      <c r="CY179" s="82"/>
      <c r="CZ179" s="82"/>
      <c r="DA179" s="82"/>
      <c r="DB179" s="82"/>
      <c r="DC179" s="82"/>
      <c r="DD179" s="82"/>
      <c r="DE179" s="82"/>
      <c r="DF179" s="82"/>
      <c r="DG179" s="82"/>
      <c r="DH179" s="82"/>
      <c r="DI179" s="82"/>
      <c r="DJ179" s="82"/>
      <c r="DK179" s="82"/>
      <c r="DL179" s="82"/>
      <c r="DM179" s="82"/>
      <c r="DN179" s="82"/>
      <c r="DO179" s="82"/>
      <c r="DP179" s="82"/>
      <c r="DQ179" s="82"/>
      <c r="DR179" s="82"/>
      <c r="DS179" s="82"/>
      <c r="DT179" s="82"/>
      <c r="DU179" s="82"/>
      <c r="DV179" s="82"/>
      <c r="DW179" s="82"/>
      <c r="DX179" s="82"/>
      <c r="DY179" s="82"/>
      <c r="DZ179" s="82"/>
      <c r="EA179" s="82"/>
      <c r="EB179" s="82"/>
      <c r="EC179" s="82"/>
      <c r="ED179" s="82"/>
      <c r="EE179" s="82"/>
      <c r="EF179" s="82"/>
      <c r="EG179" s="82"/>
      <c r="EH179" s="82"/>
      <c r="EI179" s="82"/>
      <c r="EJ179" s="82"/>
      <c r="EK179" s="82"/>
      <c r="EL179" s="82"/>
      <c r="EM179" s="82"/>
      <c r="EN179" s="82"/>
      <c r="EO179" s="82"/>
      <c r="EP179" s="82"/>
      <c r="EQ179" s="82"/>
      <c r="ER179" s="82"/>
      <c r="ES179" s="82"/>
      <c r="ET179" s="82"/>
      <c r="EU179" s="82"/>
      <c r="EV179" s="82"/>
      <c r="EW179" s="82"/>
      <c r="EX179" s="82"/>
      <c r="EY179" s="82"/>
      <c r="EZ179" s="82"/>
      <c r="FA179" s="82"/>
      <c r="FB179" s="82"/>
      <c r="FC179" s="82"/>
      <c r="FD179" s="82"/>
      <c r="FE179" s="82"/>
      <c r="FF179" s="82"/>
      <c r="FG179" s="82"/>
      <c r="FH179" s="82"/>
      <c r="FI179" s="82"/>
      <c r="FJ179" s="82"/>
      <c r="FK179" s="82"/>
      <c r="FL179" s="82"/>
      <c r="FM179" s="82"/>
      <c r="FN179" s="82"/>
      <c r="FO179" s="82"/>
      <c r="FP179" s="82"/>
      <c r="FQ179" s="82"/>
      <c r="FR179" s="82"/>
      <c r="FS179" s="82"/>
      <c r="FT179" s="82"/>
      <c r="FU179" s="82"/>
      <c r="FV179" s="82"/>
      <c r="FW179" s="82"/>
      <c r="FX179" s="82"/>
      <c r="FY179" s="82"/>
      <c r="FZ179" s="82"/>
      <c r="GA179" s="82"/>
      <c r="GB179" s="82"/>
      <c r="GC179" s="82"/>
      <c r="GD179" s="82"/>
      <c r="GE179" s="82"/>
      <c r="GF179" s="82"/>
      <c r="GG179" s="82"/>
      <c r="GH179" s="82"/>
      <c r="GI179" s="82"/>
      <c r="GJ179" s="82"/>
      <c r="GK179" s="82"/>
      <c r="GL179" s="82"/>
      <c r="GM179" s="82"/>
      <c r="GN179" s="82"/>
      <c r="GO179" s="82"/>
      <c r="GP179" s="82"/>
      <c r="GQ179" s="82"/>
      <c r="GR179" s="82"/>
      <c r="GS179" s="82"/>
      <c r="GT179" s="82"/>
      <c r="GU179" s="82"/>
      <c r="GV179" s="82"/>
      <c r="GW179" s="82"/>
      <c r="GX179" s="82"/>
      <c r="GY179" s="82"/>
      <c r="GZ179" s="82"/>
      <c r="HA179" s="82"/>
      <c r="HB179" s="82"/>
      <c r="HC179" s="82"/>
      <c r="HD179" s="82"/>
      <c r="HE179" s="82"/>
      <c r="HF179" s="82"/>
      <c r="HG179" s="82"/>
      <c r="HH179" s="82"/>
      <c r="HI179" s="82"/>
      <c r="HJ179" s="82"/>
      <c r="HK179" s="82"/>
      <c r="HL179" s="82"/>
      <c r="HM179" s="82"/>
      <c r="HN179" s="82"/>
      <c r="HO179" s="82"/>
      <c r="HP179" s="82"/>
      <c r="HQ179" s="82"/>
      <c r="HR179" s="82"/>
      <c r="HS179" s="82"/>
      <c r="HT179" s="82"/>
      <c r="HU179" s="82"/>
      <c r="HV179" s="82"/>
      <c r="HW179" s="82"/>
      <c r="HX179" s="82"/>
      <c r="HY179" s="82"/>
      <c r="HZ179" s="82"/>
      <c r="IA179" s="82"/>
      <c r="IB179" s="82"/>
      <c r="IC179" s="82"/>
      <c r="ID179" s="82"/>
      <c r="IE179" s="82"/>
      <c r="IF179" s="82"/>
      <c r="IG179" s="82"/>
      <c r="IH179" s="82"/>
      <c r="II179" s="82"/>
      <c r="IJ179" s="82"/>
      <c r="IK179" s="82"/>
      <c r="IL179" s="82"/>
      <c r="IM179" s="82"/>
      <c r="IN179" s="82"/>
      <c r="IO179" s="82"/>
      <c r="IP179" s="82"/>
      <c r="IQ179" s="82"/>
      <c r="IR179" s="82"/>
      <c r="IS179" s="82"/>
      <c r="IT179" s="82"/>
      <c r="IU179" s="82"/>
      <c r="IV179" s="82"/>
      <c r="IW179" s="82"/>
      <c r="IX179" s="82"/>
      <c r="IY179" s="82"/>
      <c r="IZ179" s="82"/>
      <c r="JA179" s="82"/>
      <c r="JB179" s="82"/>
      <c r="JC179" s="82"/>
      <c r="JD179" s="82"/>
      <c r="JE179" s="82"/>
      <c r="JF179" s="82"/>
      <c r="JG179" s="82"/>
      <c r="JH179" s="82"/>
      <c r="JI179" s="82"/>
      <c r="JJ179" s="82"/>
      <c r="JK179" s="82"/>
      <c r="JL179" s="82"/>
      <c r="JM179" s="82"/>
      <c r="JN179" s="82"/>
      <c r="JO179" s="82"/>
      <c r="JP179" s="82"/>
      <c r="JQ179" s="82"/>
      <c r="JR179" s="82"/>
      <c r="JS179" s="82"/>
      <c r="JT179" s="82"/>
      <c r="JU179" s="82"/>
      <c r="JV179" s="82"/>
      <c r="JW179" s="82"/>
      <c r="JX179" s="82"/>
      <c r="JY179" s="82"/>
      <c r="JZ179" s="82"/>
      <c r="KA179" s="82"/>
      <c r="KB179" s="82"/>
      <c r="KC179" s="82"/>
      <c r="KD179" s="82"/>
      <c r="KE179" s="82"/>
      <c r="KF179" s="82"/>
      <c r="KG179" s="82"/>
      <c r="KH179" s="82"/>
      <c r="KI179" s="82"/>
      <c r="KJ179" s="82"/>
      <c r="KK179" s="82"/>
      <c r="KL179" s="82"/>
      <c r="KM179" s="82"/>
      <c r="KN179" s="82"/>
      <c r="KO179" s="82"/>
      <c r="KP179" s="82"/>
      <c r="KQ179" s="82"/>
      <c r="KR179" s="82"/>
      <c r="KS179" s="82"/>
      <c r="KT179" s="82"/>
      <c r="KU179" s="82"/>
      <c r="KV179" s="82"/>
      <c r="KW179" s="82"/>
      <c r="KX179" s="82"/>
      <c r="KY179" s="82"/>
      <c r="KZ179" s="82"/>
      <c r="LA179" s="82"/>
      <c r="LB179" s="82"/>
      <c r="LC179" s="82"/>
      <c r="LD179" s="82"/>
      <c r="LE179" s="82"/>
      <c r="LF179" s="82"/>
      <c r="LG179" s="82"/>
      <c r="LH179" s="82"/>
      <c r="LI179" s="82"/>
      <c r="LJ179" s="82"/>
      <c r="LK179" s="82"/>
      <c r="LL179" s="82"/>
      <c r="LM179" s="82"/>
      <c r="LN179" s="82"/>
      <c r="LO179" s="82"/>
      <c r="LP179" s="82"/>
      <c r="LQ179" s="82"/>
      <c r="LR179" s="82"/>
      <c r="LS179" s="82"/>
      <c r="LT179" s="82"/>
      <c r="LU179" s="82"/>
      <c r="LV179" s="82"/>
      <c r="LW179" s="82"/>
      <c r="LX179" s="82"/>
      <c r="LY179" s="82"/>
      <c r="LZ179" s="82"/>
      <c r="MA179" s="82"/>
      <c r="MB179" s="82"/>
      <c r="MC179" s="82"/>
      <c r="MD179" s="82"/>
      <c r="ME179" s="82"/>
      <c r="MF179" s="82"/>
      <c r="MG179" s="82"/>
      <c r="MH179" s="82"/>
      <c r="MI179" s="82"/>
      <c r="MJ179" s="82"/>
      <c r="MK179" s="82"/>
      <c r="ML179" s="82"/>
      <c r="MM179" s="82"/>
      <c r="MN179" s="82"/>
      <c r="MO179" s="82"/>
      <c r="MP179" s="82"/>
      <c r="MQ179" s="82"/>
      <c r="MR179" s="82"/>
      <c r="MS179" s="82"/>
      <c r="MT179" s="82"/>
      <c r="MU179" s="82"/>
      <c r="MV179" s="82"/>
      <c r="MW179" s="82"/>
      <c r="MX179" s="82"/>
      <c r="MY179" s="82"/>
      <c r="MZ179" s="82"/>
      <c r="NA179" s="82"/>
      <c r="NB179" s="82"/>
      <c r="NC179" s="82"/>
      <c r="ND179" s="82"/>
      <c r="NE179" s="82"/>
      <c r="NF179" s="82"/>
      <c r="NG179" s="82"/>
      <c r="NH179" s="82"/>
      <c r="NI179" s="82"/>
      <c r="NJ179" s="82"/>
      <c r="NK179" s="82"/>
      <c r="NL179" s="82"/>
      <c r="NM179" s="82"/>
      <c r="NN179" s="82"/>
      <c r="NO179" s="82"/>
      <c r="NP179" s="82"/>
      <c r="NQ179" s="82"/>
      <c r="NR179" s="82"/>
      <c r="NS179" s="82"/>
      <c r="NT179" s="82"/>
      <c r="NU179" s="82"/>
      <c r="NV179" s="82"/>
      <c r="NW179" s="82"/>
      <c r="NX179" s="82"/>
      <c r="NY179" s="82"/>
      <c r="NZ179" s="82"/>
      <c r="OA179" s="82"/>
      <c r="OB179" s="82"/>
      <c r="OC179" s="82"/>
      <c r="OD179" s="82"/>
      <c r="OE179" s="82"/>
      <c r="OF179" s="82"/>
      <c r="OG179" s="82"/>
      <c r="OH179" s="82"/>
      <c r="OI179" s="82"/>
      <c r="OJ179" s="82"/>
      <c r="OK179" s="82"/>
      <c r="OL179" s="82"/>
      <c r="OM179" s="82"/>
      <c r="ON179" s="82"/>
      <c r="OO179" s="82"/>
      <c r="OP179" s="82"/>
      <c r="OQ179" s="82"/>
      <c r="OR179" s="82"/>
      <c r="OS179" s="82"/>
      <c r="OT179" s="82"/>
      <c r="OU179" s="82"/>
      <c r="OV179" s="82"/>
      <c r="OW179" s="82"/>
      <c r="OX179" s="82"/>
      <c r="OY179" s="82"/>
      <c r="OZ179" s="82"/>
      <c r="PA179" s="82"/>
      <c r="PB179" s="82"/>
      <c r="PC179" s="82"/>
      <c r="PD179" s="82"/>
      <c r="PE179" s="82"/>
      <c r="PF179" s="82"/>
      <c r="PG179" s="82"/>
      <c r="PH179" s="82"/>
      <c r="PI179" s="82"/>
      <c r="PJ179" s="82"/>
      <c r="PK179" s="82"/>
      <c r="PL179" s="82"/>
      <c r="PM179" s="82"/>
      <c r="PN179" s="82"/>
      <c r="PO179" s="82"/>
      <c r="PP179" s="82"/>
      <c r="PQ179" s="82"/>
      <c r="PR179" s="82"/>
      <c r="PS179" s="82"/>
      <c r="PT179" s="82"/>
      <c r="PU179" s="82"/>
      <c r="PV179" s="82"/>
      <c r="PW179" s="82"/>
      <c r="PX179" s="82"/>
      <c r="PY179" s="82"/>
      <c r="PZ179" s="82"/>
      <c r="QA179" s="82"/>
      <c r="QB179" s="82"/>
      <c r="QC179" s="82"/>
      <c r="QD179" s="82"/>
      <c r="QE179" s="82"/>
      <c r="QF179" s="82"/>
      <c r="QG179" s="82"/>
      <c r="QH179" s="82"/>
      <c r="QI179" s="82"/>
      <c r="QJ179" s="82"/>
      <c r="QK179" s="82"/>
      <c r="QL179" s="82"/>
      <c r="QM179" s="82"/>
      <c r="QN179" s="82"/>
      <c r="QO179" s="82"/>
      <c r="QP179" s="82"/>
      <c r="QQ179" s="82"/>
      <c r="QR179" s="82"/>
      <c r="QS179" s="82"/>
      <c r="QT179" s="82"/>
      <c r="QU179" s="82"/>
      <c r="QV179" s="82"/>
      <c r="QW179" s="82"/>
      <c r="QX179" s="82"/>
      <c r="QY179" s="82"/>
      <c r="QZ179" s="82"/>
      <c r="RA179" s="82"/>
      <c r="RB179" s="82"/>
      <c r="RC179" s="82"/>
      <c r="RD179" s="82"/>
      <c r="RE179" s="82"/>
      <c r="RF179" s="82"/>
      <c r="RG179" s="82"/>
      <c r="RH179" s="82"/>
      <c r="RI179" s="82"/>
      <c r="RJ179" s="82"/>
      <c r="RK179" s="82"/>
      <c r="RL179" s="82"/>
      <c r="RM179" s="82"/>
      <c r="RN179" s="82"/>
      <c r="RO179" s="82"/>
      <c r="RP179" s="82"/>
      <c r="RQ179" s="82"/>
      <c r="RR179" s="82"/>
      <c r="RS179" s="82"/>
      <c r="RT179" s="82"/>
      <c r="RU179" s="82"/>
      <c r="RV179" s="82"/>
      <c r="RW179" s="82"/>
      <c r="RX179" s="82"/>
      <c r="RY179" s="82"/>
      <c r="RZ179" s="82"/>
      <c r="SA179" s="82"/>
      <c r="SB179" s="82"/>
      <c r="SC179" s="82"/>
      <c r="SD179" s="82"/>
      <c r="SE179" s="82"/>
      <c r="SF179" s="82"/>
      <c r="SG179" s="82"/>
      <c r="SH179" s="82"/>
      <c r="SI179" s="82"/>
      <c r="SJ179" s="82"/>
      <c r="SK179" s="82"/>
      <c r="SL179" s="82"/>
      <c r="SM179" s="82"/>
      <c r="SN179" s="82"/>
      <c r="SO179" s="82"/>
      <c r="SP179" s="82"/>
      <c r="SQ179" s="82"/>
      <c r="SR179" s="82"/>
      <c r="SS179" s="82"/>
      <c r="ST179" s="82"/>
      <c r="SU179" s="82"/>
      <c r="SV179" s="82"/>
      <c r="SW179" s="82"/>
      <c r="SX179" s="82"/>
      <c r="SY179" s="82"/>
      <c r="SZ179" s="82"/>
      <c r="TA179" s="82"/>
      <c r="TB179" s="82"/>
      <c r="TC179" s="82"/>
      <c r="TD179" s="82"/>
      <c r="TE179" s="82"/>
      <c r="TF179" s="82"/>
      <c r="TG179" s="82"/>
      <c r="TH179" s="82"/>
      <c r="TI179" s="82"/>
      <c r="TJ179" s="82"/>
      <c r="TK179" s="82"/>
      <c r="TL179" s="82"/>
      <c r="TM179" s="82"/>
      <c r="TN179" s="82"/>
      <c r="TO179" s="82"/>
      <c r="TP179" s="82"/>
      <c r="TQ179" s="82"/>
      <c r="TR179" s="82"/>
      <c r="TS179" s="82"/>
      <c r="TT179" s="82"/>
      <c r="TU179" s="82"/>
      <c r="TV179" s="82"/>
      <c r="TW179" s="82"/>
      <c r="TX179" s="82"/>
      <c r="TY179" s="82"/>
      <c r="TZ179" s="82"/>
      <c r="UA179" s="82"/>
      <c r="UB179" s="82"/>
      <c r="UC179" s="82"/>
      <c r="UD179" s="82"/>
      <c r="UE179" s="82"/>
      <c r="UF179" s="82"/>
      <c r="UG179" s="82"/>
      <c r="UH179" s="82"/>
      <c r="UI179" s="82"/>
      <c r="UJ179" s="82"/>
      <c r="UK179" s="82"/>
      <c r="UL179" s="82"/>
      <c r="UM179" s="82"/>
      <c r="UN179" s="82"/>
      <c r="UO179" s="82"/>
      <c r="UP179" s="82"/>
      <c r="UQ179" s="82"/>
      <c r="UR179" s="82"/>
      <c r="US179" s="82"/>
      <c r="UT179" s="82"/>
      <c r="UU179" s="82"/>
      <c r="UV179" s="82"/>
      <c r="UW179" s="82"/>
      <c r="UX179" s="82"/>
      <c r="UY179" s="82"/>
      <c r="UZ179" s="82"/>
      <c r="VA179" s="82"/>
      <c r="VB179" s="82"/>
      <c r="VC179" s="82"/>
      <c r="VD179" s="82"/>
      <c r="VE179" s="82"/>
      <c r="VF179" s="82"/>
      <c r="VG179" s="82"/>
      <c r="VH179" s="82"/>
      <c r="VI179" s="82"/>
      <c r="VJ179" s="82"/>
      <c r="VK179" s="82"/>
      <c r="VL179" s="82"/>
      <c r="VM179" s="82"/>
      <c r="VN179" s="82"/>
      <c r="VO179" s="82"/>
      <c r="VP179" s="82"/>
      <c r="VQ179" s="82"/>
      <c r="VR179" s="82"/>
      <c r="VS179" s="82"/>
      <c r="VT179" s="82"/>
      <c r="VU179" s="82"/>
      <c r="VV179" s="82"/>
      <c r="VW179" s="82"/>
      <c r="VX179" s="82"/>
      <c r="VY179" s="82"/>
      <c r="VZ179" s="82"/>
      <c r="WA179" s="82"/>
      <c r="WB179" s="82"/>
      <c r="WC179" s="82"/>
      <c r="WD179" s="82"/>
      <c r="WE179" s="82"/>
      <c r="WF179" s="82"/>
      <c r="WG179" s="82"/>
      <c r="WH179" s="82"/>
      <c r="WI179" s="82"/>
      <c r="WJ179" s="82"/>
      <c r="WK179" s="82"/>
      <c r="WL179" s="82"/>
      <c r="WM179" s="82"/>
      <c r="WN179" s="82"/>
      <c r="WO179" s="82"/>
      <c r="WP179" s="82"/>
      <c r="WQ179" s="82"/>
      <c r="WR179" s="82"/>
      <c r="WS179" s="82"/>
      <c r="WT179" s="82"/>
      <c r="WU179" s="82"/>
      <c r="WV179" s="82"/>
      <c r="WW179" s="82"/>
      <c r="WX179" s="82"/>
      <c r="WY179" s="82"/>
      <c r="WZ179" s="82"/>
      <c r="XA179" s="82"/>
      <c r="XB179" s="82"/>
      <c r="XC179" s="82"/>
      <c r="XD179" s="82"/>
      <c r="XE179" s="82"/>
      <c r="XF179" s="82"/>
      <c r="XG179" s="82"/>
      <c r="XH179" s="82"/>
      <c r="XI179" s="82"/>
      <c r="XJ179" s="82"/>
      <c r="XK179" s="82"/>
      <c r="XL179" s="82"/>
      <c r="XM179" s="82"/>
      <c r="XN179" s="82"/>
      <c r="XO179" s="82"/>
      <c r="XP179" s="82"/>
      <c r="XQ179" s="82"/>
      <c r="XR179" s="82"/>
      <c r="XS179" s="82"/>
      <c r="XT179" s="82"/>
      <c r="XU179" s="82"/>
      <c r="XV179" s="82"/>
      <c r="XW179" s="82"/>
      <c r="XX179" s="82"/>
      <c r="XY179" s="82"/>
      <c r="XZ179" s="82"/>
      <c r="YA179" s="82"/>
      <c r="YB179" s="82"/>
      <c r="YC179" s="82"/>
      <c r="YD179" s="82"/>
      <c r="YE179" s="82"/>
      <c r="YF179" s="82"/>
      <c r="YG179" s="82"/>
      <c r="YH179" s="82"/>
      <c r="YI179" s="82"/>
      <c r="YJ179" s="82"/>
      <c r="YK179" s="82"/>
      <c r="YL179" s="82"/>
      <c r="YM179" s="82"/>
      <c r="YN179" s="82"/>
      <c r="YO179" s="82"/>
      <c r="YP179" s="82"/>
      <c r="YQ179" s="82"/>
      <c r="YR179" s="82"/>
      <c r="YS179" s="82"/>
      <c r="YT179" s="82"/>
      <c r="YU179" s="82"/>
      <c r="YV179" s="82"/>
      <c r="YW179" s="82"/>
      <c r="YX179" s="82"/>
      <c r="YY179" s="82"/>
      <c r="YZ179" s="82"/>
      <c r="ZA179" s="82"/>
      <c r="ZB179" s="82"/>
      <c r="ZC179" s="82"/>
      <c r="ZD179" s="82"/>
      <c r="ZE179" s="82"/>
      <c r="ZF179" s="82"/>
      <c r="ZG179" s="82"/>
      <c r="ZH179" s="82"/>
      <c r="ZI179" s="82"/>
      <c r="ZJ179" s="82"/>
      <c r="ZK179" s="82"/>
      <c r="ZL179" s="82"/>
      <c r="ZM179" s="82"/>
      <c r="ZN179" s="82"/>
      <c r="ZO179" s="82"/>
      <c r="ZP179" s="82"/>
      <c r="ZQ179" s="82"/>
      <c r="ZR179" s="82"/>
      <c r="ZS179" s="82"/>
      <c r="ZT179" s="82"/>
      <c r="ZU179" s="82"/>
      <c r="ZV179" s="82"/>
      <c r="ZW179" s="82"/>
      <c r="ZX179" s="82"/>
      <c r="ZY179" s="82"/>
      <c r="ZZ179" s="82"/>
      <c r="AAA179" s="82"/>
      <c r="AAB179" s="82"/>
      <c r="AAC179" s="82"/>
      <c r="AAD179" s="82"/>
      <c r="AAE179" s="82"/>
      <c r="AAF179" s="82"/>
      <c r="AAG179" s="82"/>
      <c r="AAH179" s="82"/>
      <c r="AAI179" s="82"/>
      <c r="AAJ179" s="82"/>
      <c r="AAK179" s="82"/>
      <c r="AAL179" s="82"/>
      <c r="AAM179" s="82"/>
      <c r="AAN179" s="82"/>
      <c r="AAO179" s="82"/>
      <c r="AAP179" s="82"/>
      <c r="AAQ179" s="82"/>
      <c r="AAR179" s="82"/>
      <c r="AAS179" s="82"/>
      <c r="AAT179" s="82"/>
      <c r="AAU179" s="82"/>
      <c r="AAV179" s="82"/>
      <c r="AAW179" s="82"/>
      <c r="AAX179" s="82"/>
      <c r="AAY179" s="82"/>
      <c r="AAZ179" s="82"/>
      <c r="ABA179" s="82"/>
      <c r="ABB179" s="82"/>
      <c r="ABC179" s="82"/>
      <c r="ABD179" s="82"/>
      <c r="ABE179" s="82"/>
      <c r="ABF179" s="82"/>
      <c r="ABG179" s="82"/>
      <c r="ABH179" s="82"/>
      <c r="ABI179" s="82"/>
      <c r="ABJ179" s="82"/>
      <c r="ABK179" s="82"/>
      <c r="ABL179" s="82"/>
      <c r="ABM179" s="82"/>
      <c r="ABN179" s="82"/>
      <c r="ABO179" s="82"/>
      <c r="ABP179" s="82"/>
      <c r="ABQ179" s="82"/>
      <c r="ABR179" s="82"/>
      <c r="ABS179" s="82"/>
      <c r="ABT179" s="82"/>
      <c r="ABU179" s="82"/>
      <c r="ABV179" s="82"/>
      <c r="ABW179" s="82"/>
      <c r="ABX179" s="82"/>
      <c r="ABY179" s="82"/>
      <c r="ABZ179" s="82"/>
      <c r="ACA179" s="82"/>
      <c r="ACB179" s="82"/>
      <c r="ACC179" s="82"/>
      <c r="ACD179" s="82"/>
      <c r="ACE179" s="82"/>
      <c r="ACF179" s="82"/>
      <c r="ACG179" s="82"/>
      <c r="ACH179" s="82"/>
      <c r="ACI179" s="82"/>
      <c r="ACJ179" s="82"/>
      <c r="ACK179" s="82"/>
      <c r="ACL179" s="82"/>
      <c r="ACM179" s="82"/>
      <c r="ACN179" s="82"/>
      <c r="ACO179" s="82"/>
      <c r="ACP179" s="82"/>
      <c r="ACQ179" s="82"/>
      <c r="ACR179" s="82"/>
      <c r="ACS179" s="82"/>
      <c r="ACT179" s="82"/>
      <c r="ACU179" s="82"/>
      <c r="ACV179" s="82"/>
      <c r="ACW179" s="82"/>
      <c r="ACX179" s="82"/>
      <c r="ACY179" s="82"/>
      <c r="ACZ179" s="82"/>
      <c r="ADA179" s="82"/>
      <c r="ADB179" s="82"/>
      <c r="ADC179" s="82"/>
      <c r="ADD179" s="82"/>
      <c r="ADE179" s="82"/>
      <c r="ADF179" s="82"/>
      <c r="ADG179" s="82"/>
      <c r="ADH179" s="82"/>
      <c r="ADI179" s="82"/>
      <c r="ADJ179" s="82"/>
      <c r="ADK179" s="82"/>
      <c r="ADL179" s="82"/>
      <c r="ADM179" s="82"/>
      <c r="ADN179" s="82"/>
      <c r="ADO179" s="82"/>
      <c r="ADP179" s="82"/>
      <c r="ADQ179" s="82"/>
      <c r="ADR179" s="82"/>
      <c r="ADS179" s="82"/>
      <c r="ADT179" s="82"/>
      <c r="ADU179" s="82"/>
      <c r="ADV179" s="82"/>
      <c r="ADW179" s="82"/>
      <c r="ADX179" s="82"/>
      <c r="ADY179" s="82"/>
      <c r="ADZ179" s="82"/>
      <c r="AEA179" s="82"/>
      <c r="AEB179" s="82"/>
      <c r="AEC179" s="82"/>
      <c r="AED179" s="82"/>
      <c r="AEE179" s="82"/>
      <c r="AEF179" s="82"/>
      <c r="AEG179" s="82"/>
      <c r="AEH179" s="82"/>
      <c r="AEI179" s="82"/>
      <c r="AEJ179" s="82"/>
      <c r="AEK179" s="82"/>
      <c r="AEL179" s="82"/>
      <c r="AEM179" s="82"/>
      <c r="AEN179" s="82"/>
      <c r="AEO179" s="82"/>
      <c r="AEP179" s="82"/>
      <c r="AEQ179" s="82"/>
      <c r="AER179" s="82"/>
      <c r="AES179" s="82"/>
      <c r="AET179" s="82"/>
      <c r="AEU179" s="82"/>
      <c r="AEV179" s="82"/>
      <c r="AEW179" s="82"/>
      <c r="AEX179" s="82"/>
      <c r="AEY179" s="82"/>
      <c r="AEZ179" s="82"/>
      <c r="AFA179" s="82"/>
      <c r="AFB179" s="82"/>
      <c r="AFC179" s="82"/>
      <c r="AFD179" s="82"/>
      <c r="AFE179" s="82"/>
      <c r="AFF179" s="82"/>
      <c r="AFG179" s="82"/>
      <c r="AFH179" s="82"/>
      <c r="AFI179" s="82"/>
      <c r="AFJ179" s="82"/>
      <c r="AFK179" s="82"/>
      <c r="AFL179" s="82"/>
      <c r="AFM179" s="82"/>
      <c r="AFN179" s="82"/>
      <c r="AFO179" s="82"/>
      <c r="AFP179" s="82"/>
      <c r="AFQ179" s="82"/>
      <c r="AFR179" s="82"/>
      <c r="AFS179" s="82"/>
      <c r="AFT179" s="82"/>
      <c r="AFU179" s="82"/>
      <c r="AFV179" s="82"/>
      <c r="AFW179" s="82"/>
      <c r="AFX179" s="82"/>
      <c r="AFY179" s="82"/>
      <c r="AFZ179" s="82"/>
      <c r="AGA179" s="82"/>
      <c r="AGB179" s="82"/>
      <c r="AGC179" s="82"/>
      <c r="AGD179" s="82"/>
      <c r="AGE179" s="82"/>
      <c r="AGF179" s="82"/>
      <c r="AGG179" s="82"/>
      <c r="AGH179" s="82"/>
      <c r="AGI179" s="82"/>
      <c r="AGJ179" s="82"/>
      <c r="AGK179" s="82"/>
      <c r="AGL179" s="82"/>
      <c r="AGM179" s="82"/>
      <c r="AGN179" s="82"/>
      <c r="AGO179" s="82"/>
      <c r="AGP179" s="82"/>
      <c r="AGQ179" s="82"/>
      <c r="AGR179" s="82"/>
      <c r="AGS179" s="82"/>
      <c r="AGT179" s="82"/>
      <c r="AGU179" s="82"/>
      <c r="AGV179" s="82"/>
      <c r="AGW179" s="82"/>
      <c r="AGX179" s="82"/>
      <c r="AGY179" s="82"/>
      <c r="AGZ179" s="82"/>
      <c r="AHA179" s="82"/>
      <c r="AHB179" s="82"/>
      <c r="AHC179" s="82"/>
      <c r="AHD179" s="82"/>
      <c r="AHE179" s="82"/>
      <c r="AHF179" s="82"/>
      <c r="AHG179" s="82"/>
      <c r="AHH179" s="82"/>
      <c r="AHI179" s="82"/>
      <c r="AHJ179" s="82"/>
      <c r="AHK179" s="82"/>
      <c r="AHL179" s="82"/>
      <c r="AHM179" s="82"/>
      <c r="AHN179" s="82"/>
      <c r="AHO179" s="82"/>
      <c r="AHP179" s="82"/>
      <c r="AHQ179" s="82"/>
      <c r="AHR179" s="82"/>
      <c r="AHS179" s="82"/>
      <c r="AHT179" s="82"/>
      <c r="AHU179" s="82"/>
      <c r="AHV179" s="82"/>
      <c r="AHW179" s="82"/>
      <c r="AHX179" s="82"/>
      <c r="AHY179" s="82"/>
      <c r="AHZ179" s="82"/>
      <c r="AIA179" s="82"/>
      <c r="AIB179" s="82"/>
      <c r="AIC179" s="82"/>
      <c r="AID179" s="82"/>
      <c r="AIE179" s="82"/>
      <c r="AIF179" s="82"/>
      <c r="AIG179" s="82"/>
      <c r="AIH179" s="82"/>
    </row>
    <row r="180" spans="1:918" s="99" customFormat="1" ht="45" x14ac:dyDescent="0.2">
      <c r="A180" s="98"/>
      <c r="B180" s="104" t="s">
        <v>170</v>
      </c>
      <c r="C180" s="97" t="s">
        <v>384</v>
      </c>
      <c r="D180" s="76"/>
      <c r="E180" s="76"/>
      <c r="F180" s="76"/>
      <c r="G180" s="76"/>
      <c r="H180" s="76">
        <v>1</v>
      </c>
      <c r="I180" s="76"/>
      <c r="J180" s="76"/>
      <c r="K180" s="76"/>
      <c r="L180" s="82"/>
      <c r="M180" s="82"/>
      <c r="N180" s="82"/>
      <c r="O180" s="82"/>
      <c r="P180" s="82"/>
      <c r="Q180" s="82"/>
      <c r="R180" s="82"/>
      <c r="S180" s="82"/>
      <c r="T180" s="82"/>
      <c r="U180" s="82"/>
      <c r="V180" s="82"/>
      <c r="W180" s="82"/>
      <c r="X180" s="82"/>
      <c r="Y180" s="82"/>
      <c r="Z180" s="82"/>
      <c r="AA180" s="82"/>
      <c r="AB180" s="82"/>
      <c r="AC180" s="82"/>
      <c r="AD180" s="82"/>
      <c r="AE180" s="82"/>
      <c r="AF180" s="82"/>
      <c r="AG180" s="82"/>
      <c r="AH180" s="82"/>
      <c r="AI180" s="82"/>
      <c r="AJ180" s="82"/>
      <c r="AK180" s="82"/>
      <c r="AL180" s="82"/>
      <c r="AM180" s="82"/>
      <c r="AN180" s="82"/>
      <c r="AO180" s="82"/>
      <c r="AP180" s="82"/>
      <c r="AQ180" s="82"/>
      <c r="AR180" s="82"/>
      <c r="AS180" s="82"/>
      <c r="AT180" s="82"/>
      <c r="AU180" s="82"/>
      <c r="AV180" s="82"/>
      <c r="AW180" s="82"/>
      <c r="AX180" s="82"/>
      <c r="AY180" s="82"/>
      <c r="AZ180" s="82"/>
      <c r="BA180" s="82"/>
      <c r="BB180" s="82"/>
      <c r="BC180" s="82"/>
      <c r="BD180" s="82"/>
      <c r="BE180" s="82"/>
      <c r="BF180" s="82"/>
      <c r="BG180" s="82"/>
      <c r="BH180" s="82"/>
      <c r="BI180" s="82"/>
      <c r="BJ180" s="82"/>
      <c r="BK180" s="82"/>
      <c r="BL180" s="82"/>
      <c r="BM180" s="82"/>
      <c r="BN180" s="82"/>
      <c r="BO180" s="82"/>
      <c r="BP180" s="82"/>
      <c r="BQ180" s="82"/>
      <c r="BR180" s="82"/>
      <c r="BS180" s="82"/>
      <c r="BT180" s="82"/>
      <c r="BU180" s="82"/>
      <c r="BV180" s="82"/>
      <c r="BW180" s="82"/>
      <c r="BX180" s="82"/>
      <c r="BY180" s="82"/>
      <c r="BZ180" s="82"/>
      <c r="CA180" s="82"/>
      <c r="CB180" s="82"/>
      <c r="CC180" s="82"/>
      <c r="CD180" s="82"/>
      <c r="CE180" s="82"/>
      <c r="CF180" s="82"/>
      <c r="CG180" s="82"/>
      <c r="CH180" s="82"/>
      <c r="CI180" s="82"/>
      <c r="CJ180" s="82"/>
      <c r="CK180" s="82"/>
      <c r="CL180" s="82"/>
      <c r="CM180" s="82"/>
      <c r="CN180" s="82"/>
      <c r="CO180" s="82"/>
      <c r="CP180" s="82"/>
      <c r="CQ180" s="82"/>
      <c r="CR180" s="82"/>
      <c r="CS180" s="82"/>
      <c r="CT180" s="82"/>
      <c r="CU180" s="82"/>
      <c r="CV180" s="82"/>
      <c r="CW180" s="82"/>
      <c r="CX180" s="82"/>
      <c r="CY180" s="82"/>
      <c r="CZ180" s="82"/>
      <c r="DA180" s="82"/>
      <c r="DB180" s="82"/>
      <c r="DC180" s="82"/>
      <c r="DD180" s="82"/>
      <c r="DE180" s="82"/>
      <c r="DF180" s="82"/>
      <c r="DG180" s="82"/>
      <c r="DH180" s="82"/>
      <c r="DI180" s="82"/>
      <c r="DJ180" s="82"/>
      <c r="DK180" s="82"/>
      <c r="DL180" s="82"/>
      <c r="DM180" s="82"/>
      <c r="DN180" s="82"/>
      <c r="DO180" s="82"/>
      <c r="DP180" s="82"/>
      <c r="DQ180" s="82"/>
      <c r="DR180" s="82"/>
      <c r="DS180" s="82"/>
      <c r="DT180" s="82"/>
      <c r="DU180" s="82"/>
      <c r="DV180" s="82"/>
      <c r="DW180" s="82"/>
      <c r="DX180" s="82"/>
      <c r="DY180" s="82"/>
      <c r="DZ180" s="82"/>
      <c r="EA180" s="82"/>
      <c r="EB180" s="82"/>
      <c r="EC180" s="82"/>
      <c r="ED180" s="82"/>
      <c r="EE180" s="82"/>
      <c r="EF180" s="82"/>
      <c r="EG180" s="82"/>
      <c r="EH180" s="82"/>
      <c r="EI180" s="82"/>
      <c r="EJ180" s="82"/>
      <c r="EK180" s="82"/>
      <c r="EL180" s="82"/>
      <c r="EM180" s="82"/>
      <c r="EN180" s="82"/>
      <c r="EO180" s="82"/>
      <c r="EP180" s="82"/>
      <c r="EQ180" s="82"/>
      <c r="ER180" s="82"/>
      <c r="ES180" s="82"/>
      <c r="ET180" s="82"/>
      <c r="EU180" s="82"/>
      <c r="EV180" s="82"/>
      <c r="EW180" s="82"/>
      <c r="EX180" s="82"/>
      <c r="EY180" s="82"/>
      <c r="EZ180" s="82"/>
      <c r="FA180" s="82"/>
      <c r="FB180" s="82"/>
      <c r="FC180" s="82"/>
      <c r="FD180" s="82"/>
      <c r="FE180" s="82"/>
      <c r="FF180" s="82"/>
      <c r="FG180" s="82"/>
      <c r="FH180" s="82"/>
      <c r="FI180" s="82"/>
      <c r="FJ180" s="82"/>
      <c r="FK180" s="82"/>
      <c r="FL180" s="82"/>
      <c r="FM180" s="82"/>
      <c r="FN180" s="82"/>
      <c r="FO180" s="82"/>
      <c r="FP180" s="82"/>
      <c r="FQ180" s="82"/>
      <c r="FR180" s="82"/>
      <c r="FS180" s="82"/>
      <c r="FT180" s="82"/>
      <c r="FU180" s="82"/>
      <c r="FV180" s="82"/>
      <c r="FW180" s="82"/>
      <c r="FX180" s="82"/>
      <c r="FY180" s="82"/>
      <c r="FZ180" s="82"/>
      <c r="GA180" s="82"/>
      <c r="GB180" s="82"/>
      <c r="GC180" s="82"/>
      <c r="GD180" s="82"/>
      <c r="GE180" s="82"/>
      <c r="GF180" s="82"/>
      <c r="GG180" s="82"/>
      <c r="GH180" s="82"/>
      <c r="GI180" s="82"/>
      <c r="GJ180" s="82"/>
      <c r="GK180" s="82"/>
      <c r="GL180" s="82"/>
      <c r="GM180" s="82"/>
      <c r="GN180" s="82"/>
      <c r="GO180" s="82"/>
      <c r="GP180" s="82"/>
      <c r="GQ180" s="82"/>
      <c r="GR180" s="82"/>
      <c r="GS180" s="82"/>
      <c r="GT180" s="82"/>
      <c r="GU180" s="82"/>
      <c r="GV180" s="82"/>
      <c r="GW180" s="82"/>
      <c r="GX180" s="82"/>
      <c r="GY180" s="82"/>
      <c r="GZ180" s="82"/>
      <c r="HA180" s="82"/>
      <c r="HB180" s="82"/>
      <c r="HC180" s="82"/>
      <c r="HD180" s="82"/>
      <c r="HE180" s="82"/>
      <c r="HF180" s="82"/>
      <c r="HG180" s="82"/>
      <c r="HH180" s="82"/>
      <c r="HI180" s="82"/>
      <c r="HJ180" s="82"/>
      <c r="HK180" s="82"/>
      <c r="HL180" s="82"/>
      <c r="HM180" s="82"/>
      <c r="HN180" s="82"/>
      <c r="HO180" s="82"/>
      <c r="HP180" s="82"/>
      <c r="HQ180" s="82"/>
      <c r="HR180" s="82"/>
      <c r="HS180" s="82"/>
      <c r="HT180" s="82"/>
      <c r="HU180" s="82"/>
      <c r="HV180" s="82"/>
      <c r="HW180" s="82"/>
      <c r="HX180" s="82"/>
      <c r="HY180" s="82"/>
      <c r="HZ180" s="82"/>
      <c r="IA180" s="82"/>
      <c r="IB180" s="82"/>
      <c r="IC180" s="82"/>
      <c r="ID180" s="82"/>
      <c r="IE180" s="82"/>
      <c r="IF180" s="82"/>
      <c r="IG180" s="82"/>
      <c r="IH180" s="82"/>
      <c r="II180" s="82"/>
      <c r="IJ180" s="82"/>
      <c r="IK180" s="82"/>
      <c r="IL180" s="82"/>
      <c r="IM180" s="82"/>
      <c r="IN180" s="82"/>
      <c r="IO180" s="82"/>
      <c r="IP180" s="82"/>
      <c r="IQ180" s="82"/>
      <c r="IR180" s="82"/>
      <c r="IS180" s="82"/>
      <c r="IT180" s="82"/>
      <c r="IU180" s="82"/>
      <c r="IV180" s="82"/>
      <c r="IW180" s="82"/>
      <c r="IX180" s="82"/>
      <c r="IY180" s="82"/>
      <c r="IZ180" s="82"/>
      <c r="JA180" s="82"/>
      <c r="JB180" s="82"/>
      <c r="JC180" s="82"/>
      <c r="JD180" s="82"/>
      <c r="JE180" s="82"/>
      <c r="JF180" s="82"/>
      <c r="JG180" s="82"/>
      <c r="JH180" s="82"/>
      <c r="JI180" s="82"/>
      <c r="JJ180" s="82"/>
      <c r="JK180" s="82"/>
      <c r="JL180" s="82"/>
      <c r="JM180" s="82"/>
      <c r="JN180" s="82"/>
      <c r="JO180" s="82"/>
      <c r="JP180" s="82"/>
      <c r="JQ180" s="82"/>
      <c r="JR180" s="82"/>
      <c r="JS180" s="82"/>
      <c r="JT180" s="82"/>
      <c r="JU180" s="82"/>
      <c r="JV180" s="82"/>
      <c r="JW180" s="82"/>
      <c r="JX180" s="82"/>
      <c r="JY180" s="82"/>
      <c r="JZ180" s="82"/>
      <c r="KA180" s="82"/>
      <c r="KB180" s="82"/>
      <c r="KC180" s="82"/>
      <c r="KD180" s="82"/>
      <c r="KE180" s="82"/>
      <c r="KF180" s="82"/>
      <c r="KG180" s="82"/>
      <c r="KH180" s="82"/>
      <c r="KI180" s="82"/>
      <c r="KJ180" s="82"/>
      <c r="KK180" s="82"/>
      <c r="KL180" s="82"/>
      <c r="KM180" s="82"/>
      <c r="KN180" s="82"/>
      <c r="KO180" s="82"/>
      <c r="KP180" s="82"/>
      <c r="KQ180" s="82"/>
      <c r="KR180" s="82"/>
      <c r="KS180" s="82"/>
      <c r="KT180" s="82"/>
      <c r="KU180" s="82"/>
      <c r="KV180" s="82"/>
      <c r="KW180" s="82"/>
      <c r="KX180" s="82"/>
      <c r="KY180" s="82"/>
      <c r="KZ180" s="82"/>
      <c r="LA180" s="82"/>
      <c r="LB180" s="82"/>
      <c r="LC180" s="82"/>
      <c r="LD180" s="82"/>
      <c r="LE180" s="82"/>
      <c r="LF180" s="82"/>
      <c r="LG180" s="82"/>
      <c r="LH180" s="82"/>
      <c r="LI180" s="82"/>
      <c r="LJ180" s="82"/>
      <c r="LK180" s="82"/>
      <c r="LL180" s="82"/>
      <c r="LM180" s="82"/>
      <c r="LN180" s="82"/>
      <c r="LO180" s="82"/>
      <c r="LP180" s="82"/>
      <c r="LQ180" s="82"/>
      <c r="LR180" s="82"/>
      <c r="LS180" s="82"/>
      <c r="LT180" s="82"/>
      <c r="LU180" s="82"/>
      <c r="LV180" s="82"/>
      <c r="LW180" s="82"/>
      <c r="LX180" s="82"/>
      <c r="LY180" s="82"/>
      <c r="LZ180" s="82"/>
      <c r="MA180" s="82"/>
      <c r="MB180" s="82"/>
      <c r="MC180" s="82"/>
      <c r="MD180" s="82"/>
      <c r="ME180" s="82"/>
      <c r="MF180" s="82"/>
      <c r="MG180" s="82"/>
      <c r="MH180" s="82"/>
      <c r="MI180" s="82"/>
      <c r="MJ180" s="82"/>
      <c r="MK180" s="82"/>
      <c r="ML180" s="82"/>
      <c r="MM180" s="82"/>
      <c r="MN180" s="82"/>
      <c r="MO180" s="82"/>
      <c r="MP180" s="82"/>
      <c r="MQ180" s="82"/>
      <c r="MR180" s="82"/>
      <c r="MS180" s="82"/>
      <c r="MT180" s="82"/>
      <c r="MU180" s="82"/>
      <c r="MV180" s="82"/>
      <c r="MW180" s="82"/>
      <c r="MX180" s="82"/>
      <c r="MY180" s="82"/>
      <c r="MZ180" s="82"/>
      <c r="NA180" s="82"/>
      <c r="NB180" s="82"/>
      <c r="NC180" s="82"/>
      <c r="ND180" s="82"/>
      <c r="NE180" s="82"/>
      <c r="NF180" s="82"/>
      <c r="NG180" s="82"/>
      <c r="NH180" s="82"/>
      <c r="NI180" s="82"/>
      <c r="NJ180" s="82"/>
      <c r="NK180" s="82"/>
      <c r="NL180" s="82"/>
      <c r="NM180" s="82"/>
      <c r="NN180" s="82"/>
      <c r="NO180" s="82"/>
      <c r="NP180" s="82"/>
      <c r="NQ180" s="82"/>
      <c r="NR180" s="82"/>
      <c r="NS180" s="82"/>
      <c r="NT180" s="82"/>
      <c r="NU180" s="82"/>
      <c r="NV180" s="82"/>
      <c r="NW180" s="82"/>
      <c r="NX180" s="82"/>
      <c r="NY180" s="82"/>
      <c r="NZ180" s="82"/>
      <c r="OA180" s="82"/>
      <c r="OB180" s="82"/>
      <c r="OC180" s="82"/>
      <c r="OD180" s="82"/>
      <c r="OE180" s="82"/>
      <c r="OF180" s="82"/>
      <c r="OG180" s="82"/>
      <c r="OH180" s="82"/>
      <c r="OI180" s="82"/>
      <c r="OJ180" s="82"/>
      <c r="OK180" s="82"/>
      <c r="OL180" s="82"/>
      <c r="OM180" s="82"/>
      <c r="ON180" s="82"/>
      <c r="OO180" s="82"/>
      <c r="OP180" s="82"/>
      <c r="OQ180" s="82"/>
      <c r="OR180" s="82"/>
      <c r="OS180" s="82"/>
      <c r="OT180" s="82"/>
      <c r="OU180" s="82"/>
      <c r="OV180" s="82"/>
      <c r="OW180" s="82"/>
      <c r="OX180" s="82"/>
      <c r="OY180" s="82"/>
      <c r="OZ180" s="82"/>
      <c r="PA180" s="82"/>
      <c r="PB180" s="82"/>
      <c r="PC180" s="82"/>
      <c r="PD180" s="82"/>
      <c r="PE180" s="82"/>
      <c r="PF180" s="82"/>
      <c r="PG180" s="82"/>
      <c r="PH180" s="82"/>
      <c r="PI180" s="82"/>
      <c r="PJ180" s="82"/>
      <c r="PK180" s="82"/>
      <c r="PL180" s="82"/>
      <c r="PM180" s="82"/>
      <c r="PN180" s="82"/>
      <c r="PO180" s="82"/>
      <c r="PP180" s="82"/>
      <c r="PQ180" s="82"/>
      <c r="PR180" s="82"/>
      <c r="PS180" s="82"/>
      <c r="PT180" s="82"/>
      <c r="PU180" s="82"/>
      <c r="PV180" s="82"/>
      <c r="PW180" s="82"/>
      <c r="PX180" s="82"/>
      <c r="PY180" s="82"/>
      <c r="PZ180" s="82"/>
      <c r="QA180" s="82"/>
      <c r="QB180" s="82"/>
      <c r="QC180" s="82"/>
      <c r="QD180" s="82"/>
      <c r="QE180" s="82"/>
      <c r="QF180" s="82"/>
      <c r="QG180" s="82"/>
      <c r="QH180" s="82"/>
      <c r="QI180" s="82"/>
      <c r="QJ180" s="82"/>
      <c r="QK180" s="82"/>
      <c r="QL180" s="82"/>
      <c r="QM180" s="82"/>
      <c r="QN180" s="82"/>
      <c r="QO180" s="82"/>
      <c r="QP180" s="82"/>
      <c r="QQ180" s="82"/>
      <c r="QR180" s="82"/>
      <c r="QS180" s="82"/>
      <c r="QT180" s="82"/>
      <c r="QU180" s="82"/>
      <c r="QV180" s="82"/>
      <c r="QW180" s="82"/>
      <c r="QX180" s="82"/>
      <c r="QY180" s="82"/>
      <c r="QZ180" s="82"/>
      <c r="RA180" s="82"/>
      <c r="RB180" s="82"/>
      <c r="RC180" s="82"/>
      <c r="RD180" s="82"/>
      <c r="RE180" s="82"/>
      <c r="RF180" s="82"/>
      <c r="RG180" s="82"/>
      <c r="RH180" s="82"/>
      <c r="RI180" s="82"/>
      <c r="RJ180" s="82"/>
      <c r="RK180" s="82"/>
      <c r="RL180" s="82"/>
      <c r="RM180" s="82"/>
      <c r="RN180" s="82"/>
      <c r="RO180" s="82"/>
      <c r="RP180" s="82"/>
      <c r="RQ180" s="82"/>
      <c r="RR180" s="82"/>
      <c r="RS180" s="82"/>
      <c r="RT180" s="82"/>
      <c r="RU180" s="82"/>
      <c r="RV180" s="82"/>
      <c r="RW180" s="82"/>
      <c r="RX180" s="82"/>
      <c r="RY180" s="82"/>
      <c r="RZ180" s="82"/>
      <c r="SA180" s="82"/>
      <c r="SB180" s="82"/>
      <c r="SC180" s="82"/>
      <c r="SD180" s="82"/>
      <c r="SE180" s="82"/>
      <c r="SF180" s="82"/>
      <c r="SG180" s="82"/>
      <c r="SH180" s="82"/>
      <c r="SI180" s="82"/>
      <c r="SJ180" s="82"/>
      <c r="SK180" s="82"/>
      <c r="SL180" s="82"/>
      <c r="SM180" s="82"/>
      <c r="SN180" s="82"/>
      <c r="SO180" s="82"/>
      <c r="SP180" s="82"/>
      <c r="SQ180" s="82"/>
      <c r="SR180" s="82"/>
      <c r="SS180" s="82"/>
      <c r="ST180" s="82"/>
      <c r="SU180" s="82"/>
      <c r="SV180" s="82"/>
      <c r="SW180" s="82"/>
      <c r="SX180" s="82"/>
      <c r="SY180" s="82"/>
      <c r="SZ180" s="82"/>
      <c r="TA180" s="82"/>
      <c r="TB180" s="82"/>
      <c r="TC180" s="82"/>
      <c r="TD180" s="82"/>
      <c r="TE180" s="82"/>
      <c r="TF180" s="82"/>
      <c r="TG180" s="82"/>
      <c r="TH180" s="82"/>
      <c r="TI180" s="82"/>
      <c r="TJ180" s="82"/>
      <c r="TK180" s="82"/>
      <c r="TL180" s="82"/>
      <c r="TM180" s="82"/>
      <c r="TN180" s="82"/>
      <c r="TO180" s="82"/>
      <c r="TP180" s="82"/>
      <c r="TQ180" s="82"/>
      <c r="TR180" s="82"/>
      <c r="TS180" s="82"/>
      <c r="TT180" s="82"/>
      <c r="TU180" s="82"/>
      <c r="TV180" s="82"/>
      <c r="TW180" s="82"/>
      <c r="TX180" s="82"/>
      <c r="TY180" s="82"/>
      <c r="TZ180" s="82"/>
      <c r="UA180" s="82"/>
      <c r="UB180" s="82"/>
      <c r="UC180" s="82"/>
      <c r="UD180" s="82"/>
      <c r="UE180" s="82"/>
      <c r="UF180" s="82"/>
      <c r="UG180" s="82"/>
      <c r="UH180" s="82"/>
      <c r="UI180" s="82"/>
      <c r="UJ180" s="82"/>
      <c r="UK180" s="82"/>
      <c r="UL180" s="82"/>
      <c r="UM180" s="82"/>
      <c r="UN180" s="82"/>
      <c r="UO180" s="82"/>
      <c r="UP180" s="82"/>
      <c r="UQ180" s="82"/>
      <c r="UR180" s="82"/>
      <c r="US180" s="82"/>
      <c r="UT180" s="82"/>
      <c r="UU180" s="82"/>
      <c r="UV180" s="82"/>
      <c r="UW180" s="82"/>
      <c r="UX180" s="82"/>
      <c r="UY180" s="82"/>
      <c r="UZ180" s="82"/>
      <c r="VA180" s="82"/>
      <c r="VB180" s="82"/>
      <c r="VC180" s="82"/>
      <c r="VD180" s="82"/>
      <c r="VE180" s="82"/>
      <c r="VF180" s="82"/>
      <c r="VG180" s="82"/>
      <c r="VH180" s="82"/>
      <c r="VI180" s="82"/>
      <c r="VJ180" s="82"/>
      <c r="VK180" s="82"/>
      <c r="VL180" s="82"/>
      <c r="VM180" s="82"/>
      <c r="VN180" s="82"/>
      <c r="VO180" s="82"/>
      <c r="VP180" s="82"/>
      <c r="VQ180" s="82"/>
      <c r="VR180" s="82"/>
      <c r="VS180" s="82"/>
      <c r="VT180" s="82"/>
      <c r="VU180" s="82"/>
      <c r="VV180" s="82"/>
      <c r="VW180" s="82"/>
      <c r="VX180" s="82"/>
      <c r="VY180" s="82"/>
      <c r="VZ180" s="82"/>
      <c r="WA180" s="82"/>
      <c r="WB180" s="82"/>
      <c r="WC180" s="82"/>
      <c r="WD180" s="82"/>
      <c r="WE180" s="82"/>
      <c r="WF180" s="82"/>
      <c r="WG180" s="82"/>
      <c r="WH180" s="82"/>
      <c r="WI180" s="82"/>
      <c r="WJ180" s="82"/>
      <c r="WK180" s="82"/>
      <c r="WL180" s="82"/>
      <c r="WM180" s="82"/>
      <c r="WN180" s="82"/>
      <c r="WO180" s="82"/>
      <c r="WP180" s="82"/>
      <c r="WQ180" s="82"/>
      <c r="WR180" s="82"/>
      <c r="WS180" s="82"/>
      <c r="WT180" s="82"/>
      <c r="WU180" s="82"/>
      <c r="WV180" s="82"/>
      <c r="WW180" s="82"/>
      <c r="WX180" s="82"/>
      <c r="WY180" s="82"/>
      <c r="WZ180" s="82"/>
      <c r="XA180" s="82"/>
      <c r="XB180" s="82"/>
      <c r="XC180" s="82"/>
      <c r="XD180" s="82"/>
      <c r="XE180" s="82"/>
      <c r="XF180" s="82"/>
      <c r="XG180" s="82"/>
      <c r="XH180" s="82"/>
      <c r="XI180" s="82"/>
      <c r="XJ180" s="82"/>
      <c r="XK180" s="82"/>
      <c r="XL180" s="82"/>
      <c r="XM180" s="82"/>
      <c r="XN180" s="82"/>
      <c r="XO180" s="82"/>
      <c r="XP180" s="82"/>
      <c r="XQ180" s="82"/>
      <c r="XR180" s="82"/>
      <c r="XS180" s="82"/>
      <c r="XT180" s="82"/>
      <c r="XU180" s="82"/>
      <c r="XV180" s="82"/>
      <c r="XW180" s="82"/>
      <c r="XX180" s="82"/>
      <c r="XY180" s="82"/>
      <c r="XZ180" s="82"/>
      <c r="YA180" s="82"/>
      <c r="YB180" s="82"/>
      <c r="YC180" s="82"/>
      <c r="YD180" s="82"/>
      <c r="YE180" s="82"/>
      <c r="YF180" s="82"/>
      <c r="YG180" s="82"/>
      <c r="YH180" s="82"/>
      <c r="YI180" s="82"/>
      <c r="YJ180" s="82"/>
      <c r="YK180" s="82"/>
      <c r="YL180" s="82"/>
      <c r="YM180" s="82"/>
      <c r="YN180" s="82"/>
      <c r="YO180" s="82"/>
      <c r="YP180" s="82"/>
      <c r="YQ180" s="82"/>
      <c r="YR180" s="82"/>
      <c r="YS180" s="82"/>
      <c r="YT180" s="82"/>
      <c r="YU180" s="82"/>
      <c r="YV180" s="82"/>
      <c r="YW180" s="82"/>
      <c r="YX180" s="82"/>
      <c r="YY180" s="82"/>
      <c r="YZ180" s="82"/>
      <c r="ZA180" s="82"/>
      <c r="ZB180" s="82"/>
      <c r="ZC180" s="82"/>
      <c r="ZD180" s="82"/>
      <c r="ZE180" s="82"/>
      <c r="ZF180" s="82"/>
      <c r="ZG180" s="82"/>
      <c r="ZH180" s="82"/>
      <c r="ZI180" s="82"/>
      <c r="ZJ180" s="82"/>
      <c r="ZK180" s="82"/>
      <c r="ZL180" s="82"/>
      <c r="ZM180" s="82"/>
      <c r="ZN180" s="82"/>
      <c r="ZO180" s="82"/>
      <c r="ZP180" s="82"/>
      <c r="ZQ180" s="82"/>
      <c r="ZR180" s="82"/>
      <c r="ZS180" s="82"/>
      <c r="ZT180" s="82"/>
      <c r="ZU180" s="82"/>
      <c r="ZV180" s="82"/>
      <c r="ZW180" s="82"/>
      <c r="ZX180" s="82"/>
      <c r="ZY180" s="82"/>
      <c r="ZZ180" s="82"/>
      <c r="AAA180" s="82"/>
      <c r="AAB180" s="82"/>
      <c r="AAC180" s="82"/>
      <c r="AAD180" s="82"/>
      <c r="AAE180" s="82"/>
      <c r="AAF180" s="82"/>
      <c r="AAG180" s="82"/>
      <c r="AAH180" s="82"/>
      <c r="AAI180" s="82"/>
      <c r="AAJ180" s="82"/>
      <c r="AAK180" s="82"/>
      <c r="AAL180" s="82"/>
      <c r="AAM180" s="82"/>
      <c r="AAN180" s="82"/>
      <c r="AAO180" s="82"/>
      <c r="AAP180" s="82"/>
      <c r="AAQ180" s="82"/>
      <c r="AAR180" s="82"/>
      <c r="AAS180" s="82"/>
      <c r="AAT180" s="82"/>
      <c r="AAU180" s="82"/>
      <c r="AAV180" s="82"/>
      <c r="AAW180" s="82"/>
      <c r="AAX180" s="82"/>
      <c r="AAY180" s="82"/>
      <c r="AAZ180" s="82"/>
      <c r="ABA180" s="82"/>
      <c r="ABB180" s="82"/>
      <c r="ABC180" s="82"/>
      <c r="ABD180" s="82"/>
      <c r="ABE180" s="82"/>
      <c r="ABF180" s="82"/>
      <c r="ABG180" s="82"/>
      <c r="ABH180" s="82"/>
      <c r="ABI180" s="82"/>
      <c r="ABJ180" s="82"/>
      <c r="ABK180" s="82"/>
      <c r="ABL180" s="82"/>
      <c r="ABM180" s="82"/>
      <c r="ABN180" s="82"/>
      <c r="ABO180" s="82"/>
      <c r="ABP180" s="82"/>
      <c r="ABQ180" s="82"/>
      <c r="ABR180" s="82"/>
      <c r="ABS180" s="82"/>
      <c r="ABT180" s="82"/>
      <c r="ABU180" s="82"/>
      <c r="ABV180" s="82"/>
      <c r="ABW180" s="82"/>
      <c r="ABX180" s="82"/>
      <c r="ABY180" s="82"/>
      <c r="ABZ180" s="82"/>
      <c r="ACA180" s="82"/>
      <c r="ACB180" s="82"/>
      <c r="ACC180" s="82"/>
      <c r="ACD180" s="82"/>
      <c r="ACE180" s="82"/>
      <c r="ACF180" s="82"/>
      <c r="ACG180" s="82"/>
      <c r="ACH180" s="82"/>
      <c r="ACI180" s="82"/>
      <c r="ACJ180" s="82"/>
      <c r="ACK180" s="82"/>
      <c r="ACL180" s="82"/>
      <c r="ACM180" s="82"/>
      <c r="ACN180" s="82"/>
      <c r="ACO180" s="82"/>
      <c r="ACP180" s="82"/>
      <c r="ACQ180" s="82"/>
      <c r="ACR180" s="82"/>
      <c r="ACS180" s="82"/>
      <c r="ACT180" s="82"/>
      <c r="ACU180" s="82"/>
      <c r="ACV180" s="82"/>
      <c r="ACW180" s="82"/>
      <c r="ACX180" s="82"/>
      <c r="ACY180" s="82"/>
      <c r="ACZ180" s="82"/>
      <c r="ADA180" s="82"/>
      <c r="ADB180" s="82"/>
      <c r="ADC180" s="82"/>
      <c r="ADD180" s="82"/>
      <c r="ADE180" s="82"/>
      <c r="ADF180" s="82"/>
      <c r="ADG180" s="82"/>
      <c r="ADH180" s="82"/>
      <c r="ADI180" s="82"/>
      <c r="ADJ180" s="82"/>
      <c r="ADK180" s="82"/>
      <c r="ADL180" s="82"/>
      <c r="ADM180" s="82"/>
      <c r="ADN180" s="82"/>
      <c r="ADO180" s="82"/>
      <c r="ADP180" s="82"/>
      <c r="ADQ180" s="82"/>
      <c r="ADR180" s="82"/>
      <c r="ADS180" s="82"/>
      <c r="ADT180" s="82"/>
      <c r="ADU180" s="82"/>
      <c r="ADV180" s="82"/>
      <c r="ADW180" s="82"/>
      <c r="ADX180" s="82"/>
      <c r="ADY180" s="82"/>
      <c r="ADZ180" s="82"/>
      <c r="AEA180" s="82"/>
      <c r="AEB180" s="82"/>
      <c r="AEC180" s="82"/>
      <c r="AED180" s="82"/>
      <c r="AEE180" s="82"/>
      <c r="AEF180" s="82"/>
      <c r="AEG180" s="82"/>
      <c r="AEH180" s="82"/>
      <c r="AEI180" s="82"/>
      <c r="AEJ180" s="82"/>
      <c r="AEK180" s="82"/>
      <c r="AEL180" s="82"/>
      <c r="AEM180" s="82"/>
      <c r="AEN180" s="82"/>
      <c r="AEO180" s="82"/>
      <c r="AEP180" s="82"/>
      <c r="AEQ180" s="82"/>
      <c r="AER180" s="82"/>
      <c r="AES180" s="82"/>
      <c r="AET180" s="82"/>
      <c r="AEU180" s="82"/>
      <c r="AEV180" s="82"/>
      <c r="AEW180" s="82"/>
      <c r="AEX180" s="82"/>
      <c r="AEY180" s="82"/>
      <c r="AEZ180" s="82"/>
      <c r="AFA180" s="82"/>
      <c r="AFB180" s="82"/>
      <c r="AFC180" s="82"/>
      <c r="AFD180" s="82"/>
      <c r="AFE180" s="82"/>
      <c r="AFF180" s="82"/>
      <c r="AFG180" s="82"/>
      <c r="AFH180" s="82"/>
      <c r="AFI180" s="82"/>
      <c r="AFJ180" s="82"/>
      <c r="AFK180" s="82"/>
      <c r="AFL180" s="82"/>
      <c r="AFM180" s="82"/>
      <c r="AFN180" s="82"/>
      <c r="AFO180" s="82"/>
      <c r="AFP180" s="82"/>
      <c r="AFQ180" s="82"/>
      <c r="AFR180" s="82"/>
      <c r="AFS180" s="82"/>
      <c r="AFT180" s="82"/>
      <c r="AFU180" s="82"/>
      <c r="AFV180" s="82"/>
      <c r="AFW180" s="82"/>
      <c r="AFX180" s="82"/>
      <c r="AFY180" s="82"/>
      <c r="AFZ180" s="82"/>
      <c r="AGA180" s="82"/>
      <c r="AGB180" s="82"/>
      <c r="AGC180" s="82"/>
      <c r="AGD180" s="82"/>
      <c r="AGE180" s="82"/>
      <c r="AGF180" s="82"/>
      <c r="AGG180" s="82"/>
      <c r="AGH180" s="82"/>
      <c r="AGI180" s="82"/>
      <c r="AGJ180" s="82"/>
      <c r="AGK180" s="82"/>
      <c r="AGL180" s="82"/>
      <c r="AGM180" s="82"/>
      <c r="AGN180" s="82"/>
      <c r="AGO180" s="82"/>
      <c r="AGP180" s="82"/>
      <c r="AGQ180" s="82"/>
      <c r="AGR180" s="82"/>
      <c r="AGS180" s="82"/>
      <c r="AGT180" s="82"/>
      <c r="AGU180" s="82"/>
      <c r="AGV180" s="82"/>
      <c r="AGW180" s="82"/>
      <c r="AGX180" s="82"/>
      <c r="AGY180" s="82"/>
      <c r="AGZ180" s="82"/>
      <c r="AHA180" s="82"/>
      <c r="AHB180" s="82"/>
      <c r="AHC180" s="82"/>
      <c r="AHD180" s="82"/>
      <c r="AHE180" s="82"/>
      <c r="AHF180" s="82"/>
      <c r="AHG180" s="82"/>
      <c r="AHH180" s="82"/>
      <c r="AHI180" s="82"/>
      <c r="AHJ180" s="82"/>
      <c r="AHK180" s="82"/>
      <c r="AHL180" s="82"/>
      <c r="AHM180" s="82"/>
      <c r="AHN180" s="82"/>
      <c r="AHO180" s="82"/>
      <c r="AHP180" s="82"/>
      <c r="AHQ180" s="82"/>
      <c r="AHR180" s="82"/>
      <c r="AHS180" s="82"/>
      <c r="AHT180" s="82"/>
      <c r="AHU180" s="82"/>
      <c r="AHV180" s="82"/>
      <c r="AHW180" s="82"/>
      <c r="AHX180" s="82"/>
      <c r="AHY180" s="82"/>
      <c r="AHZ180" s="82"/>
      <c r="AIA180" s="82"/>
      <c r="AIB180" s="82"/>
      <c r="AIC180" s="82"/>
      <c r="AID180" s="82"/>
      <c r="AIE180" s="82"/>
      <c r="AIF180" s="82"/>
      <c r="AIG180" s="82"/>
      <c r="AIH180" s="82"/>
    </row>
    <row r="181" spans="1:918" x14ac:dyDescent="0.2">
      <c r="B181" s="46"/>
      <c r="C181" s="51"/>
      <c r="D181" s="76"/>
      <c r="E181" s="76"/>
      <c r="F181" s="76"/>
      <c r="G181" s="76"/>
      <c r="H181" s="76"/>
      <c r="I181" s="76"/>
      <c r="J181" s="76"/>
      <c r="K181" s="76"/>
      <c r="L181" s="82"/>
      <c r="M181" s="82"/>
      <c r="N181" s="82"/>
      <c r="O181" s="82"/>
      <c r="P181" s="82"/>
      <c r="Q181" s="82"/>
      <c r="R181" s="82"/>
      <c r="S181" s="82"/>
      <c r="T181" s="82"/>
      <c r="U181" s="82"/>
      <c r="V181" s="82"/>
      <c r="W181" s="82"/>
      <c r="X181" s="82"/>
      <c r="Y181" s="82"/>
      <c r="Z181" s="82"/>
      <c r="AA181" s="82"/>
      <c r="AB181" s="82"/>
      <c r="AC181" s="82"/>
    </row>
    <row r="182" spans="1:918" s="99" customFormat="1" x14ac:dyDescent="0.2">
      <c r="A182" s="98"/>
      <c r="B182" s="103" t="s">
        <v>154</v>
      </c>
      <c r="C182" s="94" t="s">
        <v>251</v>
      </c>
      <c r="D182" s="76"/>
      <c r="E182" s="76"/>
      <c r="F182" s="76"/>
      <c r="G182" s="76"/>
      <c r="H182" s="76"/>
      <c r="I182" s="76"/>
      <c r="J182" s="76"/>
      <c r="K182" s="76"/>
      <c r="L182" s="82"/>
      <c r="M182" s="82"/>
      <c r="N182" s="82"/>
      <c r="O182" s="82"/>
      <c r="P182" s="82"/>
      <c r="Q182" s="82"/>
      <c r="R182" s="82"/>
      <c r="S182" s="82"/>
      <c r="T182" s="82"/>
      <c r="U182" s="82"/>
      <c r="V182" s="82"/>
      <c r="W182" s="82"/>
      <c r="X182" s="82"/>
      <c r="Y182" s="82"/>
      <c r="Z182" s="82"/>
      <c r="AA182" s="82"/>
      <c r="AB182" s="82"/>
      <c r="AC182" s="82"/>
      <c r="AD182" s="82"/>
      <c r="AE182" s="82"/>
      <c r="AF182" s="82"/>
      <c r="AG182" s="82"/>
      <c r="AH182" s="82"/>
      <c r="AI182" s="82"/>
      <c r="AJ182" s="82"/>
      <c r="AK182" s="82"/>
      <c r="AL182" s="82"/>
      <c r="AM182" s="82"/>
      <c r="AN182" s="82"/>
      <c r="AO182" s="82"/>
      <c r="AP182" s="82"/>
      <c r="AQ182" s="82"/>
      <c r="AR182" s="82"/>
      <c r="AS182" s="82"/>
      <c r="AT182" s="82"/>
      <c r="AU182" s="82"/>
      <c r="AV182" s="82"/>
      <c r="AW182" s="82"/>
      <c r="AX182" s="82"/>
      <c r="AY182" s="82"/>
      <c r="AZ182" s="82"/>
      <c r="BA182" s="82"/>
      <c r="BB182" s="82"/>
      <c r="BC182" s="82"/>
      <c r="BD182" s="82"/>
      <c r="BE182" s="82"/>
      <c r="BF182" s="82"/>
      <c r="BG182" s="82"/>
      <c r="BH182" s="82"/>
      <c r="BI182" s="82"/>
      <c r="BJ182" s="82"/>
      <c r="BK182" s="82"/>
      <c r="BL182" s="82"/>
      <c r="BM182" s="82"/>
      <c r="BN182" s="82"/>
      <c r="BO182" s="82"/>
      <c r="BP182" s="82"/>
      <c r="BQ182" s="82"/>
      <c r="BR182" s="82"/>
      <c r="BS182" s="82"/>
      <c r="BT182" s="82"/>
      <c r="BU182" s="82"/>
      <c r="BV182" s="82"/>
      <c r="BW182" s="82"/>
      <c r="BX182" s="82"/>
      <c r="BY182" s="82"/>
      <c r="BZ182" s="82"/>
      <c r="CA182" s="82"/>
      <c r="CB182" s="82"/>
      <c r="CC182" s="82"/>
      <c r="CD182" s="82"/>
      <c r="CE182" s="82"/>
      <c r="CF182" s="82"/>
      <c r="CG182" s="82"/>
      <c r="CH182" s="82"/>
      <c r="CI182" s="82"/>
      <c r="CJ182" s="82"/>
      <c r="CK182" s="82"/>
      <c r="CL182" s="82"/>
      <c r="CM182" s="82"/>
      <c r="CN182" s="82"/>
      <c r="CO182" s="82"/>
      <c r="CP182" s="82"/>
      <c r="CQ182" s="82"/>
      <c r="CR182" s="82"/>
      <c r="CS182" s="82"/>
      <c r="CT182" s="82"/>
      <c r="CU182" s="82"/>
      <c r="CV182" s="82"/>
      <c r="CW182" s="82"/>
      <c r="CX182" s="82"/>
      <c r="CY182" s="82"/>
      <c r="CZ182" s="82"/>
      <c r="DA182" s="82"/>
      <c r="DB182" s="82"/>
      <c r="DC182" s="82"/>
      <c r="DD182" s="82"/>
      <c r="DE182" s="82"/>
      <c r="DF182" s="82"/>
      <c r="DG182" s="82"/>
      <c r="DH182" s="82"/>
      <c r="DI182" s="82"/>
      <c r="DJ182" s="82"/>
      <c r="DK182" s="82"/>
      <c r="DL182" s="82"/>
      <c r="DM182" s="82"/>
      <c r="DN182" s="82"/>
      <c r="DO182" s="82"/>
      <c r="DP182" s="82"/>
      <c r="DQ182" s="82"/>
      <c r="DR182" s="82"/>
      <c r="DS182" s="82"/>
      <c r="DT182" s="82"/>
      <c r="DU182" s="82"/>
      <c r="DV182" s="82"/>
      <c r="DW182" s="82"/>
      <c r="DX182" s="82"/>
      <c r="DY182" s="82"/>
      <c r="DZ182" s="82"/>
      <c r="EA182" s="82"/>
      <c r="EB182" s="82"/>
      <c r="EC182" s="82"/>
      <c r="ED182" s="82"/>
      <c r="EE182" s="82"/>
      <c r="EF182" s="82"/>
      <c r="EG182" s="82"/>
      <c r="EH182" s="82"/>
      <c r="EI182" s="82"/>
      <c r="EJ182" s="82"/>
      <c r="EK182" s="82"/>
      <c r="EL182" s="82"/>
      <c r="EM182" s="82"/>
      <c r="EN182" s="82"/>
      <c r="EO182" s="82"/>
      <c r="EP182" s="82"/>
      <c r="EQ182" s="82"/>
      <c r="ER182" s="82"/>
      <c r="ES182" s="82"/>
      <c r="ET182" s="82"/>
      <c r="EU182" s="82"/>
      <c r="EV182" s="82"/>
      <c r="EW182" s="82"/>
      <c r="EX182" s="82"/>
      <c r="EY182" s="82"/>
      <c r="EZ182" s="82"/>
      <c r="FA182" s="82"/>
      <c r="FB182" s="82"/>
      <c r="FC182" s="82"/>
      <c r="FD182" s="82"/>
      <c r="FE182" s="82"/>
      <c r="FF182" s="82"/>
      <c r="FG182" s="82"/>
      <c r="FH182" s="82"/>
      <c r="FI182" s="82"/>
      <c r="FJ182" s="82"/>
      <c r="FK182" s="82"/>
      <c r="FL182" s="82"/>
      <c r="FM182" s="82"/>
      <c r="FN182" s="82"/>
      <c r="FO182" s="82"/>
      <c r="FP182" s="82"/>
      <c r="FQ182" s="82"/>
      <c r="FR182" s="82"/>
      <c r="FS182" s="82"/>
      <c r="FT182" s="82"/>
      <c r="FU182" s="82"/>
      <c r="FV182" s="82"/>
      <c r="FW182" s="82"/>
      <c r="FX182" s="82"/>
      <c r="FY182" s="82"/>
      <c r="FZ182" s="82"/>
      <c r="GA182" s="82"/>
      <c r="GB182" s="82"/>
      <c r="GC182" s="82"/>
      <c r="GD182" s="82"/>
      <c r="GE182" s="82"/>
      <c r="GF182" s="82"/>
      <c r="GG182" s="82"/>
      <c r="GH182" s="82"/>
      <c r="GI182" s="82"/>
      <c r="GJ182" s="82"/>
      <c r="GK182" s="82"/>
      <c r="GL182" s="82"/>
      <c r="GM182" s="82"/>
      <c r="GN182" s="82"/>
      <c r="GO182" s="82"/>
      <c r="GP182" s="82"/>
      <c r="GQ182" s="82"/>
      <c r="GR182" s="82"/>
      <c r="GS182" s="82"/>
      <c r="GT182" s="82"/>
      <c r="GU182" s="82"/>
      <c r="GV182" s="82"/>
      <c r="GW182" s="82"/>
      <c r="GX182" s="82"/>
      <c r="GY182" s="82"/>
      <c r="GZ182" s="82"/>
      <c r="HA182" s="82"/>
      <c r="HB182" s="82"/>
      <c r="HC182" s="82"/>
      <c r="HD182" s="82"/>
      <c r="HE182" s="82"/>
      <c r="HF182" s="82"/>
      <c r="HG182" s="82"/>
      <c r="HH182" s="82"/>
      <c r="HI182" s="82"/>
      <c r="HJ182" s="82"/>
      <c r="HK182" s="82"/>
      <c r="HL182" s="82"/>
      <c r="HM182" s="82"/>
      <c r="HN182" s="82"/>
      <c r="HO182" s="82"/>
      <c r="HP182" s="82"/>
      <c r="HQ182" s="82"/>
      <c r="HR182" s="82"/>
      <c r="HS182" s="82"/>
      <c r="HT182" s="82"/>
      <c r="HU182" s="82"/>
      <c r="HV182" s="82"/>
      <c r="HW182" s="82"/>
      <c r="HX182" s="82"/>
      <c r="HY182" s="82"/>
      <c r="HZ182" s="82"/>
      <c r="IA182" s="82"/>
      <c r="IB182" s="82"/>
      <c r="IC182" s="82"/>
      <c r="ID182" s="82"/>
      <c r="IE182" s="82"/>
      <c r="IF182" s="82"/>
      <c r="IG182" s="82"/>
      <c r="IH182" s="82"/>
      <c r="II182" s="82"/>
      <c r="IJ182" s="82"/>
      <c r="IK182" s="82"/>
      <c r="IL182" s="82"/>
      <c r="IM182" s="82"/>
      <c r="IN182" s="82"/>
      <c r="IO182" s="82"/>
      <c r="IP182" s="82"/>
      <c r="IQ182" s="82"/>
      <c r="IR182" s="82"/>
      <c r="IS182" s="82"/>
      <c r="IT182" s="82"/>
      <c r="IU182" s="82"/>
      <c r="IV182" s="82"/>
      <c r="IW182" s="82"/>
      <c r="IX182" s="82"/>
      <c r="IY182" s="82"/>
      <c r="IZ182" s="82"/>
      <c r="JA182" s="82"/>
      <c r="JB182" s="82"/>
      <c r="JC182" s="82"/>
      <c r="JD182" s="82"/>
      <c r="JE182" s="82"/>
      <c r="JF182" s="82"/>
      <c r="JG182" s="82"/>
      <c r="JH182" s="82"/>
      <c r="JI182" s="82"/>
      <c r="JJ182" s="82"/>
      <c r="JK182" s="82"/>
      <c r="JL182" s="82"/>
      <c r="JM182" s="82"/>
      <c r="JN182" s="82"/>
      <c r="JO182" s="82"/>
      <c r="JP182" s="82"/>
      <c r="JQ182" s="82"/>
      <c r="JR182" s="82"/>
      <c r="JS182" s="82"/>
      <c r="JT182" s="82"/>
      <c r="JU182" s="82"/>
      <c r="JV182" s="82"/>
      <c r="JW182" s="82"/>
      <c r="JX182" s="82"/>
      <c r="JY182" s="82"/>
      <c r="JZ182" s="82"/>
      <c r="KA182" s="82"/>
      <c r="KB182" s="82"/>
      <c r="KC182" s="82"/>
      <c r="KD182" s="82"/>
      <c r="KE182" s="82"/>
      <c r="KF182" s="82"/>
      <c r="KG182" s="82"/>
      <c r="KH182" s="82"/>
      <c r="KI182" s="82"/>
      <c r="KJ182" s="82"/>
      <c r="KK182" s="82"/>
      <c r="KL182" s="82"/>
      <c r="KM182" s="82"/>
      <c r="KN182" s="82"/>
      <c r="KO182" s="82"/>
      <c r="KP182" s="82"/>
      <c r="KQ182" s="82"/>
      <c r="KR182" s="82"/>
      <c r="KS182" s="82"/>
      <c r="KT182" s="82"/>
      <c r="KU182" s="82"/>
      <c r="KV182" s="82"/>
      <c r="KW182" s="82"/>
      <c r="KX182" s="82"/>
      <c r="KY182" s="82"/>
      <c r="KZ182" s="82"/>
      <c r="LA182" s="82"/>
      <c r="LB182" s="82"/>
      <c r="LC182" s="82"/>
      <c r="LD182" s="82"/>
      <c r="LE182" s="82"/>
      <c r="LF182" s="82"/>
      <c r="LG182" s="82"/>
      <c r="LH182" s="82"/>
      <c r="LI182" s="82"/>
      <c r="LJ182" s="82"/>
      <c r="LK182" s="82"/>
      <c r="LL182" s="82"/>
      <c r="LM182" s="82"/>
      <c r="LN182" s="82"/>
      <c r="LO182" s="82"/>
      <c r="LP182" s="82"/>
      <c r="LQ182" s="82"/>
      <c r="LR182" s="82"/>
      <c r="LS182" s="82"/>
      <c r="LT182" s="82"/>
      <c r="LU182" s="82"/>
      <c r="LV182" s="82"/>
      <c r="LW182" s="82"/>
      <c r="LX182" s="82"/>
      <c r="LY182" s="82"/>
      <c r="LZ182" s="82"/>
      <c r="MA182" s="82"/>
      <c r="MB182" s="82"/>
      <c r="MC182" s="82"/>
      <c r="MD182" s="82"/>
      <c r="ME182" s="82"/>
      <c r="MF182" s="82"/>
      <c r="MG182" s="82"/>
      <c r="MH182" s="82"/>
      <c r="MI182" s="82"/>
      <c r="MJ182" s="82"/>
      <c r="MK182" s="82"/>
      <c r="ML182" s="82"/>
      <c r="MM182" s="82"/>
      <c r="MN182" s="82"/>
      <c r="MO182" s="82"/>
      <c r="MP182" s="82"/>
      <c r="MQ182" s="82"/>
      <c r="MR182" s="82"/>
      <c r="MS182" s="82"/>
      <c r="MT182" s="82"/>
      <c r="MU182" s="82"/>
      <c r="MV182" s="82"/>
      <c r="MW182" s="82"/>
      <c r="MX182" s="82"/>
      <c r="MY182" s="82"/>
      <c r="MZ182" s="82"/>
      <c r="NA182" s="82"/>
      <c r="NB182" s="82"/>
      <c r="NC182" s="82"/>
      <c r="ND182" s="82"/>
      <c r="NE182" s="82"/>
      <c r="NF182" s="82"/>
      <c r="NG182" s="82"/>
      <c r="NH182" s="82"/>
      <c r="NI182" s="82"/>
      <c r="NJ182" s="82"/>
      <c r="NK182" s="82"/>
      <c r="NL182" s="82"/>
      <c r="NM182" s="82"/>
      <c r="NN182" s="82"/>
      <c r="NO182" s="82"/>
      <c r="NP182" s="82"/>
      <c r="NQ182" s="82"/>
      <c r="NR182" s="82"/>
      <c r="NS182" s="82"/>
      <c r="NT182" s="82"/>
      <c r="NU182" s="82"/>
      <c r="NV182" s="82"/>
      <c r="NW182" s="82"/>
      <c r="NX182" s="82"/>
      <c r="NY182" s="82"/>
      <c r="NZ182" s="82"/>
      <c r="OA182" s="82"/>
      <c r="OB182" s="82"/>
      <c r="OC182" s="82"/>
      <c r="OD182" s="82"/>
      <c r="OE182" s="82"/>
      <c r="OF182" s="82"/>
      <c r="OG182" s="82"/>
      <c r="OH182" s="82"/>
      <c r="OI182" s="82"/>
      <c r="OJ182" s="82"/>
      <c r="OK182" s="82"/>
      <c r="OL182" s="82"/>
      <c r="OM182" s="82"/>
      <c r="ON182" s="82"/>
      <c r="OO182" s="82"/>
      <c r="OP182" s="82"/>
      <c r="OQ182" s="82"/>
      <c r="OR182" s="82"/>
      <c r="OS182" s="82"/>
      <c r="OT182" s="82"/>
      <c r="OU182" s="82"/>
      <c r="OV182" s="82"/>
      <c r="OW182" s="82"/>
      <c r="OX182" s="82"/>
      <c r="OY182" s="82"/>
      <c r="OZ182" s="82"/>
      <c r="PA182" s="82"/>
      <c r="PB182" s="82"/>
      <c r="PC182" s="82"/>
      <c r="PD182" s="82"/>
      <c r="PE182" s="82"/>
      <c r="PF182" s="82"/>
      <c r="PG182" s="82"/>
      <c r="PH182" s="82"/>
      <c r="PI182" s="82"/>
      <c r="PJ182" s="82"/>
      <c r="PK182" s="82"/>
      <c r="PL182" s="82"/>
      <c r="PM182" s="82"/>
      <c r="PN182" s="82"/>
      <c r="PO182" s="82"/>
      <c r="PP182" s="82"/>
      <c r="PQ182" s="82"/>
      <c r="PR182" s="82"/>
      <c r="PS182" s="82"/>
      <c r="PT182" s="82"/>
      <c r="PU182" s="82"/>
      <c r="PV182" s="82"/>
      <c r="PW182" s="82"/>
      <c r="PX182" s="82"/>
      <c r="PY182" s="82"/>
      <c r="PZ182" s="82"/>
      <c r="QA182" s="82"/>
      <c r="QB182" s="82"/>
      <c r="QC182" s="82"/>
      <c r="QD182" s="82"/>
      <c r="QE182" s="82"/>
      <c r="QF182" s="82"/>
      <c r="QG182" s="82"/>
      <c r="QH182" s="82"/>
      <c r="QI182" s="82"/>
      <c r="QJ182" s="82"/>
      <c r="QK182" s="82"/>
      <c r="QL182" s="82"/>
      <c r="QM182" s="82"/>
      <c r="QN182" s="82"/>
      <c r="QO182" s="82"/>
      <c r="QP182" s="82"/>
      <c r="QQ182" s="82"/>
      <c r="QR182" s="82"/>
      <c r="QS182" s="82"/>
      <c r="QT182" s="82"/>
      <c r="QU182" s="82"/>
      <c r="QV182" s="82"/>
      <c r="QW182" s="82"/>
      <c r="QX182" s="82"/>
      <c r="QY182" s="82"/>
      <c r="QZ182" s="82"/>
      <c r="RA182" s="82"/>
      <c r="RB182" s="82"/>
      <c r="RC182" s="82"/>
      <c r="RD182" s="82"/>
      <c r="RE182" s="82"/>
      <c r="RF182" s="82"/>
      <c r="RG182" s="82"/>
      <c r="RH182" s="82"/>
      <c r="RI182" s="82"/>
      <c r="RJ182" s="82"/>
      <c r="RK182" s="82"/>
      <c r="RL182" s="82"/>
      <c r="RM182" s="82"/>
      <c r="RN182" s="82"/>
      <c r="RO182" s="82"/>
      <c r="RP182" s="82"/>
      <c r="RQ182" s="82"/>
      <c r="RR182" s="82"/>
      <c r="RS182" s="82"/>
      <c r="RT182" s="82"/>
      <c r="RU182" s="82"/>
      <c r="RV182" s="82"/>
      <c r="RW182" s="82"/>
      <c r="RX182" s="82"/>
      <c r="RY182" s="82"/>
      <c r="RZ182" s="82"/>
      <c r="SA182" s="82"/>
      <c r="SB182" s="82"/>
      <c r="SC182" s="82"/>
      <c r="SD182" s="82"/>
      <c r="SE182" s="82"/>
      <c r="SF182" s="82"/>
      <c r="SG182" s="82"/>
      <c r="SH182" s="82"/>
      <c r="SI182" s="82"/>
      <c r="SJ182" s="82"/>
      <c r="SK182" s="82"/>
      <c r="SL182" s="82"/>
      <c r="SM182" s="82"/>
      <c r="SN182" s="82"/>
      <c r="SO182" s="82"/>
      <c r="SP182" s="82"/>
      <c r="SQ182" s="82"/>
      <c r="SR182" s="82"/>
      <c r="SS182" s="82"/>
      <c r="ST182" s="82"/>
      <c r="SU182" s="82"/>
      <c r="SV182" s="82"/>
      <c r="SW182" s="82"/>
      <c r="SX182" s="82"/>
      <c r="SY182" s="82"/>
      <c r="SZ182" s="82"/>
      <c r="TA182" s="82"/>
      <c r="TB182" s="82"/>
      <c r="TC182" s="82"/>
      <c r="TD182" s="82"/>
      <c r="TE182" s="82"/>
      <c r="TF182" s="82"/>
      <c r="TG182" s="82"/>
      <c r="TH182" s="82"/>
      <c r="TI182" s="82"/>
      <c r="TJ182" s="82"/>
      <c r="TK182" s="82"/>
      <c r="TL182" s="82"/>
      <c r="TM182" s="82"/>
      <c r="TN182" s="82"/>
      <c r="TO182" s="82"/>
      <c r="TP182" s="82"/>
      <c r="TQ182" s="82"/>
      <c r="TR182" s="82"/>
      <c r="TS182" s="82"/>
      <c r="TT182" s="82"/>
      <c r="TU182" s="82"/>
      <c r="TV182" s="82"/>
      <c r="TW182" s="82"/>
      <c r="TX182" s="82"/>
      <c r="TY182" s="82"/>
      <c r="TZ182" s="82"/>
      <c r="UA182" s="82"/>
      <c r="UB182" s="82"/>
      <c r="UC182" s="82"/>
      <c r="UD182" s="82"/>
      <c r="UE182" s="82"/>
      <c r="UF182" s="82"/>
      <c r="UG182" s="82"/>
      <c r="UH182" s="82"/>
      <c r="UI182" s="82"/>
      <c r="UJ182" s="82"/>
      <c r="UK182" s="82"/>
      <c r="UL182" s="82"/>
      <c r="UM182" s="82"/>
      <c r="UN182" s="82"/>
      <c r="UO182" s="82"/>
      <c r="UP182" s="82"/>
      <c r="UQ182" s="82"/>
      <c r="UR182" s="82"/>
      <c r="US182" s="82"/>
      <c r="UT182" s="82"/>
      <c r="UU182" s="82"/>
      <c r="UV182" s="82"/>
      <c r="UW182" s="82"/>
      <c r="UX182" s="82"/>
      <c r="UY182" s="82"/>
      <c r="UZ182" s="82"/>
      <c r="VA182" s="82"/>
      <c r="VB182" s="82"/>
      <c r="VC182" s="82"/>
      <c r="VD182" s="82"/>
      <c r="VE182" s="82"/>
      <c r="VF182" s="82"/>
      <c r="VG182" s="82"/>
      <c r="VH182" s="82"/>
      <c r="VI182" s="82"/>
      <c r="VJ182" s="82"/>
      <c r="VK182" s="82"/>
      <c r="VL182" s="82"/>
      <c r="VM182" s="82"/>
      <c r="VN182" s="82"/>
      <c r="VO182" s="82"/>
      <c r="VP182" s="82"/>
      <c r="VQ182" s="82"/>
      <c r="VR182" s="82"/>
      <c r="VS182" s="82"/>
      <c r="VT182" s="82"/>
      <c r="VU182" s="82"/>
      <c r="VV182" s="82"/>
      <c r="VW182" s="82"/>
      <c r="VX182" s="82"/>
      <c r="VY182" s="82"/>
      <c r="VZ182" s="82"/>
      <c r="WA182" s="82"/>
      <c r="WB182" s="82"/>
      <c r="WC182" s="82"/>
      <c r="WD182" s="82"/>
      <c r="WE182" s="82"/>
      <c r="WF182" s="82"/>
      <c r="WG182" s="82"/>
      <c r="WH182" s="82"/>
      <c r="WI182" s="82"/>
      <c r="WJ182" s="82"/>
      <c r="WK182" s="82"/>
      <c r="WL182" s="82"/>
      <c r="WM182" s="82"/>
      <c r="WN182" s="82"/>
      <c r="WO182" s="82"/>
      <c r="WP182" s="82"/>
      <c r="WQ182" s="82"/>
      <c r="WR182" s="82"/>
      <c r="WS182" s="82"/>
      <c r="WT182" s="82"/>
      <c r="WU182" s="82"/>
      <c r="WV182" s="82"/>
      <c r="WW182" s="82"/>
      <c r="WX182" s="82"/>
      <c r="WY182" s="82"/>
      <c r="WZ182" s="82"/>
      <c r="XA182" s="82"/>
      <c r="XB182" s="82"/>
      <c r="XC182" s="82"/>
      <c r="XD182" s="82"/>
      <c r="XE182" s="82"/>
      <c r="XF182" s="82"/>
      <c r="XG182" s="82"/>
      <c r="XH182" s="82"/>
      <c r="XI182" s="82"/>
      <c r="XJ182" s="82"/>
      <c r="XK182" s="82"/>
      <c r="XL182" s="82"/>
      <c r="XM182" s="82"/>
      <c r="XN182" s="82"/>
      <c r="XO182" s="82"/>
      <c r="XP182" s="82"/>
      <c r="XQ182" s="82"/>
      <c r="XR182" s="82"/>
      <c r="XS182" s="82"/>
      <c r="XT182" s="82"/>
      <c r="XU182" s="82"/>
      <c r="XV182" s="82"/>
      <c r="XW182" s="82"/>
      <c r="XX182" s="82"/>
      <c r="XY182" s="82"/>
      <c r="XZ182" s="82"/>
      <c r="YA182" s="82"/>
      <c r="YB182" s="82"/>
      <c r="YC182" s="82"/>
      <c r="YD182" s="82"/>
      <c r="YE182" s="82"/>
      <c r="YF182" s="82"/>
      <c r="YG182" s="82"/>
      <c r="YH182" s="82"/>
      <c r="YI182" s="82"/>
      <c r="YJ182" s="82"/>
      <c r="YK182" s="82"/>
      <c r="YL182" s="82"/>
      <c r="YM182" s="82"/>
      <c r="YN182" s="82"/>
      <c r="YO182" s="82"/>
      <c r="YP182" s="82"/>
      <c r="YQ182" s="82"/>
      <c r="YR182" s="82"/>
      <c r="YS182" s="82"/>
      <c r="YT182" s="82"/>
      <c r="YU182" s="82"/>
      <c r="YV182" s="82"/>
      <c r="YW182" s="82"/>
      <c r="YX182" s="82"/>
      <c r="YY182" s="82"/>
      <c r="YZ182" s="82"/>
      <c r="ZA182" s="82"/>
      <c r="ZB182" s="82"/>
      <c r="ZC182" s="82"/>
      <c r="ZD182" s="82"/>
      <c r="ZE182" s="82"/>
      <c r="ZF182" s="82"/>
      <c r="ZG182" s="82"/>
      <c r="ZH182" s="82"/>
      <c r="ZI182" s="82"/>
      <c r="ZJ182" s="82"/>
      <c r="ZK182" s="82"/>
      <c r="ZL182" s="82"/>
      <c r="ZM182" s="82"/>
      <c r="ZN182" s="82"/>
      <c r="ZO182" s="82"/>
      <c r="ZP182" s="82"/>
      <c r="ZQ182" s="82"/>
      <c r="ZR182" s="82"/>
      <c r="ZS182" s="82"/>
      <c r="ZT182" s="82"/>
      <c r="ZU182" s="82"/>
      <c r="ZV182" s="82"/>
      <c r="ZW182" s="82"/>
      <c r="ZX182" s="82"/>
      <c r="ZY182" s="82"/>
      <c r="ZZ182" s="82"/>
      <c r="AAA182" s="82"/>
      <c r="AAB182" s="82"/>
      <c r="AAC182" s="82"/>
      <c r="AAD182" s="82"/>
      <c r="AAE182" s="82"/>
      <c r="AAF182" s="82"/>
      <c r="AAG182" s="82"/>
      <c r="AAH182" s="82"/>
      <c r="AAI182" s="82"/>
      <c r="AAJ182" s="82"/>
      <c r="AAK182" s="82"/>
      <c r="AAL182" s="82"/>
      <c r="AAM182" s="82"/>
      <c r="AAN182" s="82"/>
      <c r="AAO182" s="82"/>
      <c r="AAP182" s="82"/>
      <c r="AAQ182" s="82"/>
      <c r="AAR182" s="82"/>
      <c r="AAS182" s="82"/>
      <c r="AAT182" s="82"/>
      <c r="AAU182" s="82"/>
      <c r="AAV182" s="82"/>
      <c r="AAW182" s="82"/>
      <c r="AAX182" s="82"/>
      <c r="AAY182" s="82"/>
      <c r="AAZ182" s="82"/>
      <c r="ABA182" s="82"/>
      <c r="ABB182" s="82"/>
      <c r="ABC182" s="82"/>
      <c r="ABD182" s="82"/>
      <c r="ABE182" s="82"/>
      <c r="ABF182" s="82"/>
      <c r="ABG182" s="82"/>
      <c r="ABH182" s="82"/>
      <c r="ABI182" s="82"/>
      <c r="ABJ182" s="82"/>
      <c r="ABK182" s="82"/>
      <c r="ABL182" s="82"/>
      <c r="ABM182" s="82"/>
      <c r="ABN182" s="82"/>
      <c r="ABO182" s="82"/>
      <c r="ABP182" s="82"/>
      <c r="ABQ182" s="82"/>
      <c r="ABR182" s="82"/>
      <c r="ABS182" s="82"/>
      <c r="ABT182" s="82"/>
      <c r="ABU182" s="82"/>
      <c r="ABV182" s="82"/>
      <c r="ABW182" s="82"/>
      <c r="ABX182" s="82"/>
      <c r="ABY182" s="82"/>
      <c r="ABZ182" s="82"/>
      <c r="ACA182" s="82"/>
      <c r="ACB182" s="82"/>
      <c r="ACC182" s="82"/>
      <c r="ACD182" s="82"/>
      <c r="ACE182" s="82"/>
      <c r="ACF182" s="82"/>
      <c r="ACG182" s="82"/>
      <c r="ACH182" s="82"/>
      <c r="ACI182" s="82"/>
      <c r="ACJ182" s="82"/>
      <c r="ACK182" s="82"/>
      <c r="ACL182" s="82"/>
      <c r="ACM182" s="82"/>
      <c r="ACN182" s="82"/>
      <c r="ACO182" s="82"/>
      <c r="ACP182" s="82"/>
      <c r="ACQ182" s="82"/>
      <c r="ACR182" s="82"/>
      <c r="ACS182" s="82"/>
      <c r="ACT182" s="82"/>
      <c r="ACU182" s="82"/>
      <c r="ACV182" s="82"/>
      <c r="ACW182" s="82"/>
      <c r="ACX182" s="82"/>
      <c r="ACY182" s="82"/>
      <c r="ACZ182" s="82"/>
      <c r="ADA182" s="82"/>
      <c r="ADB182" s="82"/>
      <c r="ADC182" s="82"/>
      <c r="ADD182" s="82"/>
      <c r="ADE182" s="82"/>
      <c r="ADF182" s="82"/>
      <c r="ADG182" s="82"/>
      <c r="ADH182" s="82"/>
      <c r="ADI182" s="82"/>
      <c r="ADJ182" s="82"/>
      <c r="ADK182" s="82"/>
      <c r="ADL182" s="82"/>
      <c r="ADM182" s="82"/>
      <c r="ADN182" s="82"/>
      <c r="ADO182" s="82"/>
      <c r="ADP182" s="82"/>
      <c r="ADQ182" s="82"/>
      <c r="ADR182" s="82"/>
      <c r="ADS182" s="82"/>
      <c r="ADT182" s="82"/>
      <c r="ADU182" s="82"/>
      <c r="ADV182" s="82"/>
      <c r="ADW182" s="82"/>
      <c r="ADX182" s="82"/>
      <c r="ADY182" s="82"/>
      <c r="ADZ182" s="82"/>
      <c r="AEA182" s="82"/>
      <c r="AEB182" s="82"/>
      <c r="AEC182" s="82"/>
      <c r="AED182" s="82"/>
      <c r="AEE182" s="82"/>
      <c r="AEF182" s="82"/>
      <c r="AEG182" s="82"/>
      <c r="AEH182" s="82"/>
      <c r="AEI182" s="82"/>
      <c r="AEJ182" s="82"/>
      <c r="AEK182" s="82"/>
      <c r="AEL182" s="82"/>
      <c r="AEM182" s="82"/>
      <c r="AEN182" s="82"/>
      <c r="AEO182" s="82"/>
      <c r="AEP182" s="82"/>
      <c r="AEQ182" s="82"/>
      <c r="AER182" s="82"/>
      <c r="AES182" s="82"/>
      <c r="AET182" s="82"/>
      <c r="AEU182" s="82"/>
      <c r="AEV182" s="82"/>
      <c r="AEW182" s="82"/>
      <c r="AEX182" s="82"/>
      <c r="AEY182" s="82"/>
      <c r="AEZ182" s="82"/>
      <c r="AFA182" s="82"/>
      <c r="AFB182" s="82"/>
      <c r="AFC182" s="82"/>
      <c r="AFD182" s="82"/>
      <c r="AFE182" s="82"/>
      <c r="AFF182" s="82"/>
      <c r="AFG182" s="82"/>
      <c r="AFH182" s="82"/>
      <c r="AFI182" s="82"/>
      <c r="AFJ182" s="82"/>
      <c r="AFK182" s="82"/>
      <c r="AFL182" s="82"/>
      <c r="AFM182" s="82"/>
      <c r="AFN182" s="82"/>
      <c r="AFO182" s="82"/>
      <c r="AFP182" s="82"/>
      <c r="AFQ182" s="82"/>
      <c r="AFR182" s="82"/>
      <c r="AFS182" s="82"/>
      <c r="AFT182" s="82"/>
      <c r="AFU182" s="82"/>
      <c r="AFV182" s="82"/>
      <c r="AFW182" s="82"/>
      <c r="AFX182" s="82"/>
      <c r="AFY182" s="82"/>
      <c r="AFZ182" s="82"/>
      <c r="AGA182" s="82"/>
      <c r="AGB182" s="82"/>
      <c r="AGC182" s="82"/>
      <c r="AGD182" s="82"/>
      <c r="AGE182" s="82"/>
      <c r="AGF182" s="82"/>
      <c r="AGG182" s="82"/>
      <c r="AGH182" s="82"/>
      <c r="AGI182" s="82"/>
      <c r="AGJ182" s="82"/>
      <c r="AGK182" s="82"/>
      <c r="AGL182" s="82"/>
      <c r="AGM182" s="82"/>
      <c r="AGN182" s="82"/>
      <c r="AGO182" s="82"/>
      <c r="AGP182" s="82"/>
      <c r="AGQ182" s="82"/>
      <c r="AGR182" s="82"/>
      <c r="AGS182" s="82"/>
      <c r="AGT182" s="82"/>
      <c r="AGU182" s="82"/>
      <c r="AGV182" s="82"/>
      <c r="AGW182" s="82"/>
      <c r="AGX182" s="82"/>
      <c r="AGY182" s="82"/>
      <c r="AGZ182" s="82"/>
      <c r="AHA182" s="82"/>
      <c r="AHB182" s="82"/>
      <c r="AHC182" s="82"/>
      <c r="AHD182" s="82"/>
      <c r="AHE182" s="82"/>
      <c r="AHF182" s="82"/>
      <c r="AHG182" s="82"/>
      <c r="AHH182" s="82"/>
      <c r="AHI182" s="82"/>
      <c r="AHJ182" s="82"/>
      <c r="AHK182" s="82"/>
      <c r="AHL182" s="82"/>
      <c r="AHM182" s="82"/>
      <c r="AHN182" s="82"/>
      <c r="AHO182" s="82"/>
      <c r="AHP182" s="82"/>
      <c r="AHQ182" s="82"/>
      <c r="AHR182" s="82"/>
      <c r="AHS182" s="82"/>
      <c r="AHT182" s="82"/>
      <c r="AHU182" s="82"/>
      <c r="AHV182" s="82"/>
      <c r="AHW182" s="82"/>
      <c r="AHX182" s="82"/>
      <c r="AHY182" s="82"/>
      <c r="AHZ182" s="82"/>
      <c r="AIA182" s="82"/>
      <c r="AIB182" s="82"/>
      <c r="AIC182" s="82"/>
      <c r="AID182" s="82"/>
      <c r="AIE182" s="82"/>
      <c r="AIF182" s="82"/>
      <c r="AIG182" s="82"/>
      <c r="AIH182" s="82"/>
    </row>
    <row r="183" spans="1:918" s="99" customFormat="1" ht="21" x14ac:dyDescent="0.2">
      <c r="A183" s="98"/>
      <c r="B183" s="78" t="s">
        <v>159</v>
      </c>
      <c r="C183" s="94" t="s">
        <v>205</v>
      </c>
      <c r="D183" s="87"/>
      <c r="E183" s="87"/>
      <c r="F183" s="87"/>
      <c r="G183" s="87"/>
      <c r="H183" s="87"/>
      <c r="I183" s="87"/>
      <c r="J183" s="87"/>
      <c r="K183" s="76"/>
      <c r="L183" s="82"/>
      <c r="M183" s="82"/>
      <c r="N183" s="82"/>
      <c r="O183" s="82"/>
      <c r="P183" s="82"/>
      <c r="Q183" s="82"/>
      <c r="R183" s="82"/>
      <c r="S183" s="82"/>
      <c r="T183" s="82"/>
      <c r="U183" s="82"/>
      <c r="V183" s="82"/>
      <c r="W183" s="82"/>
      <c r="X183" s="82"/>
      <c r="Y183" s="82"/>
      <c r="Z183" s="82"/>
      <c r="AA183" s="82"/>
      <c r="AB183" s="82"/>
      <c r="AC183" s="82"/>
      <c r="AD183" s="82"/>
      <c r="AE183" s="82"/>
      <c r="AF183" s="82"/>
      <c r="AG183" s="82"/>
      <c r="AH183" s="82"/>
      <c r="AI183" s="82"/>
      <c r="AJ183" s="82"/>
      <c r="AK183" s="82"/>
      <c r="AL183" s="82"/>
      <c r="AM183" s="82"/>
      <c r="AN183" s="82"/>
      <c r="AO183" s="82"/>
      <c r="AP183" s="82"/>
      <c r="AQ183" s="82"/>
      <c r="AR183" s="82"/>
      <c r="AS183" s="82"/>
      <c r="AT183" s="82"/>
      <c r="AU183" s="82"/>
      <c r="AV183" s="82"/>
      <c r="AW183" s="82"/>
      <c r="AX183" s="82"/>
      <c r="AY183" s="82"/>
      <c r="AZ183" s="82"/>
      <c r="BA183" s="82"/>
      <c r="BB183" s="82"/>
      <c r="BC183" s="82"/>
      <c r="BD183" s="82"/>
      <c r="BE183" s="82"/>
      <c r="BF183" s="82"/>
      <c r="BG183" s="82"/>
      <c r="BH183" s="82"/>
      <c r="BI183" s="82"/>
      <c r="BJ183" s="82"/>
      <c r="BK183" s="82"/>
      <c r="BL183" s="82"/>
      <c r="BM183" s="82"/>
      <c r="BN183" s="82"/>
      <c r="BO183" s="82"/>
      <c r="BP183" s="82"/>
      <c r="BQ183" s="82"/>
      <c r="BR183" s="82"/>
      <c r="BS183" s="82"/>
      <c r="BT183" s="82"/>
      <c r="BU183" s="82"/>
      <c r="BV183" s="82"/>
      <c r="BW183" s="82"/>
      <c r="BX183" s="82"/>
      <c r="BY183" s="82"/>
      <c r="BZ183" s="82"/>
      <c r="CA183" s="82"/>
      <c r="CB183" s="82"/>
      <c r="CC183" s="82"/>
      <c r="CD183" s="82"/>
      <c r="CE183" s="82"/>
      <c r="CF183" s="82"/>
      <c r="CG183" s="82"/>
      <c r="CH183" s="82"/>
      <c r="CI183" s="82"/>
      <c r="CJ183" s="82"/>
      <c r="CK183" s="82"/>
      <c r="CL183" s="82"/>
      <c r="CM183" s="82"/>
      <c r="CN183" s="82"/>
      <c r="CO183" s="82"/>
      <c r="CP183" s="82"/>
      <c r="CQ183" s="82"/>
      <c r="CR183" s="82"/>
      <c r="CS183" s="82"/>
      <c r="CT183" s="82"/>
      <c r="CU183" s="82"/>
      <c r="CV183" s="82"/>
      <c r="CW183" s="82"/>
      <c r="CX183" s="82"/>
      <c r="CY183" s="82"/>
      <c r="CZ183" s="82"/>
      <c r="DA183" s="82"/>
      <c r="DB183" s="82"/>
      <c r="DC183" s="82"/>
      <c r="DD183" s="82"/>
      <c r="DE183" s="82"/>
      <c r="DF183" s="82"/>
      <c r="DG183" s="82"/>
      <c r="DH183" s="82"/>
      <c r="DI183" s="82"/>
      <c r="DJ183" s="82"/>
      <c r="DK183" s="82"/>
      <c r="DL183" s="82"/>
      <c r="DM183" s="82"/>
      <c r="DN183" s="82"/>
      <c r="DO183" s="82"/>
      <c r="DP183" s="82"/>
      <c r="DQ183" s="82"/>
      <c r="DR183" s="82"/>
      <c r="DS183" s="82"/>
      <c r="DT183" s="82"/>
      <c r="DU183" s="82"/>
      <c r="DV183" s="82"/>
      <c r="DW183" s="82"/>
      <c r="DX183" s="82"/>
      <c r="DY183" s="82"/>
      <c r="DZ183" s="82"/>
      <c r="EA183" s="82"/>
      <c r="EB183" s="82"/>
      <c r="EC183" s="82"/>
      <c r="ED183" s="82"/>
      <c r="EE183" s="82"/>
      <c r="EF183" s="82"/>
      <c r="EG183" s="82"/>
      <c r="EH183" s="82"/>
      <c r="EI183" s="82"/>
      <c r="EJ183" s="82"/>
      <c r="EK183" s="82"/>
      <c r="EL183" s="82"/>
      <c r="EM183" s="82"/>
      <c r="EN183" s="82"/>
      <c r="EO183" s="82"/>
      <c r="EP183" s="82"/>
      <c r="EQ183" s="82"/>
      <c r="ER183" s="82"/>
      <c r="ES183" s="82"/>
      <c r="ET183" s="82"/>
      <c r="EU183" s="82"/>
      <c r="EV183" s="82"/>
      <c r="EW183" s="82"/>
      <c r="EX183" s="82"/>
      <c r="EY183" s="82"/>
      <c r="EZ183" s="82"/>
      <c r="FA183" s="82"/>
      <c r="FB183" s="82"/>
      <c r="FC183" s="82"/>
      <c r="FD183" s="82"/>
      <c r="FE183" s="82"/>
      <c r="FF183" s="82"/>
      <c r="FG183" s="82"/>
      <c r="FH183" s="82"/>
      <c r="FI183" s="82"/>
      <c r="FJ183" s="82"/>
      <c r="FK183" s="82"/>
      <c r="FL183" s="82"/>
      <c r="FM183" s="82"/>
      <c r="FN183" s="82"/>
      <c r="FO183" s="82"/>
      <c r="FP183" s="82"/>
      <c r="FQ183" s="82"/>
      <c r="FR183" s="82"/>
      <c r="FS183" s="82"/>
      <c r="FT183" s="82"/>
      <c r="FU183" s="82"/>
      <c r="FV183" s="82"/>
      <c r="FW183" s="82"/>
      <c r="FX183" s="82"/>
      <c r="FY183" s="82"/>
      <c r="FZ183" s="82"/>
      <c r="GA183" s="82"/>
      <c r="GB183" s="82"/>
      <c r="GC183" s="82"/>
      <c r="GD183" s="82"/>
      <c r="GE183" s="82"/>
      <c r="GF183" s="82"/>
      <c r="GG183" s="82"/>
      <c r="GH183" s="82"/>
      <c r="GI183" s="82"/>
      <c r="GJ183" s="82"/>
      <c r="GK183" s="82"/>
      <c r="GL183" s="82"/>
      <c r="GM183" s="82"/>
      <c r="GN183" s="82"/>
      <c r="GO183" s="82"/>
      <c r="GP183" s="82"/>
      <c r="GQ183" s="82"/>
      <c r="GR183" s="82"/>
      <c r="GS183" s="82"/>
      <c r="GT183" s="82"/>
      <c r="GU183" s="82"/>
      <c r="GV183" s="82"/>
      <c r="GW183" s="82"/>
      <c r="GX183" s="82"/>
      <c r="GY183" s="82"/>
      <c r="GZ183" s="82"/>
      <c r="HA183" s="82"/>
      <c r="HB183" s="82"/>
      <c r="HC183" s="82"/>
      <c r="HD183" s="82"/>
      <c r="HE183" s="82"/>
      <c r="HF183" s="82"/>
      <c r="HG183" s="82"/>
      <c r="HH183" s="82"/>
      <c r="HI183" s="82"/>
      <c r="HJ183" s="82"/>
      <c r="HK183" s="82"/>
      <c r="HL183" s="82"/>
      <c r="HM183" s="82"/>
      <c r="HN183" s="82"/>
      <c r="HO183" s="82"/>
      <c r="HP183" s="82"/>
      <c r="HQ183" s="82"/>
      <c r="HR183" s="82"/>
      <c r="HS183" s="82"/>
      <c r="HT183" s="82"/>
      <c r="HU183" s="82"/>
      <c r="HV183" s="82"/>
      <c r="HW183" s="82"/>
      <c r="HX183" s="82"/>
      <c r="HY183" s="82"/>
      <c r="HZ183" s="82"/>
      <c r="IA183" s="82"/>
      <c r="IB183" s="82"/>
      <c r="IC183" s="82"/>
      <c r="ID183" s="82"/>
      <c r="IE183" s="82"/>
      <c r="IF183" s="82"/>
      <c r="IG183" s="82"/>
      <c r="IH183" s="82"/>
      <c r="II183" s="82"/>
      <c r="IJ183" s="82"/>
      <c r="IK183" s="82"/>
      <c r="IL183" s="82"/>
      <c r="IM183" s="82"/>
      <c r="IN183" s="82"/>
      <c r="IO183" s="82"/>
      <c r="IP183" s="82"/>
      <c r="IQ183" s="82"/>
      <c r="IR183" s="82"/>
      <c r="IS183" s="82"/>
      <c r="IT183" s="82"/>
      <c r="IU183" s="82"/>
      <c r="IV183" s="82"/>
      <c r="IW183" s="82"/>
      <c r="IX183" s="82"/>
      <c r="IY183" s="82"/>
      <c r="IZ183" s="82"/>
      <c r="JA183" s="82"/>
      <c r="JB183" s="82"/>
      <c r="JC183" s="82"/>
      <c r="JD183" s="82"/>
      <c r="JE183" s="82"/>
      <c r="JF183" s="82"/>
      <c r="JG183" s="82"/>
      <c r="JH183" s="82"/>
      <c r="JI183" s="82"/>
      <c r="JJ183" s="82"/>
      <c r="JK183" s="82"/>
      <c r="JL183" s="82"/>
      <c r="JM183" s="82"/>
      <c r="JN183" s="82"/>
      <c r="JO183" s="82"/>
      <c r="JP183" s="82"/>
      <c r="JQ183" s="82"/>
      <c r="JR183" s="82"/>
      <c r="JS183" s="82"/>
      <c r="JT183" s="82"/>
      <c r="JU183" s="82"/>
      <c r="JV183" s="82"/>
      <c r="JW183" s="82"/>
      <c r="JX183" s="82"/>
      <c r="JY183" s="82"/>
      <c r="JZ183" s="82"/>
      <c r="KA183" s="82"/>
      <c r="KB183" s="82"/>
      <c r="KC183" s="82"/>
      <c r="KD183" s="82"/>
      <c r="KE183" s="82"/>
      <c r="KF183" s="82"/>
      <c r="KG183" s="82"/>
      <c r="KH183" s="82"/>
      <c r="KI183" s="82"/>
      <c r="KJ183" s="82"/>
      <c r="KK183" s="82"/>
      <c r="KL183" s="82"/>
      <c r="KM183" s="82"/>
      <c r="KN183" s="82"/>
      <c r="KO183" s="82"/>
      <c r="KP183" s="82"/>
      <c r="KQ183" s="82"/>
      <c r="KR183" s="82"/>
      <c r="KS183" s="82"/>
      <c r="KT183" s="82"/>
      <c r="KU183" s="82"/>
      <c r="KV183" s="82"/>
      <c r="KW183" s="82"/>
      <c r="KX183" s="82"/>
      <c r="KY183" s="82"/>
      <c r="KZ183" s="82"/>
      <c r="LA183" s="82"/>
      <c r="LB183" s="82"/>
      <c r="LC183" s="82"/>
      <c r="LD183" s="82"/>
      <c r="LE183" s="82"/>
      <c r="LF183" s="82"/>
      <c r="LG183" s="82"/>
      <c r="LH183" s="82"/>
      <c r="LI183" s="82"/>
      <c r="LJ183" s="82"/>
      <c r="LK183" s="82"/>
      <c r="LL183" s="82"/>
      <c r="LM183" s="82"/>
      <c r="LN183" s="82"/>
      <c r="LO183" s="82"/>
      <c r="LP183" s="82"/>
      <c r="LQ183" s="82"/>
      <c r="LR183" s="82"/>
      <c r="LS183" s="82"/>
      <c r="LT183" s="82"/>
      <c r="LU183" s="82"/>
      <c r="LV183" s="82"/>
      <c r="LW183" s="82"/>
      <c r="LX183" s="82"/>
      <c r="LY183" s="82"/>
      <c r="LZ183" s="82"/>
      <c r="MA183" s="82"/>
      <c r="MB183" s="82"/>
      <c r="MC183" s="82"/>
      <c r="MD183" s="82"/>
      <c r="ME183" s="82"/>
      <c r="MF183" s="82"/>
      <c r="MG183" s="82"/>
      <c r="MH183" s="82"/>
      <c r="MI183" s="82"/>
      <c r="MJ183" s="82"/>
      <c r="MK183" s="82"/>
      <c r="ML183" s="82"/>
      <c r="MM183" s="82"/>
      <c r="MN183" s="82"/>
      <c r="MO183" s="82"/>
      <c r="MP183" s="82"/>
      <c r="MQ183" s="82"/>
      <c r="MR183" s="82"/>
      <c r="MS183" s="82"/>
      <c r="MT183" s="82"/>
      <c r="MU183" s="82"/>
      <c r="MV183" s="82"/>
      <c r="MW183" s="82"/>
      <c r="MX183" s="82"/>
      <c r="MY183" s="82"/>
      <c r="MZ183" s="82"/>
      <c r="NA183" s="82"/>
      <c r="NB183" s="82"/>
      <c r="NC183" s="82"/>
      <c r="ND183" s="82"/>
      <c r="NE183" s="82"/>
      <c r="NF183" s="82"/>
      <c r="NG183" s="82"/>
      <c r="NH183" s="82"/>
      <c r="NI183" s="82"/>
      <c r="NJ183" s="82"/>
      <c r="NK183" s="82"/>
      <c r="NL183" s="82"/>
      <c r="NM183" s="82"/>
      <c r="NN183" s="82"/>
      <c r="NO183" s="82"/>
      <c r="NP183" s="82"/>
      <c r="NQ183" s="82"/>
      <c r="NR183" s="82"/>
      <c r="NS183" s="82"/>
      <c r="NT183" s="82"/>
      <c r="NU183" s="82"/>
      <c r="NV183" s="82"/>
      <c r="NW183" s="82"/>
      <c r="NX183" s="82"/>
      <c r="NY183" s="82"/>
      <c r="NZ183" s="82"/>
      <c r="OA183" s="82"/>
      <c r="OB183" s="82"/>
      <c r="OC183" s="82"/>
      <c r="OD183" s="82"/>
      <c r="OE183" s="82"/>
      <c r="OF183" s="82"/>
      <c r="OG183" s="82"/>
      <c r="OH183" s="82"/>
      <c r="OI183" s="82"/>
      <c r="OJ183" s="82"/>
      <c r="OK183" s="82"/>
      <c r="OL183" s="82"/>
      <c r="OM183" s="82"/>
      <c r="ON183" s="82"/>
      <c r="OO183" s="82"/>
      <c r="OP183" s="82"/>
      <c r="OQ183" s="82"/>
      <c r="OR183" s="82"/>
      <c r="OS183" s="82"/>
      <c r="OT183" s="82"/>
      <c r="OU183" s="82"/>
      <c r="OV183" s="82"/>
      <c r="OW183" s="82"/>
      <c r="OX183" s="82"/>
      <c r="OY183" s="82"/>
      <c r="OZ183" s="82"/>
      <c r="PA183" s="82"/>
      <c r="PB183" s="82"/>
      <c r="PC183" s="82"/>
      <c r="PD183" s="82"/>
      <c r="PE183" s="82"/>
      <c r="PF183" s="82"/>
      <c r="PG183" s="82"/>
      <c r="PH183" s="82"/>
      <c r="PI183" s="82"/>
      <c r="PJ183" s="82"/>
      <c r="PK183" s="82"/>
      <c r="PL183" s="82"/>
      <c r="PM183" s="82"/>
      <c r="PN183" s="82"/>
      <c r="PO183" s="82"/>
      <c r="PP183" s="82"/>
      <c r="PQ183" s="82"/>
      <c r="PR183" s="82"/>
      <c r="PS183" s="82"/>
      <c r="PT183" s="82"/>
      <c r="PU183" s="82"/>
      <c r="PV183" s="82"/>
      <c r="PW183" s="82"/>
      <c r="PX183" s="82"/>
      <c r="PY183" s="82"/>
      <c r="PZ183" s="82"/>
      <c r="QA183" s="82"/>
      <c r="QB183" s="82"/>
      <c r="QC183" s="82"/>
      <c r="QD183" s="82"/>
      <c r="QE183" s="82"/>
      <c r="QF183" s="82"/>
      <c r="QG183" s="82"/>
      <c r="QH183" s="82"/>
      <c r="QI183" s="82"/>
      <c r="QJ183" s="82"/>
      <c r="QK183" s="82"/>
      <c r="QL183" s="82"/>
      <c r="QM183" s="82"/>
      <c r="QN183" s="82"/>
      <c r="QO183" s="82"/>
      <c r="QP183" s="82"/>
      <c r="QQ183" s="82"/>
      <c r="QR183" s="82"/>
      <c r="QS183" s="82"/>
      <c r="QT183" s="82"/>
      <c r="QU183" s="82"/>
      <c r="QV183" s="82"/>
      <c r="QW183" s="82"/>
      <c r="QX183" s="82"/>
      <c r="QY183" s="82"/>
      <c r="QZ183" s="82"/>
      <c r="RA183" s="82"/>
      <c r="RB183" s="82"/>
      <c r="RC183" s="82"/>
      <c r="RD183" s="82"/>
      <c r="RE183" s="82"/>
      <c r="RF183" s="82"/>
      <c r="RG183" s="82"/>
      <c r="RH183" s="82"/>
      <c r="RI183" s="82"/>
      <c r="RJ183" s="82"/>
      <c r="RK183" s="82"/>
      <c r="RL183" s="82"/>
      <c r="RM183" s="82"/>
      <c r="RN183" s="82"/>
      <c r="RO183" s="82"/>
      <c r="RP183" s="82"/>
      <c r="RQ183" s="82"/>
      <c r="RR183" s="82"/>
      <c r="RS183" s="82"/>
      <c r="RT183" s="82"/>
      <c r="RU183" s="82"/>
      <c r="RV183" s="82"/>
      <c r="RW183" s="82"/>
      <c r="RX183" s="82"/>
      <c r="RY183" s="82"/>
      <c r="RZ183" s="82"/>
      <c r="SA183" s="82"/>
      <c r="SB183" s="82"/>
      <c r="SC183" s="82"/>
      <c r="SD183" s="82"/>
      <c r="SE183" s="82"/>
      <c r="SF183" s="82"/>
      <c r="SG183" s="82"/>
      <c r="SH183" s="82"/>
      <c r="SI183" s="82"/>
      <c r="SJ183" s="82"/>
      <c r="SK183" s="82"/>
      <c r="SL183" s="82"/>
      <c r="SM183" s="82"/>
      <c r="SN183" s="82"/>
      <c r="SO183" s="82"/>
      <c r="SP183" s="82"/>
      <c r="SQ183" s="82"/>
      <c r="SR183" s="82"/>
      <c r="SS183" s="82"/>
      <c r="ST183" s="82"/>
      <c r="SU183" s="82"/>
      <c r="SV183" s="82"/>
      <c r="SW183" s="82"/>
      <c r="SX183" s="82"/>
      <c r="SY183" s="82"/>
      <c r="SZ183" s="82"/>
      <c r="TA183" s="82"/>
      <c r="TB183" s="82"/>
      <c r="TC183" s="82"/>
      <c r="TD183" s="82"/>
      <c r="TE183" s="82"/>
      <c r="TF183" s="82"/>
      <c r="TG183" s="82"/>
      <c r="TH183" s="82"/>
      <c r="TI183" s="82"/>
      <c r="TJ183" s="82"/>
      <c r="TK183" s="82"/>
      <c r="TL183" s="82"/>
      <c r="TM183" s="82"/>
      <c r="TN183" s="82"/>
      <c r="TO183" s="82"/>
      <c r="TP183" s="82"/>
      <c r="TQ183" s="82"/>
      <c r="TR183" s="82"/>
      <c r="TS183" s="82"/>
      <c r="TT183" s="82"/>
      <c r="TU183" s="82"/>
      <c r="TV183" s="82"/>
      <c r="TW183" s="82"/>
      <c r="TX183" s="82"/>
      <c r="TY183" s="82"/>
      <c r="TZ183" s="82"/>
      <c r="UA183" s="82"/>
      <c r="UB183" s="82"/>
      <c r="UC183" s="82"/>
      <c r="UD183" s="82"/>
      <c r="UE183" s="82"/>
      <c r="UF183" s="82"/>
      <c r="UG183" s="82"/>
      <c r="UH183" s="82"/>
      <c r="UI183" s="82"/>
      <c r="UJ183" s="82"/>
      <c r="UK183" s="82"/>
      <c r="UL183" s="82"/>
      <c r="UM183" s="82"/>
      <c r="UN183" s="82"/>
      <c r="UO183" s="82"/>
      <c r="UP183" s="82"/>
      <c r="UQ183" s="82"/>
      <c r="UR183" s="82"/>
      <c r="US183" s="82"/>
      <c r="UT183" s="82"/>
      <c r="UU183" s="82"/>
      <c r="UV183" s="82"/>
      <c r="UW183" s="82"/>
      <c r="UX183" s="82"/>
      <c r="UY183" s="82"/>
      <c r="UZ183" s="82"/>
      <c r="VA183" s="82"/>
      <c r="VB183" s="82"/>
      <c r="VC183" s="82"/>
      <c r="VD183" s="82"/>
      <c r="VE183" s="82"/>
      <c r="VF183" s="82"/>
      <c r="VG183" s="82"/>
      <c r="VH183" s="82"/>
      <c r="VI183" s="82"/>
      <c r="VJ183" s="82"/>
      <c r="VK183" s="82"/>
      <c r="VL183" s="82"/>
      <c r="VM183" s="82"/>
      <c r="VN183" s="82"/>
      <c r="VO183" s="82"/>
      <c r="VP183" s="82"/>
      <c r="VQ183" s="82"/>
      <c r="VR183" s="82"/>
      <c r="VS183" s="82"/>
      <c r="VT183" s="82"/>
      <c r="VU183" s="82"/>
      <c r="VV183" s="82"/>
      <c r="VW183" s="82"/>
      <c r="VX183" s="82"/>
      <c r="VY183" s="82"/>
      <c r="VZ183" s="82"/>
      <c r="WA183" s="82"/>
      <c r="WB183" s="82"/>
      <c r="WC183" s="82"/>
      <c r="WD183" s="82"/>
      <c r="WE183" s="82"/>
      <c r="WF183" s="82"/>
      <c r="WG183" s="82"/>
      <c r="WH183" s="82"/>
      <c r="WI183" s="82"/>
      <c r="WJ183" s="82"/>
      <c r="WK183" s="82"/>
      <c r="WL183" s="82"/>
      <c r="WM183" s="82"/>
      <c r="WN183" s="82"/>
      <c r="WO183" s="82"/>
      <c r="WP183" s="82"/>
      <c r="WQ183" s="82"/>
      <c r="WR183" s="82"/>
      <c r="WS183" s="82"/>
      <c r="WT183" s="82"/>
      <c r="WU183" s="82"/>
      <c r="WV183" s="82"/>
      <c r="WW183" s="82"/>
      <c r="WX183" s="82"/>
      <c r="WY183" s="82"/>
      <c r="WZ183" s="82"/>
      <c r="XA183" s="82"/>
      <c r="XB183" s="82"/>
      <c r="XC183" s="82"/>
      <c r="XD183" s="82"/>
      <c r="XE183" s="82"/>
      <c r="XF183" s="82"/>
      <c r="XG183" s="82"/>
      <c r="XH183" s="82"/>
      <c r="XI183" s="82"/>
      <c r="XJ183" s="82"/>
      <c r="XK183" s="82"/>
      <c r="XL183" s="82"/>
      <c r="XM183" s="82"/>
      <c r="XN183" s="82"/>
      <c r="XO183" s="82"/>
      <c r="XP183" s="82"/>
      <c r="XQ183" s="82"/>
      <c r="XR183" s="82"/>
      <c r="XS183" s="82"/>
      <c r="XT183" s="82"/>
      <c r="XU183" s="82"/>
      <c r="XV183" s="82"/>
      <c r="XW183" s="82"/>
      <c r="XX183" s="82"/>
      <c r="XY183" s="82"/>
      <c r="XZ183" s="82"/>
      <c r="YA183" s="82"/>
      <c r="YB183" s="82"/>
      <c r="YC183" s="82"/>
      <c r="YD183" s="82"/>
      <c r="YE183" s="82"/>
      <c r="YF183" s="82"/>
      <c r="YG183" s="82"/>
      <c r="YH183" s="82"/>
      <c r="YI183" s="82"/>
      <c r="YJ183" s="82"/>
      <c r="YK183" s="82"/>
      <c r="YL183" s="82"/>
      <c r="YM183" s="82"/>
      <c r="YN183" s="82"/>
      <c r="YO183" s="82"/>
      <c r="YP183" s="82"/>
      <c r="YQ183" s="82"/>
      <c r="YR183" s="82"/>
      <c r="YS183" s="82"/>
      <c r="YT183" s="82"/>
      <c r="YU183" s="82"/>
      <c r="YV183" s="82"/>
      <c r="YW183" s="82"/>
      <c r="YX183" s="82"/>
      <c r="YY183" s="82"/>
      <c r="YZ183" s="82"/>
      <c r="ZA183" s="82"/>
      <c r="ZB183" s="82"/>
      <c r="ZC183" s="82"/>
      <c r="ZD183" s="82"/>
      <c r="ZE183" s="82"/>
      <c r="ZF183" s="82"/>
      <c r="ZG183" s="82"/>
      <c r="ZH183" s="82"/>
      <c r="ZI183" s="82"/>
      <c r="ZJ183" s="82"/>
      <c r="ZK183" s="82"/>
      <c r="ZL183" s="82"/>
      <c r="ZM183" s="82"/>
      <c r="ZN183" s="82"/>
      <c r="ZO183" s="82"/>
      <c r="ZP183" s="82"/>
      <c r="ZQ183" s="82"/>
      <c r="ZR183" s="82"/>
      <c r="ZS183" s="82"/>
      <c r="ZT183" s="82"/>
      <c r="ZU183" s="82"/>
      <c r="ZV183" s="82"/>
      <c r="ZW183" s="82"/>
      <c r="ZX183" s="82"/>
      <c r="ZY183" s="82"/>
      <c r="ZZ183" s="82"/>
      <c r="AAA183" s="82"/>
      <c r="AAB183" s="82"/>
      <c r="AAC183" s="82"/>
      <c r="AAD183" s="82"/>
      <c r="AAE183" s="82"/>
      <c r="AAF183" s="82"/>
      <c r="AAG183" s="82"/>
      <c r="AAH183" s="82"/>
      <c r="AAI183" s="82"/>
      <c r="AAJ183" s="82"/>
      <c r="AAK183" s="82"/>
      <c r="AAL183" s="82"/>
      <c r="AAM183" s="82"/>
      <c r="AAN183" s="82"/>
      <c r="AAO183" s="82"/>
      <c r="AAP183" s="82"/>
      <c r="AAQ183" s="82"/>
      <c r="AAR183" s="82"/>
      <c r="AAS183" s="82"/>
      <c r="AAT183" s="82"/>
      <c r="AAU183" s="82"/>
      <c r="AAV183" s="82"/>
      <c r="AAW183" s="82"/>
      <c r="AAX183" s="82"/>
      <c r="AAY183" s="82"/>
      <c r="AAZ183" s="82"/>
      <c r="ABA183" s="82"/>
      <c r="ABB183" s="82"/>
      <c r="ABC183" s="82"/>
      <c r="ABD183" s="82"/>
      <c r="ABE183" s="82"/>
      <c r="ABF183" s="82"/>
      <c r="ABG183" s="82"/>
      <c r="ABH183" s="82"/>
      <c r="ABI183" s="82"/>
      <c r="ABJ183" s="82"/>
      <c r="ABK183" s="82"/>
      <c r="ABL183" s="82"/>
      <c r="ABM183" s="82"/>
      <c r="ABN183" s="82"/>
      <c r="ABO183" s="82"/>
      <c r="ABP183" s="82"/>
      <c r="ABQ183" s="82"/>
      <c r="ABR183" s="82"/>
      <c r="ABS183" s="82"/>
      <c r="ABT183" s="82"/>
      <c r="ABU183" s="82"/>
      <c r="ABV183" s="82"/>
      <c r="ABW183" s="82"/>
      <c r="ABX183" s="82"/>
      <c r="ABY183" s="82"/>
      <c r="ABZ183" s="82"/>
      <c r="ACA183" s="82"/>
      <c r="ACB183" s="82"/>
      <c r="ACC183" s="82"/>
      <c r="ACD183" s="82"/>
      <c r="ACE183" s="82"/>
      <c r="ACF183" s="82"/>
      <c r="ACG183" s="82"/>
      <c r="ACH183" s="82"/>
      <c r="ACI183" s="82"/>
      <c r="ACJ183" s="82"/>
      <c r="ACK183" s="82"/>
      <c r="ACL183" s="82"/>
      <c r="ACM183" s="82"/>
      <c r="ACN183" s="82"/>
      <c r="ACO183" s="82"/>
      <c r="ACP183" s="82"/>
      <c r="ACQ183" s="82"/>
      <c r="ACR183" s="82"/>
      <c r="ACS183" s="82"/>
      <c r="ACT183" s="82"/>
      <c r="ACU183" s="82"/>
      <c r="ACV183" s="82"/>
      <c r="ACW183" s="82"/>
      <c r="ACX183" s="82"/>
      <c r="ACY183" s="82"/>
      <c r="ACZ183" s="82"/>
      <c r="ADA183" s="82"/>
      <c r="ADB183" s="82"/>
      <c r="ADC183" s="82"/>
      <c r="ADD183" s="82"/>
      <c r="ADE183" s="82"/>
      <c r="ADF183" s="82"/>
      <c r="ADG183" s="82"/>
      <c r="ADH183" s="82"/>
      <c r="ADI183" s="82"/>
      <c r="ADJ183" s="82"/>
      <c r="ADK183" s="82"/>
      <c r="ADL183" s="82"/>
      <c r="ADM183" s="82"/>
      <c r="ADN183" s="82"/>
      <c r="ADO183" s="82"/>
      <c r="ADP183" s="82"/>
      <c r="ADQ183" s="82"/>
      <c r="ADR183" s="82"/>
      <c r="ADS183" s="82"/>
      <c r="ADT183" s="82"/>
      <c r="ADU183" s="82"/>
      <c r="ADV183" s="82"/>
      <c r="ADW183" s="82"/>
      <c r="ADX183" s="82"/>
      <c r="ADY183" s="82"/>
      <c r="ADZ183" s="82"/>
      <c r="AEA183" s="82"/>
      <c r="AEB183" s="82"/>
      <c r="AEC183" s="82"/>
      <c r="AED183" s="82"/>
      <c r="AEE183" s="82"/>
      <c r="AEF183" s="82"/>
      <c r="AEG183" s="82"/>
      <c r="AEH183" s="82"/>
      <c r="AEI183" s="82"/>
      <c r="AEJ183" s="82"/>
      <c r="AEK183" s="82"/>
      <c r="AEL183" s="82"/>
      <c r="AEM183" s="82"/>
      <c r="AEN183" s="82"/>
      <c r="AEO183" s="82"/>
      <c r="AEP183" s="82"/>
      <c r="AEQ183" s="82"/>
      <c r="AER183" s="82"/>
      <c r="AES183" s="82"/>
      <c r="AET183" s="82"/>
      <c r="AEU183" s="82"/>
      <c r="AEV183" s="82"/>
      <c r="AEW183" s="82"/>
      <c r="AEX183" s="82"/>
      <c r="AEY183" s="82"/>
      <c r="AEZ183" s="82"/>
      <c r="AFA183" s="82"/>
      <c r="AFB183" s="82"/>
      <c r="AFC183" s="82"/>
      <c r="AFD183" s="82"/>
      <c r="AFE183" s="82"/>
      <c r="AFF183" s="82"/>
      <c r="AFG183" s="82"/>
      <c r="AFH183" s="82"/>
      <c r="AFI183" s="82"/>
      <c r="AFJ183" s="82"/>
      <c r="AFK183" s="82"/>
      <c r="AFL183" s="82"/>
      <c r="AFM183" s="82"/>
      <c r="AFN183" s="82"/>
      <c r="AFO183" s="82"/>
      <c r="AFP183" s="82"/>
      <c r="AFQ183" s="82"/>
      <c r="AFR183" s="82"/>
      <c r="AFS183" s="82"/>
      <c r="AFT183" s="82"/>
      <c r="AFU183" s="82"/>
      <c r="AFV183" s="82"/>
      <c r="AFW183" s="82"/>
      <c r="AFX183" s="82"/>
      <c r="AFY183" s="82"/>
      <c r="AFZ183" s="82"/>
      <c r="AGA183" s="82"/>
      <c r="AGB183" s="82"/>
      <c r="AGC183" s="82"/>
      <c r="AGD183" s="82"/>
      <c r="AGE183" s="82"/>
      <c r="AGF183" s="82"/>
      <c r="AGG183" s="82"/>
      <c r="AGH183" s="82"/>
      <c r="AGI183" s="82"/>
      <c r="AGJ183" s="82"/>
      <c r="AGK183" s="82"/>
      <c r="AGL183" s="82"/>
      <c r="AGM183" s="82"/>
      <c r="AGN183" s="82"/>
      <c r="AGO183" s="82"/>
      <c r="AGP183" s="82"/>
      <c r="AGQ183" s="82"/>
      <c r="AGR183" s="82"/>
      <c r="AGS183" s="82"/>
      <c r="AGT183" s="82"/>
      <c r="AGU183" s="82"/>
      <c r="AGV183" s="82"/>
      <c r="AGW183" s="82"/>
      <c r="AGX183" s="82"/>
      <c r="AGY183" s="82"/>
      <c r="AGZ183" s="82"/>
      <c r="AHA183" s="82"/>
      <c r="AHB183" s="82"/>
      <c r="AHC183" s="82"/>
      <c r="AHD183" s="82"/>
      <c r="AHE183" s="82"/>
      <c r="AHF183" s="82"/>
      <c r="AHG183" s="82"/>
      <c r="AHH183" s="82"/>
      <c r="AHI183" s="82"/>
      <c r="AHJ183" s="82"/>
      <c r="AHK183" s="82"/>
      <c r="AHL183" s="82"/>
      <c r="AHM183" s="82"/>
      <c r="AHN183" s="82"/>
      <c r="AHO183" s="82"/>
      <c r="AHP183" s="82"/>
      <c r="AHQ183" s="82"/>
      <c r="AHR183" s="82"/>
      <c r="AHS183" s="82"/>
      <c r="AHT183" s="82"/>
      <c r="AHU183" s="82"/>
      <c r="AHV183" s="82"/>
      <c r="AHW183" s="82"/>
      <c r="AHX183" s="82"/>
      <c r="AHY183" s="82"/>
      <c r="AHZ183" s="82"/>
      <c r="AIA183" s="82"/>
      <c r="AIB183" s="82"/>
      <c r="AIC183" s="82"/>
      <c r="AID183" s="82"/>
      <c r="AIE183" s="82"/>
      <c r="AIF183" s="82"/>
      <c r="AIG183" s="82"/>
      <c r="AIH183" s="82"/>
    </row>
    <row r="184" spans="1:918" ht="33.75" x14ac:dyDescent="0.2">
      <c r="B184" s="104" t="s">
        <v>158</v>
      </c>
      <c r="C184" s="91" t="s">
        <v>247</v>
      </c>
      <c r="D184" s="76"/>
      <c r="E184" s="76"/>
      <c r="F184" s="76"/>
      <c r="G184" s="76"/>
      <c r="H184" s="76"/>
      <c r="I184" s="76"/>
      <c r="J184" s="76"/>
      <c r="K184" s="76"/>
      <c r="L184" s="82"/>
      <c r="M184" s="82"/>
      <c r="N184" s="82"/>
      <c r="O184" s="82"/>
      <c r="P184" s="82"/>
      <c r="Q184" s="82"/>
      <c r="R184" s="82"/>
      <c r="S184" s="82"/>
      <c r="T184" s="82"/>
      <c r="U184" s="82"/>
      <c r="V184" s="82"/>
      <c r="W184" s="82"/>
      <c r="X184" s="82"/>
      <c r="Y184" s="82"/>
      <c r="Z184" s="82"/>
      <c r="AA184" s="82"/>
      <c r="AB184" s="82"/>
      <c r="AC184" s="82"/>
    </row>
    <row r="185" spans="1:918" ht="33.75" x14ac:dyDescent="0.2">
      <c r="B185" s="104" t="s">
        <v>160</v>
      </c>
      <c r="C185" s="91" t="s">
        <v>385</v>
      </c>
      <c r="D185" s="76"/>
      <c r="E185" s="76"/>
      <c r="F185" s="76"/>
      <c r="G185" s="76"/>
      <c r="H185" s="76"/>
      <c r="I185" s="76"/>
      <c r="J185" s="76"/>
      <c r="K185" s="76"/>
      <c r="L185" s="82"/>
      <c r="M185" s="82"/>
      <c r="N185" s="82"/>
      <c r="O185" s="82"/>
      <c r="P185" s="82"/>
      <c r="Q185" s="82"/>
      <c r="R185" s="82"/>
      <c r="S185" s="82"/>
      <c r="T185" s="82"/>
      <c r="U185" s="82"/>
      <c r="V185" s="82"/>
      <c r="W185" s="82"/>
      <c r="X185" s="82"/>
      <c r="Y185" s="82"/>
      <c r="Z185" s="82"/>
      <c r="AA185" s="82"/>
      <c r="AB185" s="82"/>
      <c r="AC185" s="82"/>
    </row>
    <row r="186" spans="1:918" s="99" customFormat="1" x14ac:dyDescent="0.2">
      <c r="A186" s="98"/>
      <c r="B186" s="104"/>
      <c r="C186" s="91"/>
      <c r="D186" s="76"/>
      <c r="E186" s="76"/>
      <c r="F186" s="76"/>
      <c r="G186" s="76"/>
      <c r="H186" s="76"/>
      <c r="I186" s="76"/>
      <c r="J186" s="76"/>
      <c r="K186" s="76"/>
      <c r="L186" s="82"/>
      <c r="M186" s="82"/>
      <c r="N186" s="82"/>
      <c r="O186" s="82"/>
      <c r="P186" s="82"/>
      <c r="Q186" s="82"/>
      <c r="R186" s="82"/>
      <c r="S186" s="82"/>
      <c r="T186" s="82"/>
      <c r="U186" s="82"/>
      <c r="V186" s="82"/>
      <c r="W186" s="82"/>
      <c r="X186" s="82"/>
      <c r="Y186" s="82"/>
      <c r="Z186" s="82"/>
      <c r="AA186" s="82"/>
      <c r="AB186" s="82"/>
      <c r="AC186" s="82"/>
      <c r="AD186" s="82"/>
      <c r="AE186" s="82"/>
      <c r="AF186" s="82"/>
      <c r="AG186" s="82"/>
      <c r="AH186" s="82"/>
      <c r="AI186" s="82"/>
      <c r="AJ186" s="82"/>
      <c r="AK186" s="82"/>
      <c r="AL186" s="82"/>
      <c r="AM186" s="82"/>
      <c r="AN186" s="82"/>
      <c r="AO186" s="82"/>
      <c r="AP186" s="82"/>
      <c r="AQ186" s="82"/>
      <c r="AR186" s="82"/>
      <c r="AS186" s="82"/>
      <c r="AT186" s="82"/>
      <c r="AU186" s="82"/>
      <c r="AV186" s="82"/>
      <c r="AW186" s="82"/>
      <c r="AX186" s="82"/>
      <c r="AY186" s="82"/>
      <c r="AZ186" s="82"/>
      <c r="BA186" s="82"/>
      <c r="BB186" s="82"/>
      <c r="BC186" s="82"/>
      <c r="BD186" s="82"/>
      <c r="BE186" s="82"/>
      <c r="BF186" s="82"/>
      <c r="BG186" s="82"/>
      <c r="BH186" s="82"/>
      <c r="BI186" s="82"/>
      <c r="BJ186" s="82"/>
      <c r="BK186" s="82"/>
      <c r="BL186" s="82"/>
      <c r="BM186" s="82"/>
      <c r="BN186" s="82"/>
      <c r="BO186" s="82"/>
      <c r="BP186" s="82"/>
      <c r="BQ186" s="82"/>
      <c r="BR186" s="82"/>
      <c r="BS186" s="82"/>
      <c r="BT186" s="82"/>
      <c r="BU186" s="82"/>
      <c r="BV186" s="82"/>
      <c r="BW186" s="82"/>
      <c r="BX186" s="82"/>
      <c r="BY186" s="82"/>
      <c r="BZ186" s="82"/>
      <c r="CA186" s="82"/>
      <c r="CB186" s="82"/>
      <c r="CC186" s="82"/>
      <c r="CD186" s="82"/>
      <c r="CE186" s="82"/>
      <c r="CF186" s="82"/>
      <c r="CG186" s="82"/>
      <c r="CH186" s="82"/>
      <c r="CI186" s="82"/>
      <c r="CJ186" s="82"/>
      <c r="CK186" s="82"/>
      <c r="CL186" s="82"/>
      <c r="CM186" s="82"/>
      <c r="CN186" s="82"/>
      <c r="CO186" s="82"/>
      <c r="CP186" s="82"/>
      <c r="CQ186" s="82"/>
      <c r="CR186" s="82"/>
      <c r="CS186" s="82"/>
      <c r="CT186" s="82"/>
      <c r="CU186" s="82"/>
      <c r="CV186" s="82"/>
      <c r="CW186" s="82"/>
      <c r="CX186" s="82"/>
      <c r="CY186" s="82"/>
      <c r="CZ186" s="82"/>
      <c r="DA186" s="82"/>
      <c r="DB186" s="82"/>
      <c r="DC186" s="82"/>
      <c r="DD186" s="82"/>
      <c r="DE186" s="82"/>
      <c r="DF186" s="82"/>
      <c r="DG186" s="82"/>
      <c r="DH186" s="82"/>
      <c r="DI186" s="82"/>
      <c r="DJ186" s="82"/>
      <c r="DK186" s="82"/>
      <c r="DL186" s="82"/>
      <c r="DM186" s="82"/>
      <c r="DN186" s="82"/>
      <c r="DO186" s="82"/>
      <c r="DP186" s="82"/>
      <c r="DQ186" s="82"/>
      <c r="DR186" s="82"/>
      <c r="DS186" s="82"/>
      <c r="DT186" s="82"/>
      <c r="DU186" s="82"/>
      <c r="DV186" s="82"/>
      <c r="DW186" s="82"/>
      <c r="DX186" s="82"/>
      <c r="DY186" s="82"/>
      <c r="DZ186" s="82"/>
      <c r="EA186" s="82"/>
      <c r="EB186" s="82"/>
      <c r="EC186" s="82"/>
      <c r="ED186" s="82"/>
      <c r="EE186" s="82"/>
      <c r="EF186" s="82"/>
      <c r="EG186" s="82"/>
      <c r="EH186" s="82"/>
      <c r="EI186" s="82"/>
      <c r="EJ186" s="82"/>
      <c r="EK186" s="82"/>
      <c r="EL186" s="82"/>
      <c r="EM186" s="82"/>
      <c r="EN186" s="82"/>
      <c r="EO186" s="82"/>
      <c r="EP186" s="82"/>
      <c r="EQ186" s="82"/>
      <c r="ER186" s="82"/>
      <c r="ES186" s="82"/>
      <c r="ET186" s="82"/>
      <c r="EU186" s="82"/>
      <c r="EV186" s="82"/>
      <c r="EW186" s="82"/>
      <c r="EX186" s="82"/>
      <c r="EY186" s="82"/>
      <c r="EZ186" s="82"/>
      <c r="FA186" s="82"/>
      <c r="FB186" s="82"/>
      <c r="FC186" s="82"/>
      <c r="FD186" s="82"/>
      <c r="FE186" s="82"/>
      <c r="FF186" s="82"/>
      <c r="FG186" s="82"/>
      <c r="FH186" s="82"/>
      <c r="FI186" s="82"/>
      <c r="FJ186" s="82"/>
      <c r="FK186" s="82"/>
      <c r="FL186" s="82"/>
      <c r="FM186" s="82"/>
      <c r="FN186" s="82"/>
      <c r="FO186" s="82"/>
      <c r="FP186" s="82"/>
      <c r="FQ186" s="82"/>
      <c r="FR186" s="82"/>
      <c r="FS186" s="82"/>
      <c r="FT186" s="82"/>
      <c r="FU186" s="82"/>
      <c r="FV186" s="82"/>
      <c r="FW186" s="82"/>
      <c r="FX186" s="82"/>
      <c r="FY186" s="82"/>
      <c r="FZ186" s="82"/>
      <c r="GA186" s="82"/>
      <c r="GB186" s="82"/>
      <c r="GC186" s="82"/>
      <c r="GD186" s="82"/>
      <c r="GE186" s="82"/>
      <c r="GF186" s="82"/>
      <c r="GG186" s="82"/>
      <c r="GH186" s="82"/>
      <c r="GI186" s="82"/>
      <c r="GJ186" s="82"/>
      <c r="GK186" s="82"/>
      <c r="GL186" s="82"/>
      <c r="GM186" s="82"/>
      <c r="GN186" s="82"/>
      <c r="GO186" s="82"/>
      <c r="GP186" s="82"/>
      <c r="GQ186" s="82"/>
      <c r="GR186" s="82"/>
      <c r="GS186" s="82"/>
      <c r="GT186" s="82"/>
      <c r="GU186" s="82"/>
      <c r="GV186" s="82"/>
      <c r="GW186" s="82"/>
      <c r="GX186" s="82"/>
      <c r="GY186" s="82"/>
      <c r="GZ186" s="82"/>
      <c r="HA186" s="82"/>
      <c r="HB186" s="82"/>
      <c r="HC186" s="82"/>
      <c r="HD186" s="82"/>
      <c r="HE186" s="82"/>
      <c r="HF186" s="82"/>
      <c r="HG186" s="82"/>
      <c r="HH186" s="82"/>
      <c r="HI186" s="82"/>
      <c r="HJ186" s="82"/>
      <c r="HK186" s="82"/>
      <c r="HL186" s="82"/>
      <c r="HM186" s="82"/>
      <c r="HN186" s="82"/>
      <c r="HO186" s="82"/>
      <c r="HP186" s="82"/>
      <c r="HQ186" s="82"/>
      <c r="HR186" s="82"/>
      <c r="HS186" s="82"/>
      <c r="HT186" s="82"/>
      <c r="HU186" s="82"/>
      <c r="HV186" s="82"/>
      <c r="HW186" s="82"/>
      <c r="HX186" s="82"/>
      <c r="HY186" s="82"/>
      <c r="HZ186" s="82"/>
      <c r="IA186" s="82"/>
      <c r="IB186" s="82"/>
      <c r="IC186" s="82"/>
      <c r="ID186" s="82"/>
      <c r="IE186" s="82"/>
      <c r="IF186" s="82"/>
      <c r="IG186" s="82"/>
      <c r="IH186" s="82"/>
      <c r="II186" s="82"/>
      <c r="IJ186" s="82"/>
      <c r="IK186" s="82"/>
      <c r="IL186" s="82"/>
      <c r="IM186" s="82"/>
      <c r="IN186" s="82"/>
      <c r="IO186" s="82"/>
      <c r="IP186" s="82"/>
      <c r="IQ186" s="82"/>
      <c r="IR186" s="82"/>
      <c r="IS186" s="82"/>
      <c r="IT186" s="82"/>
      <c r="IU186" s="82"/>
      <c r="IV186" s="82"/>
      <c r="IW186" s="82"/>
      <c r="IX186" s="82"/>
      <c r="IY186" s="82"/>
      <c r="IZ186" s="82"/>
      <c r="JA186" s="82"/>
      <c r="JB186" s="82"/>
      <c r="JC186" s="82"/>
      <c r="JD186" s="82"/>
      <c r="JE186" s="82"/>
      <c r="JF186" s="82"/>
      <c r="JG186" s="82"/>
      <c r="JH186" s="82"/>
      <c r="JI186" s="82"/>
      <c r="JJ186" s="82"/>
      <c r="JK186" s="82"/>
      <c r="JL186" s="82"/>
      <c r="JM186" s="82"/>
      <c r="JN186" s="82"/>
      <c r="JO186" s="82"/>
      <c r="JP186" s="82"/>
      <c r="JQ186" s="82"/>
      <c r="JR186" s="82"/>
      <c r="JS186" s="82"/>
      <c r="JT186" s="82"/>
      <c r="JU186" s="82"/>
      <c r="JV186" s="82"/>
      <c r="JW186" s="82"/>
      <c r="JX186" s="82"/>
      <c r="JY186" s="82"/>
      <c r="JZ186" s="82"/>
      <c r="KA186" s="82"/>
      <c r="KB186" s="82"/>
      <c r="KC186" s="82"/>
      <c r="KD186" s="82"/>
      <c r="KE186" s="82"/>
      <c r="KF186" s="82"/>
      <c r="KG186" s="82"/>
      <c r="KH186" s="82"/>
      <c r="KI186" s="82"/>
      <c r="KJ186" s="82"/>
      <c r="KK186" s="82"/>
      <c r="KL186" s="82"/>
      <c r="KM186" s="82"/>
      <c r="KN186" s="82"/>
      <c r="KO186" s="82"/>
      <c r="KP186" s="82"/>
      <c r="KQ186" s="82"/>
      <c r="KR186" s="82"/>
      <c r="KS186" s="82"/>
      <c r="KT186" s="82"/>
      <c r="KU186" s="82"/>
      <c r="KV186" s="82"/>
      <c r="KW186" s="82"/>
      <c r="KX186" s="82"/>
      <c r="KY186" s="82"/>
      <c r="KZ186" s="82"/>
      <c r="LA186" s="82"/>
      <c r="LB186" s="82"/>
      <c r="LC186" s="82"/>
      <c r="LD186" s="82"/>
      <c r="LE186" s="82"/>
      <c r="LF186" s="82"/>
      <c r="LG186" s="82"/>
      <c r="LH186" s="82"/>
      <c r="LI186" s="82"/>
      <c r="LJ186" s="82"/>
      <c r="LK186" s="82"/>
      <c r="LL186" s="82"/>
      <c r="LM186" s="82"/>
      <c r="LN186" s="82"/>
      <c r="LO186" s="82"/>
      <c r="LP186" s="82"/>
      <c r="LQ186" s="82"/>
      <c r="LR186" s="82"/>
      <c r="LS186" s="82"/>
      <c r="LT186" s="82"/>
      <c r="LU186" s="82"/>
      <c r="LV186" s="82"/>
      <c r="LW186" s="82"/>
      <c r="LX186" s="82"/>
      <c r="LY186" s="82"/>
      <c r="LZ186" s="82"/>
      <c r="MA186" s="82"/>
      <c r="MB186" s="82"/>
      <c r="MC186" s="82"/>
      <c r="MD186" s="82"/>
      <c r="ME186" s="82"/>
      <c r="MF186" s="82"/>
      <c r="MG186" s="82"/>
      <c r="MH186" s="82"/>
      <c r="MI186" s="82"/>
      <c r="MJ186" s="82"/>
      <c r="MK186" s="82"/>
      <c r="ML186" s="82"/>
      <c r="MM186" s="82"/>
      <c r="MN186" s="82"/>
      <c r="MO186" s="82"/>
      <c r="MP186" s="82"/>
      <c r="MQ186" s="82"/>
      <c r="MR186" s="82"/>
      <c r="MS186" s="82"/>
      <c r="MT186" s="82"/>
      <c r="MU186" s="82"/>
      <c r="MV186" s="82"/>
      <c r="MW186" s="82"/>
      <c r="MX186" s="82"/>
      <c r="MY186" s="82"/>
      <c r="MZ186" s="82"/>
      <c r="NA186" s="82"/>
      <c r="NB186" s="82"/>
      <c r="NC186" s="82"/>
      <c r="ND186" s="82"/>
      <c r="NE186" s="82"/>
      <c r="NF186" s="82"/>
      <c r="NG186" s="82"/>
      <c r="NH186" s="82"/>
      <c r="NI186" s="82"/>
      <c r="NJ186" s="82"/>
      <c r="NK186" s="82"/>
      <c r="NL186" s="82"/>
      <c r="NM186" s="82"/>
      <c r="NN186" s="82"/>
      <c r="NO186" s="82"/>
      <c r="NP186" s="82"/>
      <c r="NQ186" s="82"/>
      <c r="NR186" s="82"/>
      <c r="NS186" s="82"/>
      <c r="NT186" s="82"/>
      <c r="NU186" s="82"/>
      <c r="NV186" s="82"/>
      <c r="NW186" s="82"/>
      <c r="NX186" s="82"/>
      <c r="NY186" s="82"/>
      <c r="NZ186" s="82"/>
      <c r="OA186" s="82"/>
      <c r="OB186" s="82"/>
      <c r="OC186" s="82"/>
      <c r="OD186" s="82"/>
      <c r="OE186" s="82"/>
      <c r="OF186" s="82"/>
      <c r="OG186" s="82"/>
      <c r="OH186" s="82"/>
      <c r="OI186" s="82"/>
      <c r="OJ186" s="82"/>
      <c r="OK186" s="82"/>
      <c r="OL186" s="82"/>
      <c r="OM186" s="82"/>
      <c r="ON186" s="82"/>
      <c r="OO186" s="82"/>
      <c r="OP186" s="82"/>
      <c r="OQ186" s="82"/>
      <c r="OR186" s="82"/>
      <c r="OS186" s="82"/>
      <c r="OT186" s="82"/>
      <c r="OU186" s="82"/>
      <c r="OV186" s="82"/>
      <c r="OW186" s="82"/>
      <c r="OX186" s="82"/>
      <c r="OY186" s="82"/>
      <c r="OZ186" s="82"/>
      <c r="PA186" s="82"/>
      <c r="PB186" s="82"/>
      <c r="PC186" s="82"/>
      <c r="PD186" s="82"/>
      <c r="PE186" s="82"/>
      <c r="PF186" s="82"/>
      <c r="PG186" s="82"/>
      <c r="PH186" s="82"/>
      <c r="PI186" s="82"/>
      <c r="PJ186" s="82"/>
      <c r="PK186" s="82"/>
      <c r="PL186" s="82"/>
      <c r="PM186" s="82"/>
      <c r="PN186" s="82"/>
      <c r="PO186" s="82"/>
      <c r="PP186" s="82"/>
      <c r="PQ186" s="82"/>
      <c r="PR186" s="82"/>
      <c r="PS186" s="82"/>
      <c r="PT186" s="82"/>
      <c r="PU186" s="82"/>
      <c r="PV186" s="82"/>
      <c r="PW186" s="82"/>
      <c r="PX186" s="82"/>
      <c r="PY186" s="82"/>
      <c r="PZ186" s="82"/>
      <c r="QA186" s="82"/>
      <c r="QB186" s="82"/>
      <c r="QC186" s="82"/>
      <c r="QD186" s="82"/>
      <c r="QE186" s="82"/>
      <c r="QF186" s="82"/>
      <c r="QG186" s="82"/>
      <c r="QH186" s="82"/>
      <c r="QI186" s="82"/>
      <c r="QJ186" s="82"/>
      <c r="QK186" s="82"/>
      <c r="QL186" s="82"/>
      <c r="QM186" s="82"/>
      <c r="QN186" s="82"/>
      <c r="QO186" s="82"/>
      <c r="QP186" s="82"/>
      <c r="QQ186" s="82"/>
      <c r="QR186" s="82"/>
      <c r="QS186" s="82"/>
      <c r="QT186" s="82"/>
      <c r="QU186" s="82"/>
      <c r="QV186" s="82"/>
      <c r="QW186" s="82"/>
      <c r="QX186" s="82"/>
      <c r="QY186" s="82"/>
      <c r="QZ186" s="82"/>
      <c r="RA186" s="82"/>
      <c r="RB186" s="82"/>
      <c r="RC186" s="82"/>
      <c r="RD186" s="82"/>
      <c r="RE186" s="82"/>
      <c r="RF186" s="82"/>
      <c r="RG186" s="82"/>
      <c r="RH186" s="82"/>
      <c r="RI186" s="82"/>
      <c r="RJ186" s="82"/>
      <c r="RK186" s="82"/>
      <c r="RL186" s="82"/>
      <c r="RM186" s="82"/>
      <c r="RN186" s="82"/>
      <c r="RO186" s="82"/>
      <c r="RP186" s="82"/>
      <c r="RQ186" s="82"/>
      <c r="RR186" s="82"/>
      <c r="RS186" s="82"/>
      <c r="RT186" s="82"/>
      <c r="RU186" s="82"/>
      <c r="RV186" s="82"/>
      <c r="RW186" s="82"/>
      <c r="RX186" s="82"/>
      <c r="RY186" s="82"/>
      <c r="RZ186" s="82"/>
      <c r="SA186" s="82"/>
      <c r="SB186" s="82"/>
      <c r="SC186" s="82"/>
      <c r="SD186" s="82"/>
      <c r="SE186" s="82"/>
      <c r="SF186" s="82"/>
      <c r="SG186" s="82"/>
      <c r="SH186" s="82"/>
      <c r="SI186" s="82"/>
      <c r="SJ186" s="82"/>
      <c r="SK186" s="82"/>
      <c r="SL186" s="82"/>
      <c r="SM186" s="82"/>
      <c r="SN186" s="82"/>
      <c r="SO186" s="82"/>
      <c r="SP186" s="82"/>
      <c r="SQ186" s="82"/>
      <c r="SR186" s="82"/>
      <c r="SS186" s="82"/>
      <c r="ST186" s="82"/>
      <c r="SU186" s="82"/>
      <c r="SV186" s="82"/>
      <c r="SW186" s="82"/>
      <c r="SX186" s="82"/>
      <c r="SY186" s="82"/>
      <c r="SZ186" s="82"/>
      <c r="TA186" s="82"/>
      <c r="TB186" s="82"/>
      <c r="TC186" s="82"/>
      <c r="TD186" s="82"/>
      <c r="TE186" s="82"/>
      <c r="TF186" s="82"/>
      <c r="TG186" s="82"/>
      <c r="TH186" s="82"/>
      <c r="TI186" s="82"/>
      <c r="TJ186" s="82"/>
      <c r="TK186" s="82"/>
      <c r="TL186" s="82"/>
      <c r="TM186" s="82"/>
      <c r="TN186" s="82"/>
      <c r="TO186" s="82"/>
      <c r="TP186" s="82"/>
      <c r="TQ186" s="82"/>
      <c r="TR186" s="82"/>
      <c r="TS186" s="82"/>
      <c r="TT186" s="82"/>
      <c r="TU186" s="82"/>
      <c r="TV186" s="82"/>
      <c r="TW186" s="82"/>
      <c r="TX186" s="82"/>
      <c r="TY186" s="82"/>
      <c r="TZ186" s="82"/>
      <c r="UA186" s="82"/>
      <c r="UB186" s="82"/>
      <c r="UC186" s="82"/>
      <c r="UD186" s="82"/>
      <c r="UE186" s="82"/>
      <c r="UF186" s="82"/>
      <c r="UG186" s="82"/>
      <c r="UH186" s="82"/>
      <c r="UI186" s="82"/>
      <c r="UJ186" s="82"/>
      <c r="UK186" s="82"/>
      <c r="UL186" s="82"/>
      <c r="UM186" s="82"/>
      <c r="UN186" s="82"/>
      <c r="UO186" s="82"/>
      <c r="UP186" s="82"/>
      <c r="UQ186" s="82"/>
      <c r="UR186" s="82"/>
      <c r="US186" s="82"/>
      <c r="UT186" s="82"/>
      <c r="UU186" s="82"/>
      <c r="UV186" s="82"/>
      <c r="UW186" s="82"/>
      <c r="UX186" s="82"/>
      <c r="UY186" s="82"/>
      <c r="UZ186" s="82"/>
      <c r="VA186" s="82"/>
      <c r="VB186" s="82"/>
      <c r="VC186" s="82"/>
      <c r="VD186" s="82"/>
      <c r="VE186" s="82"/>
      <c r="VF186" s="82"/>
      <c r="VG186" s="82"/>
      <c r="VH186" s="82"/>
      <c r="VI186" s="82"/>
      <c r="VJ186" s="82"/>
      <c r="VK186" s="82"/>
      <c r="VL186" s="82"/>
      <c r="VM186" s="82"/>
      <c r="VN186" s="82"/>
      <c r="VO186" s="82"/>
      <c r="VP186" s="82"/>
      <c r="VQ186" s="82"/>
      <c r="VR186" s="82"/>
      <c r="VS186" s="82"/>
      <c r="VT186" s="82"/>
      <c r="VU186" s="82"/>
      <c r="VV186" s="82"/>
      <c r="VW186" s="82"/>
      <c r="VX186" s="82"/>
      <c r="VY186" s="82"/>
      <c r="VZ186" s="82"/>
      <c r="WA186" s="82"/>
      <c r="WB186" s="82"/>
      <c r="WC186" s="82"/>
      <c r="WD186" s="82"/>
      <c r="WE186" s="82"/>
      <c r="WF186" s="82"/>
      <c r="WG186" s="82"/>
      <c r="WH186" s="82"/>
      <c r="WI186" s="82"/>
      <c r="WJ186" s="82"/>
      <c r="WK186" s="82"/>
      <c r="WL186" s="82"/>
      <c r="WM186" s="82"/>
      <c r="WN186" s="82"/>
      <c r="WO186" s="82"/>
      <c r="WP186" s="82"/>
      <c r="WQ186" s="82"/>
      <c r="WR186" s="82"/>
      <c r="WS186" s="82"/>
      <c r="WT186" s="82"/>
      <c r="WU186" s="82"/>
      <c r="WV186" s="82"/>
      <c r="WW186" s="82"/>
      <c r="WX186" s="82"/>
      <c r="WY186" s="82"/>
      <c r="WZ186" s="82"/>
      <c r="XA186" s="82"/>
      <c r="XB186" s="82"/>
      <c r="XC186" s="82"/>
      <c r="XD186" s="82"/>
      <c r="XE186" s="82"/>
      <c r="XF186" s="82"/>
      <c r="XG186" s="82"/>
      <c r="XH186" s="82"/>
      <c r="XI186" s="82"/>
      <c r="XJ186" s="82"/>
      <c r="XK186" s="82"/>
      <c r="XL186" s="82"/>
      <c r="XM186" s="82"/>
      <c r="XN186" s="82"/>
      <c r="XO186" s="82"/>
      <c r="XP186" s="82"/>
      <c r="XQ186" s="82"/>
      <c r="XR186" s="82"/>
      <c r="XS186" s="82"/>
      <c r="XT186" s="82"/>
      <c r="XU186" s="82"/>
      <c r="XV186" s="82"/>
      <c r="XW186" s="82"/>
      <c r="XX186" s="82"/>
      <c r="XY186" s="82"/>
      <c r="XZ186" s="82"/>
      <c r="YA186" s="82"/>
      <c r="YB186" s="82"/>
      <c r="YC186" s="82"/>
      <c r="YD186" s="82"/>
      <c r="YE186" s="82"/>
      <c r="YF186" s="82"/>
      <c r="YG186" s="82"/>
      <c r="YH186" s="82"/>
      <c r="YI186" s="82"/>
      <c r="YJ186" s="82"/>
      <c r="YK186" s="82"/>
      <c r="YL186" s="82"/>
      <c r="YM186" s="82"/>
      <c r="YN186" s="82"/>
      <c r="YO186" s="82"/>
      <c r="YP186" s="82"/>
      <c r="YQ186" s="82"/>
      <c r="YR186" s="82"/>
      <c r="YS186" s="82"/>
      <c r="YT186" s="82"/>
      <c r="YU186" s="82"/>
      <c r="YV186" s="82"/>
      <c r="YW186" s="82"/>
      <c r="YX186" s="82"/>
      <c r="YY186" s="82"/>
      <c r="YZ186" s="82"/>
      <c r="ZA186" s="82"/>
      <c r="ZB186" s="82"/>
      <c r="ZC186" s="82"/>
      <c r="ZD186" s="82"/>
      <c r="ZE186" s="82"/>
      <c r="ZF186" s="82"/>
      <c r="ZG186" s="82"/>
      <c r="ZH186" s="82"/>
      <c r="ZI186" s="82"/>
      <c r="ZJ186" s="82"/>
      <c r="ZK186" s="82"/>
      <c r="ZL186" s="82"/>
      <c r="ZM186" s="82"/>
      <c r="ZN186" s="82"/>
      <c r="ZO186" s="82"/>
      <c r="ZP186" s="82"/>
      <c r="ZQ186" s="82"/>
      <c r="ZR186" s="82"/>
      <c r="ZS186" s="82"/>
      <c r="ZT186" s="82"/>
      <c r="ZU186" s="82"/>
      <c r="ZV186" s="82"/>
      <c r="ZW186" s="82"/>
      <c r="ZX186" s="82"/>
      <c r="ZY186" s="82"/>
      <c r="ZZ186" s="82"/>
      <c r="AAA186" s="82"/>
      <c r="AAB186" s="82"/>
      <c r="AAC186" s="82"/>
      <c r="AAD186" s="82"/>
      <c r="AAE186" s="82"/>
      <c r="AAF186" s="82"/>
      <c r="AAG186" s="82"/>
      <c r="AAH186" s="82"/>
      <c r="AAI186" s="82"/>
      <c r="AAJ186" s="82"/>
      <c r="AAK186" s="82"/>
      <c r="AAL186" s="82"/>
      <c r="AAM186" s="82"/>
      <c r="AAN186" s="82"/>
      <c r="AAO186" s="82"/>
      <c r="AAP186" s="82"/>
      <c r="AAQ186" s="82"/>
      <c r="AAR186" s="82"/>
      <c r="AAS186" s="82"/>
      <c r="AAT186" s="82"/>
      <c r="AAU186" s="82"/>
      <c r="AAV186" s="82"/>
      <c r="AAW186" s="82"/>
      <c r="AAX186" s="82"/>
      <c r="AAY186" s="82"/>
      <c r="AAZ186" s="82"/>
      <c r="ABA186" s="82"/>
      <c r="ABB186" s="82"/>
      <c r="ABC186" s="82"/>
      <c r="ABD186" s="82"/>
      <c r="ABE186" s="82"/>
      <c r="ABF186" s="82"/>
      <c r="ABG186" s="82"/>
      <c r="ABH186" s="82"/>
      <c r="ABI186" s="82"/>
      <c r="ABJ186" s="82"/>
      <c r="ABK186" s="82"/>
      <c r="ABL186" s="82"/>
      <c r="ABM186" s="82"/>
      <c r="ABN186" s="82"/>
      <c r="ABO186" s="82"/>
      <c r="ABP186" s="82"/>
      <c r="ABQ186" s="82"/>
      <c r="ABR186" s="82"/>
      <c r="ABS186" s="82"/>
      <c r="ABT186" s="82"/>
      <c r="ABU186" s="82"/>
      <c r="ABV186" s="82"/>
      <c r="ABW186" s="82"/>
      <c r="ABX186" s="82"/>
      <c r="ABY186" s="82"/>
      <c r="ABZ186" s="82"/>
      <c r="ACA186" s="82"/>
      <c r="ACB186" s="82"/>
      <c r="ACC186" s="82"/>
      <c r="ACD186" s="82"/>
      <c r="ACE186" s="82"/>
      <c r="ACF186" s="82"/>
      <c r="ACG186" s="82"/>
      <c r="ACH186" s="82"/>
      <c r="ACI186" s="82"/>
      <c r="ACJ186" s="82"/>
      <c r="ACK186" s="82"/>
      <c r="ACL186" s="82"/>
      <c r="ACM186" s="82"/>
      <c r="ACN186" s="82"/>
      <c r="ACO186" s="82"/>
      <c r="ACP186" s="82"/>
      <c r="ACQ186" s="82"/>
      <c r="ACR186" s="82"/>
      <c r="ACS186" s="82"/>
      <c r="ACT186" s="82"/>
      <c r="ACU186" s="82"/>
      <c r="ACV186" s="82"/>
      <c r="ACW186" s="82"/>
      <c r="ACX186" s="82"/>
      <c r="ACY186" s="82"/>
      <c r="ACZ186" s="82"/>
      <c r="ADA186" s="82"/>
      <c r="ADB186" s="82"/>
      <c r="ADC186" s="82"/>
      <c r="ADD186" s="82"/>
      <c r="ADE186" s="82"/>
      <c r="ADF186" s="82"/>
      <c r="ADG186" s="82"/>
      <c r="ADH186" s="82"/>
      <c r="ADI186" s="82"/>
      <c r="ADJ186" s="82"/>
      <c r="ADK186" s="82"/>
      <c r="ADL186" s="82"/>
      <c r="ADM186" s="82"/>
      <c r="ADN186" s="82"/>
      <c r="ADO186" s="82"/>
      <c r="ADP186" s="82"/>
      <c r="ADQ186" s="82"/>
      <c r="ADR186" s="82"/>
      <c r="ADS186" s="82"/>
      <c r="ADT186" s="82"/>
      <c r="ADU186" s="82"/>
      <c r="ADV186" s="82"/>
      <c r="ADW186" s="82"/>
      <c r="ADX186" s="82"/>
      <c r="ADY186" s="82"/>
      <c r="ADZ186" s="82"/>
      <c r="AEA186" s="82"/>
      <c r="AEB186" s="82"/>
      <c r="AEC186" s="82"/>
      <c r="AED186" s="82"/>
      <c r="AEE186" s="82"/>
      <c r="AEF186" s="82"/>
      <c r="AEG186" s="82"/>
      <c r="AEH186" s="82"/>
      <c r="AEI186" s="82"/>
      <c r="AEJ186" s="82"/>
      <c r="AEK186" s="82"/>
      <c r="AEL186" s="82"/>
      <c r="AEM186" s="82"/>
      <c r="AEN186" s="82"/>
      <c r="AEO186" s="82"/>
      <c r="AEP186" s="82"/>
      <c r="AEQ186" s="82"/>
      <c r="AER186" s="82"/>
      <c r="AES186" s="82"/>
      <c r="AET186" s="82"/>
      <c r="AEU186" s="82"/>
      <c r="AEV186" s="82"/>
      <c r="AEW186" s="82"/>
      <c r="AEX186" s="82"/>
      <c r="AEY186" s="82"/>
      <c r="AEZ186" s="82"/>
      <c r="AFA186" s="82"/>
      <c r="AFB186" s="82"/>
      <c r="AFC186" s="82"/>
      <c r="AFD186" s="82"/>
      <c r="AFE186" s="82"/>
      <c r="AFF186" s="82"/>
      <c r="AFG186" s="82"/>
      <c r="AFH186" s="82"/>
      <c r="AFI186" s="82"/>
      <c r="AFJ186" s="82"/>
      <c r="AFK186" s="82"/>
      <c r="AFL186" s="82"/>
      <c r="AFM186" s="82"/>
      <c r="AFN186" s="82"/>
      <c r="AFO186" s="82"/>
      <c r="AFP186" s="82"/>
      <c r="AFQ186" s="82"/>
      <c r="AFR186" s="82"/>
      <c r="AFS186" s="82"/>
      <c r="AFT186" s="82"/>
      <c r="AFU186" s="82"/>
      <c r="AFV186" s="82"/>
      <c r="AFW186" s="82"/>
      <c r="AFX186" s="82"/>
      <c r="AFY186" s="82"/>
      <c r="AFZ186" s="82"/>
      <c r="AGA186" s="82"/>
      <c r="AGB186" s="82"/>
      <c r="AGC186" s="82"/>
      <c r="AGD186" s="82"/>
      <c r="AGE186" s="82"/>
      <c r="AGF186" s="82"/>
      <c r="AGG186" s="82"/>
      <c r="AGH186" s="82"/>
      <c r="AGI186" s="82"/>
      <c r="AGJ186" s="82"/>
      <c r="AGK186" s="82"/>
      <c r="AGL186" s="82"/>
      <c r="AGM186" s="82"/>
      <c r="AGN186" s="82"/>
      <c r="AGO186" s="82"/>
      <c r="AGP186" s="82"/>
      <c r="AGQ186" s="82"/>
      <c r="AGR186" s="82"/>
      <c r="AGS186" s="82"/>
      <c r="AGT186" s="82"/>
      <c r="AGU186" s="82"/>
      <c r="AGV186" s="82"/>
      <c r="AGW186" s="82"/>
      <c r="AGX186" s="82"/>
      <c r="AGY186" s="82"/>
      <c r="AGZ186" s="82"/>
      <c r="AHA186" s="82"/>
      <c r="AHB186" s="82"/>
      <c r="AHC186" s="82"/>
      <c r="AHD186" s="82"/>
      <c r="AHE186" s="82"/>
      <c r="AHF186" s="82"/>
      <c r="AHG186" s="82"/>
      <c r="AHH186" s="82"/>
      <c r="AHI186" s="82"/>
      <c r="AHJ186" s="82"/>
      <c r="AHK186" s="82"/>
      <c r="AHL186" s="82"/>
      <c r="AHM186" s="82"/>
      <c r="AHN186" s="82"/>
      <c r="AHO186" s="82"/>
      <c r="AHP186" s="82"/>
      <c r="AHQ186" s="82"/>
      <c r="AHR186" s="82"/>
      <c r="AHS186" s="82"/>
      <c r="AHT186" s="82"/>
      <c r="AHU186" s="82"/>
      <c r="AHV186" s="82"/>
      <c r="AHW186" s="82"/>
      <c r="AHX186" s="82"/>
      <c r="AHY186" s="82"/>
      <c r="AHZ186" s="82"/>
      <c r="AIA186" s="82"/>
      <c r="AIB186" s="82"/>
      <c r="AIC186" s="82"/>
      <c r="AID186" s="82"/>
      <c r="AIE186" s="82"/>
      <c r="AIF186" s="82"/>
      <c r="AIG186" s="82"/>
      <c r="AIH186" s="82"/>
    </row>
    <row r="187" spans="1:918" s="99" customFormat="1" x14ac:dyDescent="0.2">
      <c r="A187" s="98"/>
      <c r="B187" s="78" t="s">
        <v>172</v>
      </c>
      <c r="C187" s="96" t="s">
        <v>252</v>
      </c>
      <c r="D187" s="76"/>
      <c r="E187" s="76"/>
      <c r="F187" s="76"/>
      <c r="G187" s="76"/>
      <c r="H187" s="76"/>
      <c r="I187" s="76"/>
      <c r="J187" s="76"/>
      <c r="K187" s="76"/>
      <c r="L187" s="82"/>
      <c r="M187" s="82"/>
      <c r="N187" s="82"/>
      <c r="O187" s="82"/>
      <c r="P187" s="82"/>
      <c r="Q187" s="82"/>
      <c r="R187" s="82"/>
      <c r="S187" s="82"/>
      <c r="T187" s="82"/>
      <c r="U187" s="82"/>
      <c r="V187" s="82"/>
      <c r="W187" s="82"/>
      <c r="X187" s="82"/>
      <c r="Y187" s="82"/>
      <c r="Z187" s="82"/>
      <c r="AA187" s="82"/>
      <c r="AB187" s="82"/>
      <c r="AC187" s="82"/>
      <c r="AD187" s="82"/>
      <c r="AE187" s="82"/>
      <c r="AF187" s="82"/>
      <c r="AG187" s="82"/>
      <c r="AH187" s="82"/>
      <c r="AI187" s="82"/>
      <c r="AJ187" s="82"/>
      <c r="AK187" s="82"/>
      <c r="AL187" s="82"/>
      <c r="AM187" s="82"/>
      <c r="AN187" s="82"/>
      <c r="AO187" s="82"/>
      <c r="AP187" s="82"/>
      <c r="AQ187" s="82"/>
      <c r="AR187" s="82"/>
      <c r="AS187" s="82"/>
      <c r="AT187" s="82"/>
      <c r="AU187" s="82"/>
      <c r="AV187" s="82"/>
      <c r="AW187" s="82"/>
      <c r="AX187" s="82"/>
      <c r="AY187" s="82"/>
      <c r="AZ187" s="82"/>
      <c r="BA187" s="82"/>
      <c r="BB187" s="82"/>
      <c r="BC187" s="82"/>
      <c r="BD187" s="82"/>
      <c r="BE187" s="82"/>
      <c r="BF187" s="82"/>
      <c r="BG187" s="82"/>
      <c r="BH187" s="82"/>
      <c r="BI187" s="82"/>
      <c r="BJ187" s="82"/>
      <c r="BK187" s="82"/>
      <c r="BL187" s="82"/>
      <c r="BM187" s="82"/>
      <c r="BN187" s="82"/>
      <c r="BO187" s="82"/>
      <c r="BP187" s="82"/>
      <c r="BQ187" s="82"/>
      <c r="BR187" s="82"/>
      <c r="BS187" s="82"/>
      <c r="BT187" s="82"/>
      <c r="BU187" s="82"/>
      <c r="BV187" s="82"/>
      <c r="BW187" s="82"/>
      <c r="BX187" s="82"/>
      <c r="BY187" s="82"/>
      <c r="BZ187" s="82"/>
      <c r="CA187" s="82"/>
      <c r="CB187" s="82"/>
      <c r="CC187" s="82"/>
      <c r="CD187" s="82"/>
      <c r="CE187" s="82"/>
      <c r="CF187" s="82"/>
      <c r="CG187" s="82"/>
      <c r="CH187" s="82"/>
      <c r="CI187" s="82"/>
      <c r="CJ187" s="82"/>
      <c r="CK187" s="82"/>
      <c r="CL187" s="82"/>
      <c r="CM187" s="82"/>
      <c r="CN187" s="82"/>
      <c r="CO187" s="82"/>
      <c r="CP187" s="82"/>
      <c r="CQ187" s="82"/>
      <c r="CR187" s="82"/>
      <c r="CS187" s="82"/>
      <c r="CT187" s="82"/>
      <c r="CU187" s="82"/>
      <c r="CV187" s="82"/>
      <c r="CW187" s="82"/>
      <c r="CX187" s="82"/>
      <c r="CY187" s="82"/>
      <c r="CZ187" s="82"/>
      <c r="DA187" s="82"/>
      <c r="DB187" s="82"/>
      <c r="DC187" s="82"/>
      <c r="DD187" s="82"/>
      <c r="DE187" s="82"/>
      <c r="DF187" s="82"/>
      <c r="DG187" s="82"/>
      <c r="DH187" s="82"/>
      <c r="DI187" s="82"/>
      <c r="DJ187" s="82"/>
      <c r="DK187" s="82"/>
      <c r="DL187" s="82"/>
      <c r="DM187" s="82"/>
      <c r="DN187" s="82"/>
      <c r="DO187" s="82"/>
      <c r="DP187" s="82"/>
      <c r="DQ187" s="82"/>
      <c r="DR187" s="82"/>
      <c r="DS187" s="82"/>
      <c r="DT187" s="82"/>
      <c r="DU187" s="82"/>
      <c r="DV187" s="82"/>
      <c r="DW187" s="82"/>
      <c r="DX187" s="82"/>
      <c r="DY187" s="82"/>
      <c r="DZ187" s="82"/>
      <c r="EA187" s="82"/>
      <c r="EB187" s="82"/>
      <c r="EC187" s="82"/>
      <c r="ED187" s="82"/>
      <c r="EE187" s="82"/>
      <c r="EF187" s="82"/>
      <c r="EG187" s="82"/>
      <c r="EH187" s="82"/>
      <c r="EI187" s="82"/>
      <c r="EJ187" s="82"/>
      <c r="EK187" s="82"/>
      <c r="EL187" s="82"/>
      <c r="EM187" s="82"/>
      <c r="EN187" s="82"/>
      <c r="EO187" s="82"/>
      <c r="EP187" s="82"/>
      <c r="EQ187" s="82"/>
      <c r="ER187" s="82"/>
      <c r="ES187" s="82"/>
      <c r="ET187" s="82"/>
      <c r="EU187" s="82"/>
      <c r="EV187" s="82"/>
      <c r="EW187" s="82"/>
      <c r="EX187" s="82"/>
      <c r="EY187" s="82"/>
      <c r="EZ187" s="82"/>
      <c r="FA187" s="82"/>
      <c r="FB187" s="82"/>
      <c r="FC187" s="82"/>
      <c r="FD187" s="82"/>
      <c r="FE187" s="82"/>
      <c r="FF187" s="82"/>
      <c r="FG187" s="82"/>
      <c r="FH187" s="82"/>
      <c r="FI187" s="82"/>
      <c r="FJ187" s="82"/>
      <c r="FK187" s="82"/>
      <c r="FL187" s="82"/>
      <c r="FM187" s="82"/>
      <c r="FN187" s="82"/>
      <c r="FO187" s="82"/>
      <c r="FP187" s="82"/>
      <c r="FQ187" s="82"/>
      <c r="FR187" s="82"/>
      <c r="FS187" s="82"/>
      <c r="FT187" s="82"/>
      <c r="FU187" s="82"/>
      <c r="FV187" s="82"/>
      <c r="FW187" s="82"/>
      <c r="FX187" s="82"/>
      <c r="FY187" s="82"/>
      <c r="FZ187" s="82"/>
      <c r="GA187" s="82"/>
      <c r="GB187" s="82"/>
      <c r="GC187" s="82"/>
      <c r="GD187" s="82"/>
      <c r="GE187" s="82"/>
      <c r="GF187" s="82"/>
      <c r="GG187" s="82"/>
      <c r="GH187" s="82"/>
      <c r="GI187" s="82"/>
      <c r="GJ187" s="82"/>
      <c r="GK187" s="82"/>
      <c r="GL187" s="82"/>
      <c r="GM187" s="82"/>
      <c r="GN187" s="82"/>
      <c r="GO187" s="82"/>
      <c r="GP187" s="82"/>
      <c r="GQ187" s="82"/>
      <c r="GR187" s="82"/>
      <c r="GS187" s="82"/>
      <c r="GT187" s="82"/>
      <c r="GU187" s="82"/>
      <c r="GV187" s="82"/>
      <c r="GW187" s="82"/>
      <c r="GX187" s="82"/>
      <c r="GY187" s="82"/>
      <c r="GZ187" s="82"/>
      <c r="HA187" s="82"/>
      <c r="HB187" s="82"/>
      <c r="HC187" s="82"/>
      <c r="HD187" s="82"/>
      <c r="HE187" s="82"/>
      <c r="HF187" s="82"/>
      <c r="HG187" s="82"/>
      <c r="HH187" s="82"/>
      <c r="HI187" s="82"/>
      <c r="HJ187" s="82"/>
      <c r="HK187" s="82"/>
      <c r="HL187" s="82"/>
      <c r="HM187" s="82"/>
      <c r="HN187" s="82"/>
      <c r="HO187" s="82"/>
      <c r="HP187" s="82"/>
      <c r="HQ187" s="82"/>
      <c r="HR187" s="82"/>
      <c r="HS187" s="82"/>
      <c r="HT187" s="82"/>
      <c r="HU187" s="82"/>
      <c r="HV187" s="82"/>
      <c r="HW187" s="82"/>
      <c r="HX187" s="82"/>
      <c r="HY187" s="82"/>
      <c r="HZ187" s="82"/>
      <c r="IA187" s="82"/>
      <c r="IB187" s="82"/>
      <c r="IC187" s="82"/>
      <c r="ID187" s="82"/>
      <c r="IE187" s="82"/>
      <c r="IF187" s="82"/>
      <c r="IG187" s="82"/>
      <c r="IH187" s="82"/>
      <c r="II187" s="82"/>
      <c r="IJ187" s="82"/>
      <c r="IK187" s="82"/>
      <c r="IL187" s="82"/>
      <c r="IM187" s="82"/>
      <c r="IN187" s="82"/>
      <c r="IO187" s="82"/>
      <c r="IP187" s="82"/>
      <c r="IQ187" s="82"/>
      <c r="IR187" s="82"/>
      <c r="IS187" s="82"/>
      <c r="IT187" s="82"/>
      <c r="IU187" s="82"/>
      <c r="IV187" s="82"/>
      <c r="IW187" s="82"/>
      <c r="IX187" s="82"/>
      <c r="IY187" s="82"/>
      <c r="IZ187" s="82"/>
      <c r="JA187" s="82"/>
      <c r="JB187" s="82"/>
      <c r="JC187" s="82"/>
      <c r="JD187" s="82"/>
      <c r="JE187" s="82"/>
      <c r="JF187" s="82"/>
      <c r="JG187" s="82"/>
      <c r="JH187" s="82"/>
      <c r="JI187" s="82"/>
      <c r="JJ187" s="82"/>
      <c r="JK187" s="82"/>
      <c r="JL187" s="82"/>
      <c r="JM187" s="82"/>
      <c r="JN187" s="82"/>
      <c r="JO187" s="82"/>
      <c r="JP187" s="82"/>
      <c r="JQ187" s="82"/>
      <c r="JR187" s="82"/>
      <c r="JS187" s="82"/>
      <c r="JT187" s="82"/>
      <c r="JU187" s="82"/>
      <c r="JV187" s="82"/>
      <c r="JW187" s="82"/>
      <c r="JX187" s="82"/>
      <c r="JY187" s="82"/>
      <c r="JZ187" s="82"/>
      <c r="KA187" s="82"/>
      <c r="KB187" s="82"/>
      <c r="KC187" s="82"/>
      <c r="KD187" s="82"/>
      <c r="KE187" s="82"/>
      <c r="KF187" s="82"/>
      <c r="KG187" s="82"/>
      <c r="KH187" s="82"/>
      <c r="KI187" s="82"/>
      <c r="KJ187" s="82"/>
      <c r="KK187" s="82"/>
      <c r="KL187" s="82"/>
      <c r="KM187" s="82"/>
      <c r="KN187" s="82"/>
      <c r="KO187" s="82"/>
      <c r="KP187" s="82"/>
      <c r="KQ187" s="82"/>
      <c r="KR187" s="82"/>
      <c r="KS187" s="82"/>
      <c r="KT187" s="82"/>
      <c r="KU187" s="82"/>
      <c r="KV187" s="82"/>
      <c r="KW187" s="82"/>
      <c r="KX187" s="82"/>
      <c r="KY187" s="82"/>
      <c r="KZ187" s="82"/>
      <c r="LA187" s="82"/>
      <c r="LB187" s="82"/>
      <c r="LC187" s="82"/>
      <c r="LD187" s="82"/>
      <c r="LE187" s="82"/>
      <c r="LF187" s="82"/>
      <c r="LG187" s="82"/>
      <c r="LH187" s="82"/>
      <c r="LI187" s="82"/>
      <c r="LJ187" s="82"/>
      <c r="LK187" s="82"/>
      <c r="LL187" s="82"/>
      <c r="LM187" s="82"/>
      <c r="LN187" s="82"/>
      <c r="LO187" s="82"/>
      <c r="LP187" s="82"/>
      <c r="LQ187" s="82"/>
      <c r="LR187" s="82"/>
      <c r="LS187" s="82"/>
      <c r="LT187" s="82"/>
      <c r="LU187" s="82"/>
      <c r="LV187" s="82"/>
      <c r="LW187" s="82"/>
      <c r="LX187" s="82"/>
      <c r="LY187" s="82"/>
      <c r="LZ187" s="82"/>
      <c r="MA187" s="82"/>
      <c r="MB187" s="82"/>
      <c r="MC187" s="82"/>
      <c r="MD187" s="82"/>
      <c r="ME187" s="82"/>
      <c r="MF187" s="82"/>
      <c r="MG187" s="82"/>
      <c r="MH187" s="82"/>
      <c r="MI187" s="82"/>
      <c r="MJ187" s="82"/>
      <c r="MK187" s="82"/>
      <c r="ML187" s="82"/>
      <c r="MM187" s="82"/>
      <c r="MN187" s="82"/>
      <c r="MO187" s="82"/>
      <c r="MP187" s="82"/>
      <c r="MQ187" s="82"/>
      <c r="MR187" s="82"/>
      <c r="MS187" s="82"/>
      <c r="MT187" s="82"/>
      <c r="MU187" s="82"/>
      <c r="MV187" s="82"/>
      <c r="MW187" s="82"/>
      <c r="MX187" s="82"/>
      <c r="MY187" s="82"/>
      <c r="MZ187" s="82"/>
      <c r="NA187" s="82"/>
      <c r="NB187" s="82"/>
      <c r="NC187" s="82"/>
      <c r="ND187" s="82"/>
      <c r="NE187" s="82"/>
      <c r="NF187" s="82"/>
      <c r="NG187" s="82"/>
      <c r="NH187" s="82"/>
      <c r="NI187" s="82"/>
      <c r="NJ187" s="82"/>
      <c r="NK187" s="82"/>
      <c r="NL187" s="82"/>
      <c r="NM187" s="82"/>
      <c r="NN187" s="82"/>
      <c r="NO187" s="82"/>
      <c r="NP187" s="82"/>
      <c r="NQ187" s="82"/>
      <c r="NR187" s="82"/>
      <c r="NS187" s="82"/>
      <c r="NT187" s="82"/>
      <c r="NU187" s="82"/>
      <c r="NV187" s="82"/>
      <c r="NW187" s="82"/>
      <c r="NX187" s="82"/>
      <c r="NY187" s="82"/>
      <c r="NZ187" s="82"/>
      <c r="OA187" s="82"/>
      <c r="OB187" s="82"/>
      <c r="OC187" s="82"/>
      <c r="OD187" s="82"/>
      <c r="OE187" s="82"/>
      <c r="OF187" s="82"/>
      <c r="OG187" s="82"/>
      <c r="OH187" s="82"/>
      <c r="OI187" s="82"/>
      <c r="OJ187" s="82"/>
      <c r="OK187" s="82"/>
      <c r="OL187" s="82"/>
      <c r="OM187" s="82"/>
      <c r="ON187" s="82"/>
      <c r="OO187" s="82"/>
      <c r="OP187" s="82"/>
      <c r="OQ187" s="82"/>
      <c r="OR187" s="82"/>
      <c r="OS187" s="82"/>
      <c r="OT187" s="82"/>
      <c r="OU187" s="82"/>
      <c r="OV187" s="82"/>
      <c r="OW187" s="82"/>
      <c r="OX187" s="82"/>
      <c r="OY187" s="82"/>
      <c r="OZ187" s="82"/>
      <c r="PA187" s="82"/>
      <c r="PB187" s="82"/>
      <c r="PC187" s="82"/>
      <c r="PD187" s="82"/>
      <c r="PE187" s="82"/>
      <c r="PF187" s="82"/>
      <c r="PG187" s="82"/>
      <c r="PH187" s="82"/>
      <c r="PI187" s="82"/>
      <c r="PJ187" s="82"/>
      <c r="PK187" s="82"/>
      <c r="PL187" s="82"/>
      <c r="PM187" s="82"/>
      <c r="PN187" s="82"/>
      <c r="PO187" s="82"/>
      <c r="PP187" s="82"/>
      <c r="PQ187" s="82"/>
      <c r="PR187" s="82"/>
      <c r="PS187" s="82"/>
      <c r="PT187" s="82"/>
      <c r="PU187" s="82"/>
      <c r="PV187" s="82"/>
      <c r="PW187" s="82"/>
      <c r="PX187" s="82"/>
      <c r="PY187" s="82"/>
      <c r="PZ187" s="82"/>
      <c r="QA187" s="82"/>
      <c r="QB187" s="82"/>
      <c r="QC187" s="82"/>
      <c r="QD187" s="82"/>
      <c r="QE187" s="82"/>
      <c r="QF187" s="82"/>
      <c r="QG187" s="82"/>
      <c r="QH187" s="82"/>
      <c r="QI187" s="82"/>
      <c r="QJ187" s="82"/>
      <c r="QK187" s="82"/>
      <c r="QL187" s="82"/>
      <c r="QM187" s="82"/>
      <c r="QN187" s="82"/>
      <c r="QO187" s="82"/>
      <c r="QP187" s="82"/>
      <c r="QQ187" s="82"/>
      <c r="QR187" s="82"/>
      <c r="QS187" s="82"/>
      <c r="QT187" s="82"/>
      <c r="QU187" s="82"/>
      <c r="QV187" s="82"/>
      <c r="QW187" s="82"/>
      <c r="QX187" s="82"/>
      <c r="QY187" s="82"/>
      <c r="QZ187" s="82"/>
      <c r="RA187" s="82"/>
      <c r="RB187" s="82"/>
      <c r="RC187" s="82"/>
      <c r="RD187" s="82"/>
      <c r="RE187" s="82"/>
      <c r="RF187" s="82"/>
      <c r="RG187" s="82"/>
      <c r="RH187" s="82"/>
      <c r="RI187" s="82"/>
      <c r="RJ187" s="82"/>
      <c r="RK187" s="82"/>
      <c r="RL187" s="82"/>
      <c r="RM187" s="82"/>
      <c r="RN187" s="82"/>
      <c r="RO187" s="82"/>
      <c r="RP187" s="82"/>
      <c r="RQ187" s="82"/>
      <c r="RR187" s="82"/>
      <c r="RS187" s="82"/>
      <c r="RT187" s="82"/>
      <c r="RU187" s="82"/>
      <c r="RV187" s="82"/>
      <c r="RW187" s="82"/>
      <c r="RX187" s="82"/>
      <c r="RY187" s="82"/>
      <c r="RZ187" s="82"/>
      <c r="SA187" s="82"/>
      <c r="SB187" s="82"/>
      <c r="SC187" s="82"/>
      <c r="SD187" s="82"/>
      <c r="SE187" s="82"/>
      <c r="SF187" s="82"/>
      <c r="SG187" s="82"/>
      <c r="SH187" s="82"/>
      <c r="SI187" s="82"/>
      <c r="SJ187" s="82"/>
      <c r="SK187" s="82"/>
      <c r="SL187" s="82"/>
      <c r="SM187" s="82"/>
      <c r="SN187" s="82"/>
      <c r="SO187" s="82"/>
      <c r="SP187" s="82"/>
      <c r="SQ187" s="82"/>
      <c r="SR187" s="82"/>
      <c r="SS187" s="82"/>
      <c r="ST187" s="82"/>
      <c r="SU187" s="82"/>
      <c r="SV187" s="82"/>
      <c r="SW187" s="82"/>
      <c r="SX187" s="82"/>
      <c r="SY187" s="82"/>
      <c r="SZ187" s="82"/>
      <c r="TA187" s="82"/>
      <c r="TB187" s="82"/>
      <c r="TC187" s="82"/>
      <c r="TD187" s="82"/>
      <c r="TE187" s="82"/>
      <c r="TF187" s="82"/>
      <c r="TG187" s="82"/>
      <c r="TH187" s="82"/>
      <c r="TI187" s="82"/>
      <c r="TJ187" s="82"/>
      <c r="TK187" s="82"/>
      <c r="TL187" s="82"/>
      <c r="TM187" s="82"/>
      <c r="TN187" s="82"/>
      <c r="TO187" s="82"/>
      <c r="TP187" s="82"/>
      <c r="TQ187" s="82"/>
      <c r="TR187" s="82"/>
      <c r="TS187" s="82"/>
      <c r="TT187" s="82"/>
      <c r="TU187" s="82"/>
      <c r="TV187" s="82"/>
      <c r="TW187" s="82"/>
      <c r="TX187" s="82"/>
      <c r="TY187" s="82"/>
      <c r="TZ187" s="82"/>
      <c r="UA187" s="82"/>
      <c r="UB187" s="82"/>
      <c r="UC187" s="82"/>
      <c r="UD187" s="82"/>
      <c r="UE187" s="82"/>
      <c r="UF187" s="82"/>
      <c r="UG187" s="82"/>
      <c r="UH187" s="82"/>
      <c r="UI187" s="82"/>
      <c r="UJ187" s="82"/>
      <c r="UK187" s="82"/>
      <c r="UL187" s="82"/>
      <c r="UM187" s="82"/>
      <c r="UN187" s="82"/>
      <c r="UO187" s="82"/>
      <c r="UP187" s="82"/>
      <c r="UQ187" s="82"/>
      <c r="UR187" s="82"/>
      <c r="US187" s="82"/>
      <c r="UT187" s="82"/>
      <c r="UU187" s="82"/>
      <c r="UV187" s="82"/>
      <c r="UW187" s="82"/>
      <c r="UX187" s="82"/>
      <c r="UY187" s="82"/>
      <c r="UZ187" s="82"/>
      <c r="VA187" s="82"/>
      <c r="VB187" s="82"/>
      <c r="VC187" s="82"/>
      <c r="VD187" s="82"/>
      <c r="VE187" s="82"/>
      <c r="VF187" s="82"/>
      <c r="VG187" s="82"/>
      <c r="VH187" s="82"/>
      <c r="VI187" s="82"/>
      <c r="VJ187" s="82"/>
      <c r="VK187" s="82"/>
      <c r="VL187" s="82"/>
      <c r="VM187" s="82"/>
      <c r="VN187" s="82"/>
      <c r="VO187" s="82"/>
      <c r="VP187" s="82"/>
      <c r="VQ187" s="82"/>
      <c r="VR187" s="82"/>
      <c r="VS187" s="82"/>
      <c r="VT187" s="82"/>
      <c r="VU187" s="82"/>
      <c r="VV187" s="82"/>
      <c r="VW187" s="82"/>
      <c r="VX187" s="82"/>
      <c r="VY187" s="82"/>
      <c r="VZ187" s="82"/>
      <c r="WA187" s="82"/>
      <c r="WB187" s="82"/>
      <c r="WC187" s="82"/>
      <c r="WD187" s="82"/>
      <c r="WE187" s="82"/>
      <c r="WF187" s="82"/>
      <c r="WG187" s="82"/>
      <c r="WH187" s="82"/>
      <c r="WI187" s="82"/>
      <c r="WJ187" s="82"/>
      <c r="WK187" s="82"/>
      <c r="WL187" s="82"/>
      <c r="WM187" s="82"/>
      <c r="WN187" s="82"/>
      <c r="WO187" s="82"/>
      <c r="WP187" s="82"/>
      <c r="WQ187" s="82"/>
      <c r="WR187" s="82"/>
      <c r="WS187" s="82"/>
      <c r="WT187" s="82"/>
      <c r="WU187" s="82"/>
      <c r="WV187" s="82"/>
      <c r="WW187" s="82"/>
      <c r="WX187" s="82"/>
      <c r="WY187" s="82"/>
      <c r="WZ187" s="82"/>
      <c r="XA187" s="82"/>
      <c r="XB187" s="82"/>
      <c r="XC187" s="82"/>
      <c r="XD187" s="82"/>
      <c r="XE187" s="82"/>
      <c r="XF187" s="82"/>
      <c r="XG187" s="82"/>
      <c r="XH187" s="82"/>
      <c r="XI187" s="82"/>
      <c r="XJ187" s="82"/>
      <c r="XK187" s="82"/>
      <c r="XL187" s="82"/>
      <c r="XM187" s="82"/>
      <c r="XN187" s="82"/>
      <c r="XO187" s="82"/>
      <c r="XP187" s="82"/>
      <c r="XQ187" s="82"/>
      <c r="XR187" s="82"/>
      <c r="XS187" s="82"/>
      <c r="XT187" s="82"/>
      <c r="XU187" s="82"/>
      <c r="XV187" s="82"/>
      <c r="XW187" s="82"/>
      <c r="XX187" s="82"/>
      <c r="XY187" s="82"/>
      <c r="XZ187" s="82"/>
      <c r="YA187" s="82"/>
      <c r="YB187" s="82"/>
      <c r="YC187" s="82"/>
      <c r="YD187" s="82"/>
      <c r="YE187" s="82"/>
      <c r="YF187" s="82"/>
      <c r="YG187" s="82"/>
      <c r="YH187" s="82"/>
      <c r="YI187" s="82"/>
      <c r="YJ187" s="82"/>
      <c r="YK187" s="82"/>
      <c r="YL187" s="82"/>
      <c r="YM187" s="82"/>
      <c r="YN187" s="82"/>
      <c r="YO187" s="82"/>
      <c r="YP187" s="82"/>
      <c r="YQ187" s="82"/>
      <c r="YR187" s="82"/>
      <c r="YS187" s="82"/>
      <c r="YT187" s="82"/>
      <c r="YU187" s="82"/>
      <c r="YV187" s="82"/>
      <c r="YW187" s="82"/>
      <c r="YX187" s="82"/>
      <c r="YY187" s="82"/>
      <c r="YZ187" s="82"/>
      <c r="ZA187" s="82"/>
      <c r="ZB187" s="82"/>
      <c r="ZC187" s="82"/>
      <c r="ZD187" s="82"/>
      <c r="ZE187" s="82"/>
      <c r="ZF187" s="82"/>
      <c r="ZG187" s="82"/>
      <c r="ZH187" s="82"/>
      <c r="ZI187" s="82"/>
      <c r="ZJ187" s="82"/>
      <c r="ZK187" s="82"/>
      <c r="ZL187" s="82"/>
      <c r="ZM187" s="82"/>
      <c r="ZN187" s="82"/>
      <c r="ZO187" s="82"/>
      <c r="ZP187" s="82"/>
      <c r="ZQ187" s="82"/>
      <c r="ZR187" s="82"/>
      <c r="ZS187" s="82"/>
      <c r="ZT187" s="82"/>
      <c r="ZU187" s="82"/>
      <c r="ZV187" s="82"/>
      <c r="ZW187" s="82"/>
      <c r="ZX187" s="82"/>
      <c r="ZY187" s="82"/>
      <c r="ZZ187" s="82"/>
      <c r="AAA187" s="82"/>
      <c r="AAB187" s="82"/>
      <c r="AAC187" s="82"/>
      <c r="AAD187" s="82"/>
      <c r="AAE187" s="82"/>
      <c r="AAF187" s="82"/>
      <c r="AAG187" s="82"/>
      <c r="AAH187" s="82"/>
      <c r="AAI187" s="82"/>
      <c r="AAJ187" s="82"/>
      <c r="AAK187" s="82"/>
      <c r="AAL187" s="82"/>
      <c r="AAM187" s="82"/>
      <c r="AAN187" s="82"/>
      <c r="AAO187" s="82"/>
      <c r="AAP187" s="82"/>
      <c r="AAQ187" s="82"/>
      <c r="AAR187" s="82"/>
      <c r="AAS187" s="82"/>
      <c r="AAT187" s="82"/>
      <c r="AAU187" s="82"/>
      <c r="AAV187" s="82"/>
      <c r="AAW187" s="82"/>
      <c r="AAX187" s="82"/>
      <c r="AAY187" s="82"/>
      <c r="AAZ187" s="82"/>
      <c r="ABA187" s="82"/>
      <c r="ABB187" s="82"/>
      <c r="ABC187" s="82"/>
      <c r="ABD187" s="82"/>
      <c r="ABE187" s="82"/>
      <c r="ABF187" s="82"/>
      <c r="ABG187" s="82"/>
      <c r="ABH187" s="82"/>
      <c r="ABI187" s="82"/>
      <c r="ABJ187" s="82"/>
      <c r="ABK187" s="82"/>
      <c r="ABL187" s="82"/>
      <c r="ABM187" s="82"/>
      <c r="ABN187" s="82"/>
      <c r="ABO187" s="82"/>
      <c r="ABP187" s="82"/>
      <c r="ABQ187" s="82"/>
      <c r="ABR187" s="82"/>
      <c r="ABS187" s="82"/>
      <c r="ABT187" s="82"/>
      <c r="ABU187" s="82"/>
      <c r="ABV187" s="82"/>
      <c r="ABW187" s="82"/>
      <c r="ABX187" s="82"/>
      <c r="ABY187" s="82"/>
      <c r="ABZ187" s="82"/>
      <c r="ACA187" s="82"/>
      <c r="ACB187" s="82"/>
      <c r="ACC187" s="82"/>
      <c r="ACD187" s="82"/>
      <c r="ACE187" s="82"/>
      <c r="ACF187" s="82"/>
      <c r="ACG187" s="82"/>
      <c r="ACH187" s="82"/>
      <c r="ACI187" s="82"/>
      <c r="ACJ187" s="82"/>
      <c r="ACK187" s="82"/>
      <c r="ACL187" s="82"/>
      <c r="ACM187" s="82"/>
      <c r="ACN187" s="82"/>
      <c r="ACO187" s="82"/>
      <c r="ACP187" s="82"/>
      <c r="ACQ187" s="82"/>
      <c r="ACR187" s="82"/>
      <c r="ACS187" s="82"/>
      <c r="ACT187" s="82"/>
      <c r="ACU187" s="82"/>
      <c r="ACV187" s="82"/>
      <c r="ACW187" s="82"/>
      <c r="ACX187" s="82"/>
      <c r="ACY187" s="82"/>
      <c r="ACZ187" s="82"/>
      <c r="ADA187" s="82"/>
      <c r="ADB187" s="82"/>
      <c r="ADC187" s="82"/>
      <c r="ADD187" s="82"/>
      <c r="ADE187" s="82"/>
      <c r="ADF187" s="82"/>
      <c r="ADG187" s="82"/>
      <c r="ADH187" s="82"/>
      <c r="ADI187" s="82"/>
      <c r="ADJ187" s="82"/>
      <c r="ADK187" s="82"/>
      <c r="ADL187" s="82"/>
      <c r="ADM187" s="82"/>
      <c r="ADN187" s="82"/>
      <c r="ADO187" s="82"/>
      <c r="ADP187" s="82"/>
      <c r="ADQ187" s="82"/>
      <c r="ADR187" s="82"/>
      <c r="ADS187" s="82"/>
      <c r="ADT187" s="82"/>
      <c r="ADU187" s="82"/>
      <c r="ADV187" s="82"/>
      <c r="ADW187" s="82"/>
      <c r="ADX187" s="82"/>
      <c r="ADY187" s="82"/>
      <c r="ADZ187" s="82"/>
      <c r="AEA187" s="82"/>
      <c r="AEB187" s="82"/>
      <c r="AEC187" s="82"/>
      <c r="AED187" s="82"/>
      <c r="AEE187" s="82"/>
      <c r="AEF187" s="82"/>
      <c r="AEG187" s="82"/>
      <c r="AEH187" s="82"/>
      <c r="AEI187" s="82"/>
      <c r="AEJ187" s="82"/>
      <c r="AEK187" s="82"/>
      <c r="AEL187" s="82"/>
      <c r="AEM187" s="82"/>
      <c r="AEN187" s="82"/>
      <c r="AEO187" s="82"/>
      <c r="AEP187" s="82"/>
      <c r="AEQ187" s="82"/>
      <c r="AER187" s="82"/>
      <c r="AES187" s="82"/>
      <c r="AET187" s="82"/>
      <c r="AEU187" s="82"/>
      <c r="AEV187" s="82"/>
      <c r="AEW187" s="82"/>
      <c r="AEX187" s="82"/>
      <c r="AEY187" s="82"/>
      <c r="AEZ187" s="82"/>
      <c r="AFA187" s="82"/>
      <c r="AFB187" s="82"/>
      <c r="AFC187" s="82"/>
      <c r="AFD187" s="82"/>
      <c r="AFE187" s="82"/>
      <c r="AFF187" s="82"/>
      <c r="AFG187" s="82"/>
      <c r="AFH187" s="82"/>
      <c r="AFI187" s="82"/>
      <c r="AFJ187" s="82"/>
      <c r="AFK187" s="82"/>
      <c r="AFL187" s="82"/>
      <c r="AFM187" s="82"/>
      <c r="AFN187" s="82"/>
      <c r="AFO187" s="82"/>
      <c r="AFP187" s="82"/>
      <c r="AFQ187" s="82"/>
      <c r="AFR187" s="82"/>
      <c r="AFS187" s="82"/>
      <c r="AFT187" s="82"/>
      <c r="AFU187" s="82"/>
      <c r="AFV187" s="82"/>
      <c r="AFW187" s="82"/>
      <c r="AFX187" s="82"/>
      <c r="AFY187" s="82"/>
      <c r="AFZ187" s="82"/>
      <c r="AGA187" s="82"/>
      <c r="AGB187" s="82"/>
      <c r="AGC187" s="82"/>
      <c r="AGD187" s="82"/>
      <c r="AGE187" s="82"/>
      <c r="AGF187" s="82"/>
      <c r="AGG187" s="82"/>
      <c r="AGH187" s="82"/>
      <c r="AGI187" s="82"/>
      <c r="AGJ187" s="82"/>
      <c r="AGK187" s="82"/>
      <c r="AGL187" s="82"/>
      <c r="AGM187" s="82"/>
      <c r="AGN187" s="82"/>
      <c r="AGO187" s="82"/>
      <c r="AGP187" s="82"/>
      <c r="AGQ187" s="82"/>
      <c r="AGR187" s="82"/>
      <c r="AGS187" s="82"/>
      <c r="AGT187" s="82"/>
      <c r="AGU187" s="82"/>
      <c r="AGV187" s="82"/>
      <c r="AGW187" s="82"/>
      <c r="AGX187" s="82"/>
      <c r="AGY187" s="82"/>
      <c r="AGZ187" s="82"/>
      <c r="AHA187" s="82"/>
      <c r="AHB187" s="82"/>
      <c r="AHC187" s="82"/>
      <c r="AHD187" s="82"/>
      <c r="AHE187" s="82"/>
      <c r="AHF187" s="82"/>
      <c r="AHG187" s="82"/>
      <c r="AHH187" s="82"/>
      <c r="AHI187" s="82"/>
      <c r="AHJ187" s="82"/>
      <c r="AHK187" s="82"/>
      <c r="AHL187" s="82"/>
      <c r="AHM187" s="82"/>
      <c r="AHN187" s="82"/>
      <c r="AHO187" s="82"/>
      <c r="AHP187" s="82"/>
      <c r="AHQ187" s="82"/>
      <c r="AHR187" s="82"/>
      <c r="AHS187" s="82"/>
      <c r="AHT187" s="82"/>
      <c r="AHU187" s="82"/>
      <c r="AHV187" s="82"/>
      <c r="AHW187" s="82"/>
      <c r="AHX187" s="82"/>
      <c r="AHY187" s="82"/>
      <c r="AHZ187" s="82"/>
      <c r="AIA187" s="82"/>
      <c r="AIB187" s="82"/>
      <c r="AIC187" s="82"/>
      <c r="AID187" s="82"/>
      <c r="AIE187" s="82"/>
      <c r="AIF187" s="82"/>
      <c r="AIG187" s="82"/>
      <c r="AIH187" s="82"/>
    </row>
    <row r="188" spans="1:918" ht="28.15" customHeight="1" x14ac:dyDescent="0.2">
      <c r="B188" s="104" t="s">
        <v>233</v>
      </c>
      <c r="C188" s="91" t="s">
        <v>246</v>
      </c>
      <c r="D188" s="76"/>
      <c r="E188" s="76"/>
      <c r="F188" s="76"/>
      <c r="G188" s="76"/>
      <c r="H188" s="76">
        <v>1</v>
      </c>
      <c r="I188" s="76"/>
      <c r="J188" s="76"/>
      <c r="K188" s="76"/>
      <c r="L188" s="82"/>
      <c r="M188" s="82"/>
      <c r="N188" s="82"/>
      <c r="O188" s="82"/>
      <c r="P188" s="82"/>
      <c r="Q188" s="82"/>
      <c r="R188" s="82"/>
      <c r="S188" s="82"/>
      <c r="T188" s="82"/>
      <c r="U188" s="82"/>
      <c r="V188" s="82"/>
      <c r="W188" s="82"/>
      <c r="X188" s="82"/>
      <c r="Y188" s="82"/>
      <c r="Z188" s="82"/>
      <c r="AA188" s="82"/>
      <c r="AB188" s="82"/>
      <c r="AC188" s="82"/>
    </row>
    <row r="189" spans="1:918" ht="36.6" customHeight="1" x14ac:dyDescent="0.2">
      <c r="B189" s="104" t="s">
        <v>234</v>
      </c>
      <c r="C189" s="91" t="s">
        <v>208</v>
      </c>
      <c r="D189" s="76"/>
      <c r="E189" s="76"/>
      <c r="F189" s="76"/>
      <c r="G189" s="76"/>
      <c r="H189" s="76">
        <v>1</v>
      </c>
      <c r="I189" s="76"/>
      <c r="J189" s="76"/>
      <c r="K189" s="76"/>
      <c r="L189" s="82"/>
      <c r="M189" s="82"/>
      <c r="N189" s="82"/>
      <c r="O189" s="82"/>
      <c r="P189" s="82"/>
      <c r="Q189" s="82"/>
      <c r="R189" s="82"/>
      <c r="S189" s="82"/>
      <c r="T189" s="82"/>
      <c r="U189" s="82"/>
      <c r="V189" s="82"/>
      <c r="W189" s="82"/>
      <c r="X189" s="82"/>
      <c r="Y189" s="82"/>
      <c r="Z189" s="82"/>
      <c r="AA189" s="82"/>
      <c r="AB189" s="82"/>
      <c r="AC189" s="82"/>
    </row>
    <row r="190" spans="1:918" ht="33.75" x14ac:dyDescent="0.2">
      <c r="B190" s="104" t="s">
        <v>235</v>
      </c>
      <c r="C190" s="91" t="s">
        <v>206</v>
      </c>
      <c r="D190" s="76"/>
      <c r="E190" s="76"/>
      <c r="F190" s="76"/>
      <c r="G190" s="76"/>
      <c r="H190" s="76">
        <v>1</v>
      </c>
      <c r="I190" s="76"/>
      <c r="J190" s="76"/>
      <c r="K190" s="76"/>
      <c r="L190" s="82"/>
      <c r="M190" s="82"/>
      <c r="N190" s="82"/>
      <c r="O190" s="82"/>
      <c r="P190" s="82"/>
      <c r="Q190" s="82"/>
      <c r="R190" s="82"/>
      <c r="S190" s="82"/>
      <c r="T190" s="82"/>
      <c r="U190" s="82"/>
      <c r="V190" s="82"/>
      <c r="W190" s="82"/>
      <c r="X190" s="82"/>
      <c r="Y190" s="82"/>
      <c r="Z190" s="82"/>
      <c r="AA190" s="82"/>
      <c r="AB190" s="82"/>
      <c r="AC190" s="82"/>
    </row>
    <row r="191" spans="1:918" ht="33.75" x14ac:dyDescent="0.2">
      <c r="B191" s="104" t="s">
        <v>236</v>
      </c>
      <c r="C191" s="91" t="s">
        <v>207</v>
      </c>
      <c r="D191" s="76"/>
      <c r="E191" s="76"/>
      <c r="F191" s="76"/>
      <c r="G191" s="76"/>
      <c r="H191" s="76">
        <v>1</v>
      </c>
      <c r="I191" s="76"/>
      <c r="J191" s="76"/>
      <c r="K191" s="76"/>
      <c r="L191" s="82"/>
      <c r="M191" s="82"/>
      <c r="N191" s="82"/>
      <c r="O191" s="82"/>
      <c r="P191" s="82"/>
      <c r="Q191" s="82"/>
      <c r="R191" s="82"/>
      <c r="S191" s="82"/>
      <c r="T191" s="82"/>
      <c r="U191" s="82"/>
      <c r="V191" s="82"/>
      <c r="W191" s="82"/>
      <c r="X191" s="82"/>
      <c r="Y191" s="82"/>
      <c r="Z191" s="82"/>
      <c r="AA191" s="82"/>
      <c r="AB191" s="82"/>
      <c r="AC191" s="82"/>
    </row>
    <row r="192" spans="1:918" ht="22.5" x14ac:dyDescent="0.2">
      <c r="B192" s="104" t="s">
        <v>237</v>
      </c>
      <c r="C192" s="91" t="s">
        <v>177</v>
      </c>
      <c r="D192" s="76"/>
      <c r="E192" s="76"/>
      <c r="F192" s="76"/>
      <c r="G192" s="76"/>
      <c r="H192" s="76">
        <v>1</v>
      </c>
      <c r="I192" s="76"/>
      <c r="J192" s="76"/>
      <c r="K192" s="76"/>
      <c r="L192" s="82"/>
      <c r="M192" s="82"/>
      <c r="N192" s="82"/>
      <c r="O192" s="82"/>
      <c r="P192" s="82"/>
      <c r="Q192" s="82"/>
      <c r="R192" s="82"/>
      <c r="S192" s="82"/>
      <c r="T192" s="82"/>
      <c r="U192" s="82"/>
      <c r="V192" s="82"/>
      <c r="W192" s="82"/>
      <c r="X192" s="82"/>
      <c r="Y192" s="82"/>
      <c r="Z192" s="82"/>
      <c r="AA192" s="82"/>
      <c r="AB192" s="82"/>
      <c r="AC192" s="82"/>
    </row>
    <row r="193" spans="2:29" x14ac:dyDescent="0.2">
      <c r="B193" s="104" t="s">
        <v>238</v>
      </c>
      <c r="C193" s="90" t="s">
        <v>178</v>
      </c>
      <c r="D193" s="76"/>
      <c r="E193" s="76"/>
      <c r="F193" s="76"/>
      <c r="G193" s="76"/>
      <c r="H193" s="76">
        <v>1</v>
      </c>
      <c r="I193" s="76"/>
      <c r="J193" s="76"/>
      <c r="K193" s="76"/>
      <c r="L193" s="82"/>
      <c r="M193" s="82"/>
      <c r="N193" s="82"/>
      <c r="O193" s="82"/>
      <c r="P193" s="82"/>
      <c r="Q193" s="82"/>
      <c r="R193" s="82"/>
      <c r="S193" s="82"/>
      <c r="T193" s="82"/>
      <c r="U193" s="82"/>
      <c r="V193" s="82"/>
      <c r="W193" s="82"/>
      <c r="X193" s="82"/>
      <c r="Y193" s="82"/>
      <c r="Z193" s="82"/>
      <c r="AA193" s="82"/>
      <c r="AB193" s="82"/>
      <c r="AC193" s="82"/>
    </row>
    <row r="194" spans="2:29" ht="33.75" x14ac:dyDescent="0.2">
      <c r="B194" s="104" t="s">
        <v>239</v>
      </c>
      <c r="C194" s="86" t="s">
        <v>209</v>
      </c>
      <c r="D194" s="87"/>
      <c r="E194" s="87"/>
      <c r="F194" s="87"/>
      <c r="G194" s="87"/>
      <c r="H194" s="76">
        <v>1</v>
      </c>
      <c r="I194" s="87"/>
      <c r="J194" s="87"/>
      <c r="K194" s="87"/>
      <c r="L194" s="82"/>
      <c r="M194" s="82"/>
      <c r="N194" s="82"/>
      <c r="O194" s="82"/>
      <c r="P194" s="82"/>
      <c r="Q194" s="82"/>
      <c r="R194" s="82"/>
      <c r="S194" s="82"/>
      <c r="T194" s="82"/>
      <c r="U194" s="82"/>
      <c r="V194" s="82"/>
      <c r="W194" s="82"/>
      <c r="X194" s="82"/>
      <c r="Y194" s="82"/>
      <c r="Z194" s="82"/>
      <c r="AA194" s="82"/>
      <c r="AB194" s="82"/>
      <c r="AC194" s="82"/>
    </row>
    <row r="195" spans="2:29" x14ac:dyDescent="0.2">
      <c r="B195" s="104" t="s">
        <v>240</v>
      </c>
      <c r="C195" s="86" t="s">
        <v>441</v>
      </c>
      <c r="D195" s="87"/>
      <c r="E195" s="87"/>
      <c r="F195" s="87"/>
      <c r="G195" s="87"/>
      <c r="H195" s="76">
        <v>1</v>
      </c>
      <c r="I195" s="87"/>
      <c r="J195" s="87"/>
      <c r="K195" s="87"/>
      <c r="L195" s="82"/>
      <c r="M195" s="82"/>
      <c r="N195" s="82"/>
      <c r="O195" s="82"/>
      <c r="P195" s="82"/>
      <c r="Q195" s="82"/>
      <c r="R195" s="82"/>
      <c r="S195" s="82"/>
      <c r="T195" s="82"/>
      <c r="U195" s="82"/>
      <c r="V195" s="82"/>
      <c r="W195" s="82"/>
      <c r="X195" s="82"/>
      <c r="Y195" s="82"/>
      <c r="Z195" s="82"/>
      <c r="AA195" s="82"/>
      <c r="AB195" s="82"/>
      <c r="AC195" s="82"/>
    </row>
    <row r="196" spans="2:29" x14ac:dyDescent="0.2">
      <c r="B196" s="104" t="s">
        <v>241</v>
      </c>
      <c r="C196" s="86" t="s">
        <v>174</v>
      </c>
      <c r="D196" s="76"/>
      <c r="E196" s="76"/>
      <c r="F196" s="76"/>
      <c r="G196" s="76"/>
      <c r="H196" s="76">
        <v>1</v>
      </c>
      <c r="I196" s="76"/>
      <c r="J196" s="76"/>
      <c r="K196" s="76"/>
      <c r="L196" s="82"/>
      <c r="M196" s="82"/>
      <c r="N196" s="82"/>
      <c r="O196" s="82"/>
      <c r="P196" s="82"/>
      <c r="Q196" s="82"/>
      <c r="R196" s="82"/>
      <c r="S196" s="82"/>
      <c r="T196" s="82"/>
      <c r="U196" s="82"/>
      <c r="V196" s="82"/>
      <c r="W196" s="82"/>
      <c r="X196" s="82"/>
      <c r="Y196" s="82"/>
      <c r="Z196" s="82"/>
      <c r="AA196" s="82"/>
      <c r="AB196" s="82"/>
      <c r="AC196" s="82"/>
    </row>
    <row r="197" spans="2:29" ht="19.149999999999999" customHeight="1" x14ac:dyDescent="0.2">
      <c r="B197" s="104" t="s">
        <v>242</v>
      </c>
      <c r="C197" s="86" t="s">
        <v>175</v>
      </c>
      <c r="D197" s="87"/>
      <c r="E197" s="76"/>
      <c r="F197" s="76"/>
      <c r="G197" s="76"/>
      <c r="H197" s="76">
        <v>1</v>
      </c>
      <c r="I197" s="76"/>
      <c r="J197" s="76"/>
      <c r="K197" s="76"/>
      <c r="L197" s="82"/>
      <c r="M197" s="82"/>
      <c r="N197" s="82"/>
      <c r="O197" s="82"/>
      <c r="P197" s="82"/>
      <c r="Q197" s="82"/>
      <c r="R197" s="82"/>
      <c r="S197" s="82"/>
      <c r="T197" s="82"/>
      <c r="U197" s="82"/>
      <c r="V197" s="82"/>
      <c r="W197" s="82"/>
      <c r="X197" s="82"/>
      <c r="Y197" s="82"/>
      <c r="Z197" s="82"/>
      <c r="AA197" s="82"/>
      <c r="AB197" s="82"/>
      <c r="AC197" s="82"/>
    </row>
    <row r="198" spans="2:29" ht="22.5" x14ac:dyDescent="0.2">
      <c r="B198" s="104" t="s">
        <v>243</v>
      </c>
      <c r="C198" s="86" t="s">
        <v>176</v>
      </c>
      <c r="D198" s="76"/>
      <c r="E198" s="76"/>
      <c r="F198" s="76"/>
      <c r="G198" s="76"/>
      <c r="H198" s="76">
        <v>1</v>
      </c>
      <c r="I198" s="76"/>
      <c r="J198" s="76"/>
      <c r="K198" s="76"/>
      <c r="L198" s="82"/>
      <c r="M198" s="82"/>
      <c r="N198" s="82"/>
      <c r="O198" s="82"/>
      <c r="P198" s="82"/>
      <c r="Q198" s="82"/>
      <c r="R198" s="82"/>
      <c r="S198" s="82"/>
      <c r="T198" s="82"/>
      <c r="U198" s="82"/>
      <c r="V198" s="82"/>
      <c r="W198" s="82"/>
      <c r="X198" s="82"/>
      <c r="Y198" s="82"/>
      <c r="Z198" s="82"/>
      <c r="AA198" s="82"/>
      <c r="AB198" s="82"/>
      <c r="AC198" s="82"/>
    </row>
    <row r="199" spans="2:29" x14ac:dyDescent="0.2">
      <c r="B199" s="46"/>
      <c r="C199" s="73"/>
      <c r="D199" s="49"/>
      <c r="E199" s="49"/>
      <c r="F199" s="49"/>
      <c r="G199" s="49"/>
      <c r="H199" s="69"/>
      <c r="I199" s="69"/>
      <c r="J199" s="69"/>
      <c r="K199" s="69"/>
      <c r="L199" s="82"/>
      <c r="M199" s="82"/>
      <c r="N199" s="82"/>
      <c r="O199" s="82"/>
      <c r="P199" s="82"/>
      <c r="Q199" s="82"/>
      <c r="R199" s="82"/>
      <c r="S199" s="82"/>
      <c r="T199" s="82"/>
      <c r="U199" s="82"/>
      <c r="V199" s="82"/>
      <c r="W199" s="82"/>
      <c r="X199" s="82"/>
      <c r="Y199" s="82"/>
      <c r="Z199" s="82"/>
      <c r="AA199" s="82"/>
      <c r="AB199" s="82"/>
      <c r="AC199" s="82"/>
    </row>
    <row r="200" spans="2:29" x14ac:dyDescent="0.2">
      <c r="B200" s="50"/>
      <c r="C200" s="50"/>
      <c r="G200" s="54"/>
      <c r="L200" s="82"/>
      <c r="M200" s="82"/>
      <c r="N200" s="82"/>
      <c r="O200" s="82"/>
      <c r="P200" s="82"/>
      <c r="Q200" s="82"/>
      <c r="R200" s="82"/>
      <c r="S200" s="82"/>
      <c r="T200" s="82"/>
      <c r="U200" s="82"/>
      <c r="V200" s="82"/>
      <c r="W200" s="82"/>
      <c r="X200" s="82"/>
      <c r="Y200" s="82"/>
      <c r="Z200" s="82"/>
      <c r="AA200" s="82"/>
      <c r="AB200" s="82"/>
      <c r="AC200" s="82"/>
    </row>
    <row r="201" spans="2:29" x14ac:dyDescent="0.2">
      <c r="B201" s="50"/>
      <c r="C201" s="50"/>
      <c r="G201" s="54"/>
      <c r="L201" s="82"/>
      <c r="M201" s="82"/>
      <c r="N201" s="82"/>
      <c r="O201" s="82"/>
      <c r="P201" s="82"/>
      <c r="Q201" s="82"/>
      <c r="R201" s="82"/>
      <c r="S201" s="82"/>
      <c r="T201" s="82"/>
      <c r="U201" s="82"/>
      <c r="V201" s="82"/>
      <c r="W201" s="82"/>
      <c r="X201" s="82"/>
      <c r="Y201" s="82"/>
      <c r="Z201" s="82"/>
      <c r="AA201" s="82"/>
      <c r="AB201" s="82"/>
      <c r="AC201" s="82"/>
    </row>
    <row r="202" spans="2:29" x14ac:dyDescent="0.2">
      <c r="B202" s="50"/>
      <c r="C202" s="50"/>
      <c r="G202" s="54"/>
      <c r="L202" s="82"/>
      <c r="M202" s="82"/>
      <c r="N202" s="82"/>
      <c r="O202" s="82"/>
      <c r="P202" s="82"/>
      <c r="Q202" s="82"/>
      <c r="R202" s="82"/>
      <c r="S202" s="82"/>
      <c r="T202" s="82"/>
      <c r="U202" s="82"/>
      <c r="V202" s="82"/>
      <c r="W202" s="82"/>
      <c r="X202" s="82"/>
      <c r="Y202" s="82"/>
      <c r="Z202" s="82"/>
      <c r="AA202" s="82"/>
      <c r="AB202" s="82"/>
      <c r="AC202" s="82"/>
    </row>
    <row r="203" spans="2:29" x14ac:dyDescent="0.2">
      <c r="B203" s="50"/>
      <c r="C203" s="50"/>
      <c r="G203" s="54"/>
      <c r="L203" s="82"/>
      <c r="M203" s="82"/>
      <c r="N203" s="82"/>
      <c r="O203" s="82"/>
      <c r="P203" s="82"/>
      <c r="Q203" s="82"/>
      <c r="R203" s="82"/>
      <c r="S203" s="82"/>
      <c r="T203" s="82"/>
      <c r="U203" s="82"/>
      <c r="V203" s="82"/>
      <c r="W203" s="82"/>
      <c r="X203" s="82"/>
      <c r="Y203" s="82"/>
      <c r="Z203" s="82"/>
      <c r="AA203" s="82"/>
      <c r="AB203" s="82"/>
      <c r="AC203" s="82"/>
    </row>
    <row r="204" spans="2:29" x14ac:dyDescent="0.2">
      <c r="B204" s="50"/>
      <c r="C204" s="50"/>
      <c r="G204" s="54"/>
      <c r="L204" s="82"/>
      <c r="M204" s="82"/>
      <c r="N204" s="82"/>
      <c r="O204" s="82"/>
      <c r="P204" s="82"/>
      <c r="Q204" s="82"/>
      <c r="R204" s="82"/>
      <c r="S204" s="82"/>
      <c r="T204" s="82"/>
      <c r="U204" s="82"/>
      <c r="V204" s="82"/>
      <c r="W204" s="82"/>
      <c r="X204" s="82"/>
      <c r="Y204" s="82"/>
      <c r="Z204" s="82"/>
      <c r="AA204" s="82"/>
      <c r="AB204" s="82"/>
      <c r="AC204" s="82"/>
    </row>
    <row r="205" spans="2:29" x14ac:dyDescent="0.2">
      <c r="B205" s="50"/>
      <c r="C205" s="50"/>
      <c r="G205" s="54"/>
      <c r="L205" s="82"/>
      <c r="M205" s="82"/>
      <c r="N205" s="82"/>
      <c r="O205" s="82"/>
      <c r="P205" s="82"/>
      <c r="Q205" s="82"/>
      <c r="R205" s="82"/>
      <c r="S205" s="82"/>
      <c r="T205" s="82"/>
      <c r="U205" s="82"/>
      <c r="V205" s="82"/>
      <c r="W205" s="82"/>
      <c r="X205" s="82"/>
      <c r="Y205" s="82"/>
      <c r="Z205" s="82"/>
      <c r="AA205" s="82"/>
      <c r="AB205" s="82"/>
      <c r="AC205" s="82"/>
    </row>
    <row r="206" spans="2:29" x14ac:dyDescent="0.2">
      <c r="B206" s="50"/>
      <c r="C206" s="50"/>
      <c r="G206" s="54"/>
      <c r="L206" s="82"/>
      <c r="M206" s="82"/>
      <c r="N206" s="82"/>
      <c r="O206" s="82"/>
      <c r="P206" s="82"/>
      <c r="Q206" s="82"/>
      <c r="R206" s="82"/>
      <c r="S206" s="82"/>
      <c r="T206" s="82"/>
      <c r="U206" s="82"/>
      <c r="V206" s="82"/>
      <c r="W206" s="82"/>
      <c r="X206" s="82"/>
      <c r="Y206" s="82"/>
      <c r="Z206" s="82"/>
      <c r="AA206" s="82"/>
      <c r="AB206" s="82"/>
      <c r="AC206" s="82"/>
    </row>
    <row r="207" spans="2:29" x14ac:dyDescent="0.2">
      <c r="B207" s="50"/>
      <c r="C207" s="50"/>
      <c r="G207" s="54"/>
      <c r="L207" s="82"/>
      <c r="M207" s="82"/>
      <c r="N207" s="82"/>
      <c r="O207" s="82"/>
      <c r="P207" s="82"/>
      <c r="Q207" s="82"/>
      <c r="R207" s="82"/>
      <c r="S207" s="82"/>
      <c r="T207" s="82"/>
      <c r="U207" s="82"/>
      <c r="V207" s="82"/>
      <c r="W207" s="82"/>
      <c r="X207" s="82"/>
      <c r="Y207" s="82"/>
      <c r="Z207" s="82"/>
      <c r="AA207" s="82"/>
      <c r="AB207" s="82"/>
      <c r="AC207" s="82"/>
    </row>
    <row r="208" spans="2:29" x14ac:dyDescent="0.2">
      <c r="B208" s="50"/>
      <c r="C208" s="50"/>
      <c r="G208" s="54"/>
      <c r="L208" s="82"/>
      <c r="M208" s="82"/>
      <c r="N208" s="82"/>
      <c r="O208" s="82"/>
      <c r="P208" s="82"/>
      <c r="Q208" s="82"/>
      <c r="R208" s="82"/>
      <c r="S208" s="82"/>
      <c r="T208" s="82"/>
      <c r="U208" s="82"/>
      <c r="V208" s="82"/>
      <c r="W208" s="82"/>
      <c r="X208" s="82"/>
      <c r="Y208" s="82"/>
      <c r="Z208" s="82"/>
      <c r="AA208" s="82"/>
      <c r="AB208" s="82"/>
      <c r="AC208" s="82"/>
    </row>
    <row r="209" spans="2:918" x14ac:dyDescent="0.2">
      <c r="B209" s="50"/>
      <c r="C209" s="50"/>
      <c r="G209" s="54"/>
      <c r="L209" s="82"/>
      <c r="M209" s="82"/>
      <c r="N209" s="82"/>
      <c r="O209" s="82"/>
      <c r="P209" s="82"/>
      <c r="Q209" s="82"/>
      <c r="R209" s="82"/>
      <c r="S209" s="82"/>
      <c r="T209" s="82"/>
      <c r="U209" s="82"/>
      <c r="V209" s="82"/>
      <c r="W209" s="82"/>
      <c r="X209" s="82"/>
      <c r="Y209" s="82"/>
      <c r="Z209" s="82"/>
      <c r="AA209" s="82"/>
      <c r="AB209" s="82"/>
      <c r="AC209" s="82"/>
    </row>
    <row r="210" spans="2:918" x14ac:dyDescent="0.2">
      <c r="B210" s="50"/>
      <c r="C210" s="50"/>
      <c r="G210" s="54"/>
      <c r="K210" s="42"/>
      <c r="L210" s="82"/>
      <c r="M210" s="82"/>
      <c r="N210" s="82"/>
      <c r="O210" s="82"/>
      <c r="P210" s="82"/>
      <c r="Q210" s="82"/>
      <c r="R210" s="82"/>
      <c r="S210" s="82"/>
      <c r="T210" s="82"/>
      <c r="U210" s="82"/>
      <c r="V210" s="82"/>
      <c r="W210" s="82"/>
      <c r="X210" s="82"/>
      <c r="Y210" s="82"/>
      <c r="Z210" s="82"/>
      <c r="AA210" s="82"/>
      <c r="AB210" s="82"/>
      <c r="AC210" s="82"/>
      <c r="AID210" s="43"/>
      <c r="AIE210" s="43"/>
      <c r="AIF210" s="43"/>
      <c r="AIG210" s="43"/>
      <c r="AIH210" s="43"/>
    </row>
    <row r="211" spans="2:918" x14ac:dyDescent="0.2">
      <c r="B211" s="50"/>
      <c r="C211" s="50"/>
      <c r="G211" s="54"/>
      <c r="K211" s="42"/>
      <c r="L211" s="82"/>
      <c r="M211" s="82"/>
      <c r="N211" s="82"/>
      <c r="O211" s="82"/>
      <c r="P211" s="82"/>
      <c r="Q211" s="82"/>
      <c r="R211" s="82"/>
      <c r="S211" s="82"/>
      <c r="T211" s="82"/>
      <c r="U211" s="82"/>
      <c r="V211" s="82"/>
      <c r="W211" s="82"/>
      <c r="X211" s="82"/>
      <c r="Y211" s="82"/>
      <c r="Z211" s="82"/>
      <c r="AA211" s="82"/>
      <c r="AB211" s="82"/>
      <c r="AC211" s="82"/>
      <c r="AID211" s="43"/>
      <c r="AIE211" s="43"/>
      <c r="AIF211" s="43"/>
      <c r="AIG211" s="43"/>
      <c r="AIH211" s="43"/>
    </row>
    <row r="212" spans="2:918" x14ac:dyDescent="0.2">
      <c r="B212" s="50"/>
      <c r="C212" s="50"/>
      <c r="G212" s="54"/>
      <c r="K212" s="42"/>
      <c r="L212" s="82"/>
      <c r="M212" s="82"/>
      <c r="N212" s="82"/>
      <c r="O212" s="82"/>
      <c r="P212" s="82"/>
      <c r="Q212" s="82"/>
      <c r="R212" s="82"/>
      <c r="S212" s="82"/>
      <c r="T212" s="82"/>
      <c r="U212" s="82"/>
      <c r="V212" s="82"/>
      <c r="W212" s="82"/>
      <c r="X212" s="82"/>
      <c r="Y212" s="82"/>
      <c r="Z212" s="82"/>
      <c r="AA212" s="82"/>
      <c r="AB212" s="82"/>
      <c r="AC212" s="82"/>
      <c r="AID212" s="43"/>
      <c r="AIE212" s="43"/>
      <c r="AIF212" s="43"/>
      <c r="AIG212" s="43"/>
      <c r="AIH212" s="43"/>
    </row>
    <row r="213" spans="2:918" x14ac:dyDescent="0.2">
      <c r="B213" s="50"/>
      <c r="C213" s="50"/>
      <c r="G213" s="54"/>
      <c r="K213" s="42"/>
      <c r="L213" s="82"/>
      <c r="M213" s="82"/>
      <c r="N213" s="82"/>
      <c r="O213" s="82"/>
      <c r="P213" s="82"/>
      <c r="Q213" s="82"/>
      <c r="R213" s="82"/>
      <c r="S213" s="82"/>
      <c r="T213" s="82"/>
      <c r="U213" s="82"/>
      <c r="V213" s="82"/>
      <c r="W213" s="82"/>
      <c r="X213" s="82"/>
      <c r="Y213" s="82"/>
      <c r="Z213" s="82"/>
      <c r="AA213" s="82"/>
      <c r="AB213" s="82"/>
      <c r="AC213" s="82"/>
      <c r="AID213" s="43"/>
      <c r="AIE213" s="43"/>
      <c r="AIF213" s="43"/>
      <c r="AIG213" s="43"/>
      <c r="AIH213" s="43"/>
    </row>
    <row r="214" spans="2:918" x14ac:dyDescent="0.2">
      <c r="B214" s="50"/>
      <c r="C214" s="50"/>
      <c r="G214" s="54"/>
      <c r="K214" s="42"/>
      <c r="L214" s="82"/>
      <c r="M214" s="82"/>
      <c r="N214" s="82"/>
      <c r="O214" s="82"/>
      <c r="P214" s="82"/>
      <c r="Q214" s="82"/>
      <c r="R214" s="82"/>
      <c r="S214" s="82"/>
      <c r="T214" s="82"/>
      <c r="U214" s="82"/>
      <c r="V214" s="82"/>
      <c r="W214" s="82"/>
      <c r="X214" s="82"/>
      <c r="Y214" s="82"/>
      <c r="Z214" s="82"/>
      <c r="AA214" s="82"/>
      <c r="AB214" s="82"/>
      <c r="AC214" s="82"/>
      <c r="AID214" s="43"/>
      <c r="AIE214" s="43"/>
      <c r="AIF214" s="43"/>
      <c r="AIG214" s="43"/>
      <c r="AIH214" s="43"/>
    </row>
    <row r="215" spans="2:918" x14ac:dyDescent="0.2">
      <c r="B215" s="50"/>
      <c r="C215" s="50"/>
      <c r="G215" s="54"/>
      <c r="K215" s="42"/>
      <c r="L215" s="82"/>
      <c r="M215" s="82"/>
      <c r="N215" s="82"/>
      <c r="O215" s="82"/>
      <c r="P215" s="82"/>
      <c r="Q215" s="82"/>
      <c r="R215" s="82"/>
      <c r="S215" s="82"/>
      <c r="T215" s="82"/>
      <c r="U215" s="82"/>
      <c r="V215" s="82"/>
      <c r="W215" s="82"/>
      <c r="X215" s="82"/>
      <c r="Y215" s="82"/>
      <c r="Z215" s="82"/>
      <c r="AA215" s="82"/>
      <c r="AB215" s="82"/>
      <c r="AC215" s="82"/>
      <c r="AID215" s="43"/>
      <c r="AIE215" s="43"/>
      <c r="AIF215" s="43"/>
      <c r="AIG215" s="43"/>
      <c r="AIH215" s="43"/>
    </row>
    <row r="216" spans="2:918" x14ac:dyDescent="0.2">
      <c r="B216" s="50"/>
      <c r="C216" s="50"/>
      <c r="G216" s="54"/>
      <c r="K216" s="42"/>
      <c r="L216" s="82"/>
      <c r="M216" s="82"/>
      <c r="N216" s="82"/>
      <c r="O216" s="82"/>
      <c r="P216" s="82"/>
      <c r="Q216" s="82"/>
      <c r="R216" s="82"/>
      <c r="S216" s="82"/>
      <c r="T216" s="82"/>
      <c r="U216" s="82"/>
      <c r="V216" s="82"/>
      <c r="W216" s="82"/>
      <c r="X216" s="82"/>
      <c r="Y216" s="82"/>
      <c r="Z216" s="82"/>
      <c r="AA216" s="82"/>
      <c r="AB216" s="82"/>
      <c r="AC216" s="82"/>
      <c r="AID216" s="43"/>
      <c r="AIE216" s="43"/>
      <c r="AIF216" s="43"/>
      <c r="AIG216" s="43"/>
      <c r="AIH216" s="43"/>
    </row>
    <row r="217" spans="2:918" x14ac:dyDescent="0.2">
      <c r="B217" s="50"/>
      <c r="C217" s="50"/>
      <c r="G217" s="54"/>
      <c r="K217" s="42"/>
      <c r="L217" s="82"/>
      <c r="M217" s="82"/>
      <c r="N217" s="82"/>
      <c r="O217" s="82"/>
      <c r="P217" s="82"/>
      <c r="Q217" s="82"/>
      <c r="R217" s="82"/>
      <c r="S217" s="82"/>
      <c r="T217" s="82"/>
      <c r="U217" s="82"/>
      <c r="V217" s="82"/>
      <c r="W217" s="82"/>
      <c r="X217" s="82"/>
      <c r="Y217" s="82"/>
      <c r="Z217" s="82"/>
      <c r="AA217" s="82"/>
      <c r="AB217" s="82"/>
      <c r="AC217" s="82"/>
      <c r="AID217" s="43"/>
      <c r="AIE217" s="43"/>
      <c r="AIF217" s="43"/>
      <c r="AIG217" s="43"/>
      <c r="AIH217" s="43"/>
    </row>
    <row r="218" spans="2:918" x14ac:dyDescent="0.2">
      <c r="B218" s="50"/>
      <c r="C218" s="50"/>
      <c r="G218" s="54"/>
      <c r="K218" s="42"/>
      <c r="L218" s="82"/>
      <c r="M218" s="82"/>
      <c r="N218" s="82"/>
      <c r="O218" s="82"/>
      <c r="P218" s="82"/>
      <c r="Q218" s="82"/>
      <c r="R218" s="82"/>
      <c r="S218" s="82"/>
      <c r="T218" s="82"/>
      <c r="U218" s="82"/>
      <c r="V218" s="82"/>
      <c r="W218" s="82"/>
      <c r="X218" s="82"/>
      <c r="Y218" s="82"/>
      <c r="Z218" s="82"/>
      <c r="AA218" s="82"/>
      <c r="AB218" s="82"/>
      <c r="AC218" s="82"/>
      <c r="AID218" s="43"/>
      <c r="AIE218" s="43"/>
      <c r="AIF218" s="43"/>
      <c r="AIG218" s="43"/>
      <c r="AIH218" s="43"/>
    </row>
    <row r="219" spans="2:918" x14ac:dyDescent="0.2">
      <c r="B219" s="50"/>
      <c r="C219" s="50"/>
      <c r="G219" s="54"/>
      <c r="K219" s="42"/>
      <c r="L219" s="82"/>
      <c r="M219" s="82"/>
      <c r="N219" s="82"/>
      <c r="O219" s="82"/>
      <c r="P219" s="82"/>
      <c r="Q219" s="82"/>
      <c r="R219" s="82"/>
      <c r="S219" s="82"/>
      <c r="T219" s="82"/>
      <c r="U219" s="82"/>
      <c r="V219" s="82"/>
      <c r="W219" s="82"/>
      <c r="X219" s="82"/>
      <c r="Y219" s="82"/>
      <c r="Z219" s="82"/>
      <c r="AA219" s="82"/>
      <c r="AB219" s="82"/>
      <c r="AC219" s="82"/>
      <c r="AID219" s="43"/>
      <c r="AIE219" s="43"/>
      <c r="AIF219" s="43"/>
      <c r="AIG219" s="43"/>
      <c r="AIH219" s="43"/>
    </row>
    <row r="220" spans="2:918" x14ac:dyDescent="0.2">
      <c r="B220" s="50"/>
      <c r="C220" s="50"/>
      <c r="G220" s="54"/>
      <c r="K220" s="42"/>
      <c r="L220" s="82"/>
      <c r="M220" s="82"/>
      <c r="N220" s="82"/>
      <c r="O220" s="82"/>
      <c r="P220" s="82"/>
      <c r="Q220" s="82"/>
      <c r="R220" s="82"/>
      <c r="S220" s="82"/>
      <c r="T220" s="82"/>
      <c r="U220" s="82"/>
      <c r="V220" s="82"/>
      <c r="W220" s="82"/>
      <c r="X220" s="82"/>
      <c r="Y220" s="82"/>
      <c r="Z220" s="82"/>
      <c r="AA220" s="82"/>
      <c r="AB220" s="82"/>
      <c r="AC220" s="82"/>
      <c r="AID220" s="43"/>
      <c r="AIE220" s="43"/>
      <c r="AIF220" s="43"/>
      <c r="AIG220" s="43"/>
      <c r="AIH220" s="43"/>
    </row>
    <row r="221" spans="2:918" x14ac:dyDescent="0.2">
      <c r="B221" s="50"/>
      <c r="C221" s="50"/>
      <c r="G221" s="54"/>
      <c r="K221" s="42"/>
      <c r="L221" s="82"/>
      <c r="M221" s="82"/>
      <c r="N221" s="82"/>
      <c r="O221" s="82"/>
      <c r="P221" s="82"/>
      <c r="Q221" s="82"/>
      <c r="R221" s="82"/>
      <c r="S221" s="82"/>
      <c r="T221" s="82"/>
      <c r="U221" s="82"/>
      <c r="V221" s="82"/>
      <c r="W221" s="82"/>
      <c r="X221" s="82"/>
      <c r="Y221" s="82"/>
      <c r="Z221" s="82"/>
      <c r="AA221" s="82"/>
      <c r="AB221" s="82"/>
      <c r="AC221" s="82"/>
      <c r="AID221" s="43"/>
      <c r="AIE221" s="43"/>
      <c r="AIF221" s="43"/>
      <c r="AIG221" s="43"/>
      <c r="AIH221" s="43"/>
    </row>
    <row r="222" spans="2:918" x14ac:dyDescent="0.2">
      <c r="B222" s="50"/>
      <c r="C222" s="50"/>
      <c r="G222" s="54"/>
      <c r="K222" s="42"/>
      <c r="L222" s="82"/>
      <c r="M222" s="82"/>
      <c r="N222" s="82"/>
      <c r="O222" s="82"/>
      <c r="P222" s="82"/>
      <c r="Q222" s="82"/>
      <c r="R222" s="82"/>
      <c r="S222" s="82"/>
      <c r="T222" s="82"/>
      <c r="U222" s="82"/>
      <c r="V222" s="82"/>
      <c r="W222" s="82"/>
      <c r="X222" s="82"/>
      <c r="Y222" s="82"/>
      <c r="Z222" s="82"/>
      <c r="AA222" s="82"/>
      <c r="AB222" s="82"/>
      <c r="AC222" s="82"/>
      <c r="AID222" s="43"/>
      <c r="AIE222" s="43"/>
      <c r="AIF222" s="43"/>
      <c r="AIG222" s="43"/>
      <c r="AIH222" s="43"/>
    </row>
    <row r="223" spans="2:918" x14ac:dyDescent="0.2">
      <c r="K223" s="42"/>
      <c r="L223" s="82"/>
      <c r="M223" s="82"/>
      <c r="N223" s="82"/>
      <c r="O223" s="82"/>
      <c r="P223" s="82"/>
      <c r="Q223" s="82"/>
      <c r="R223" s="82"/>
      <c r="S223" s="82"/>
      <c r="T223" s="82"/>
      <c r="U223" s="82"/>
      <c r="V223" s="82"/>
      <c r="W223" s="82"/>
      <c r="X223" s="82"/>
      <c r="Y223" s="82"/>
      <c r="Z223" s="82"/>
      <c r="AA223" s="82"/>
      <c r="AB223" s="82"/>
      <c r="AC223" s="82"/>
      <c r="AID223" s="43"/>
      <c r="AIE223" s="43"/>
      <c r="AIF223" s="43"/>
      <c r="AIG223" s="43"/>
      <c r="AIH223" s="43"/>
    </row>
    <row r="224" spans="2:918" x14ac:dyDescent="0.2">
      <c r="K224" s="42"/>
      <c r="L224" s="82"/>
      <c r="M224" s="82"/>
      <c r="N224" s="82"/>
      <c r="O224" s="82"/>
      <c r="P224" s="82"/>
      <c r="Q224" s="82"/>
      <c r="R224" s="82"/>
      <c r="S224" s="82"/>
      <c r="T224" s="82"/>
      <c r="U224" s="82"/>
      <c r="V224" s="82"/>
      <c r="W224" s="82"/>
      <c r="X224" s="82"/>
      <c r="Y224" s="82"/>
      <c r="Z224" s="82"/>
      <c r="AA224" s="82"/>
      <c r="AB224" s="82"/>
      <c r="AC224" s="82"/>
      <c r="AID224" s="43"/>
      <c r="AIE224" s="43"/>
      <c r="AIF224" s="43"/>
      <c r="AIG224" s="43"/>
      <c r="AIH224" s="43"/>
    </row>
    <row r="225" spans="11:918" x14ac:dyDescent="0.2">
      <c r="K225" s="42"/>
      <c r="L225" s="82"/>
      <c r="M225" s="82"/>
      <c r="N225" s="82"/>
      <c r="O225" s="82"/>
      <c r="P225" s="82"/>
      <c r="Q225" s="82"/>
      <c r="R225" s="82"/>
      <c r="S225" s="82"/>
      <c r="T225" s="82"/>
      <c r="U225" s="82"/>
      <c r="V225" s="82"/>
      <c r="W225" s="82"/>
      <c r="X225" s="82"/>
      <c r="Y225" s="82"/>
      <c r="Z225" s="82"/>
      <c r="AA225" s="82"/>
      <c r="AB225" s="82"/>
      <c r="AC225" s="82"/>
      <c r="AID225" s="43"/>
      <c r="AIE225" s="43"/>
      <c r="AIF225" s="43"/>
      <c r="AIG225" s="43"/>
      <c r="AIH225" s="43"/>
    </row>
    <row r="226" spans="11:918" x14ac:dyDescent="0.2">
      <c r="K226" s="42"/>
      <c r="L226" s="82"/>
      <c r="M226" s="82"/>
      <c r="N226" s="82"/>
      <c r="O226" s="82"/>
      <c r="P226" s="82"/>
      <c r="Q226" s="82"/>
      <c r="R226" s="82"/>
      <c r="S226" s="82"/>
      <c r="T226" s="82"/>
      <c r="U226" s="82"/>
      <c r="V226" s="82"/>
      <c r="W226" s="82"/>
      <c r="X226" s="82"/>
      <c r="Y226" s="82"/>
      <c r="Z226" s="82"/>
      <c r="AA226" s="82"/>
      <c r="AB226" s="82"/>
      <c r="AC226" s="82"/>
      <c r="AID226" s="43"/>
      <c r="AIE226" s="43"/>
      <c r="AIF226" s="43"/>
      <c r="AIG226" s="43"/>
      <c r="AIH226" s="43"/>
    </row>
    <row r="227" spans="11:918" x14ac:dyDescent="0.2">
      <c r="K227" s="42"/>
      <c r="L227" s="82"/>
      <c r="M227" s="82"/>
      <c r="N227" s="82"/>
      <c r="O227" s="82"/>
      <c r="P227" s="82"/>
      <c r="Q227" s="82"/>
      <c r="R227" s="82"/>
      <c r="S227" s="82"/>
      <c r="T227" s="82"/>
      <c r="U227" s="82"/>
      <c r="V227" s="82"/>
      <c r="W227" s="82"/>
      <c r="X227" s="82"/>
      <c r="Y227" s="82"/>
      <c r="Z227" s="82"/>
      <c r="AA227" s="82"/>
      <c r="AB227" s="82"/>
      <c r="AC227" s="82"/>
      <c r="AID227" s="43"/>
      <c r="AIE227" s="43"/>
      <c r="AIF227" s="43"/>
      <c r="AIG227" s="43"/>
      <c r="AIH227" s="43"/>
    </row>
    <row r="228" spans="11:918" x14ac:dyDescent="0.2">
      <c r="K228" s="42"/>
      <c r="L228" s="82"/>
      <c r="M228" s="82"/>
      <c r="N228" s="82"/>
      <c r="O228" s="82"/>
      <c r="P228" s="82"/>
      <c r="Q228" s="82"/>
      <c r="R228" s="82"/>
      <c r="S228" s="82"/>
      <c r="T228" s="82"/>
      <c r="U228" s="82"/>
      <c r="V228" s="82"/>
      <c r="W228" s="82"/>
      <c r="X228" s="82"/>
      <c r="Y228" s="82"/>
      <c r="Z228" s="82"/>
      <c r="AA228" s="82"/>
      <c r="AB228" s="82"/>
      <c r="AC228" s="82"/>
      <c r="AID228" s="43"/>
      <c r="AIE228" s="43"/>
      <c r="AIF228" s="43"/>
      <c r="AIG228" s="43"/>
      <c r="AIH228" s="43"/>
    </row>
    <row r="229" spans="11:918" x14ac:dyDescent="0.2">
      <c r="K229" s="42"/>
      <c r="AID229" s="43"/>
      <c r="AIE229" s="43"/>
      <c r="AIF229" s="43"/>
      <c r="AIG229" s="43"/>
      <c r="AIH229" s="43"/>
    </row>
  </sheetData>
  <autoFilter ref="B3:B167" xr:uid="{00000000-0009-0000-0000-000003000000}"/>
  <mergeCells count="18">
    <mergeCell ref="B149:C149"/>
    <mergeCell ref="B170:C170"/>
    <mergeCell ref="B130:C130"/>
    <mergeCell ref="B3:B4"/>
    <mergeCell ref="C3:C4"/>
    <mergeCell ref="B8:C8"/>
    <mergeCell ref="B17:C17"/>
    <mergeCell ref="B24:C24"/>
    <mergeCell ref="B35:C35"/>
    <mergeCell ref="B100:C100"/>
    <mergeCell ref="B112:C112"/>
    <mergeCell ref="B117:C117"/>
    <mergeCell ref="B5:C5"/>
    <mergeCell ref="E164:E166"/>
    <mergeCell ref="D27:D29"/>
    <mergeCell ref="J103:J104"/>
    <mergeCell ref="D3:K3"/>
    <mergeCell ref="G124:G127"/>
  </mergeCells>
  <phoneticPr fontId="35" type="noConversion"/>
  <conditionalFormatting sqref="C139">
    <cfRule type="duplicateValues" dxfId="32" priority="5"/>
    <cfRule type="duplicateValues" dxfId="31" priority="6"/>
  </conditionalFormatting>
  <conditionalFormatting sqref="C132:C133">
    <cfRule type="duplicateValues" dxfId="30" priority="42"/>
    <cfRule type="duplicateValues" dxfId="29" priority="43"/>
  </conditionalFormatting>
  <pageMargins left="0.7" right="0.7" top="0.75" bottom="0.75" header="0.511811023622047" footer="0.511811023622047"/>
  <pageSetup paperSize="9" orientation="portrait" horizontalDpi="300" verticalDpi="300" r:id="rId1"/>
  <customProperties>
    <customPr name="Gu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J18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6" sqref="A6"/>
      <selection pane="bottomRight" activeCell="A2" sqref="A2:A3"/>
    </sheetView>
  </sheetViews>
  <sheetFormatPr defaultColWidth="8.5703125" defaultRowHeight="39" customHeight="1" x14ac:dyDescent="0.2"/>
  <cols>
    <col min="1" max="1" width="5.5703125" style="146" customWidth="1"/>
    <col min="2" max="2" width="51.42578125" style="146" bestFit="1" customWidth="1"/>
    <col min="3" max="10" width="6.7109375" style="146" customWidth="1"/>
    <col min="11" max="11" width="8.42578125" style="146" customWidth="1"/>
    <col min="12" max="19" width="6.85546875" style="146" customWidth="1"/>
    <col min="20" max="20" width="8.42578125" style="146" customWidth="1"/>
    <col min="21" max="21" width="13.7109375" style="146" customWidth="1"/>
    <col min="22" max="22" width="11" style="147" customWidth="1"/>
    <col min="23" max="23" width="11" style="146" customWidth="1"/>
    <col min="24" max="31" width="6.28515625" style="148" customWidth="1"/>
    <col min="32" max="32" width="10.5703125" style="146" customWidth="1"/>
    <col min="33" max="33" width="13.5703125" style="146" customWidth="1"/>
    <col min="34" max="1024" width="8.5703125" style="146"/>
    <col min="1025" max="16384" width="8.5703125" style="149"/>
  </cols>
  <sheetData>
    <row r="1" spans="1:1024" ht="12.75" x14ac:dyDescent="0.2"/>
    <row r="2" spans="1:1024" s="150" customFormat="1" ht="27" customHeight="1" x14ac:dyDescent="0.2">
      <c r="A2" s="231" t="s">
        <v>4</v>
      </c>
      <c r="B2" s="231" t="s">
        <v>5</v>
      </c>
      <c r="C2" s="236" t="s">
        <v>404</v>
      </c>
      <c r="D2" s="237"/>
      <c r="E2" s="237"/>
      <c r="F2" s="237"/>
      <c r="G2" s="237"/>
      <c r="H2" s="237"/>
      <c r="I2" s="237"/>
      <c r="J2" s="237"/>
      <c r="K2" s="238"/>
      <c r="L2" s="236" t="s">
        <v>405</v>
      </c>
      <c r="M2" s="237"/>
      <c r="N2" s="237"/>
      <c r="O2" s="237"/>
      <c r="P2" s="237"/>
      <c r="Q2" s="237"/>
      <c r="R2" s="237"/>
      <c r="S2" s="237"/>
      <c r="T2" s="238"/>
      <c r="U2" s="231" t="s">
        <v>6</v>
      </c>
      <c r="V2" s="232" t="s">
        <v>7</v>
      </c>
      <c r="W2" s="231" t="s">
        <v>8</v>
      </c>
      <c r="X2" s="233" t="s">
        <v>9</v>
      </c>
      <c r="Y2" s="233"/>
      <c r="Z2" s="233"/>
      <c r="AA2" s="233"/>
      <c r="AB2" s="233"/>
      <c r="AC2" s="233"/>
      <c r="AD2" s="233"/>
      <c r="AE2" s="233"/>
      <c r="AF2" s="231"/>
      <c r="AG2" s="231" t="s">
        <v>10</v>
      </c>
    </row>
    <row r="3" spans="1:1024" s="150" customFormat="1" ht="39" customHeight="1" x14ac:dyDescent="0.2">
      <c r="A3" s="231"/>
      <c r="B3" s="231"/>
      <c r="C3" s="176" t="s">
        <v>406</v>
      </c>
      <c r="D3" s="176" t="s">
        <v>407</v>
      </c>
      <c r="E3" s="176" t="s">
        <v>408</v>
      </c>
      <c r="F3" s="176" t="s">
        <v>409</v>
      </c>
      <c r="G3" s="176" t="s">
        <v>410</v>
      </c>
      <c r="H3" s="176" t="s">
        <v>411</v>
      </c>
      <c r="I3" s="176" t="s">
        <v>412</v>
      </c>
      <c r="J3" s="176" t="s">
        <v>413</v>
      </c>
      <c r="K3" s="176" t="s">
        <v>11</v>
      </c>
      <c r="L3" s="176" t="s">
        <v>414</v>
      </c>
      <c r="M3" s="176" t="s">
        <v>415</v>
      </c>
      <c r="N3" s="176" t="s">
        <v>416</v>
      </c>
      <c r="O3" s="176" t="s">
        <v>417</v>
      </c>
      <c r="P3" s="176" t="s">
        <v>418</v>
      </c>
      <c r="Q3" s="176" t="s">
        <v>419</v>
      </c>
      <c r="R3" s="176" t="s">
        <v>420</v>
      </c>
      <c r="S3" s="176" t="s">
        <v>421</v>
      </c>
      <c r="T3" s="176" t="s">
        <v>11</v>
      </c>
      <c r="U3" s="231"/>
      <c r="V3" s="232"/>
      <c r="W3" s="231"/>
      <c r="X3" s="177" t="s">
        <v>422</v>
      </c>
      <c r="Y3" s="177" t="s">
        <v>423</v>
      </c>
      <c r="Z3" s="177" t="s">
        <v>424</v>
      </c>
      <c r="AA3" s="177" t="s">
        <v>425</v>
      </c>
      <c r="AB3" s="177" t="s">
        <v>426</v>
      </c>
      <c r="AC3" s="177" t="s">
        <v>427</v>
      </c>
      <c r="AD3" s="177" t="s">
        <v>428</v>
      </c>
      <c r="AE3" s="177" t="s">
        <v>429</v>
      </c>
      <c r="AF3" s="231"/>
      <c r="AG3" s="231"/>
    </row>
    <row r="4" spans="1:1024" s="150" customFormat="1" ht="44.25" customHeight="1" x14ac:dyDescent="0.2">
      <c r="A4" s="234" t="str">
        <f>'2.4.Функции'!B5</f>
        <v>Выполнение работ по развитию автоматизированной информационной системы «Единое информационное пространство мировых судей города Москвы» (третья очередь)</v>
      </c>
      <c r="B4" s="235"/>
      <c r="C4" s="168">
        <f>SUBTOTAL(9,C5:C8)</f>
        <v>4</v>
      </c>
      <c r="D4" s="168">
        <f t="shared" ref="D4:J4" si="0">SUBTOTAL(9,D5:D8)</f>
        <v>2</v>
      </c>
      <c r="E4" s="168">
        <f t="shared" si="0"/>
        <v>0</v>
      </c>
      <c r="F4" s="168">
        <f t="shared" si="0"/>
        <v>3</v>
      </c>
      <c r="G4" s="168">
        <f>SUBTOTAL(9,G5:G8)</f>
        <v>17</v>
      </c>
      <c r="H4" s="168">
        <f t="shared" si="0"/>
        <v>3</v>
      </c>
      <c r="I4" s="168">
        <f t="shared" si="0"/>
        <v>29</v>
      </c>
      <c r="J4" s="168">
        <f t="shared" si="0"/>
        <v>1</v>
      </c>
      <c r="K4" s="190">
        <f>SUBTOTAL(9,K5:K8)</f>
        <v>59</v>
      </c>
      <c r="L4" s="168">
        <f>SUBTOTAL(9,L5:L8)</f>
        <v>44</v>
      </c>
      <c r="M4" s="168">
        <f t="shared" ref="M4:S4" si="1">SUBTOTAL(9,M5:M8)</f>
        <v>12</v>
      </c>
      <c r="N4" s="168">
        <f t="shared" si="1"/>
        <v>0</v>
      </c>
      <c r="O4" s="168">
        <f t="shared" si="1"/>
        <v>15</v>
      </c>
      <c r="P4" s="168">
        <f t="shared" si="1"/>
        <v>68</v>
      </c>
      <c r="Q4" s="168">
        <f t="shared" si="1"/>
        <v>12</v>
      </c>
      <c r="R4" s="168">
        <f t="shared" si="1"/>
        <v>58</v>
      </c>
      <c r="S4" s="168">
        <f t="shared" si="1"/>
        <v>1</v>
      </c>
      <c r="T4" s="190">
        <f>SUM(T5:T9)</f>
        <v>630</v>
      </c>
      <c r="U4" s="169"/>
      <c r="V4" s="170"/>
      <c r="W4" s="194">
        <f>SUM(W5:W9)</f>
        <v>125.67</v>
      </c>
      <c r="X4" s="172"/>
      <c r="Y4" s="173"/>
      <c r="Z4" s="173"/>
      <c r="AA4" s="174"/>
      <c r="AB4" s="173"/>
      <c r="AC4" s="175"/>
      <c r="AD4" s="175"/>
      <c r="AE4" s="175"/>
      <c r="AF4" s="171"/>
      <c r="AG4" s="194">
        <f>SUM(AG5:AG9)</f>
        <v>159.03</v>
      </c>
    </row>
    <row r="5" spans="1:1024" ht="27.75" customHeight="1" x14ac:dyDescent="0.2">
      <c r="A5" s="151">
        <v>1</v>
      </c>
      <c r="B5" s="152" t="str">
        <f>'2.4.Функции'!C6</f>
        <v>Подсистема «Судебное делопроизводство судебных участков мировых судей города Москвы»</v>
      </c>
      <c r="C5" s="153">
        <f>'2.4.Функции'!D6</f>
        <v>2</v>
      </c>
      <c r="D5" s="153">
        <f>'2.4.Функции'!E6</f>
        <v>0</v>
      </c>
      <c r="E5" s="153">
        <f>'2.4.Функции'!F6</f>
        <v>0</v>
      </c>
      <c r="F5" s="153">
        <f>'2.4.Функции'!G6</f>
        <v>3</v>
      </c>
      <c r="G5" s="153">
        <f>'2.4.Функции'!H6</f>
        <v>2</v>
      </c>
      <c r="H5" s="153">
        <f>'2.4.Функции'!I6</f>
        <v>1</v>
      </c>
      <c r="I5" s="153">
        <f>'2.4.Функции'!J6</f>
        <v>21</v>
      </c>
      <c r="J5" s="153">
        <f>'2.4.Функции'!K6</f>
        <v>0</v>
      </c>
      <c r="K5" s="191">
        <f t="shared" ref="K5:K8" si="2">SUM(C5:J5)</f>
        <v>29</v>
      </c>
      <c r="L5" s="153">
        <f t="shared" ref="L5" si="3">C5*11</f>
        <v>22</v>
      </c>
      <c r="M5" s="153">
        <f t="shared" ref="M5" si="4">D5*6</f>
        <v>0</v>
      </c>
      <c r="N5" s="153">
        <f t="shared" ref="N5:O5" si="5">E5*5</f>
        <v>0</v>
      </c>
      <c r="O5" s="153">
        <f t="shared" si="5"/>
        <v>15</v>
      </c>
      <c r="P5" s="153">
        <f t="shared" ref="P5:Q5" si="6">G5*4</f>
        <v>8</v>
      </c>
      <c r="Q5" s="153">
        <f t="shared" si="6"/>
        <v>4</v>
      </c>
      <c r="R5" s="153">
        <f t="shared" ref="R5" si="7">I5*2</f>
        <v>42</v>
      </c>
      <c r="S5" s="153">
        <f t="shared" ref="S5" si="8">J5*1</f>
        <v>0</v>
      </c>
      <c r="T5" s="193">
        <f>SUM(L5:S5)</f>
        <v>91</v>
      </c>
      <c r="U5" s="154" t="s">
        <v>12</v>
      </c>
      <c r="V5" s="155">
        <v>0.255</v>
      </c>
      <c r="W5" s="195">
        <f t="shared" ref="W5:W7" si="9">ROUND(POWER(T5,0.94)*V5,2)</f>
        <v>17.7</v>
      </c>
      <c r="X5" s="210">
        <v>1</v>
      </c>
      <c r="Y5" s="210">
        <v>1.07</v>
      </c>
      <c r="Z5" s="210">
        <v>1.05</v>
      </c>
      <c r="AA5" s="210">
        <v>1</v>
      </c>
      <c r="AB5" s="211">
        <v>1</v>
      </c>
      <c r="AC5" s="210">
        <v>1.1499999999999999</v>
      </c>
      <c r="AD5" s="211">
        <v>0.97</v>
      </c>
      <c r="AE5" s="211">
        <v>1</v>
      </c>
      <c r="AF5" s="156">
        <f t="shared" ref="AF5:AF7" si="10">ROUND(X5*Y5*Z5*AA5*AB5*AC5*AD5*AE5,3)</f>
        <v>1.2529999999999999</v>
      </c>
      <c r="AG5" s="196">
        <f t="shared" ref="AG5:AG7" si="11">ROUND(W5*AF5,2)</f>
        <v>22.18</v>
      </c>
    </row>
    <row r="6" spans="1:1024" ht="27" customHeight="1" x14ac:dyDescent="0.2">
      <c r="A6" s="151">
        <v>2</v>
      </c>
      <c r="B6" s="152" t="s">
        <v>88</v>
      </c>
      <c r="C6" s="153">
        <f>'2.4.Функции'!D129</f>
        <v>0</v>
      </c>
      <c r="D6" s="153">
        <f>'2.4.Функции'!E129</f>
        <v>0</v>
      </c>
      <c r="E6" s="153">
        <f>'2.4.Функции'!F129</f>
        <v>0</v>
      </c>
      <c r="F6" s="153">
        <f>'2.4.Функции'!G129</f>
        <v>0</v>
      </c>
      <c r="G6" s="153">
        <f>'2.4.Функции'!H129</f>
        <v>0</v>
      </c>
      <c r="H6" s="153">
        <f>'2.4.Функции'!I129</f>
        <v>2</v>
      </c>
      <c r="I6" s="153">
        <f>'2.4.Функции'!J129</f>
        <v>8</v>
      </c>
      <c r="J6" s="153">
        <f>'2.4.Функции'!K129</f>
        <v>1</v>
      </c>
      <c r="K6" s="191">
        <f t="shared" si="2"/>
        <v>11</v>
      </c>
      <c r="L6" s="153">
        <f t="shared" ref="L6:L7" si="12">C6*11</f>
        <v>0</v>
      </c>
      <c r="M6" s="153">
        <f t="shared" ref="M6:M7" si="13">D6*6</f>
        <v>0</v>
      </c>
      <c r="N6" s="153">
        <f t="shared" ref="N6:N7" si="14">E6*5</f>
        <v>0</v>
      </c>
      <c r="O6" s="153">
        <f t="shared" ref="O6:O7" si="15">F6*5</f>
        <v>0</v>
      </c>
      <c r="P6" s="153">
        <f t="shared" ref="P6:P7" si="16">G6*4</f>
        <v>0</v>
      </c>
      <c r="Q6" s="153">
        <f t="shared" ref="Q6:Q7" si="17">H6*4</f>
        <v>8</v>
      </c>
      <c r="R6" s="153">
        <f t="shared" ref="R6:R7" si="18">I6*2</f>
        <v>16</v>
      </c>
      <c r="S6" s="153">
        <f t="shared" ref="S6:S7" si="19">J6*1</f>
        <v>1</v>
      </c>
      <c r="T6" s="193">
        <f>SUM(L6:S6)</f>
        <v>25</v>
      </c>
      <c r="U6" s="154" t="s">
        <v>12</v>
      </c>
      <c r="V6" s="155">
        <v>0.255</v>
      </c>
      <c r="W6" s="195">
        <f t="shared" si="9"/>
        <v>5.26</v>
      </c>
      <c r="X6" s="210">
        <v>1</v>
      </c>
      <c r="Y6" s="210">
        <v>1.07</v>
      </c>
      <c r="Z6" s="210">
        <v>1.05</v>
      </c>
      <c r="AA6" s="210">
        <v>1</v>
      </c>
      <c r="AB6" s="211">
        <v>1</v>
      </c>
      <c r="AC6" s="210">
        <v>1.1499999999999999</v>
      </c>
      <c r="AD6" s="211">
        <v>0.97</v>
      </c>
      <c r="AE6" s="211">
        <v>1</v>
      </c>
      <c r="AF6" s="156">
        <f t="shared" si="10"/>
        <v>1.2529999999999999</v>
      </c>
      <c r="AG6" s="196">
        <f t="shared" si="11"/>
        <v>6.59</v>
      </c>
    </row>
    <row r="7" spans="1:1024" ht="51.75" customHeight="1" x14ac:dyDescent="0.2">
      <c r="A7" s="151">
        <v>3</v>
      </c>
      <c r="B7" s="152" t="s">
        <v>89</v>
      </c>
      <c r="C7" s="153">
        <f>'2.4.Функции'!D148</f>
        <v>1</v>
      </c>
      <c r="D7" s="153">
        <f>'2.4.Функции'!E148</f>
        <v>2</v>
      </c>
      <c r="E7" s="153">
        <f>'2.4.Функции'!F148</f>
        <v>0</v>
      </c>
      <c r="F7" s="153">
        <f>'2.4.Функции'!G148</f>
        <v>0</v>
      </c>
      <c r="G7" s="153">
        <f>'2.4.Функции'!H148</f>
        <v>1</v>
      </c>
      <c r="H7" s="153">
        <f>'2.4.Функции'!I148</f>
        <v>0</v>
      </c>
      <c r="I7" s="153">
        <f>'2.4.Функции'!J148</f>
        <v>0</v>
      </c>
      <c r="J7" s="153">
        <f>'2.4.Функции'!K146</f>
        <v>0</v>
      </c>
      <c r="K7" s="191">
        <f t="shared" si="2"/>
        <v>4</v>
      </c>
      <c r="L7" s="153">
        <f t="shared" si="12"/>
        <v>11</v>
      </c>
      <c r="M7" s="153">
        <f t="shared" si="13"/>
        <v>12</v>
      </c>
      <c r="N7" s="153">
        <f t="shared" si="14"/>
        <v>0</v>
      </c>
      <c r="O7" s="153">
        <f t="shared" si="15"/>
        <v>0</v>
      </c>
      <c r="P7" s="153">
        <f t="shared" si="16"/>
        <v>4</v>
      </c>
      <c r="Q7" s="153">
        <f t="shared" si="17"/>
        <v>0</v>
      </c>
      <c r="R7" s="153">
        <f t="shared" si="18"/>
        <v>0</v>
      </c>
      <c r="S7" s="153">
        <f t="shared" si="19"/>
        <v>0</v>
      </c>
      <c r="T7" s="193">
        <f>SUM(L7:S7)</f>
        <v>27</v>
      </c>
      <c r="U7" s="154" t="s">
        <v>12</v>
      </c>
      <c r="V7" s="155">
        <v>0.255</v>
      </c>
      <c r="W7" s="195">
        <f t="shared" si="9"/>
        <v>5.65</v>
      </c>
      <c r="X7" s="210">
        <v>1</v>
      </c>
      <c r="Y7" s="210">
        <v>1.07</v>
      </c>
      <c r="Z7" s="210">
        <v>1.05</v>
      </c>
      <c r="AA7" s="210">
        <v>1</v>
      </c>
      <c r="AB7" s="211">
        <v>1</v>
      </c>
      <c r="AC7" s="210">
        <v>1.1499999999999999</v>
      </c>
      <c r="AD7" s="211">
        <v>0.97</v>
      </c>
      <c r="AE7" s="211">
        <v>1</v>
      </c>
      <c r="AF7" s="156">
        <f t="shared" si="10"/>
        <v>1.2529999999999999</v>
      </c>
      <c r="AG7" s="196">
        <f t="shared" si="11"/>
        <v>7.08</v>
      </c>
    </row>
    <row r="8" spans="1:1024" ht="25.5" x14ac:dyDescent="0.2">
      <c r="A8" s="151">
        <v>4</v>
      </c>
      <c r="B8" s="157" t="s">
        <v>126</v>
      </c>
      <c r="C8" s="158">
        <f>'2.4.Функции'!D169</f>
        <v>1</v>
      </c>
      <c r="D8" s="158">
        <f>'2.4.Функции'!E169</f>
        <v>0</v>
      </c>
      <c r="E8" s="158">
        <f>'2.4.Функции'!F169</f>
        <v>0</v>
      </c>
      <c r="F8" s="158">
        <f>'2.4.Функции'!G169</f>
        <v>0</v>
      </c>
      <c r="G8" s="158">
        <f>'2.4.Функции'!H169</f>
        <v>14</v>
      </c>
      <c r="H8" s="153">
        <f>'2.4.Функции'!I169</f>
        <v>0</v>
      </c>
      <c r="I8" s="153">
        <f>'2.4.Функции'!J169</f>
        <v>0</v>
      </c>
      <c r="J8" s="153">
        <f>'2.4.Функции'!K167</f>
        <v>0</v>
      </c>
      <c r="K8" s="191">
        <f t="shared" si="2"/>
        <v>15</v>
      </c>
      <c r="L8" s="153">
        <f t="shared" ref="L8" si="20">C8*11</f>
        <v>11</v>
      </c>
      <c r="M8" s="153">
        <f t="shared" ref="M8" si="21">D8*6</f>
        <v>0</v>
      </c>
      <c r="N8" s="153">
        <f t="shared" ref="N8" si="22">E8*5</f>
        <v>0</v>
      </c>
      <c r="O8" s="153">
        <f t="shared" ref="O8" si="23">F8*5</f>
        <v>0</v>
      </c>
      <c r="P8" s="153">
        <f t="shared" ref="P8" si="24">G8*4</f>
        <v>56</v>
      </c>
      <c r="Q8" s="153">
        <f t="shared" ref="Q8" si="25">H8*4</f>
        <v>0</v>
      </c>
      <c r="R8" s="153">
        <f t="shared" ref="R8" si="26">I8*2</f>
        <v>0</v>
      </c>
      <c r="S8" s="153">
        <f t="shared" ref="S8" si="27">J8*1</f>
        <v>0</v>
      </c>
      <c r="T8" s="193">
        <f>SUM(L8:S8)</f>
        <v>67</v>
      </c>
      <c r="U8" s="154" t="s">
        <v>12</v>
      </c>
      <c r="V8" s="155">
        <v>0.255</v>
      </c>
      <c r="W8" s="195">
        <f t="shared" ref="W8" si="28">ROUND(POWER(T8,0.94)*V8,2)</f>
        <v>13.28</v>
      </c>
      <c r="X8" s="210">
        <v>1</v>
      </c>
      <c r="Y8" s="210">
        <v>1.07</v>
      </c>
      <c r="Z8" s="210">
        <v>1.05</v>
      </c>
      <c r="AA8" s="210">
        <v>1</v>
      </c>
      <c r="AB8" s="211">
        <v>1</v>
      </c>
      <c r="AC8" s="210">
        <v>1.1499999999999999</v>
      </c>
      <c r="AD8" s="211">
        <v>1</v>
      </c>
      <c r="AE8" s="211">
        <v>1</v>
      </c>
      <c r="AF8" s="156">
        <f t="shared" ref="AF8" si="29">ROUND(X8*Y8*Z8*AA8*AB8*AC8*AD8*AE8,3)</f>
        <v>1.292</v>
      </c>
      <c r="AG8" s="196">
        <f t="shared" ref="AG8" si="30">ROUND(W8*AF8,2)</f>
        <v>17.16</v>
      </c>
    </row>
    <row r="9" spans="1:1024" s="162" customFormat="1" ht="17.25" customHeight="1" x14ac:dyDescent="0.2">
      <c r="A9" s="151">
        <v>5</v>
      </c>
      <c r="B9" s="157" t="s">
        <v>353</v>
      </c>
      <c r="C9" s="159"/>
      <c r="D9" s="159"/>
      <c r="E9" s="159"/>
      <c r="F9" s="159"/>
      <c r="G9" s="159"/>
      <c r="H9" s="160"/>
      <c r="I9" s="160"/>
      <c r="J9" s="160"/>
      <c r="K9" s="192"/>
      <c r="L9" s="160"/>
      <c r="M9" s="160"/>
      <c r="N9" s="160"/>
      <c r="O9" s="160"/>
      <c r="P9" s="160"/>
      <c r="Q9" s="160"/>
      <c r="R9" s="160"/>
      <c r="S9" s="160"/>
      <c r="T9" s="197">
        <f>ROUND(SUM(T5:T8)/$C$11*$C$12,0)</f>
        <v>420</v>
      </c>
      <c r="U9" s="151"/>
      <c r="V9" s="151"/>
      <c r="W9" s="192">
        <f>ROUND(SUM(W5:W8)/$C$11*$C$12,2)</f>
        <v>83.78</v>
      </c>
      <c r="X9" s="151"/>
      <c r="Y9" s="151"/>
      <c r="Z9" s="151"/>
      <c r="AA9" s="151"/>
      <c r="AB9" s="151"/>
      <c r="AC9" s="151"/>
      <c r="AD9" s="151"/>
      <c r="AE9" s="151"/>
      <c r="AF9" s="151"/>
      <c r="AG9" s="196">
        <f>ROUND(SUM(AG5:AG8)/$C$11*$C$12,2)</f>
        <v>106.02</v>
      </c>
      <c r="AH9" s="161"/>
      <c r="AI9" s="161"/>
      <c r="AJ9" s="161"/>
      <c r="AK9" s="161"/>
      <c r="AL9" s="161"/>
      <c r="AM9" s="161"/>
      <c r="AN9" s="161"/>
      <c r="AO9" s="161"/>
      <c r="AP9" s="161"/>
      <c r="AQ9" s="161"/>
      <c r="AR9" s="161"/>
      <c r="AS9" s="161"/>
      <c r="AT9" s="161"/>
      <c r="AU9" s="161"/>
      <c r="AV9" s="161"/>
      <c r="AW9" s="161"/>
      <c r="AX9" s="161"/>
      <c r="AY9" s="161"/>
      <c r="AZ9" s="161"/>
      <c r="BA9" s="161"/>
      <c r="BB9" s="161"/>
      <c r="BC9" s="161"/>
      <c r="BD9" s="161"/>
      <c r="BE9" s="161"/>
      <c r="BF9" s="161"/>
      <c r="BG9" s="161"/>
      <c r="BH9" s="161"/>
      <c r="BI9" s="161"/>
      <c r="BJ9" s="161"/>
      <c r="BK9" s="161"/>
      <c r="BL9" s="161"/>
      <c r="BM9" s="161"/>
      <c r="BN9" s="161"/>
      <c r="BO9" s="161"/>
      <c r="BP9" s="161"/>
      <c r="BQ9" s="161"/>
      <c r="BR9" s="161"/>
      <c r="BS9" s="161"/>
      <c r="BT9" s="161"/>
      <c r="BU9" s="161"/>
      <c r="BV9" s="161"/>
      <c r="BW9" s="161"/>
      <c r="BX9" s="161"/>
      <c r="BY9" s="161"/>
      <c r="BZ9" s="161"/>
      <c r="CA9" s="161"/>
      <c r="CB9" s="161"/>
      <c r="CC9" s="161"/>
      <c r="CD9" s="161"/>
      <c r="CE9" s="161"/>
      <c r="CF9" s="161"/>
      <c r="CG9" s="161"/>
      <c r="CH9" s="161"/>
      <c r="CI9" s="161"/>
      <c r="CJ9" s="161"/>
      <c r="CK9" s="161"/>
      <c r="CL9" s="161"/>
      <c r="CM9" s="161"/>
      <c r="CN9" s="161"/>
      <c r="CO9" s="161"/>
      <c r="CP9" s="161"/>
      <c r="CQ9" s="161"/>
      <c r="CR9" s="161"/>
      <c r="CS9" s="161"/>
      <c r="CT9" s="161"/>
      <c r="CU9" s="161"/>
      <c r="CV9" s="161"/>
      <c r="CW9" s="161"/>
      <c r="CX9" s="161"/>
      <c r="CY9" s="161"/>
      <c r="CZ9" s="161"/>
      <c r="DA9" s="161"/>
      <c r="DB9" s="161"/>
      <c r="DC9" s="161"/>
      <c r="DD9" s="161"/>
      <c r="DE9" s="161"/>
      <c r="DF9" s="161"/>
      <c r="DG9" s="161"/>
      <c r="DH9" s="161"/>
      <c r="DI9" s="161"/>
      <c r="DJ9" s="161"/>
      <c r="DK9" s="161"/>
      <c r="DL9" s="161"/>
      <c r="DM9" s="161"/>
      <c r="DN9" s="161"/>
      <c r="DO9" s="161"/>
      <c r="DP9" s="161"/>
      <c r="DQ9" s="161"/>
      <c r="DR9" s="161"/>
      <c r="DS9" s="161"/>
      <c r="DT9" s="161"/>
      <c r="DU9" s="161"/>
      <c r="DV9" s="161"/>
      <c r="DW9" s="161"/>
      <c r="DX9" s="161"/>
      <c r="DY9" s="161"/>
      <c r="DZ9" s="161"/>
      <c r="EA9" s="161"/>
      <c r="EB9" s="161"/>
      <c r="EC9" s="161"/>
      <c r="ED9" s="161"/>
      <c r="EE9" s="161"/>
      <c r="EF9" s="161"/>
      <c r="EG9" s="161"/>
      <c r="EH9" s="161"/>
      <c r="EI9" s="161"/>
      <c r="EJ9" s="161"/>
      <c r="EK9" s="161"/>
      <c r="EL9" s="161"/>
      <c r="EM9" s="161"/>
      <c r="EN9" s="161"/>
      <c r="EO9" s="161"/>
      <c r="EP9" s="161"/>
      <c r="EQ9" s="161"/>
      <c r="ER9" s="161"/>
      <c r="ES9" s="161"/>
      <c r="ET9" s="161"/>
      <c r="EU9" s="161"/>
      <c r="EV9" s="161"/>
      <c r="EW9" s="161"/>
      <c r="EX9" s="161"/>
      <c r="EY9" s="161"/>
      <c r="EZ9" s="161"/>
      <c r="FA9" s="161"/>
      <c r="FB9" s="161"/>
      <c r="FC9" s="161"/>
      <c r="FD9" s="161"/>
      <c r="FE9" s="161"/>
      <c r="FF9" s="161"/>
      <c r="FG9" s="161"/>
      <c r="FH9" s="161"/>
      <c r="FI9" s="161"/>
      <c r="FJ9" s="161"/>
      <c r="FK9" s="161"/>
      <c r="FL9" s="161"/>
      <c r="FM9" s="161"/>
      <c r="FN9" s="161"/>
      <c r="FO9" s="161"/>
      <c r="FP9" s="161"/>
      <c r="FQ9" s="161"/>
      <c r="FR9" s="161"/>
      <c r="FS9" s="161"/>
      <c r="FT9" s="161"/>
      <c r="FU9" s="161"/>
      <c r="FV9" s="161"/>
      <c r="FW9" s="161"/>
      <c r="FX9" s="161"/>
      <c r="FY9" s="161"/>
      <c r="FZ9" s="161"/>
      <c r="GA9" s="161"/>
      <c r="GB9" s="161"/>
      <c r="GC9" s="161"/>
      <c r="GD9" s="161"/>
      <c r="GE9" s="161"/>
      <c r="GF9" s="161"/>
      <c r="GG9" s="161"/>
      <c r="GH9" s="161"/>
      <c r="GI9" s="161"/>
      <c r="GJ9" s="161"/>
      <c r="GK9" s="161"/>
      <c r="GL9" s="161"/>
      <c r="GM9" s="161"/>
      <c r="GN9" s="161"/>
      <c r="GO9" s="161"/>
      <c r="GP9" s="161"/>
      <c r="GQ9" s="161"/>
      <c r="GR9" s="161"/>
      <c r="GS9" s="161"/>
      <c r="GT9" s="161"/>
      <c r="GU9" s="161"/>
      <c r="GV9" s="161"/>
      <c r="GW9" s="161"/>
      <c r="GX9" s="161"/>
      <c r="GY9" s="161"/>
      <c r="GZ9" s="161"/>
      <c r="HA9" s="161"/>
      <c r="HB9" s="161"/>
      <c r="HC9" s="161"/>
      <c r="HD9" s="161"/>
      <c r="HE9" s="161"/>
      <c r="HF9" s="161"/>
      <c r="HG9" s="161"/>
      <c r="HH9" s="161"/>
      <c r="HI9" s="161"/>
      <c r="HJ9" s="161"/>
      <c r="HK9" s="161"/>
      <c r="HL9" s="161"/>
      <c r="HM9" s="161"/>
      <c r="HN9" s="161"/>
      <c r="HO9" s="161"/>
      <c r="HP9" s="161"/>
      <c r="HQ9" s="161"/>
      <c r="HR9" s="161"/>
      <c r="HS9" s="161"/>
      <c r="HT9" s="161"/>
      <c r="HU9" s="161"/>
      <c r="HV9" s="161"/>
      <c r="HW9" s="161"/>
      <c r="HX9" s="161"/>
      <c r="HY9" s="161"/>
      <c r="HZ9" s="161"/>
      <c r="IA9" s="161"/>
      <c r="IB9" s="161"/>
      <c r="IC9" s="161"/>
      <c r="ID9" s="161"/>
      <c r="IE9" s="161"/>
      <c r="IF9" s="161"/>
      <c r="IG9" s="161"/>
      <c r="IH9" s="161"/>
      <c r="II9" s="161"/>
      <c r="IJ9" s="161"/>
      <c r="IK9" s="161"/>
      <c r="IL9" s="161"/>
      <c r="IM9" s="161"/>
      <c r="IN9" s="161"/>
      <c r="IO9" s="161"/>
      <c r="IP9" s="161"/>
      <c r="IQ9" s="161"/>
      <c r="IR9" s="161"/>
      <c r="IS9" s="161"/>
      <c r="IT9" s="161"/>
      <c r="IU9" s="161"/>
      <c r="IV9" s="161"/>
      <c r="IW9" s="161"/>
      <c r="IX9" s="161"/>
      <c r="IY9" s="161"/>
      <c r="IZ9" s="161"/>
      <c r="JA9" s="161"/>
      <c r="JB9" s="161"/>
      <c r="JC9" s="161"/>
      <c r="JD9" s="161"/>
      <c r="JE9" s="161"/>
      <c r="JF9" s="161"/>
      <c r="JG9" s="161"/>
      <c r="JH9" s="161"/>
      <c r="JI9" s="161"/>
      <c r="JJ9" s="161"/>
      <c r="JK9" s="161"/>
      <c r="JL9" s="161"/>
      <c r="JM9" s="161"/>
      <c r="JN9" s="161"/>
      <c r="JO9" s="161"/>
      <c r="JP9" s="161"/>
      <c r="JQ9" s="161"/>
      <c r="JR9" s="161"/>
      <c r="JS9" s="161"/>
      <c r="JT9" s="161"/>
      <c r="JU9" s="161"/>
      <c r="JV9" s="161"/>
      <c r="JW9" s="161"/>
      <c r="JX9" s="161"/>
      <c r="JY9" s="161"/>
      <c r="JZ9" s="161"/>
      <c r="KA9" s="161"/>
      <c r="KB9" s="161"/>
      <c r="KC9" s="161"/>
      <c r="KD9" s="161"/>
      <c r="KE9" s="161"/>
      <c r="KF9" s="161"/>
      <c r="KG9" s="161"/>
      <c r="KH9" s="161"/>
      <c r="KI9" s="161"/>
      <c r="KJ9" s="161"/>
      <c r="KK9" s="161"/>
      <c r="KL9" s="161"/>
      <c r="KM9" s="161"/>
      <c r="KN9" s="161"/>
      <c r="KO9" s="161"/>
      <c r="KP9" s="161"/>
      <c r="KQ9" s="161"/>
      <c r="KR9" s="161"/>
      <c r="KS9" s="161"/>
      <c r="KT9" s="161"/>
      <c r="KU9" s="161"/>
      <c r="KV9" s="161"/>
      <c r="KW9" s="161"/>
      <c r="KX9" s="161"/>
      <c r="KY9" s="161"/>
      <c r="KZ9" s="161"/>
      <c r="LA9" s="161"/>
      <c r="LB9" s="161"/>
      <c r="LC9" s="161"/>
      <c r="LD9" s="161"/>
      <c r="LE9" s="161"/>
      <c r="LF9" s="161"/>
      <c r="LG9" s="161"/>
      <c r="LH9" s="161"/>
      <c r="LI9" s="161"/>
      <c r="LJ9" s="161"/>
      <c r="LK9" s="161"/>
      <c r="LL9" s="161"/>
      <c r="LM9" s="161"/>
      <c r="LN9" s="161"/>
      <c r="LO9" s="161"/>
      <c r="LP9" s="161"/>
      <c r="LQ9" s="161"/>
      <c r="LR9" s="161"/>
      <c r="LS9" s="161"/>
      <c r="LT9" s="161"/>
      <c r="LU9" s="161"/>
      <c r="LV9" s="161"/>
      <c r="LW9" s="161"/>
      <c r="LX9" s="161"/>
      <c r="LY9" s="161"/>
      <c r="LZ9" s="161"/>
      <c r="MA9" s="161"/>
      <c r="MB9" s="161"/>
      <c r="MC9" s="161"/>
      <c r="MD9" s="161"/>
      <c r="ME9" s="161"/>
      <c r="MF9" s="161"/>
      <c r="MG9" s="161"/>
      <c r="MH9" s="161"/>
      <c r="MI9" s="161"/>
      <c r="MJ9" s="161"/>
      <c r="MK9" s="161"/>
      <c r="ML9" s="161"/>
      <c r="MM9" s="161"/>
      <c r="MN9" s="161"/>
      <c r="MO9" s="161"/>
      <c r="MP9" s="161"/>
      <c r="MQ9" s="161"/>
      <c r="MR9" s="161"/>
      <c r="MS9" s="161"/>
      <c r="MT9" s="161"/>
      <c r="MU9" s="161"/>
      <c r="MV9" s="161"/>
      <c r="MW9" s="161"/>
      <c r="MX9" s="161"/>
      <c r="MY9" s="161"/>
      <c r="MZ9" s="161"/>
      <c r="NA9" s="161"/>
      <c r="NB9" s="161"/>
      <c r="NC9" s="161"/>
      <c r="ND9" s="161"/>
      <c r="NE9" s="161"/>
      <c r="NF9" s="161"/>
      <c r="NG9" s="161"/>
      <c r="NH9" s="161"/>
      <c r="NI9" s="161"/>
      <c r="NJ9" s="161"/>
      <c r="NK9" s="161"/>
      <c r="NL9" s="161"/>
      <c r="NM9" s="161"/>
      <c r="NN9" s="161"/>
      <c r="NO9" s="161"/>
      <c r="NP9" s="161"/>
      <c r="NQ9" s="161"/>
      <c r="NR9" s="161"/>
      <c r="NS9" s="161"/>
      <c r="NT9" s="161"/>
      <c r="NU9" s="161"/>
      <c r="NV9" s="161"/>
      <c r="NW9" s="161"/>
      <c r="NX9" s="161"/>
      <c r="NY9" s="161"/>
      <c r="NZ9" s="161"/>
      <c r="OA9" s="161"/>
      <c r="OB9" s="161"/>
      <c r="OC9" s="161"/>
      <c r="OD9" s="161"/>
      <c r="OE9" s="161"/>
      <c r="OF9" s="161"/>
      <c r="OG9" s="161"/>
      <c r="OH9" s="161"/>
      <c r="OI9" s="161"/>
      <c r="OJ9" s="161"/>
      <c r="OK9" s="161"/>
      <c r="OL9" s="161"/>
      <c r="OM9" s="161"/>
      <c r="ON9" s="161"/>
      <c r="OO9" s="161"/>
      <c r="OP9" s="161"/>
      <c r="OQ9" s="161"/>
      <c r="OR9" s="161"/>
      <c r="OS9" s="161"/>
      <c r="OT9" s="161"/>
      <c r="OU9" s="161"/>
      <c r="OV9" s="161"/>
      <c r="OW9" s="161"/>
      <c r="OX9" s="161"/>
      <c r="OY9" s="161"/>
      <c r="OZ9" s="161"/>
      <c r="PA9" s="161"/>
      <c r="PB9" s="161"/>
      <c r="PC9" s="161"/>
      <c r="PD9" s="161"/>
      <c r="PE9" s="161"/>
      <c r="PF9" s="161"/>
      <c r="PG9" s="161"/>
      <c r="PH9" s="161"/>
      <c r="PI9" s="161"/>
      <c r="PJ9" s="161"/>
      <c r="PK9" s="161"/>
      <c r="PL9" s="161"/>
      <c r="PM9" s="161"/>
      <c r="PN9" s="161"/>
      <c r="PO9" s="161"/>
      <c r="PP9" s="161"/>
      <c r="PQ9" s="161"/>
      <c r="PR9" s="161"/>
      <c r="PS9" s="161"/>
      <c r="PT9" s="161"/>
      <c r="PU9" s="161"/>
      <c r="PV9" s="161"/>
      <c r="PW9" s="161"/>
      <c r="PX9" s="161"/>
      <c r="PY9" s="161"/>
      <c r="PZ9" s="161"/>
      <c r="QA9" s="161"/>
      <c r="QB9" s="161"/>
      <c r="QC9" s="161"/>
      <c r="QD9" s="161"/>
      <c r="QE9" s="161"/>
      <c r="QF9" s="161"/>
      <c r="QG9" s="161"/>
      <c r="QH9" s="161"/>
      <c r="QI9" s="161"/>
      <c r="QJ9" s="161"/>
      <c r="QK9" s="161"/>
      <c r="QL9" s="161"/>
      <c r="QM9" s="161"/>
      <c r="QN9" s="161"/>
      <c r="QO9" s="161"/>
      <c r="QP9" s="161"/>
      <c r="QQ9" s="161"/>
      <c r="QR9" s="161"/>
      <c r="QS9" s="161"/>
      <c r="QT9" s="161"/>
      <c r="QU9" s="161"/>
      <c r="QV9" s="161"/>
      <c r="QW9" s="161"/>
      <c r="QX9" s="161"/>
      <c r="QY9" s="161"/>
      <c r="QZ9" s="161"/>
      <c r="RA9" s="161"/>
      <c r="RB9" s="161"/>
      <c r="RC9" s="161"/>
      <c r="RD9" s="161"/>
      <c r="RE9" s="161"/>
      <c r="RF9" s="161"/>
      <c r="RG9" s="161"/>
      <c r="RH9" s="161"/>
      <c r="RI9" s="161"/>
      <c r="RJ9" s="161"/>
      <c r="RK9" s="161"/>
      <c r="RL9" s="161"/>
      <c r="RM9" s="161"/>
      <c r="RN9" s="161"/>
      <c r="RO9" s="161"/>
      <c r="RP9" s="161"/>
      <c r="RQ9" s="161"/>
      <c r="RR9" s="161"/>
      <c r="RS9" s="161"/>
      <c r="RT9" s="161"/>
      <c r="RU9" s="161"/>
      <c r="RV9" s="161"/>
      <c r="RW9" s="161"/>
      <c r="RX9" s="161"/>
      <c r="RY9" s="161"/>
      <c r="RZ9" s="161"/>
      <c r="SA9" s="161"/>
      <c r="SB9" s="161"/>
      <c r="SC9" s="161"/>
      <c r="SD9" s="161"/>
      <c r="SE9" s="161"/>
      <c r="SF9" s="161"/>
      <c r="SG9" s="161"/>
      <c r="SH9" s="161"/>
      <c r="SI9" s="161"/>
      <c r="SJ9" s="161"/>
      <c r="SK9" s="161"/>
      <c r="SL9" s="161"/>
      <c r="SM9" s="161"/>
      <c r="SN9" s="161"/>
      <c r="SO9" s="161"/>
      <c r="SP9" s="161"/>
      <c r="SQ9" s="161"/>
      <c r="SR9" s="161"/>
      <c r="SS9" s="161"/>
      <c r="ST9" s="161"/>
      <c r="SU9" s="161"/>
      <c r="SV9" s="161"/>
      <c r="SW9" s="161"/>
      <c r="SX9" s="161"/>
      <c r="SY9" s="161"/>
      <c r="SZ9" s="161"/>
      <c r="TA9" s="161"/>
      <c r="TB9" s="161"/>
      <c r="TC9" s="161"/>
      <c r="TD9" s="161"/>
      <c r="TE9" s="161"/>
      <c r="TF9" s="161"/>
      <c r="TG9" s="161"/>
      <c r="TH9" s="161"/>
      <c r="TI9" s="161"/>
      <c r="TJ9" s="161"/>
      <c r="TK9" s="161"/>
      <c r="TL9" s="161"/>
      <c r="TM9" s="161"/>
      <c r="TN9" s="161"/>
      <c r="TO9" s="161"/>
      <c r="TP9" s="161"/>
      <c r="TQ9" s="161"/>
      <c r="TR9" s="161"/>
      <c r="TS9" s="161"/>
      <c r="TT9" s="161"/>
      <c r="TU9" s="161"/>
      <c r="TV9" s="161"/>
      <c r="TW9" s="161"/>
      <c r="TX9" s="161"/>
      <c r="TY9" s="161"/>
      <c r="TZ9" s="161"/>
      <c r="UA9" s="161"/>
      <c r="UB9" s="161"/>
      <c r="UC9" s="161"/>
      <c r="UD9" s="161"/>
      <c r="UE9" s="161"/>
      <c r="UF9" s="161"/>
      <c r="UG9" s="161"/>
      <c r="UH9" s="161"/>
      <c r="UI9" s="161"/>
      <c r="UJ9" s="161"/>
      <c r="UK9" s="161"/>
      <c r="UL9" s="161"/>
      <c r="UM9" s="161"/>
      <c r="UN9" s="161"/>
      <c r="UO9" s="161"/>
      <c r="UP9" s="161"/>
      <c r="UQ9" s="161"/>
      <c r="UR9" s="161"/>
      <c r="US9" s="161"/>
      <c r="UT9" s="161"/>
      <c r="UU9" s="161"/>
      <c r="UV9" s="161"/>
      <c r="UW9" s="161"/>
      <c r="UX9" s="161"/>
      <c r="UY9" s="161"/>
      <c r="UZ9" s="161"/>
      <c r="VA9" s="161"/>
      <c r="VB9" s="161"/>
      <c r="VC9" s="161"/>
      <c r="VD9" s="161"/>
      <c r="VE9" s="161"/>
      <c r="VF9" s="161"/>
      <c r="VG9" s="161"/>
      <c r="VH9" s="161"/>
      <c r="VI9" s="161"/>
      <c r="VJ9" s="161"/>
      <c r="VK9" s="161"/>
      <c r="VL9" s="161"/>
      <c r="VM9" s="161"/>
      <c r="VN9" s="161"/>
      <c r="VO9" s="161"/>
      <c r="VP9" s="161"/>
      <c r="VQ9" s="161"/>
      <c r="VR9" s="161"/>
      <c r="VS9" s="161"/>
      <c r="VT9" s="161"/>
      <c r="VU9" s="161"/>
      <c r="VV9" s="161"/>
      <c r="VW9" s="161"/>
      <c r="VX9" s="161"/>
      <c r="VY9" s="161"/>
      <c r="VZ9" s="161"/>
      <c r="WA9" s="161"/>
      <c r="WB9" s="161"/>
      <c r="WC9" s="161"/>
      <c r="WD9" s="161"/>
      <c r="WE9" s="161"/>
      <c r="WF9" s="161"/>
      <c r="WG9" s="161"/>
      <c r="WH9" s="161"/>
      <c r="WI9" s="161"/>
      <c r="WJ9" s="161"/>
      <c r="WK9" s="161"/>
      <c r="WL9" s="161"/>
      <c r="WM9" s="161"/>
      <c r="WN9" s="161"/>
      <c r="WO9" s="161"/>
      <c r="WP9" s="161"/>
      <c r="WQ9" s="161"/>
      <c r="WR9" s="161"/>
      <c r="WS9" s="161"/>
      <c r="WT9" s="161"/>
      <c r="WU9" s="161"/>
      <c r="WV9" s="161"/>
      <c r="WW9" s="161"/>
      <c r="WX9" s="161"/>
      <c r="WY9" s="161"/>
      <c r="WZ9" s="161"/>
      <c r="XA9" s="161"/>
      <c r="XB9" s="161"/>
      <c r="XC9" s="161"/>
      <c r="XD9" s="161"/>
      <c r="XE9" s="161"/>
      <c r="XF9" s="161"/>
      <c r="XG9" s="161"/>
      <c r="XH9" s="161"/>
      <c r="XI9" s="161"/>
      <c r="XJ9" s="161"/>
      <c r="XK9" s="161"/>
      <c r="XL9" s="161"/>
      <c r="XM9" s="161"/>
      <c r="XN9" s="161"/>
      <c r="XO9" s="161"/>
      <c r="XP9" s="161"/>
      <c r="XQ9" s="161"/>
      <c r="XR9" s="161"/>
      <c r="XS9" s="161"/>
      <c r="XT9" s="161"/>
      <c r="XU9" s="161"/>
      <c r="XV9" s="161"/>
      <c r="XW9" s="161"/>
      <c r="XX9" s="161"/>
      <c r="XY9" s="161"/>
      <c r="XZ9" s="161"/>
      <c r="YA9" s="161"/>
      <c r="YB9" s="161"/>
      <c r="YC9" s="161"/>
      <c r="YD9" s="161"/>
      <c r="YE9" s="161"/>
      <c r="YF9" s="161"/>
      <c r="YG9" s="161"/>
      <c r="YH9" s="161"/>
      <c r="YI9" s="161"/>
      <c r="YJ9" s="161"/>
      <c r="YK9" s="161"/>
      <c r="YL9" s="161"/>
      <c r="YM9" s="161"/>
      <c r="YN9" s="161"/>
      <c r="YO9" s="161"/>
      <c r="YP9" s="161"/>
      <c r="YQ9" s="161"/>
      <c r="YR9" s="161"/>
      <c r="YS9" s="161"/>
      <c r="YT9" s="161"/>
      <c r="YU9" s="161"/>
      <c r="YV9" s="161"/>
      <c r="YW9" s="161"/>
      <c r="YX9" s="161"/>
      <c r="YY9" s="161"/>
      <c r="YZ9" s="161"/>
      <c r="ZA9" s="161"/>
      <c r="ZB9" s="161"/>
      <c r="ZC9" s="161"/>
      <c r="ZD9" s="161"/>
      <c r="ZE9" s="161"/>
      <c r="ZF9" s="161"/>
      <c r="ZG9" s="161"/>
      <c r="ZH9" s="161"/>
      <c r="ZI9" s="161"/>
      <c r="ZJ9" s="161"/>
      <c r="ZK9" s="161"/>
      <c r="ZL9" s="161"/>
      <c r="ZM9" s="161"/>
      <c r="ZN9" s="161"/>
      <c r="ZO9" s="161"/>
      <c r="ZP9" s="161"/>
      <c r="ZQ9" s="161"/>
      <c r="ZR9" s="161"/>
      <c r="ZS9" s="161"/>
      <c r="ZT9" s="161"/>
      <c r="ZU9" s="161"/>
      <c r="ZV9" s="161"/>
      <c r="ZW9" s="161"/>
      <c r="ZX9" s="161"/>
      <c r="ZY9" s="161"/>
      <c r="ZZ9" s="161"/>
      <c r="AAA9" s="161"/>
      <c r="AAB9" s="161"/>
      <c r="AAC9" s="161"/>
      <c r="AAD9" s="161"/>
      <c r="AAE9" s="161"/>
      <c r="AAF9" s="161"/>
      <c r="AAG9" s="161"/>
      <c r="AAH9" s="161"/>
      <c r="AAI9" s="161"/>
      <c r="AAJ9" s="161"/>
      <c r="AAK9" s="161"/>
      <c r="AAL9" s="161"/>
      <c r="AAM9" s="161"/>
      <c r="AAN9" s="161"/>
      <c r="AAO9" s="161"/>
      <c r="AAP9" s="161"/>
      <c r="AAQ9" s="161"/>
      <c r="AAR9" s="161"/>
      <c r="AAS9" s="161"/>
      <c r="AAT9" s="161"/>
      <c r="AAU9" s="161"/>
      <c r="AAV9" s="161"/>
      <c r="AAW9" s="161"/>
      <c r="AAX9" s="161"/>
      <c r="AAY9" s="161"/>
      <c r="AAZ9" s="161"/>
      <c r="ABA9" s="161"/>
      <c r="ABB9" s="161"/>
      <c r="ABC9" s="161"/>
      <c r="ABD9" s="161"/>
      <c r="ABE9" s="161"/>
      <c r="ABF9" s="161"/>
      <c r="ABG9" s="161"/>
      <c r="ABH9" s="161"/>
      <c r="ABI9" s="161"/>
      <c r="ABJ9" s="161"/>
      <c r="ABK9" s="161"/>
      <c r="ABL9" s="161"/>
      <c r="ABM9" s="161"/>
      <c r="ABN9" s="161"/>
      <c r="ABO9" s="161"/>
      <c r="ABP9" s="161"/>
      <c r="ABQ9" s="161"/>
      <c r="ABR9" s="161"/>
      <c r="ABS9" s="161"/>
      <c r="ABT9" s="161"/>
      <c r="ABU9" s="161"/>
      <c r="ABV9" s="161"/>
      <c r="ABW9" s="161"/>
      <c r="ABX9" s="161"/>
      <c r="ABY9" s="161"/>
      <c r="ABZ9" s="161"/>
      <c r="ACA9" s="161"/>
      <c r="ACB9" s="161"/>
      <c r="ACC9" s="161"/>
      <c r="ACD9" s="161"/>
      <c r="ACE9" s="161"/>
      <c r="ACF9" s="161"/>
      <c r="ACG9" s="161"/>
      <c r="ACH9" s="161"/>
      <c r="ACI9" s="161"/>
      <c r="ACJ9" s="161"/>
      <c r="ACK9" s="161"/>
      <c r="ACL9" s="161"/>
      <c r="ACM9" s="161"/>
      <c r="ACN9" s="161"/>
      <c r="ACO9" s="161"/>
      <c r="ACP9" s="161"/>
      <c r="ACQ9" s="161"/>
      <c r="ACR9" s="161"/>
      <c r="ACS9" s="161"/>
      <c r="ACT9" s="161"/>
      <c r="ACU9" s="161"/>
      <c r="ACV9" s="161"/>
      <c r="ACW9" s="161"/>
      <c r="ACX9" s="161"/>
      <c r="ACY9" s="161"/>
      <c r="ACZ9" s="161"/>
      <c r="ADA9" s="161"/>
      <c r="ADB9" s="161"/>
      <c r="ADC9" s="161"/>
      <c r="ADD9" s="161"/>
      <c r="ADE9" s="161"/>
      <c r="ADF9" s="161"/>
      <c r="ADG9" s="161"/>
      <c r="ADH9" s="161"/>
      <c r="ADI9" s="161"/>
      <c r="ADJ9" s="161"/>
      <c r="ADK9" s="161"/>
      <c r="ADL9" s="161"/>
      <c r="ADM9" s="161"/>
      <c r="ADN9" s="161"/>
      <c r="ADO9" s="161"/>
      <c r="ADP9" s="161"/>
      <c r="ADQ9" s="161"/>
      <c r="ADR9" s="161"/>
      <c r="ADS9" s="161"/>
      <c r="ADT9" s="161"/>
      <c r="ADU9" s="161"/>
      <c r="ADV9" s="161"/>
      <c r="ADW9" s="161"/>
      <c r="ADX9" s="161"/>
      <c r="ADY9" s="161"/>
      <c r="ADZ9" s="161"/>
      <c r="AEA9" s="161"/>
      <c r="AEB9" s="161"/>
      <c r="AEC9" s="161"/>
      <c r="AED9" s="161"/>
      <c r="AEE9" s="161"/>
      <c r="AEF9" s="161"/>
      <c r="AEG9" s="161"/>
      <c r="AEH9" s="161"/>
      <c r="AEI9" s="161"/>
      <c r="AEJ9" s="161"/>
      <c r="AEK9" s="161"/>
      <c r="AEL9" s="161"/>
      <c r="AEM9" s="161"/>
      <c r="AEN9" s="161"/>
      <c r="AEO9" s="161"/>
      <c r="AEP9" s="161"/>
      <c r="AEQ9" s="161"/>
      <c r="AER9" s="161"/>
      <c r="AES9" s="161"/>
      <c r="AET9" s="161"/>
      <c r="AEU9" s="161"/>
      <c r="AEV9" s="161"/>
      <c r="AEW9" s="161"/>
      <c r="AEX9" s="161"/>
      <c r="AEY9" s="161"/>
      <c r="AEZ9" s="161"/>
      <c r="AFA9" s="161"/>
      <c r="AFB9" s="161"/>
      <c r="AFC9" s="161"/>
      <c r="AFD9" s="161"/>
      <c r="AFE9" s="161"/>
      <c r="AFF9" s="161"/>
      <c r="AFG9" s="161"/>
      <c r="AFH9" s="161"/>
      <c r="AFI9" s="161"/>
      <c r="AFJ9" s="161"/>
      <c r="AFK9" s="161"/>
      <c r="AFL9" s="161"/>
      <c r="AFM9" s="161"/>
      <c r="AFN9" s="161"/>
      <c r="AFO9" s="161"/>
      <c r="AFP9" s="161"/>
      <c r="AFQ9" s="161"/>
      <c r="AFR9" s="161"/>
      <c r="AFS9" s="161"/>
      <c r="AFT9" s="161"/>
      <c r="AFU9" s="161"/>
      <c r="AFV9" s="161"/>
      <c r="AFW9" s="161"/>
      <c r="AFX9" s="161"/>
      <c r="AFY9" s="161"/>
      <c r="AFZ9" s="161"/>
      <c r="AGA9" s="161"/>
      <c r="AGB9" s="161"/>
      <c r="AGC9" s="161"/>
      <c r="AGD9" s="161"/>
      <c r="AGE9" s="161"/>
      <c r="AGF9" s="161"/>
      <c r="AGG9" s="161"/>
      <c r="AGH9" s="161"/>
      <c r="AGI9" s="161"/>
      <c r="AGJ9" s="161"/>
      <c r="AGK9" s="161"/>
      <c r="AGL9" s="161"/>
      <c r="AGM9" s="161"/>
      <c r="AGN9" s="161"/>
      <c r="AGO9" s="161"/>
      <c r="AGP9" s="161"/>
      <c r="AGQ9" s="161"/>
      <c r="AGR9" s="161"/>
      <c r="AGS9" s="161"/>
      <c r="AGT9" s="161"/>
      <c r="AGU9" s="161"/>
      <c r="AGV9" s="161"/>
      <c r="AGW9" s="161"/>
      <c r="AGX9" s="161"/>
      <c r="AGY9" s="161"/>
      <c r="AGZ9" s="161"/>
      <c r="AHA9" s="161"/>
      <c r="AHB9" s="161"/>
      <c r="AHC9" s="161"/>
      <c r="AHD9" s="161"/>
      <c r="AHE9" s="161"/>
      <c r="AHF9" s="161"/>
      <c r="AHG9" s="161"/>
      <c r="AHH9" s="161"/>
      <c r="AHI9" s="161"/>
      <c r="AHJ9" s="161"/>
      <c r="AHK9" s="161"/>
      <c r="AHL9" s="161"/>
      <c r="AHM9" s="161"/>
      <c r="AHN9" s="161"/>
      <c r="AHO9" s="161"/>
      <c r="AHP9" s="161"/>
      <c r="AHQ9" s="161"/>
      <c r="AHR9" s="161"/>
      <c r="AHS9" s="161"/>
      <c r="AHT9" s="161"/>
      <c r="AHU9" s="161"/>
      <c r="AHV9" s="161"/>
      <c r="AHW9" s="161"/>
      <c r="AHX9" s="161"/>
      <c r="AHY9" s="161"/>
      <c r="AHZ9" s="161"/>
      <c r="AIA9" s="161"/>
      <c r="AIB9" s="161"/>
      <c r="AIC9" s="161"/>
      <c r="AID9" s="161"/>
      <c r="AIE9" s="161"/>
      <c r="AIF9" s="161"/>
      <c r="AIG9" s="161"/>
      <c r="AIH9" s="161"/>
      <c r="AII9" s="161"/>
      <c r="AIJ9" s="161"/>
      <c r="AIK9" s="161"/>
      <c r="AIL9" s="161"/>
      <c r="AIM9" s="161"/>
      <c r="AIN9" s="161"/>
      <c r="AIO9" s="161"/>
      <c r="AIP9" s="161"/>
      <c r="AIQ9" s="161"/>
      <c r="AIR9" s="161"/>
      <c r="AIS9" s="161"/>
      <c r="AIT9" s="161"/>
      <c r="AIU9" s="161"/>
      <c r="AIV9" s="161"/>
      <c r="AIW9" s="161"/>
      <c r="AIX9" s="161"/>
      <c r="AIY9" s="161"/>
      <c r="AIZ9" s="161"/>
      <c r="AJA9" s="161"/>
      <c r="AJB9" s="161"/>
      <c r="AJC9" s="161"/>
      <c r="AJD9" s="161"/>
      <c r="AJE9" s="161"/>
      <c r="AJF9" s="161"/>
      <c r="AJG9" s="161"/>
      <c r="AJH9" s="161"/>
      <c r="AJI9" s="161"/>
      <c r="AJJ9" s="161"/>
      <c r="AJK9" s="161"/>
      <c r="AJL9" s="161"/>
      <c r="AJM9" s="161"/>
      <c r="AJN9" s="161"/>
      <c r="AJO9" s="161"/>
      <c r="AJP9" s="161"/>
      <c r="AJQ9" s="161"/>
      <c r="AJR9" s="161"/>
      <c r="AJS9" s="161"/>
      <c r="AJT9" s="161"/>
      <c r="AJU9" s="161"/>
      <c r="AJV9" s="161"/>
      <c r="AJW9" s="161"/>
      <c r="AJX9" s="161"/>
      <c r="AJY9" s="161"/>
      <c r="AJZ9" s="161"/>
      <c r="AKA9" s="161"/>
      <c r="AKB9" s="161"/>
      <c r="AKC9" s="161"/>
      <c r="AKD9" s="161"/>
      <c r="AKE9" s="161"/>
      <c r="AKF9" s="161"/>
      <c r="AKG9" s="161"/>
      <c r="AKH9" s="161"/>
      <c r="AKI9" s="161"/>
      <c r="AKJ9" s="161"/>
      <c r="AKK9" s="161"/>
      <c r="AKL9" s="161"/>
      <c r="AKM9" s="161"/>
      <c r="AKN9" s="161"/>
      <c r="AKO9" s="161"/>
      <c r="AKP9" s="161"/>
      <c r="AKQ9" s="161"/>
      <c r="AKR9" s="161"/>
      <c r="AKS9" s="161"/>
      <c r="AKT9" s="161"/>
      <c r="AKU9" s="161"/>
      <c r="AKV9" s="161"/>
      <c r="AKW9" s="161"/>
      <c r="AKX9" s="161"/>
      <c r="AKY9" s="161"/>
      <c r="AKZ9" s="161"/>
      <c r="ALA9" s="161"/>
      <c r="ALB9" s="161"/>
      <c r="ALC9" s="161"/>
      <c r="ALD9" s="161"/>
      <c r="ALE9" s="161"/>
      <c r="ALF9" s="161"/>
      <c r="ALG9" s="161"/>
      <c r="ALH9" s="161"/>
      <c r="ALI9" s="161"/>
      <c r="ALJ9" s="161"/>
      <c r="ALK9" s="161"/>
      <c r="ALL9" s="161"/>
      <c r="ALM9" s="161"/>
      <c r="ALN9" s="161"/>
      <c r="ALO9" s="161"/>
      <c r="ALP9" s="161"/>
      <c r="ALQ9" s="161"/>
      <c r="ALR9" s="161"/>
      <c r="ALS9" s="161"/>
      <c r="ALT9" s="161"/>
      <c r="ALU9" s="161"/>
      <c r="ALV9" s="161"/>
      <c r="ALW9" s="161"/>
      <c r="ALX9" s="161"/>
      <c r="ALY9" s="161"/>
      <c r="ALZ9" s="161"/>
      <c r="AMA9" s="161"/>
      <c r="AMB9" s="161"/>
      <c r="AMC9" s="161"/>
      <c r="AMD9" s="161"/>
      <c r="AME9" s="161"/>
      <c r="AMF9" s="161"/>
      <c r="AMG9" s="161"/>
      <c r="AMH9" s="161"/>
      <c r="AMI9" s="161"/>
      <c r="AMJ9" s="161"/>
    </row>
    <row r="10" spans="1:1024" s="162" customFormat="1" ht="12.75" x14ac:dyDescent="0.2">
      <c r="A10" s="163"/>
      <c r="B10" s="164"/>
      <c r="C10" s="186"/>
      <c r="D10" s="182"/>
      <c r="E10" s="164"/>
      <c r="F10" s="164"/>
      <c r="G10" s="164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R10" s="161"/>
      <c r="S10" s="161"/>
      <c r="T10" s="161"/>
      <c r="U10" s="161"/>
      <c r="V10" s="165"/>
      <c r="X10" s="161"/>
      <c r="Y10" s="161"/>
      <c r="Z10" s="161"/>
      <c r="AA10" s="161"/>
      <c r="AB10" s="161"/>
      <c r="AC10" s="161"/>
      <c r="AD10" s="161"/>
      <c r="AE10" s="161"/>
      <c r="AF10" s="161"/>
      <c r="AG10" s="167"/>
      <c r="AH10" s="161"/>
      <c r="AI10" s="161"/>
      <c r="AJ10" s="161"/>
      <c r="AK10" s="161"/>
      <c r="AL10" s="161"/>
      <c r="AM10" s="161"/>
      <c r="AN10" s="161"/>
      <c r="AO10" s="161"/>
      <c r="AP10" s="161"/>
      <c r="AQ10" s="161"/>
      <c r="AR10" s="161"/>
      <c r="AS10" s="161"/>
      <c r="AT10" s="161"/>
      <c r="AU10" s="161"/>
      <c r="AV10" s="161"/>
      <c r="AW10" s="161"/>
      <c r="AX10" s="161"/>
      <c r="AY10" s="161"/>
      <c r="AZ10" s="161"/>
      <c r="BA10" s="161"/>
      <c r="BB10" s="161"/>
      <c r="BC10" s="161"/>
      <c r="BD10" s="161"/>
      <c r="BE10" s="161"/>
      <c r="BF10" s="161"/>
      <c r="BG10" s="161"/>
      <c r="BH10" s="161"/>
      <c r="BI10" s="161"/>
      <c r="BJ10" s="161"/>
      <c r="BK10" s="161"/>
      <c r="BL10" s="161"/>
      <c r="BM10" s="161"/>
      <c r="BN10" s="161"/>
      <c r="BO10" s="161"/>
      <c r="BP10" s="161"/>
      <c r="BQ10" s="161"/>
      <c r="BR10" s="161"/>
      <c r="BS10" s="161"/>
      <c r="BT10" s="161"/>
      <c r="BU10" s="161"/>
      <c r="BV10" s="161"/>
      <c r="BW10" s="161"/>
      <c r="BX10" s="161"/>
      <c r="BY10" s="161"/>
      <c r="BZ10" s="161"/>
      <c r="CA10" s="161"/>
      <c r="CB10" s="161"/>
      <c r="CC10" s="161"/>
      <c r="CD10" s="161"/>
      <c r="CE10" s="161"/>
      <c r="CF10" s="161"/>
      <c r="CG10" s="161"/>
      <c r="CH10" s="161"/>
      <c r="CI10" s="161"/>
      <c r="CJ10" s="161"/>
      <c r="CK10" s="161"/>
      <c r="CL10" s="161"/>
      <c r="CM10" s="161"/>
      <c r="CN10" s="161"/>
      <c r="CO10" s="161"/>
      <c r="CP10" s="161"/>
      <c r="CQ10" s="161"/>
      <c r="CR10" s="161"/>
      <c r="CS10" s="161"/>
      <c r="CT10" s="161"/>
      <c r="CU10" s="161"/>
      <c r="CV10" s="161"/>
      <c r="CW10" s="161"/>
      <c r="CX10" s="161"/>
      <c r="CY10" s="161"/>
      <c r="CZ10" s="161"/>
      <c r="DA10" s="161"/>
      <c r="DB10" s="161"/>
      <c r="DC10" s="161"/>
      <c r="DD10" s="161"/>
      <c r="DE10" s="161"/>
      <c r="DF10" s="161"/>
      <c r="DG10" s="161"/>
      <c r="DH10" s="161"/>
      <c r="DI10" s="161"/>
      <c r="DJ10" s="161"/>
      <c r="DK10" s="161"/>
      <c r="DL10" s="161"/>
      <c r="DM10" s="161"/>
      <c r="DN10" s="161"/>
      <c r="DO10" s="161"/>
      <c r="DP10" s="161"/>
      <c r="DQ10" s="161"/>
      <c r="DR10" s="161"/>
      <c r="DS10" s="161"/>
      <c r="DT10" s="161"/>
      <c r="DU10" s="161"/>
      <c r="DV10" s="161"/>
      <c r="DW10" s="161"/>
      <c r="DX10" s="161"/>
      <c r="DY10" s="161"/>
      <c r="DZ10" s="161"/>
      <c r="EA10" s="161"/>
      <c r="EB10" s="161"/>
      <c r="EC10" s="161"/>
      <c r="ED10" s="161"/>
      <c r="EE10" s="161"/>
      <c r="EF10" s="161"/>
      <c r="EG10" s="161"/>
      <c r="EH10" s="161"/>
      <c r="EI10" s="161"/>
      <c r="EJ10" s="161"/>
      <c r="EK10" s="161"/>
      <c r="EL10" s="161"/>
      <c r="EM10" s="161"/>
      <c r="EN10" s="161"/>
      <c r="EO10" s="161"/>
      <c r="EP10" s="161"/>
      <c r="EQ10" s="161"/>
      <c r="ER10" s="161"/>
      <c r="ES10" s="161"/>
      <c r="ET10" s="161"/>
      <c r="EU10" s="161"/>
      <c r="EV10" s="161"/>
      <c r="EW10" s="161"/>
      <c r="EX10" s="161"/>
      <c r="EY10" s="161"/>
      <c r="EZ10" s="161"/>
      <c r="FA10" s="161"/>
      <c r="FB10" s="161"/>
      <c r="FC10" s="161"/>
      <c r="FD10" s="161"/>
      <c r="FE10" s="161"/>
      <c r="FF10" s="161"/>
      <c r="FG10" s="161"/>
      <c r="FH10" s="161"/>
      <c r="FI10" s="161"/>
      <c r="FJ10" s="161"/>
      <c r="FK10" s="161"/>
      <c r="FL10" s="161"/>
      <c r="FM10" s="161"/>
      <c r="FN10" s="161"/>
      <c r="FO10" s="161"/>
      <c r="FP10" s="161"/>
      <c r="FQ10" s="161"/>
      <c r="FR10" s="161"/>
      <c r="FS10" s="161"/>
      <c r="FT10" s="161"/>
      <c r="FU10" s="161"/>
      <c r="FV10" s="161"/>
      <c r="FW10" s="161"/>
      <c r="FX10" s="161"/>
      <c r="FY10" s="161"/>
      <c r="FZ10" s="161"/>
      <c r="GA10" s="161"/>
      <c r="GB10" s="161"/>
      <c r="GC10" s="161"/>
      <c r="GD10" s="161"/>
      <c r="GE10" s="161"/>
      <c r="GF10" s="161"/>
      <c r="GG10" s="161"/>
      <c r="GH10" s="161"/>
      <c r="GI10" s="161"/>
      <c r="GJ10" s="161"/>
      <c r="GK10" s="161"/>
      <c r="GL10" s="161"/>
      <c r="GM10" s="161"/>
      <c r="GN10" s="161"/>
      <c r="GO10" s="161"/>
      <c r="GP10" s="161"/>
      <c r="GQ10" s="161"/>
      <c r="GR10" s="161"/>
      <c r="GS10" s="161"/>
      <c r="GT10" s="161"/>
      <c r="GU10" s="161"/>
      <c r="GV10" s="161"/>
      <c r="GW10" s="161"/>
      <c r="GX10" s="161"/>
      <c r="GY10" s="161"/>
      <c r="GZ10" s="161"/>
      <c r="HA10" s="161"/>
      <c r="HB10" s="161"/>
      <c r="HC10" s="161"/>
      <c r="HD10" s="161"/>
      <c r="HE10" s="161"/>
      <c r="HF10" s="161"/>
      <c r="HG10" s="161"/>
      <c r="HH10" s="161"/>
      <c r="HI10" s="161"/>
      <c r="HJ10" s="161"/>
      <c r="HK10" s="161"/>
      <c r="HL10" s="161"/>
      <c r="HM10" s="161"/>
      <c r="HN10" s="161"/>
      <c r="HO10" s="161"/>
      <c r="HP10" s="161"/>
      <c r="HQ10" s="161"/>
      <c r="HR10" s="161"/>
      <c r="HS10" s="161"/>
      <c r="HT10" s="161"/>
      <c r="HU10" s="161"/>
      <c r="HV10" s="161"/>
      <c r="HW10" s="161"/>
      <c r="HX10" s="161"/>
      <c r="HY10" s="161"/>
      <c r="HZ10" s="161"/>
      <c r="IA10" s="161"/>
      <c r="IB10" s="161"/>
      <c r="IC10" s="161"/>
      <c r="ID10" s="161"/>
      <c r="IE10" s="161"/>
      <c r="IF10" s="161"/>
      <c r="IG10" s="161"/>
      <c r="IH10" s="161"/>
      <c r="II10" s="161"/>
      <c r="IJ10" s="161"/>
      <c r="IK10" s="161"/>
      <c r="IL10" s="161"/>
      <c r="IM10" s="161"/>
      <c r="IN10" s="161"/>
      <c r="IO10" s="161"/>
      <c r="IP10" s="161"/>
      <c r="IQ10" s="161"/>
      <c r="IR10" s="161"/>
      <c r="IS10" s="161"/>
      <c r="IT10" s="161"/>
      <c r="IU10" s="161"/>
      <c r="IV10" s="161"/>
      <c r="IW10" s="161"/>
      <c r="IX10" s="161"/>
      <c r="IY10" s="161"/>
      <c r="IZ10" s="161"/>
      <c r="JA10" s="161"/>
      <c r="JB10" s="161"/>
      <c r="JC10" s="161"/>
      <c r="JD10" s="161"/>
      <c r="JE10" s="161"/>
      <c r="JF10" s="161"/>
      <c r="JG10" s="161"/>
      <c r="JH10" s="161"/>
      <c r="JI10" s="161"/>
      <c r="JJ10" s="161"/>
      <c r="JK10" s="161"/>
      <c r="JL10" s="161"/>
      <c r="JM10" s="161"/>
      <c r="JN10" s="161"/>
      <c r="JO10" s="161"/>
      <c r="JP10" s="161"/>
      <c r="JQ10" s="161"/>
      <c r="JR10" s="161"/>
      <c r="JS10" s="161"/>
      <c r="JT10" s="161"/>
      <c r="JU10" s="161"/>
      <c r="JV10" s="161"/>
      <c r="JW10" s="161"/>
      <c r="JX10" s="161"/>
      <c r="JY10" s="161"/>
      <c r="JZ10" s="161"/>
      <c r="KA10" s="161"/>
      <c r="KB10" s="161"/>
      <c r="KC10" s="161"/>
      <c r="KD10" s="161"/>
      <c r="KE10" s="161"/>
      <c r="KF10" s="161"/>
      <c r="KG10" s="161"/>
      <c r="KH10" s="161"/>
      <c r="KI10" s="161"/>
      <c r="KJ10" s="161"/>
      <c r="KK10" s="161"/>
      <c r="KL10" s="161"/>
      <c r="KM10" s="161"/>
      <c r="KN10" s="161"/>
      <c r="KO10" s="161"/>
      <c r="KP10" s="161"/>
      <c r="KQ10" s="161"/>
      <c r="KR10" s="161"/>
      <c r="KS10" s="161"/>
      <c r="KT10" s="161"/>
      <c r="KU10" s="161"/>
      <c r="KV10" s="161"/>
      <c r="KW10" s="161"/>
      <c r="KX10" s="161"/>
      <c r="KY10" s="161"/>
      <c r="KZ10" s="161"/>
      <c r="LA10" s="161"/>
      <c r="LB10" s="161"/>
      <c r="LC10" s="161"/>
      <c r="LD10" s="161"/>
      <c r="LE10" s="161"/>
      <c r="LF10" s="161"/>
      <c r="LG10" s="161"/>
      <c r="LH10" s="161"/>
      <c r="LI10" s="161"/>
      <c r="LJ10" s="161"/>
      <c r="LK10" s="161"/>
      <c r="LL10" s="161"/>
      <c r="LM10" s="161"/>
      <c r="LN10" s="161"/>
      <c r="LO10" s="161"/>
      <c r="LP10" s="161"/>
      <c r="LQ10" s="161"/>
      <c r="LR10" s="161"/>
      <c r="LS10" s="161"/>
      <c r="LT10" s="161"/>
      <c r="LU10" s="161"/>
      <c r="LV10" s="161"/>
      <c r="LW10" s="161"/>
      <c r="LX10" s="161"/>
      <c r="LY10" s="161"/>
      <c r="LZ10" s="161"/>
      <c r="MA10" s="161"/>
      <c r="MB10" s="161"/>
      <c r="MC10" s="161"/>
      <c r="MD10" s="161"/>
      <c r="ME10" s="161"/>
      <c r="MF10" s="161"/>
      <c r="MG10" s="161"/>
      <c r="MH10" s="161"/>
      <c r="MI10" s="161"/>
      <c r="MJ10" s="161"/>
      <c r="MK10" s="161"/>
      <c r="ML10" s="161"/>
      <c r="MM10" s="161"/>
      <c r="MN10" s="161"/>
      <c r="MO10" s="161"/>
      <c r="MP10" s="161"/>
      <c r="MQ10" s="161"/>
      <c r="MR10" s="161"/>
      <c r="MS10" s="161"/>
      <c r="MT10" s="161"/>
      <c r="MU10" s="161"/>
      <c r="MV10" s="161"/>
      <c r="MW10" s="161"/>
      <c r="MX10" s="161"/>
      <c r="MY10" s="161"/>
      <c r="MZ10" s="161"/>
      <c r="NA10" s="161"/>
      <c r="NB10" s="161"/>
      <c r="NC10" s="161"/>
      <c r="ND10" s="161"/>
      <c r="NE10" s="161"/>
      <c r="NF10" s="161"/>
      <c r="NG10" s="161"/>
      <c r="NH10" s="161"/>
      <c r="NI10" s="161"/>
      <c r="NJ10" s="161"/>
      <c r="NK10" s="161"/>
      <c r="NL10" s="161"/>
      <c r="NM10" s="161"/>
      <c r="NN10" s="161"/>
      <c r="NO10" s="161"/>
      <c r="NP10" s="161"/>
      <c r="NQ10" s="161"/>
      <c r="NR10" s="161"/>
      <c r="NS10" s="161"/>
      <c r="NT10" s="161"/>
      <c r="NU10" s="161"/>
      <c r="NV10" s="161"/>
      <c r="NW10" s="161"/>
      <c r="NX10" s="161"/>
      <c r="NY10" s="161"/>
      <c r="NZ10" s="161"/>
      <c r="OA10" s="161"/>
      <c r="OB10" s="161"/>
      <c r="OC10" s="161"/>
      <c r="OD10" s="161"/>
      <c r="OE10" s="161"/>
      <c r="OF10" s="161"/>
      <c r="OG10" s="161"/>
      <c r="OH10" s="161"/>
      <c r="OI10" s="161"/>
      <c r="OJ10" s="161"/>
      <c r="OK10" s="161"/>
      <c r="OL10" s="161"/>
      <c r="OM10" s="161"/>
      <c r="ON10" s="161"/>
      <c r="OO10" s="161"/>
      <c r="OP10" s="161"/>
      <c r="OQ10" s="161"/>
      <c r="OR10" s="161"/>
      <c r="OS10" s="161"/>
      <c r="OT10" s="161"/>
      <c r="OU10" s="161"/>
      <c r="OV10" s="161"/>
      <c r="OW10" s="161"/>
      <c r="OX10" s="161"/>
      <c r="OY10" s="161"/>
      <c r="OZ10" s="161"/>
      <c r="PA10" s="161"/>
      <c r="PB10" s="161"/>
      <c r="PC10" s="161"/>
      <c r="PD10" s="161"/>
      <c r="PE10" s="161"/>
      <c r="PF10" s="161"/>
      <c r="PG10" s="161"/>
      <c r="PH10" s="161"/>
      <c r="PI10" s="161"/>
      <c r="PJ10" s="161"/>
      <c r="PK10" s="161"/>
      <c r="PL10" s="161"/>
      <c r="PM10" s="161"/>
      <c r="PN10" s="161"/>
      <c r="PO10" s="161"/>
      <c r="PP10" s="161"/>
      <c r="PQ10" s="161"/>
      <c r="PR10" s="161"/>
      <c r="PS10" s="161"/>
      <c r="PT10" s="161"/>
      <c r="PU10" s="161"/>
      <c r="PV10" s="161"/>
      <c r="PW10" s="161"/>
      <c r="PX10" s="161"/>
      <c r="PY10" s="161"/>
      <c r="PZ10" s="161"/>
      <c r="QA10" s="161"/>
      <c r="QB10" s="161"/>
      <c r="QC10" s="161"/>
      <c r="QD10" s="161"/>
      <c r="QE10" s="161"/>
      <c r="QF10" s="161"/>
      <c r="QG10" s="161"/>
      <c r="QH10" s="161"/>
      <c r="QI10" s="161"/>
      <c r="QJ10" s="161"/>
      <c r="QK10" s="161"/>
      <c r="QL10" s="161"/>
      <c r="QM10" s="161"/>
      <c r="QN10" s="161"/>
      <c r="QO10" s="161"/>
      <c r="QP10" s="161"/>
      <c r="QQ10" s="161"/>
      <c r="QR10" s="161"/>
      <c r="QS10" s="161"/>
      <c r="QT10" s="161"/>
      <c r="QU10" s="161"/>
      <c r="QV10" s="161"/>
      <c r="QW10" s="161"/>
      <c r="QX10" s="161"/>
      <c r="QY10" s="161"/>
      <c r="QZ10" s="161"/>
      <c r="RA10" s="161"/>
      <c r="RB10" s="161"/>
      <c r="RC10" s="161"/>
      <c r="RD10" s="161"/>
      <c r="RE10" s="161"/>
      <c r="RF10" s="161"/>
      <c r="RG10" s="161"/>
      <c r="RH10" s="161"/>
      <c r="RI10" s="161"/>
      <c r="RJ10" s="161"/>
      <c r="RK10" s="161"/>
      <c r="RL10" s="161"/>
      <c r="RM10" s="161"/>
      <c r="RN10" s="161"/>
      <c r="RO10" s="161"/>
      <c r="RP10" s="161"/>
      <c r="RQ10" s="161"/>
      <c r="RR10" s="161"/>
      <c r="RS10" s="161"/>
      <c r="RT10" s="161"/>
      <c r="RU10" s="161"/>
      <c r="RV10" s="161"/>
      <c r="RW10" s="161"/>
      <c r="RX10" s="161"/>
      <c r="RY10" s="161"/>
      <c r="RZ10" s="161"/>
      <c r="SA10" s="161"/>
      <c r="SB10" s="161"/>
      <c r="SC10" s="161"/>
      <c r="SD10" s="161"/>
      <c r="SE10" s="161"/>
      <c r="SF10" s="161"/>
      <c r="SG10" s="161"/>
      <c r="SH10" s="161"/>
      <c r="SI10" s="161"/>
      <c r="SJ10" s="161"/>
      <c r="SK10" s="161"/>
      <c r="SL10" s="161"/>
      <c r="SM10" s="161"/>
      <c r="SN10" s="161"/>
      <c r="SO10" s="161"/>
      <c r="SP10" s="161"/>
      <c r="SQ10" s="161"/>
      <c r="SR10" s="161"/>
      <c r="SS10" s="161"/>
      <c r="ST10" s="161"/>
      <c r="SU10" s="161"/>
      <c r="SV10" s="161"/>
      <c r="SW10" s="161"/>
      <c r="SX10" s="161"/>
      <c r="SY10" s="161"/>
      <c r="SZ10" s="161"/>
      <c r="TA10" s="161"/>
      <c r="TB10" s="161"/>
      <c r="TC10" s="161"/>
      <c r="TD10" s="161"/>
      <c r="TE10" s="161"/>
      <c r="TF10" s="161"/>
      <c r="TG10" s="161"/>
      <c r="TH10" s="161"/>
      <c r="TI10" s="161"/>
      <c r="TJ10" s="161"/>
      <c r="TK10" s="161"/>
      <c r="TL10" s="161"/>
      <c r="TM10" s="161"/>
      <c r="TN10" s="161"/>
      <c r="TO10" s="161"/>
      <c r="TP10" s="161"/>
      <c r="TQ10" s="161"/>
      <c r="TR10" s="161"/>
      <c r="TS10" s="161"/>
      <c r="TT10" s="161"/>
      <c r="TU10" s="161"/>
      <c r="TV10" s="161"/>
      <c r="TW10" s="161"/>
      <c r="TX10" s="161"/>
      <c r="TY10" s="161"/>
      <c r="TZ10" s="161"/>
      <c r="UA10" s="161"/>
      <c r="UB10" s="161"/>
      <c r="UC10" s="161"/>
      <c r="UD10" s="161"/>
      <c r="UE10" s="161"/>
      <c r="UF10" s="161"/>
      <c r="UG10" s="161"/>
      <c r="UH10" s="161"/>
      <c r="UI10" s="161"/>
      <c r="UJ10" s="161"/>
      <c r="UK10" s="161"/>
      <c r="UL10" s="161"/>
      <c r="UM10" s="161"/>
      <c r="UN10" s="161"/>
      <c r="UO10" s="161"/>
      <c r="UP10" s="161"/>
      <c r="UQ10" s="161"/>
      <c r="UR10" s="161"/>
      <c r="US10" s="161"/>
      <c r="UT10" s="161"/>
      <c r="UU10" s="161"/>
      <c r="UV10" s="161"/>
      <c r="UW10" s="161"/>
      <c r="UX10" s="161"/>
      <c r="UY10" s="161"/>
      <c r="UZ10" s="161"/>
      <c r="VA10" s="161"/>
      <c r="VB10" s="161"/>
      <c r="VC10" s="161"/>
      <c r="VD10" s="161"/>
      <c r="VE10" s="161"/>
      <c r="VF10" s="161"/>
      <c r="VG10" s="161"/>
      <c r="VH10" s="161"/>
      <c r="VI10" s="161"/>
      <c r="VJ10" s="161"/>
      <c r="VK10" s="161"/>
      <c r="VL10" s="161"/>
      <c r="VM10" s="161"/>
      <c r="VN10" s="161"/>
      <c r="VO10" s="161"/>
      <c r="VP10" s="161"/>
      <c r="VQ10" s="161"/>
      <c r="VR10" s="161"/>
      <c r="VS10" s="161"/>
      <c r="VT10" s="161"/>
      <c r="VU10" s="161"/>
      <c r="VV10" s="161"/>
      <c r="VW10" s="161"/>
      <c r="VX10" s="161"/>
      <c r="VY10" s="161"/>
      <c r="VZ10" s="161"/>
      <c r="WA10" s="161"/>
      <c r="WB10" s="161"/>
      <c r="WC10" s="161"/>
      <c r="WD10" s="161"/>
      <c r="WE10" s="161"/>
      <c r="WF10" s="161"/>
      <c r="WG10" s="161"/>
      <c r="WH10" s="161"/>
      <c r="WI10" s="161"/>
      <c r="WJ10" s="161"/>
      <c r="WK10" s="161"/>
      <c r="WL10" s="161"/>
      <c r="WM10" s="161"/>
      <c r="WN10" s="161"/>
      <c r="WO10" s="161"/>
      <c r="WP10" s="161"/>
      <c r="WQ10" s="161"/>
      <c r="WR10" s="161"/>
      <c r="WS10" s="161"/>
      <c r="WT10" s="161"/>
      <c r="WU10" s="161"/>
      <c r="WV10" s="161"/>
      <c r="WW10" s="161"/>
      <c r="WX10" s="161"/>
      <c r="WY10" s="161"/>
      <c r="WZ10" s="161"/>
      <c r="XA10" s="161"/>
      <c r="XB10" s="161"/>
      <c r="XC10" s="161"/>
      <c r="XD10" s="161"/>
      <c r="XE10" s="161"/>
      <c r="XF10" s="161"/>
      <c r="XG10" s="161"/>
      <c r="XH10" s="161"/>
      <c r="XI10" s="161"/>
      <c r="XJ10" s="161"/>
      <c r="XK10" s="161"/>
      <c r="XL10" s="161"/>
      <c r="XM10" s="161"/>
      <c r="XN10" s="161"/>
      <c r="XO10" s="161"/>
      <c r="XP10" s="161"/>
      <c r="XQ10" s="161"/>
      <c r="XR10" s="161"/>
      <c r="XS10" s="161"/>
      <c r="XT10" s="161"/>
      <c r="XU10" s="161"/>
      <c r="XV10" s="161"/>
      <c r="XW10" s="161"/>
      <c r="XX10" s="161"/>
      <c r="XY10" s="161"/>
      <c r="XZ10" s="161"/>
      <c r="YA10" s="161"/>
      <c r="YB10" s="161"/>
      <c r="YC10" s="161"/>
      <c r="YD10" s="161"/>
      <c r="YE10" s="161"/>
      <c r="YF10" s="161"/>
      <c r="YG10" s="161"/>
      <c r="YH10" s="161"/>
      <c r="YI10" s="161"/>
      <c r="YJ10" s="161"/>
      <c r="YK10" s="161"/>
      <c r="YL10" s="161"/>
      <c r="YM10" s="161"/>
      <c r="YN10" s="161"/>
      <c r="YO10" s="161"/>
      <c r="YP10" s="161"/>
      <c r="YQ10" s="161"/>
      <c r="YR10" s="161"/>
      <c r="YS10" s="161"/>
      <c r="YT10" s="161"/>
      <c r="YU10" s="161"/>
      <c r="YV10" s="161"/>
      <c r="YW10" s="161"/>
      <c r="YX10" s="161"/>
      <c r="YY10" s="161"/>
      <c r="YZ10" s="161"/>
      <c r="ZA10" s="161"/>
      <c r="ZB10" s="161"/>
      <c r="ZC10" s="161"/>
      <c r="ZD10" s="161"/>
      <c r="ZE10" s="161"/>
      <c r="ZF10" s="161"/>
      <c r="ZG10" s="161"/>
      <c r="ZH10" s="161"/>
      <c r="ZI10" s="161"/>
      <c r="ZJ10" s="161"/>
      <c r="ZK10" s="161"/>
      <c r="ZL10" s="161"/>
      <c r="ZM10" s="161"/>
      <c r="ZN10" s="161"/>
      <c r="ZO10" s="161"/>
      <c r="ZP10" s="161"/>
      <c r="ZQ10" s="161"/>
      <c r="ZR10" s="161"/>
      <c r="ZS10" s="161"/>
      <c r="ZT10" s="161"/>
      <c r="ZU10" s="161"/>
      <c r="ZV10" s="161"/>
      <c r="ZW10" s="161"/>
      <c r="ZX10" s="161"/>
      <c r="ZY10" s="161"/>
      <c r="ZZ10" s="161"/>
      <c r="AAA10" s="161"/>
      <c r="AAB10" s="161"/>
      <c r="AAC10" s="161"/>
      <c r="AAD10" s="161"/>
      <c r="AAE10" s="161"/>
      <c r="AAF10" s="161"/>
      <c r="AAG10" s="161"/>
      <c r="AAH10" s="161"/>
      <c r="AAI10" s="161"/>
      <c r="AAJ10" s="161"/>
      <c r="AAK10" s="161"/>
      <c r="AAL10" s="161"/>
      <c r="AAM10" s="161"/>
      <c r="AAN10" s="161"/>
      <c r="AAO10" s="161"/>
      <c r="AAP10" s="161"/>
      <c r="AAQ10" s="161"/>
      <c r="AAR10" s="161"/>
      <c r="AAS10" s="161"/>
      <c r="AAT10" s="161"/>
      <c r="AAU10" s="161"/>
      <c r="AAV10" s="161"/>
      <c r="AAW10" s="161"/>
      <c r="AAX10" s="161"/>
      <c r="AAY10" s="161"/>
      <c r="AAZ10" s="161"/>
      <c r="ABA10" s="161"/>
      <c r="ABB10" s="161"/>
      <c r="ABC10" s="161"/>
      <c r="ABD10" s="161"/>
      <c r="ABE10" s="161"/>
      <c r="ABF10" s="161"/>
      <c r="ABG10" s="161"/>
      <c r="ABH10" s="161"/>
      <c r="ABI10" s="161"/>
      <c r="ABJ10" s="161"/>
      <c r="ABK10" s="161"/>
      <c r="ABL10" s="161"/>
      <c r="ABM10" s="161"/>
      <c r="ABN10" s="161"/>
      <c r="ABO10" s="161"/>
      <c r="ABP10" s="161"/>
      <c r="ABQ10" s="161"/>
      <c r="ABR10" s="161"/>
      <c r="ABS10" s="161"/>
      <c r="ABT10" s="161"/>
      <c r="ABU10" s="161"/>
      <c r="ABV10" s="161"/>
      <c r="ABW10" s="161"/>
      <c r="ABX10" s="161"/>
      <c r="ABY10" s="161"/>
      <c r="ABZ10" s="161"/>
      <c r="ACA10" s="161"/>
      <c r="ACB10" s="161"/>
      <c r="ACC10" s="161"/>
      <c r="ACD10" s="161"/>
      <c r="ACE10" s="161"/>
      <c r="ACF10" s="161"/>
      <c r="ACG10" s="161"/>
      <c r="ACH10" s="161"/>
      <c r="ACI10" s="161"/>
      <c r="ACJ10" s="161"/>
      <c r="ACK10" s="161"/>
      <c r="ACL10" s="161"/>
      <c r="ACM10" s="161"/>
      <c r="ACN10" s="161"/>
      <c r="ACO10" s="161"/>
      <c r="ACP10" s="161"/>
      <c r="ACQ10" s="161"/>
      <c r="ACR10" s="161"/>
      <c r="ACS10" s="161"/>
      <c r="ACT10" s="161"/>
      <c r="ACU10" s="161"/>
      <c r="ACV10" s="161"/>
      <c r="ACW10" s="161"/>
      <c r="ACX10" s="161"/>
      <c r="ACY10" s="161"/>
      <c r="ACZ10" s="161"/>
      <c r="ADA10" s="161"/>
      <c r="ADB10" s="161"/>
      <c r="ADC10" s="161"/>
      <c r="ADD10" s="161"/>
      <c r="ADE10" s="161"/>
      <c r="ADF10" s="161"/>
      <c r="ADG10" s="161"/>
      <c r="ADH10" s="161"/>
      <c r="ADI10" s="161"/>
      <c r="ADJ10" s="161"/>
      <c r="ADK10" s="161"/>
      <c r="ADL10" s="161"/>
      <c r="ADM10" s="161"/>
      <c r="ADN10" s="161"/>
      <c r="ADO10" s="161"/>
      <c r="ADP10" s="161"/>
      <c r="ADQ10" s="161"/>
      <c r="ADR10" s="161"/>
      <c r="ADS10" s="161"/>
      <c r="ADT10" s="161"/>
      <c r="ADU10" s="161"/>
      <c r="ADV10" s="161"/>
      <c r="ADW10" s="161"/>
      <c r="ADX10" s="161"/>
      <c r="ADY10" s="161"/>
      <c r="ADZ10" s="161"/>
      <c r="AEA10" s="161"/>
      <c r="AEB10" s="161"/>
      <c r="AEC10" s="161"/>
      <c r="AED10" s="161"/>
      <c r="AEE10" s="161"/>
      <c r="AEF10" s="161"/>
      <c r="AEG10" s="161"/>
      <c r="AEH10" s="161"/>
      <c r="AEI10" s="161"/>
      <c r="AEJ10" s="161"/>
      <c r="AEK10" s="161"/>
      <c r="AEL10" s="161"/>
      <c r="AEM10" s="161"/>
      <c r="AEN10" s="161"/>
      <c r="AEO10" s="161"/>
      <c r="AEP10" s="161"/>
      <c r="AEQ10" s="161"/>
      <c r="AER10" s="161"/>
      <c r="AES10" s="161"/>
      <c r="AET10" s="161"/>
      <c r="AEU10" s="161"/>
      <c r="AEV10" s="161"/>
      <c r="AEW10" s="161"/>
      <c r="AEX10" s="161"/>
      <c r="AEY10" s="161"/>
      <c r="AEZ10" s="161"/>
      <c r="AFA10" s="161"/>
      <c r="AFB10" s="161"/>
      <c r="AFC10" s="161"/>
      <c r="AFD10" s="161"/>
      <c r="AFE10" s="161"/>
      <c r="AFF10" s="161"/>
      <c r="AFG10" s="161"/>
      <c r="AFH10" s="161"/>
      <c r="AFI10" s="161"/>
      <c r="AFJ10" s="161"/>
      <c r="AFK10" s="161"/>
      <c r="AFL10" s="161"/>
      <c r="AFM10" s="161"/>
      <c r="AFN10" s="161"/>
      <c r="AFO10" s="161"/>
      <c r="AFP10" s="161"/>
      <c r="AFQ10" s="161"/>
      <c r="AFR10" s="161"/>
      <c r="AFS10" s="161"/>
      <c r="AFT10" s="161"/>
      <c r="AFU10" s="161"/>
      <c r="AFV10" s="161"/>
      <c r="AFW10" s="161"/>
      <c r="AFX10" s="161"/>
      <c r="AFY10" s="161"/>
      <c r="AFZ10" s="161"/>
      <c r="AGA10" s="161"/>
      <c r="AGB10" s="161"/>
      <c r="AGC10" s="161"/>
      <c r="AGD10" s="161"/>
      <c r="AGE10" s="161"/>
      <c r="AGF10" s="161"/>
      <c r="AGG10" s="161"/>
      <c r="AGH10" s="161"/>
      <c r="AGI10" s="161"/>
      <c r="AGJ10" s="161"/>
      <c r="AGK10" s="161"/>
      <c r="AGL10" s="161"/>
      <c r="AGM10" s="161"/>
      <c r="AGN10" s="161"/>
      <c r="AGO10" s="161"/>
      <c r="AGP10" s="161"/>
      <c r="AGQ10" s="161"/>
      <c r="AGR10" s="161"/>
      <c r="AGS10" s="161"/>
      <c r="AGT10" s="161"/>
      <c r="AGU10" s="161"/>
      <c r="AGV10" s="161"/>
      <c r="AGW10" s="161"/>
      <c r="AGX10" s="161"/>
      <c r="AGY10" s="161"/>
      <c r="AGZ10" s="161"/>
      <c r="AHA10" s="161"/>
      <c r="AHB10" s="161"/>
      <c r="AHC10" s="161"/>
      <c r="AHD10" s="161"/>
      <c r="AHE10" s="161"/>
      <c r="AHF10" s="161"/>
      <c r="AHG10" s="161"/>
      <c r="AHH10" s="161"/>
      <c r="AHI10" s="161"/>
      <c r="AHJ10" s="161"/>
      <c r="AHK10" s="161"/>
      <c r="AHL10" s="161"/>
      <c r="AHM10" s="161"/>
      <c r="AHN10" s="161"/>
      <c r="AHO10" s="161"/>
      <c r="AHP10" s="161"/>
      <c r="AHQ10" s="161"/>
      <c r="AHR10" s="161"/>
      <c r="AHS10" s="161"/>
      <c r="AHT10" s="161"/>
      <c r="AHU10" s="161"/>
      <c r="AHV10" s="161"/>
      <c r="AHW10" s="161"/>
      <c r="AHX10" s="161"/>
      <c r="AHY10" s="161"/>
      <c r="AHZ10" s="161"/>
      <c r="AIA10" s="161"/>
      <c r="AIB10" s="161"/>
      <c r="AIC10" s="161"/>
      <c r="AID10" s="161"/>
      <c r="AIE10" s="161"/>
      <c r="AIF10" s="161"/>
      <c r="AIG10" s="161"/>
      <c r="AIH10" s="161"/>
      <c r="AII10" s="161"/>
      <c r="AIJ10" s="161"/>
      <c r="AIK10" s="161"/>
      <c r="AIL10" s="161"/>
      <c r="AIM10" s="161"/>
      <c r="AIN10" s="161"/>
      <c r="AIO10" s="161"/>
      <c r="AIP10" s="161"/>
      <c r="AIQ10" s="161"/>
      <c r="AIR10" s="161"/>
      <c r="AIS10" s="161"/>
      <c r="AIT10" s="161"/>
      <c r="AIU10" s="161"/>
      <c r="AIV10" s="161"/>
      <c r="AIW10" s="161"/>
      <c r="AIX10" s="161"/>
      <c r="AIY10" s="161"/>
      <c r="AIZ10" s="161"/>
      <c r="AJA10" s="161"/>
      <c r="AJB10" s="161"/>
      <c r="AJC10" s="161"/>
      <c r="AJD10" s="161"/>
      <c r="AJE10" s="161"/>
      <c r="AJF10" s="161"/>
      <c r="AJG10" s="161"/>
      <c r="AJH10" s="161"/>
      <c r="AJI10" s="161"/>
      <c r="AJJ10" s="161"/>
      <c r="AJK10" s="161"/>
      <c r="AJL10" s="161"/>
      <c r="AJM10" s="161"/>
      <c r="AJN10" s="161"/>
      <c r="AJO10" s="161"/>
      <c r="AJP10" s="161"/>
      <c r="AJQ10" s="161"/>
      <c r="AJR10" s="161"/>
      <c r="AJS10" s="161"/>
      <c r="AJT10" s="161"/>
      <c r="AJU10" s="161"/>
      <c r="AJV10" s="161"/>
      <c r="AJW10" s="161"/>
      <c r="AJX10" s="161"/>
      <c r="AJY10" s="161"/>
      <c r="AJZ10" s="161"/>
      <c r="AKA10" s="161"/>
      <c r="AKB10" s="161"/>
      <c r="AKC10" s="161"/>
      <c r="AKD10" s="161"/>
      <c r="AKE10" s="161"/>
      <c r="AKF10" s="161"/>
      <c r="AKG10" s="161"/>
      <c r="AKH10" s="161"/>
      <c r="AKI10" s="161"/>
      <c r="AKJ10" s="161"/>
      <c r="AKK10" s="161"/>
      <c r="AKL10" s="161"/>
      <c r="AKM10" s="161"/>
      <c r="AKN10" s="161"/>
      <c r="AKO10" s="161"/>
      <c r="AKP10" s="161"/>
      <c r="AKQ10" s="161"/>
      <c r="AKR10" s="161"/>
      <c r="AKS10" s="161"/>
      <c r="AKT10" s="161"/>
      <c r="AKU10" s="161"/>
      <c r="AKV10" s="161"/>
      <c r="AKW10" s="161"/>
      <c r="AKX10" s="161"/>
      <c r="AKY10" s="161"/>
      <c r="AKZ10" s="161"/>
      <c r="ALA10" s="161"/>
      <c r="ALB10" s="161"/>
      <c r="ALC10" s="161"/>
      <c r="ALD10" s="161"/>
      <c r="ALE10" s="161"/>
      <c r="ALF10" s="161"/>
      <c r="ALG10" s="161"/>
      <c r="ALH10" s="161"/>
      <c r="ALI10" s="161"/>
      <c r="ALJ10" s="161"/>
      <c r="ALK10" s="161"/>
      <c r="ALL10" s="161"/>
      <c r="ALM10" s="161"/>
      <c r="ALN10" s="161"/>
      <c r="ALO10" s="161"/>
      <c r="ALP10" s="161"/>
      <c r="ALQ10" s="161"/>
      <c r="ALR10" s="161"/>
      <c r="ALS10" s="161"/>
      <c r="ALT10" s="161"/>
      <c r="ALU10" s="161"/>
      <c r="ALV10" s="161"/>
      <c r="ALW10" s="161"/>
      <c r="ALX10" s="161"/>
      <c r="ALY10" s="161"/>
      <c r="ALZ10" s="161"/>
      <c r="AMA10" s="161"/>
      <c r="AMB10" s="161"/>
      <c r="AMC10" s="161"/>
      <c r="AMD10" s="161"/>
      <c r="AME10" s="161"/>
      <c r="AMF10" s="161"/>
      <c r="AMG10" s="161"/>
      <c r="AMH10" s="161"/>
      <c r="AMI10" s="161"/>
      <c r="AMJ10" s="161"/>
    </row>
    <row r="11" spans="1:1024" s="161" customFormat="1" ht="12.75" x14ac:dyDescent="0.2">
      <c r="A11" s="163"/>
      <c r="B11" s="178" t="s">
        <v>128</v>
      </c>
      <c r="C11" s="187">
        <v>10</v>
      </c>
      <c r="D11" s="183">
        <f>C11/C13</f>
        <v>0.33333333333333331</v>
      </c>
      <c r="E11" s="164"/>
      <c r="F11" s="164"/>
      <c r="G11" s="164"/>
      <c r="V11" s="165"/>
    </row>
    <row r="12" spans="1:1024" s="162" customFormat="1" ht="12.75" x14ac:dyDescent="0.2">
      <c r="A12" s="163"/>
      <c r="B12" s="181" t="s">
        <v>129</v>
      </c>
      <c r="C12" s="188">
        <v>20</v>
      </c>
      <c r="D12" s="184">
        <f>C12/C13</f>
        <v>0.66666666666666663</v>
      </c>
      <c r="E12" s="164"/>
      <c r="F12" s="164"/>
      <c r="G12" s="164"/>
      <c r="H12" s="161"/>
      <c r="I12" s="161"/>
      <c r="J12" s="161"/>
      <c r="K12" s="161"/>
      <c r="L12" s="161"/>
      <c r="M12" s="161"/>
      <c r="N12" s="161"/>
      <c r="O12" s="161"/>
      <c r="P12" s="161"/>
      <c r="Q12" s="161"/>
      <c r="R12" s="161"/>
      <c r="S12" s="161"/>
      <c r="T12" s="161"/>
      <c r="U12" s="161"/>
      <c r="V12" s="165"/>
      <c r="X12" s="161"/>
      <c r="Y12" s="161"/>
      <c r="Z12" s="161"/>
      <c r="AA12" s="161"/>
      <c r="AB12" s="161"/>
      <c r="AC12" s="161"/>
      <c r="AD12" s="161"/>
      <c r="AE12" s="161"/>
      <c r="AF12" s="161"/>
      <c r="AG12" s="161"/>
      <c r="AH12" s="161"/>
      <c r="AI12" s="161"/>
      <c r="AJ12" s="161"/>
      <c r="AK12" s="161"/>
      <c r="AL12" s="161"/>
      <c r="AM12" s="161"/>
      <c r="AN12" s="161"/>
      <c r="AO12" s="161"/>
      <c r="AP12" s="161"/>
      <c r="AQ12" s="161"/>
      <c r="AR12" s="161"/>
      <c r="AS12" s="161"/>
      <c r="AT12" s="161"/>
      <c r="AU12" s="161"/>
      <c r="AV12" s="161"/>
      <c r="AW12" s="161"/>
      <c r="AX12" s="161"/>
      <c r="AY12" s="161"/>
      <c r="AZ12" s="161"/>
      <c r="BA12" s="161"/>
      <c r="BB12" s="161"/>
      <c r="BC12" s="161"/>
      <c r="BD12" s="161"/>
      <c r="BE12" s="161"/>
      <c r="BF12" s="161"/>
      <c r="BG12" s="161"/>
      <c r="BH12" s="161"/>
      <c r="BI12" s="161"/>
      <c r="BJ12" s="161"/>
      <c r="BK12" s="161"/>
      <c r="BL12" s="161"/>
      <c r="BM12" s="161"/>
      <c r="BN12" s="161"/>
      <c r="BO12" s="161"/>
      <c r="BP12" s="161"/>
      <c r="BQ12" s="161"/>
      <c r="BR12" s="161"/>
      <c r="BS12" s="161"/>
      <c r="BT12" s="161"/>
      <c r="BU12" s="161"/>
      <c r="BV12" s="161"/>
      <c r="BW12" s="161"/>
      <c r="BX12" s="161"/>
      <c r="BY12" s="161"/>
      <c r="BZ12" s="161"/>
      <c r="CA12" s="161"/>
      <c r="CB12" s="161"/>
      <c r="CC12" s="161"/>
      <c r="CD12" s="161"/>
      <c r="CE12" s="161"/>
      <c r="CF12" s="161"/>
      <c r="CG12" s="161"/>
      <c r="CH12" s="161"/>
      <c r="CI12" s="161"/>
      <c r="CJ12" s="161"/>
      <c r="CK12" s="161"/>
      <c r="CL12" s="161"/>
      <c r="CM12" s="161"/>
      <c r="CN12" s="161"/>
      <c r="CO12" s="161"/>
      <c r="CP12" s="161"/>
      <c r="CQ12" s="161"/>
      <c r="CR12" s="161"/>
      <c r="CS12" s="161"/>
      <c r="CT12" s="161"/>
      <c r="CU12" s="161"/>
      <c r="CV12" s="161"/>
      <c r="CW12" s="161"/>
      <c r="CX12" s="161"/>
      <c r="CY12" s="161"/>
      <c r="CZ12" s="161"/>
      <c r="DA12" s="161"/>
      <c r="DB12" s="161"/>
      <c r="DC12" s="161"/>
      <c r="DD12" s="161"/>
      <c r="DE12" s="161"/>
      <c r="DF12" s="161"/>
      <c r="DG12" s="161"/>
      <c r="DH12" s="161"/>
      <c r="DI12" s="161"/>
      <c r="DJ12" s="161"/>
      <c r="DK12" s="161"/>
      <c r="DL12" s="161"/>
      <c r="DM12" s="161"/>
      <c r="DN12" s="161"/>
      <c r="DO12" s="161"/>
      <c r="DP12" s="161"/>
      <c r="DQ12" s="161"/>
      <c r="DR12" s="161"/>
      <c r="DS12" s="161"/>
      <c r="DT12" s="161"/>
      <c r="DU12" s="161"/>
      <c r="DV12" s="161"/>
      <c r="DW12" s="161"/>
      <c r="DX12" s="161"/>
      <c r="DY12" s="161"/>
      <c r="DZ12" s="161"/>
      <c r="EA12" s="161"/>
      <c r="EB12" s="161"/>
      <c r="EC12" s="161"/>
      <c r="ED12" s="161"/>
      <c r="EE12" s="161"/>
      <c r="EF12" s="161"/>
      <c r="EG12" s="161"/>
      <c r="EH12" s="161"/>
      <c r="EI12" s="161"/>
      <c r="EJ12" s="161"/>
      <c r="EK12" s="161"/>
      <c r="EL12" s="161"/>
      <c r="EM12" s="161"/>
      <c r="EN12" s="161"/>
      <c r="EO12" s="161"/>
      <c r="EP12" s="161"/>
      <c r="EQ12" s="161"/>
      <c r="ER12" s="161"/>
      <c r="ES12" s="161"/>
      <c r="ET12" s="161"/>
      <c r="EU12" s="161"/>
      <c r="EV12" s="161"/>
      <c r="EW12" s="161"/>
      <c r="EX12" s="161"/>
      <c r="EY12" s="161"/>
      <c r="EZ12" s="161"/>
      <c r="FA12" s="161"/>
      <c r="FB12" s="161"/>
      <c r="FC12" s="161"/>
      <c r="FD12" s="161"/>
      <c r="FE12" s="161"/>
      <c r="FF12" s="161"/>
      <c r="FG12" s="161"/>
      <c r="FH12" s="161"/>
      <c r="FI12" s="161"/>
      <c r="FJ12" s="161"/>
      <c r="FK12" s="161"/>
      <c r="FL12" s="161"/>
      <c r="FM12" s="161"/>
      <c r="FN12" s="161"/>
      <c r="FO12" s="161"/>
      <c r="FP12" s="161"/>
      <c r="FQ12" s="161"/>
      <c r="FR12" s="161"/>
      <c r="FS12" s="161"/>
      <c r="FT12" s="161"/>
      <c r="FU12" s="161"/>
      <c r="FV12" s="161"/>
      <c r="FW12" s="161"/>
      <c r="FX12" s="161"/>
      <c r="FY12" s="161"/>
      <c r="FZ12" s="161"/>
      <c r="GA12" s="161"/>
      <c r="GB12" s="161"/>
      <c r="GC12" s="161"/>
      <c r="GD12" s="161"/>
      <c r="GE12" s="161"/>
      <c r="GF12" s="161"/>
      <c r="GG12" s="161"/>
      <c r="GH12" s="161"/>
      <c r="GI12" s="161"/>
      <c r="GJ12" s="161"/>
      <c r="GK12" s="161"/>
      <c r="GL12" s="161"/>
      <c r="GM12" s="161"/>
      <c r="GN12" s="161"/>
      <c r="GO12" s="161"/>
      <c r="GP12" s="161"/>
      <c r="GQ12" s="161"/>
      <c r="GR12" s="161"/>
      <c r="GS12" s="161"/>
      <c r="GT12" s="161"/>
      <c r="GU12" s="161"/>
      <c r="GV12" s="161"/>
      <c r="GW12" s="161"/>
      <c r="GX12" s="161"/>
      <c r="GY12" s="161"/>
      <c r="GZ12" s="161"/>
      <c r="HA12" s="161"/>
      <c r="HB12" s="161"/>
      <c r="HC12" s="161"/>
      <c r="HD12" s="161"/>
      <c r="HE12" s="161"/>
      <c r="HF12" s="161"/>
      <c r="HG12" s="161"/>
      <c r="HH12" s="161"/>
      <c r="HI12" s="161"/>
      <c r="HJ12" s="161"/>
      <c r="HK12" s="161"/>
      <c r="HL12" s="161"/>
      <c r="HM12" s="161"/>
      <c r="HN12" s="161"/>
      <c r="HO12" s="161"/>
      <c r="HP12" s="161"/>
      <c r="HQ12" s="161"/>
      <c r="HR12" s="161"/>
      <c r="HS12" s="161"/>
      <c r="HT12" s="161"/>
      <c r="HU12" s="161"/>
      <c r="HV12" s="161"/>
      <c r="HW12" s="161"/>
      <c r="HX12" s="161"/>
      <c r="HY12" s="161"/>
      <c r="HZ12" s="161"/>
      <c r="IA12" s="161"/>
      <c r="IB12" s="161"/>
      <c r="IC12" s="161"/>
      <c r="ID12" s="161"/>
      <c r="IE12" s="161"/>
      <c r="IF12" s="161"/>
      <c r="IG12" s="161"/>
      <c r="IH12" s="161"/>
      <c r="II12" s="161"/>
      <c r="IJ12" s="161"/>
      <c r="IK12" s="161"/>
      <c r="IL12" s="161"/>
      <c r="IM12" s="161"/>
      <c r="IN12" s="161"/>
      <c r="IO12" s="161"/>
      <c r="IP12" s="161"/>
      <c r="IQ12" s="161"/>
      <c r="IR12" s="161"/>
      <c r="IS12" s="161"/>
      <c r="IT12" s="161"/>
      <c r="IU12" s="161"/>
      <c r="IV12" s="161"/>
      <c r="IW12" s="161"/>
      <c r="IX12" s="161"/>
      <c r="IY12" s="161"/>
      <c r="IZ12" s="161"/>
      <c r="JA12" s="161"/>
      <c r="JB12" s="161"/>
      <c r="JC12" s="161"/>
      <c r="JD12" s="161"/>
      <c r="JE12" s="161"/>
      <c r="JF12" s="161"/>
      <c r="JG12" s="161"/>
      <c r="JH12" s="161"/>
      <c r="JI12" s="161"/>
      <c r="JJ12" s="161"/>
      <c r="JK12" s="161"/>
      <c r="JL12" s="161"/>
      <c r="JM12" s="161"/>
      <c r="JN12" s="161"/>
      <c r="JO12" s="161"/>
      <c r="JP12" s="161"/>
      <c r="JQ12" s="161"/>
      <c r="JR12" s="161"/>
      <c r="JS12" s="161"/>
      <c r="JT12" s="161"/>
      <c r="JU12" s="161"/>
      <c r="JV12" s="161"/>
      <c r="JW12" s="161"/>
      <c r="JX12" s="161"/>
      <c r="JY12" s="161"/>
      <c r="JZ12" s="161"/>
      <c r="KA12" s="161"/>
      <c r="KB12" s="161"/>
      <c r="KC12" s="161"/>
      <c r="KD12" s="161"/>
      <c r="KE12" s="161"/>
      <c r="KF12" s="161"/>
      <c r="KG12" s="161"/>
      <c r="KH12" s="161"/>
      <c r="KI12" s="161"/>
      <c r="KJ12" s="161"/>
      <c r="KK12" s="161"/>
      <c r="KL12" s="161"/>
      <c r="KM12" s="161"/>
      <c r="KN12" s="161"/>
      <c r="KO12" s="161"/>
      <c r="KP12" s="161"/>
      <c r="KQ12" s="161"/>
      <c r="KR12" s="161"/>
      <c r="KS12" s="161"/>
      <c r="KT12" s="161"/>
      <c r="KU12" s="161"/>
      <c r="KV12" s="161"/>
      <c r="KW12" s="161"/>
      <c r="KX12" s="161"/>
      <c r="KY12" s="161"/>
      <c r="KZ12" s="161"/>
      <c r="LA12" s="161"/>
      <c r="LB12" s="161"/>
      <c r="LC12" s="161"/>
      <c r="LD12" s="161"/>
      <c r="LE12" s="161"/>
      <c r="LF12" s="161"/>
      <c r="LG12" s="161"/>
      <c r="LH12" s="161"/>
      <c r="LI12" s="161"/>
      <c r="LJ12" s="161"/>
      <c r="LK12" s="161"/>
      <c r="LL12" s="161"/>
      <c r="LM12" s="161"/>
      <c r="LN12" s="161"/>
      <c r="LO12" s="161"/>
      <c r="LP12" s="161"/>
      <c r="LQ12" s="161"/>
      <c r="LR12" s="161"/>
      <c r="LS12" s="161"/>
      <c r="LT12" s="161"/>
      <c r="LU12" s="161"/>
      <c r="LV12" s="161"/>
      <c r="LW12" s="161"/>
      <c r="LX12" s="161"/>
      <c r="LY12" s="161"/>
      <c r="LZ12" s="161"/>
      <c r="MA12" s="161"/>
      <c r="MB12" s="161"/>
      <c r="MC12" s="161"/>
      <c r="MD12" s="161"/>
      <c r="ME12" s="161"/>
      <c r="MF12" s="161"/>
      <c r="MG12" s="161"/>
      <c r="MH12" s="161"/>
      <c r="MI12" s="161"/>
      <c r="MJ12" s="161"/>
      <c r="MK12" s="161"/>
      <c r="ML12" s="161"/>
      <c r="MM12" s="161"/>
      <c r="MN12" s="161"/>
      <c r="MO12" s="161"/>
      <c r="MP12" s="161"/>
      <c r="MQ12" s="161"/>
      <c r="MR12" s="161"/>
      <c r="MS12" s="161"/>
      <c r="MT12" s="161"/>
      <c r="MU12" s="161"/>
      <c r="MV12" s="161"/>
      <c r="MW12" s="161"/>
      <c r="MX12" s="161"/>
      <c r="MY12" s="161"/>
      <c r="MZ12" s="161"/>
      <c r="NA12" s="161"/>
      <c r="NB12" s="161"/>
      <c r="NC12" s="161"/>
      <c r="ND12" s="161"/>
      <c r="NE12" s="161"/>
      <c r="NF12" s="161"/>
      <c r="NG12" s="161"/>
      <c r="NH12" s="161"/>
      <c r="NI12" s="161"/>
      <c r="NJ12" s="161"/>
      <c r="NK12" s="161"/>
      <c r="NL12" s="161"/>
      <c r="NM12" s="161"/>
      <c r="NN12" s="161"/>
      <c r="NO12" s="161"/>
      <c r="NP12" s="161"/>
      <c r="NQ12" s="161"/>
      <c r="NR12" s="161"/>
      <c r="NS12" s="161"/>
      <c r="NT12" s="161"/>
      <c r="NU12" s="161"/>
      <c r="NV12" s="161"/>
      <c r="NW12" s="161"/>
      <c r="NX12" s="161"/>
      <c r="NY12" s="161"/>
      <c r="NZ12" s="161"/>
      <c r="OA12" s="161"/>
      <c r="OB12" s="161"/>
      <c r="OC12" s="161"/>
      <c r="OD12" s="161"/>
      <c r="OE12" s="161"/>
      <c r="OF12" s="161"/>
      <c r="OG12" s="161"/>
      <c r="OH12" s="161"/>
      <c r="OI12" s="161"/>
      <c r="OJ12" s="161"/>
      <c r="OK12" s="161"/>
      <c r="OL12" s="161"/>
      <c r="OM12" s="161"/>
      <c r="ON12" s="161"/>
      <c r="OO12" s="161"/>
      <c r="OP12" s="161"/>
      <c r="OQ12" s="161"/>
      <c r="OR12" s="161"/>
      <c r="OS12" s="161"/>
      <c r="OT12" s="161"/>
      <c r="OU12" s="161"/>
      <c r="OV12" s="161"/>
      <c r="OW12" s="161"/>
      <c r="OX12" s="161"/>
      <c r="OY12" s="161"/>
      <c r="OZ12" s="161"/>
      <c r="PA12" s="161"/>
      <c r="PB12" s="161"/>
      <c r="PC12" s="161"/>
      <c r="PD12" s="161"/>
      <c r="PE12" s="161"/>
      <c r="PF12" s="161"/>
      <c r="PG12" s="161"/>
      <c r="PH12" s="161"/>
      <c r="PI12" s="161"/>
      <c r="PJ12" s="161"/>
      <c r="PK12" s="161"/>
      <c r="PL12" s="161"/>
      <c r="PM12" s="161"/>
      <c r="PN12" s="161"/>
      <c r="PO12" s="161"/>
      <c r="PP12" s="161"/>
      <c r="PQ12" s="161"/>
      <c r="PR12" s="161"/>
      <c r="PS12" s="161"/>
      <c r="PT12" s="161"/>
      <c r="PU12" s="161"/>
      <c r="PV12" s="161"/>
      <c r="PW12" s="161"/>
      <c r="PX12" s="161"/>
      <c r="PY12" s="161"/>
      <c r="PZ12" s="161"/>
      <c r="QA12" s="161"/>
      <c r="QB12" s="161"/>
      <c r="QC12" s="161"/>
      <c r="QD12" s="161"/>
      <c r="QE12" s="161"/>
      <c r="QF12" s="161"/>
      <c r="QG12" s="161"/>
      <c r="QH12" s="161"/>
      <c r="QI12" s="161"/>
      <c r="QJ12" s="161"/>
      <c r="QK12" s="161"/>
      <c r="QL12" s="161"/>
      <c r="QM12" s="161"/>
      <c r="QN12" s="161"/>
      <c r="QO12" s="161"/>
      <c r="QP12" s="161"/>
      <c r="QQ12" s="161"/>
      <c r="QR12" s="161"/>
      <c r="QS12" s="161"/>
      <c r="QT12" s="161"/>
      <c r="QU12" s="161"/>
      <c r="QV12" s="161"/>
      <c r="QW12" s="161"/>
      <c r="QX12" s="161"/>
      <c r="QY12" s="161"/>
      <c r="QZ12" s="161"/>
      <c r="RA12" s="161"/>
      <c r="RB12" s="161"/>
      <c r="RC12" s="161"/>
      <c r="RD12" s="161"/>
      <c r="RE12" s="161"/>
      <c r="RF12" s="161"/>
      <c r="RG12" s="161"/>
      <c r="RH12" s="161"/>
      <c r="RI12" s="161"/>
      <c r="RJ12" s="161"/>
      <c r="RK12" s="161"/>
      <c r="RL12" s="161"/>
      <c r="RM12" s="161"/>
      <c r="RN12" s="161"/>
      <c r="RO12" s="161"/>
      <c r="RP12" s="161"/>
      <c r="RQ12" s="161"/>
      <c r="RR12" s="161"/>
      <c r="RS12" s="161"/>
      <c r="RT12" s="161"/>
      <c r="RU12" s="161"/>
      <c r="RV12" s="161"/>
      <c r="RW12" s="161"/>
      <c r="RX12" s="161"/>
      <c r="RY12" s="161"/>
      <c r="RZ12" s="161"/>
      <c r="SA12" s="161"/>
      <c r="SB12" s="161"/>
      <c r="SC12" s="161"/>
      <c r="SD12" s="161"/>
      <c r="SE12" s="161"/>
      <c r="SF12" s="161"/>
      <c r="SG12" s="161"/>
      <c r="SH12" s="161"/>
      <c r="SI12" s="161"/>
      <c r="SJ12" s="161"/>
      <c r="SK12" s="161"/>
      <c r="SL12" s="161"/>
      <c r="SM12" s="161"/>
      <c r="SN12" s="161"/>
      <c r="SO12" s="161"/>
      <c r="SP12" s="161"/>
      <c r="SQ12" s="161"/>
      <c r="SR12" s="161"/>
      <c r="SS12" s="161"/>
      <c r="ST12" s="161"/>
      <c r="SU12" s="161"/>
      <c r="SV12" s="161"/>
      <c r="SW12" s="161"/>
      <c r="SX12" s="161"/>
      <c r="SY12" s="161"/>
      <c r="SZ12" s="161"/>
      <c r="TA12" s="161"/>
      <c r="TB12" s="161"/>
      <c r="TC12" s="161"/>
      <c r="TD12" s="161"/>
      <c r="TE12" s="161"/>
      <c r="TF12" s="161"/>
      <c r="TG12" s="161"/>
      <c r="TH12" s="161"/>
      <c r="TI12" s="161"/>
      <c r="TJ12" s="161"/>
      <c r="TK12" s="161"/>
      <c r="TL12" s="161"/>
      <c r="TM12" s="161"/>
      <c r="TN12" s="161"/>
      <c r="TO12" s="161"/>
      <c r="TP12" s="161"/>
      <c r="TQ12" s="161"/>
      <c r="TR12" s="161"/>
      <c r="TS12" s="161"/>
      <c r="TT12" s="161"/>
      <c r="TU12" s="161"/>
      <c r="TV12" s="161"/>
      <c r="TW12" s="161"/>
      <c r="TX12" s="161"/>
      <c r="TY12" s="161"/>
      <c r="TZ12" s="161"/>
      <c r="UA12" s="161"/>
      <c r="UB12" s="161"/>
      <c r="UC12" s="161"/>
      <c r="UD12" s="161"/>
      <c r="UE12" s="161"/>
      <c r="UF12" s="161"/>
      <c r="UG12" s="161"/>
      <c r="UH12" s="161"/>
      <c r="UI12" s="161"/>
      <c r="UJ12" s="161"/>
      <c r="UK12" s="161"/>
      <c r="UL12" s="161"/>
      <c r="UM12" s="161"/>
      <c r="UN12" s="161"/>
      <c r="UO12" s="161"/>
      <c r="UP12" s="161"/>
      <c r="UQ12" s="161"/>
      <c r="UR12" s="161"/>
      <c r="US12" s="161"/>
      <c r="UT12" s="161"/>
      <c r="UU12" s="161"/>
      <c r="UV12" s="161"/>
      <c r="UW12" s="161"/>
      <c r="UX12" s="161"/>
      <c r="UY12" s="161"/>
      <c r="UZ12" s="161"/>
      <c r="VA12" s="161"/>
      <c r="VB12" s="161"/>
      <c r="VC12" s="161"/>
      <c r="VD12" s="161"/>
      <c r="VE12" s="161"/>
      <c r="VF12" s="161"/>
      <c r="VG12" s="161"/>
      <c r="VH12" s="161"/>
      <c r="VI12" s="161"/>
      <c r="VJ12" s="161"/>
      <c r="VK12" s="161"/>
      <c r="VL12" s="161"/>
      <c r="VM12" s="161"/>
      <c r="VN12" s="161"/>
      <c r="VO12" s="161"/>
      <c r="VP12" s="161"/>
      <c r="VQ12" s="161"/>
      <c r="VR12" s="161"/>
      <c r="VS12" s="161"/>
      <c r="VT12" s="161"/>
      <c r="VU12" s="161"/>
      <c r="VV12" s="161"/>
      <c r="VW12" s="161"/>
      <c r="VX12" s="161"/>
      <c r="VY12" s="161"/>
      <c r="VZ12" s="161"/>
      <c r="WA12" s="161"/>
      <c r="WB12" s="161"/>
      <c r="WC12" s="161"/>
      <c r="WD12" s="161"/>
      <c r="WE12" s="161"/>
      <c r="WF12" s="161"/>
      <c r="WG12" s="161"/>
      <c r="WH12" s="161"/>
      <c r="WI12" s="161"/>
      <c r="WJ12" s="161"/>
      <c r="WK12" s="161"/>
      <c r="WL12" s="161"/>
      <c r="WM12" s="161"/>
      <c r="WN12" s="161"/>
      <c r="WO12" s="161"/>
      <c r="WP12" s="161"/>
      <c r="WQ12" s="161"/>
      <c r="WR12" s="161"/>
      <c r="WS12" s="161"/>
      <c r="WT12" s="161"/>
      <c r="WU12" s="161"/>
      <c r="WV12" s="161"/>
      <c r="WW12" s="161"/>
      <c r="WX12" s="161"/>
      <c r="WY12" s="161"/>
      <c r="WZ12" s="161"/>
      <c r="XA12" s="161"/>
      <c r="XB12" s="161"/>
      <c r="XC12" s="161"/>
      <c r="XD12" s="161"/>
      <c r="XE12" s="161"/>
      <c r="XF12" s="161"/>
      <c r="XG12" s="161"/>
      <c r="XH12" s="161"/>
      <c r="XI12" s="161"/>
      <c r="XJ12" s="161"/>
      <c r="XK12" s="161"/>
      <c r="XL12" s="161"/>
      <c r="XM12" s="161"/>
      <c r="XN12" s="161"/>
      <c r="XO12" s="161"/>
      <c r="XP12" s="161"/>
      <c r="XQ12" s="161"/>
      <c r="XR12" s="161"/>
      <c r="XS12" s="161"/>
      <c r="XT12" s="161"/>
      <c r="XU12" s="161"/>
      <c r="XV12" s="161"/>
      <c r="XW12" s="161"/>
      <c r="XX12" s="161"/>
      <c r="XY12" s="161"/>
      <c r="XZ12" s="161"/>
      <c r="YA12" s="161"/>
      <c r="YB12" s="161"/>
      <c r="YC12" s="161"/>
      <c r="YD12" s="161"/>
      <c r="YE12" s="161"/>
      <c r="YF12" s="161"/>
      <c r="YG12" s="161"/>
      <c r="YH12" s="161"/>
      <c r="YI12" s="161"/>
      <c r="YJ12" s="161"/>
      <c r="YK12" s="161"/>
      <c r="YL12" s="161"/>
      <c r="YM12" s="161"/>
      <c r="YN12" s="161"/>
      <c r="YO12" s="161"/>
      <c r="YP12" s="161"/>
      <c r="YQ12" s="161"/>
      <c r="YR12" s="161"/>
      <c r="YS12" s="161"/>
      <c r="YT12" s="161"/>
      <c r="YU12" s="161"/>
      <c r="YV12" s="161"/>
      <c r="YW12" s="161"/>
      <c r="YX12" s="161"/>
      <c r="YY12" s="161"/>
      <c r="YZ12" s="161"/>
      <c r="ZA12" s="161"/>
      <c r="ZB12" s="161"/>
      <c r="ZC12" s="161"/>
      <c r="ZD12" s="161"/>
      <c r="ZE12" s="161"/>
      <c r="ZF12" s="161"/>
      <c r="ZG12" s="161"/>
      <c r="ZH12" s="161"/>
      <c r="ZI12" s="161"/>
      <c r="ZJ12" s="161"/>
      <c r="ZK12" s="161"/>
      <c r="ZL12" s="161"/>
      <c r="ZM12" s="161"/>
      <c r="ZN12" s="161"/>
      <c r="ZO12" s="161"/>
      <c r="ZP12" s="161"/>
      <c r="ZQ12" s="161"/>
      <c r="ZR12" s="161"/>
      <c r="ZS12" s="161"/>
      <c r="ZT12" s="161"/>
      <c r="ZU12" s="161"/>
      <c r="ZV12" s="161"/>
      <c r="ZW12" s="161"/>
      <c r="ZX12" s="161"/>
      <c r="ZY12" s="161"/>
      <c r="ZZ12" s="161"/>
      <c r="AAA12" s="161"/>
      <c r="AAB12" s="161"/>
      <c r="AAC12" s="161"/>
      <c r="AAD12" s="161"/>
      <c r="AAE12" s="161"/>
      <c r="AAF12" s="161"/>
      <c r="AAG12" s="161"/>
      <c r="AAH12" s="161"/>
      <c r="AAI12" s="161"/>
      <c r="AAJ12" s="161"/>
      <c r="AAK12" s="161"/>
      <c r="AAL12" s="161"/>
      <c r="AAM12" s="161"/>
      <c r="AAN12" s="161"/>
      <c r="AAO12" s="161"/>
      <c r="AAP12" s="161"/>
      <c r="AAQ12" s="161"/>
      <c r="AAR12" s="161"/>
      <c r="AAS12" s="161"/>
      <c r="AAT12" s="161"/>
      <c r="AAU12" s="161"/>
      <c r="AAV12" s="161"/>
      <c r="AAW12" s="161"/>
      <c r="AAX12" s="161"/>
      <c r="AAY12" s="161"/>
      <c r="AAZ12" s="161"/>
      <c r="ABA12" s="161"/>
      <c r="ABB12" s="161"/>
      <c r="ABC12" s="161"/>
      <c r="ABD12" s="161"/>
      <c r="ABE12" s="161"/>
      <c r="ABF12" s="161"/>
      <c r="ABG12" s="161"/>
      <c r="ABH12" s="161"/>
      <c r="ABI12" s="161"/>
      <c r="ABJ12" s="161"/>
      <c r="ABK12" s="161"/>
      <c r="ABL12" s="161"/>
      <c r="ABM12" s="161"/>
      <c r="ABN12" s="161"/>
      <c r="ABO12" s="161"/>
      <c r="ABP12" s="161"/>
      <c r="ABQ12" s="161"/>
      <c r="ABR12" s="161"/>
      <c r="ABS12" s="161"/>
      <c r="ABT12" s="161"/>
      <c r="ABU12" s="161"/>
      <c r="ABV12" s="161"/>
      <c r="ABW12" s="161"/>
      <c r="ABX12" s="161"/>
      <c r="ABY12" s="161"/>
      <c r="ABZ12" s="161"/>
      <c r="ACA12" s="161"/>
      <c r="ACB12" s="161"/>
      <c r="ACC12" s="161"/>
      <c r="ACD12" s="161"/>
      <c r="ACE12" s="161"/>
      <c r="ACF12" s="161"/>
      <c r="ACG12" s="161"/>
      <c r="ACH12" s="161"/>
      <c r="ACI12" s="161"/>
      <c r="ACJ12" s="161"/>
      <c r="ACK12" s="161"/>
      <c r="ACL12" s="161"/>
      <c r="ACM12" s="161"/>
      <c r="ACN12" s="161"/>
      <c r="ACO12" s="161"/>
      <c r="ACP12" s="161"/>
      <c r="ACQ12" s="161"/>
      <c r="ACR12" s="161"/>
      <c r="ACS12" s="161"/>
      <c r="ACT12" s="161"/>
      <c r="ACU12" s="161"/>
      <c r="ACV12" s="161"/>
      <c r="ACW12" s="161"/>
      <c r="ACX12" s="161"/>
      <c r="ACY12" s="161"/>
      <c r="ACZ12" s="161"/>
      <c r="ADA12" s="161"/>
      <c r="ADB12" s="161"/>
      <c r="ADC12" s="161"/>
      <c r="ADD12" s="161"/>
      <c r="ADE12" s="161"/>
      <c r="ADF12" s="161"/>
      <c r="ADG12" s="161"/>
      <c r="ADH12" s="161"/>
      <c r="ADI12" s="161"/>
      <c r="ADJ12" s="161"/>
      <c r="ADK12" s="161"/>
      <c r="ADL12" s="161"/>
      <c r="ADM12" s="161"/>
      <c r="ADN12" s="161"/>
      <c r="ADO12" s="161"/>
      <c r="ADP12" s="161"/>
      <c r="ADQ12" s="161"/>
      <c r="ADR12" s="161"/>
      <c r="ADS12" s="161"/>
      <c r="ADT12" s="161"/>
      <c r="ADU12" s="161"/>
      <c r="ADV12" s="161"/>
      <c r="ADW12" s="161"/>
      <c r="ADX12" s="161"/>
      <c r="ADY12" s="161"/>
      <c r="ADZ12" s="161"/>
      <c r="AEA12" s="161"/>
      <c r="AEB12" s="161"/>
      <c r="AEC12" s="161"/>
      <c r="AED12" s="161"/>
      <c r="AEE12" s="161"/>
      <c r="AEF12" s="161"/>
      <c r="AEG12" s="161"/>
      <c r="AEH12" s="161"/>
      <c r="AEI12" s="161"/>
      <c r="AEJ12" s="161"/>
      <c r="AEK12" s="161"/>
      <c r="AEL12" s="161"/>
      <c r="AEM12" s="161"/>
      <c r="AEN12" s="161"/>
      <c r="AEO12" s="161"/>
      <c r="AEP12" s="161"/>
      <c r="AEQ12" s="161"/>
      <c r="AER12" s="161"/>
      <c r="AES12" s="161"/>
      <c r="AET12" s="161"/>
      <c r="AEU12" s="161"/>
      <c r="AEV12" s="161"/>
      <c r="AEW12" s="161"/>
      <c r="AEX12" s="161"/>
      <c r="AEY12" s="161"/>
      <c r="AEZ12" s="161"/>
      <c r="AFA12" s="161"/>
      <c r="AFB12" s="161"/>
      <c r="AFC12" s="161"/>
      <c r="AFD12" s="161"/>
      <c r="AFE12" s="161"/>
      <c r="AFF12" s="161"/>
      <c r="AFG12" s="161"/>
      <c r="AFH12" s="161"/>
      <c r="AFI12" s="161"/>
      <c r="AFJ12" s="161"/>
      <c r="AFK12" s="161"/>
      <c r="AFL12" s="161"/>
      <c r="AFM12" s="161"/>
      <c r="AFN12" s="161"/>
      <c r="AFO12" s="161"/>
      <c r="AFP12" s="161"/>
      <c r="AFQ12" s="161"/>
      <c r="AFR12" s="161"/>
      <c r="AFS12" s="161"/>
      <c r="AFT12" s="161"/>
      <c r="AFU12" s="161"/>
      <c r="AFV12" s="161"/>
      <c r="AFW12" s="161"/>
      <c r="AFX12" s="161"/>
      <c r="AFY12" s="161"/>
      <c r="AFZ12" s="161"/>
      <c r="AGA12" s="161"/>
      <c r="AGB12" s="161"/>
      <c r="AGC12" s="161"/>
      <c r="AGD12" s="161"/>
      <c r="AGE12" s="161"/>
      <c r="AGF12" s="161"/>
      <c r="AGG12" s="161"/>
      <c r="AGH12" s="161"/>
      <c r="AGI12" s="161"/>
      <c r="AGJ12" s="161"/>
      <c r="AGK12" s="161"/>
      <c r="AGL12" s="161"/>
      <c r="AGM12" s="161"/>
      <c r="AGN12" s="161"/>
      <c r="AGO12" s="161"/>
      <c r="AGP12" s="161"/>
      <c r="AGQ12" s="161"/>
      <c r="AGR12" s="161"/>
      <c r="AGS12" s="161"/>
      <c r="AGT12" s="161"/>
      <c r="AGU12" s="161"/>
      <c r="AGV12" s="161"/>
      <c r="AGW12" s="161"/>
      <c r="AGX12" s="161"/>
      <c r="AGY12" s="161"/>
      <c r="AGZ12" s="161"/>
      <c r="AHA12" s="161"/>
      <c r="AHB12" s="161"/>
      <c r="AHC12" s="161"/>
      <c r="AHD12" s="161"/>
      <c r="AHE12" s="161"/>
      <c r="AHF12" s="161"/>
      <c r="AHG12" s="161"/>
      <c r="AHH12" s="161"/>
      <c r="AHI12" s="161"/>
      <c r="AHJ12" s="161"/>
      <c r="AHK12" s="161"/>
      <c r="AHL12" s="161"/>
      <c r="AHM12" s="161"/>
      <c r="AHN12" s="161"/>
      <c r="AHO12" s="161"/>
      <c r="AHP12" s="161"/>
      <c r="AHQ12" s="161"/>
      <c r="AHR12" s="161"/>
      <c r="AHS12" s="161"/>
      <c r="AHT12" s="161"/>
      <c r="AHU12" s="161"/>
      <c r="AHV12" s="161"/>
      <c r="AHW12" s="161"/>
      <c r="AHX12" s="161"/>
      <c r="AHY12" s="161"/>
      <c r="AHZ12" s="161"/>
      <c r="AIA12" s="161"/>
      <c r="AIB12" s="161"/>
      <c r="AIC12" s="161"/>
      <c r="AID12" s="161"/>
      <c r="AIE12" s="161"/>
      <c r="AIF12" s="161"/>
      <c r="AIG12" s="161"/>
      <c r="AIH12" s="161"/>
      <c r="AII12" s="161"/>
      <c r="AIJ12" s="161"/>
      <c r="AIK12" s="161"/>
      <c r="AIL12" s="161"/>
      <c r="AIM12" s="161"/>
      <c r="AIN12" s="161"/>
      <c r="AIO12" s="161"/>
      <c r="AIP12" s="161"/>
      <c r="AIQ12" s="161"/>
      <c r="AIR12" s="161"/>
      <c r="AIS12" s="161"/>
      <c r="AIT12" s="161"/>
      <c r="AIU12" s="161"/>
      <c r="AIV12" s="161"/>
      <c r="AIW12" s="161"/>
      <c r="AIX12" s="161"/>
      <c r="AIY12" s="161"/>
      <c r="AIZ12" s="161"/>
      <c r="AJA12" s="161"/>
      <c r="AJB12" s="161"/>
      <c r="AJC12" s="161"/>
      <c r="AJD12" s="161"/>
      <c r="AJE12" s="161"/>
      <c r="AJF12" s="161"/>
      <c r="AJG12" s="161"/>
      <c r="AJH12" s="161"/>
      <c r="AJI12" s="161"/>
      <c r="AJJ12" s="161"/>
      <c r="AJK12" s="161"/>
      <c r="AJL12" s="161"/>
      <c r="AJM12" s="161"/>
      <c r="AJN12" s="161"/>
      <c r="AJO12" s="161"/>
      <c r="AJP12" s="161"/>
      <c r="AJQ12" s="161"/>
      <c r="AJR12" s="161"/>
      <c r="AJS12" s="161"/>
      <c r="AJT12" s="161"/>
      <c r="AJU12" s="161"/>
      <c r="AJV12" s="161"/>
      <c r="AJW12" s="161"/>
      <c r="AJX12" s="161"/>
      <c r="AJY12" s="161"/>
      <c r="AJZ12" s="161"/>
      <c r="AKA12" s="161"/>
      <c r="AKB12" s="161"/>
      <c r="AKC12" s="161"/>
      <c r="AKD12" s="161"/>
      <c r="AKE12" s="161"/>
      <c r="AKF12" s="161"/>
      <c r="AKG12" s="161"/>
      <c r="AKH12" s="161"/>
      <c r="AKI12" s="161"/>
      <c r="AKJ12" s="161"/>
      <c r="AKK12" s="161"/>
      <c r="AKL12" s="161"/>
      <c r="AKM12" s="161"/>
      <c r="AKN12" s="161"/>
      <c r="AKO12" s="161"/>
      <c r="AKP12" s="161"/>
      <c r="AKQ12" s="161"/>
      <c r="AKR12" s="161"/>
      <c r="AKS12" s="161"/>
      <c r="AKT12" s="161"/>
      <c r="AKU12" s="161"/>
      <c r="AKV12" s="161"/>
      <c r="AKW12" s="161"/>
      <c r="AKX12" s="161"/>
      <c r="AKY12" s="161"/>
      <c r="AKZ12" s="161"/>
      <c r="ALA12" s="161"/>
      <c r="ALB12" s="161"/>
      <c r="ALC12" s="161"/>
      <c r="ALD12" s="161"/>
      <c r="ALE12" s="161"/>
      <c r="ALF12" s="161"/>
      <c r="ALG12" s="161"/>
      <c r="ALH12" s="161"/>
      <c r="ALI12" s="161"/>
      <c r="ALJ12" s="161"/>
      <c r="ALK12" s="161"/>
      <c r="ALL12" s="161"/>
      <c r="ALM12" s="161"/>
      <c r="ALN12" s="161"/>
      <c r="ALO12" s="161"/>
      <c r="ALP12" s="161"/>
      <c r="ALQ12" s="161"/>
      <c r="ALR12" s="161"/>
      <c r="ALS12" s="161"/>
      <c r="ALT12" s="161"/>
      <c r="ALU12" s="161"/>
      <c r="ALV12" s="161"/>
      <c r="ALW12" s="161"/>
      <c r="ALX12" s="161"/>
      <c r="ALY12" s="161"/>
      <c r="ALZ12" s="161"/>
      <c r="AMA12" s="161"/>
      <c r="AMB12" s="161"/>
      <c r="AMC12" s="161"/>
      <c r="AMD12" s="161"/>
      <c r="AME12" s="161"/>
      <c r="AMF12" s="161"/>
      <c r="AMG12" s="161"/>
      <c r="AMH12" s="161"/>
      <c r="AMI12" s="161"/>
      <c r="AMJ12" s="161"/>
    </row>
    <row r="13" spans="1:1024" s="162" customFormat="1" ht="12.75" x14ac:dyDescent="0.2">
      <c r="A13" s="163"/>
      <c r="B13" s="179" t="s">
        <v>130</v>
      </c>
      <c r="C13" s="189">
        <f>SUM(C11:C12)</f>
        <v>30</v>
      </c>
      <c r="D13" s="185">
        <f>D11+D12</f>
        <v>1</v>
      </c>
      <c r="E13" s="164"/>
      <c r="F13" s="164"/>
      <c r="G13" s="164"/>
      <c r="H13" s="161"/>
      <c r="I13" s="161"/>
      <c r="J13" s="161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5"/>
      <c r="X13" s="161"/>
      <c r="Y13" s="161"/>
      <c r="Z13" s="161"/>
      <c r="AA13" s="161"/>
      <c r="AB13" s="161"/>
      <c r="AC13" s="161"/>
      <c r="AD13" s="161"/>
      <c r="AE13" s="161"/>
      <c r="AF13" s="161"/>
      <c r="AG13" s="161"/>
      <c r="AH13" s="161"/>
      <c r="AI13" s="161"/>
      <c r="AJ13" s="161"/>
      <c r="AK13" s="161"/>
      <c r="AL13" s="161"/>
      <c r="AM13" s="161"/>
      <c r="AN13" s="161"/>
      <c r="AO13" s="161"/>
      <c r="AP13" s="161"/>
      <c r="AQ13" s="161"/>
      <c r="AR13" s="161"/>
      <c r="AS13" s="161"/>
      <c r="AT13" s="161"/>
      <c r="AU13" s="161"/>
      <c r="AV13" s="161"/>
      <c r="AW13" s="161"/>
      <c r="AX13" s="161"/>
      <c r="AY13" s="161"/>
      <c r="AZ13" s="161"/>
      <c r="BA13" s="161"/>
      <c r="BB13" s="161"/>
      <c r="BC13" s="161"/>
      <c r="BD13" s="161"/>
      <c r="BE13" s="161"/>
      <c r="BF13" s="161"/>
      <c r="BG13" s="161"/>
      <c r="BH13" s="161"/>
      <c r="BI13" s="161"/>
      <c r="BJ13" s="161"/>
      <c r="BK13" s="161"/>
      <c r="BL13" s="161"/>
      <c r="BM13" s="161"/>
      <c r="BN13" s="161"/>
      <c r="BO13" s="161"/>
      <c r="BP13" s="161"/>
      <c r="BQ13" s="161"/>
      <c r="BR13" s="161"/>
      <c r="BS13" s="161"/>
      <c r="BT13" s="161"/>
      <c r="BU13" s="161"/>
      <c r="BV13" s="161"/>
      <c r="BW13" s="161"/>
      <c r="BX13" s="161"/>
      <c r="BY13" s="161"/>
      <c r="BZ13" s="161"/>
      <c r="CA13" s="161"/>
      <c r="CB13" s="161"/>
      <c r="CC13" s="161"/>
      <c r="CD13" s="161"/>
      <c r="CE13" s="161"/>
      <c r="CF13" s="161"/>
      <c r="CG13" s="161"/>
      <c r="CH13" s="161"/>
      <c r="CI13" s="161"/>
      <c r="CJ13" s="161"/>
      <c r="CK13" s="161"/>
      <c r="CL13" s="161"/>
      <c r="CM13" s="161"/>
      <c r="CN13" s="161"/>
      <c r="CO13" s="161"/>
      <c r="CP13" s="161"/>
      <c r="CQ13" s="161"/>
      <c r="CR13" s="161"/>
      <c r="CS13" s="161"/>
      <c r="CT13" s="161"/>
      <c r="CU13" s="161"/>
      <c r="CV13" s="161"/>
      <c r="CW13" s="161"/>
      <c r="CX13" s="161"/>
      <c r="CY13" s="161"/>
      <c r="CZ13" s="161"/>
      <c r="DA13" s="161"/>
      <c r="DB13" s="161"/>
      <c r="DC13" s="161"/>
      <c r="DD13" s="161"/>
      <c r="DE13" s="161"/>
      <c r="DF13" s="161"/>
      <c r="DG13" s="161"/>
      <c r="DH13" s="161"/>
      <c r="DI13" s="161"/>
      <c r="DJ13" s="161"/>
      <c r="DK13" s="161"/>
      <c r="DL13" s="161"/>
      <c r="DM13" s="161"/>
      <c r="DN13" s="161"/>
      <c r="DO13" s="161"/>
      <c r="DP13" s="161"/>
      <c r="DQ13" s="161"/>
      <c r="DR13" s="161"/>
      <c r="DS13" s="161"/>
      <c r="DT13" s="161"/>
      <c r="DU13" s="161"/>
      <c r="DV13" s="161"/>
      <c r="DW13" s="161"/>
      <c r="DX13" s="161"/>
      <c r="DY13" s="161"/>
      <c r="DZ13" s="161"/>
      <c r="EA13" s="161"/>
      <c r="EB13" s="161"/>
      <c r="EC13" s="161"/>
      <c r="ED13" s="161"/>
      <c r="EE13" s="161"/>
      <c r="EF13" s="161"/>
      <c r="EG13" s="161"/>
      <c r="EH13" s="161"/>
      <c r="EI13" s="161"/>
      <c r="EJ13" s="161"/>
      <c r="EK13" s="161"/>
      <c r="EL13" s="161"/>
      <c r="EM13" s="161"/>
      <c r="EN13" s="161"/>
      <c r="EO13" s="161"/>
      <c r="EP13" s="161"/>
      <c r="EQ13" s="161"/>
      <c r="ER13" s="161"/>
      <c r="ES13" s="161"/>
      <c r="ET13" s="161"/>
      <c r="EU13" s="161"/>
      <c r="EV13" s="161"/>
      <c r="EW13" s="161"/>
      <c r="EX13" s="161"/>
      <c r="EY13" s="161"/>
      <c r="EZ13" s="161"/>
      <c r="FA13" s="161"/>
      <c r="FB13" s="161"/>
      <c r="FC13" s="161"/>
      <c r="FD13" s="161"/>
      <c r="FE13" s="161"/>
      <c r="FF13" s="161"/>
      <c r="FG13" s="161"/>
      <c r="FH13" s="161"/>
      <c r="FI13" s="161"/>
      <c r="FJ13" s="161"/>
      <c r="FK13" s="161"/>
      <c r="FL13" s="161"/>
      <c r="FM13" s="161"/>
      <c r="FN13" s="161"/>
      <c r="FO13" s="161"/>
      <c r="FP13" s="161"/>
      <c r="FQ13" s="161"/>
      <c r="FR13" s="161"/>
      <c r="FS13" s="161"/>
      <c r="FT13" s="161"/>
      <c r="FU13" s="161"/>
      <c r="FV13" s="161"/>
      <c r="FW13" s="161"/>
      <c r="FX13" s="161"/>
      <c r="FY13" s="161"/>
      <c r="FZ13" s="161"/>
      <c r="GA13" s="161"/>
      <c r="GB13" s="161"/>
      <c r="GC13" s="161"/>
      <c r="GD13" s="161"/>
      <c r="GE13" s="161"/>
      <c r="GF13" s="161"/>
      <c r="GG13" s="161"/>
      <c r="GH13" s="161"/>
      <c r="GI13" s="161"/>
      <c r="GJ13" s="161"/>
      <c r="GK13" s="161"/>
      <c r="GL13" s="161"/>
      <c r="GM13" s="161"/>
      <c r="GN13" s="161"/>
      <c r="GO13" s="161"/>
      <c r="GP13" s="161"/>
      <c r="GQ13" s="161"/>
      <c r="GR13" s="161"/>
      <c r="GS13" s="161"/>
      <c r="GT13" s="161"/>
      <c r="GU13" s="161"/>
      <c r="GV13" s="161"/>
      <c r="GW13" s="161"/>
      <c r="GX13" s="161"/>
      <c r="GY13" s="161"/>
      <c r="GZ13" s="161"/>
      <c r="HA13" s="161"/>
      <c r="HB13" s="161"/>
      <c r="HC13" s="161"/>
      <c r="HD13" s="161"/>
      <c r="HE13" s="161"/>
      <c r="HF13" s="161"/>
      <c r="HG13" s="161"/>
      <c r="HH13" s="161"/>
      <c r="HI13" s="161"/>
      <c r="HJ13" s="161"/>
      <c r="HK13" s="161"/>
      <c r="HL13" s="161"/>
      <c r="HM13" s="161"/>
      <c r="HN13" s="161"/>
      <c r="HO13" s="161"/>
      <c r="HP13" s="161"/>
      <c r="HQ13" s="161"/>
      <c r="HR13" s="161"/>
      <c r="HS13" s="161"/>
      <c r="HT13" s="161"/>
      <c r="HU13" s="161"/>
      <c r="HV13" s="161"/>
      <c r="HW13" s="161"/>
      <c r="HX13" s="161"/>
      <c r="HY13" s="161"/>
      <c r="HZ13" s="161"/>
      <c r="IA13" s="161"/>
      <c r="IB13" s="161"/>
      <c r="IC13" s="161"/>
      <c r="ID13" s="161"/>
      <c r="IE13" s="161"/>
      <c r="IF13" s="161"/>
      <c r="IG13" s="161"/>
      <c r="IH13" s="161"/>
      <c r="II13" s="161"/>
      <c r="IJ13" s="161"/>
      <c r="IK13" s="161"/>
      <c r="IL13" s="161"/>
      <c r="IM13" s="161"/>
      <c r="IN13" s="161"/>
      <c r="IO13" s="161"/>
      <c r="IP13" s="161"/>
      <c r="IQ13" s="161"/>
      <c r="IR13" s="161"/>
      <c r="IS13" s="161"/>
      <c r="IT13" s="161"/>
      <c r="IU13" s="161"/>
      <c r="IV13" s="161"/>
      <c r="IW13" s="161"/>
      <c r="IX13" s="161"/>
      <c r="IY13" s="161"/>
      <c r="IZ13" s="161"/>
      <c r="JA13" s="161"/>
      <c r="JB13" s="161"/>
      <c r="JC13" s="161"/>
      <c r="JD13" s="161"/>
      <c r="JE13" s="161"/>
      <c r="JF13" s="161"/>
      <c r="JG13" s="161"/>
      <c r="JH13" s="161"/>
      <c r="JI13" s="161"/>
      <c r="JJ13" s="161"/>
      <c r="JK13" s="161"/>
      <c r="JL13" s="161"/>
      <c r="JM13" s="161"/>
      <c r="JN13" s="161"/>
      <c r="JO13" s="161"/>
      <c r="JP13" s="161"/>
      <c r="JQ13" s="161"/>
      <c r="JR13" s="161"/>
      <c r="JS13" s="161"/>
      <c r="JT13" s="161"/>
      <c r="JU13" s="161"/>
      <c r="JV13" s="161"/>
      <c r="JW13" s="161"/>
      <c r="JX13" s="161"/>
      <c r="JY13" s="161"/>
      <c r="JZ13" s="161"/>
      <c r="KA13" s="161"/>
      <c r="KB13" s="161"/>
      <c r="KC13" s="161"/>
      <c r="KD13" s="161"/>
      <c r="KE13" s="161"/>
      <c r="KF13" s="161"/>
      <c r="KG13" s="161"/>
      <c r="KH13" s="161"/>
      <c r="KI13" s="161"/>
      <c r="KJ13" s="161"/>
      <c r="KK13" s="161"/>
      <c r="KL13" s="161"/>
      <c r="KM13" s="161"/>
      <c r="KN13" s="161"/>
      <c r="KO13" s="161"/>
      <c r="KP13" s="161"/>
      <c r="KQ13" s="161"/>
      <c r="KR13" s="161"/>
      <c r="KS13" s="161"/>
      <c r="KT13" s="161"/>
      <c r="KU13" s="161"/>
      <c r="KV13" s="161"/>
      <c r="KW13" s="161"/>
      <c r="KX13" s="161"/>
      <c r="KY13" s="161"/>
      <c r="KZ13" s="161"/>
      <c r="LA13" s="161"/>
      <c r="LB13" s="161"/>
      <c r="LC13" s="161"/>
      <c r="LD13" s="161"/>
      <c r="LE13" s="161"/>
      <c r="LF13" s="161"/>
      <c r="LG13" s="161"/>
      <c r="LH13" s="161"/>
      <c r="LI13" s="161"/>
      <c r="LJ13" s="161"/>
      <c r="LK13" s="161"/>
      <c r="LL13" s="161"/>
      <c r="LM13" s="161"/>
      <c r="LN13" s="161"/>
      <c r="LO13" s="161"/>
      <c r="LP13" s="161"/>
      <c r="LQ13" s="161"/>
      <c r="LR13" s="161"/>
      <c r="LS13" s="161"/>
      <c r="LT13" s="161"/>
      <c r="LU13" s="161"/>
      <c r="LV13" s="161"/>
      <c r="LW13" s="161"/>
      <c r="LX13" s="161"/>
      <c r="LY13" s="161"/>
      <c r="LZ13" s="161"/>
      <c r="MA13" s="161"/>
      <c r="MB13" s="161"/>
      <c r="MC13" s="161"/>
      <c r="MD13" s="161"/>
      <c r="ME13" s="161"/>
      <c r="MF13" s="161"/>
      <c r="MG13" s="161"/>
      <c r="MH13" s="161"/>
      <c r="MI13" s="161"/>
      <c r="MJ13" s="161"/>
      <c r="MK13" s="161"/>
      <c r="ML13" s="161"/>
      <c r="MM13" s="161"/>
      <c r="MN13" s="161"/>
      <c r="MO13" s="161"/>
      <c r="MP13" s="161"/>
      <c r="MQ13" s="161"/>
      <c r="MR13" s="161"/>
      <c r="MS13" s="161"/>
      <c r="MT13" s="161"/>
      <c r="MU13" s="161"/>
      <c r="MV13" s="161"/>
      <c r="MW13" s="161"/>
      <c r="MX13" s="161"/>
      <c r="MY13" s="161"/>
      <c r="MZ13" s="161"/>
      <c r="NA13" s="161"/>
      <c r="NB13" s="161"/>
      <c r="NC13" s="161"/>
      <c r="ND13" s="161"/>
      <c r="NE13" s="161"/>
      <c r="NF13" s="161"/>
      <c r="NG13" s="161"/>
      <c r="NH13" s="161"/>
      <c r="NI13" s="161"/>
      <c r="NJ13" s="161"/>
      <c r="NK13" s="161"/>
      <c r="NL13" s="161"/>
      <c r="NM13" s="161"/>
      <c r="NN13" s="161"/>
      <c r="NO13" s="161"/>
      <c r="NP13" s="161"/>
      <c r="NQ13" s="161"/>
      <c r="NR13" s="161"/>
      <c r="NS13" s="161"/>
      <c r="NT13" s="161"/>
      <c r="NU13" s="161"/>
      <c r="NV13" s="161"/>
      <c r="NW13" s="161"/>
      <c r="NX13" s="161"/>
      <c r="NY13" s="161"/>
      <c r="NZ13" s="161"/>
      <c r="OA13" s="161"/>
      <c r="OB13" s="161"/>
      <c r="OC13" s="161"/>
      <c r="OD13" s="161"/>
      <c r="OE13" s="161"/>
      <c r="OF13" s="161"/>
      <c r="OG13" s="161"/>
      <c r="OH13" s="161"/>
      <c r="OI13" s="161"/>
      <c r="OJ13" s="161"/>
      <c r="OK13" s="161"/>
      <c r="OL13" s="161"/>
      <c r="OM13" s="161"/>
      <c r="ON13" s="161"/>
      <c r="OO13" s="161"/>
      <c r="OP13" s="161"/>
      <c r="OQ13" s="161"/>
      <c r="OR13" s="161"/>
      <c r="OS13" s="161"/>
      <c r="OT13" s="161"/>
      <c r="OU13" s="161"/>
      <c r="OV13" s="161"/>
      <c r="OW13" s="161"/>
      <c r="OX13" s="161"/>
      <c r="OY13" s="161"/>
      <c r="OZ13" s="161"/>
      <c r="PA13" s="161"/>
      <c r="PB13" s="161"/>
      <c r="PC13" s="161"/>
      <c r="PD13" s="161"/>
      <c r="PE13" s="161"/>
      <c r="PF13" s="161"/>
      <c r="PG13" s="161"/>
      <c r="PH13" s="161"/>
      <c r="PI13" s="161"/>
      <c r="PJ13" s="161"/>
      <c r="PK13" s="161"/>
      <c r="PL13" s="161"/>
      <c r="PM13" s="161"/>
      <c r="PN13" s="161"/>
      <c r="PO13" s="161"/>
      <c r="PP13" s="161"/>
      <c r="PQ13" s="161"/>
      <c r="PR13" s="161"/>
      <c r="PS13" s="161"/>
      <c r="PT13" s="161"/>
      <c r="PU13" s="161"/>
      <c r="PV13" s="161"/>
      <c r="PW13" s="161"/>
      <c r="PX13" s="161"/>
      <c r="PY13" s="161"/>
      <c r="PZ13" s="161"/>
      <c r="QA13" s="161"/>
      <c r="QB13" s="161"/>
      <c r="QC13" s="161"/>
      <c r="QD13" s="161"/>
      <c r="QE13" s="161"/>
      <c r="QF13" s="161"/>
      <c r="QG13" s="161"/>
      <c r="QH13" s="161"/>
      <c r="QI13" s="161"/>
      <c r="QJ13" s="161"/>
      <c r="QK13" s="161"/>
      <c r="QL13" s="161"/>
      <c r="QM13" s="161"/>
      <c r="QN13" s="161"/>
      <c r="QO13" s="161"/>
      <c r="QP13" s="161"/>
      <c r="QQ13" s="161"/>
      <c r="QR13" s="161"/>
      <c r="QS13" s="161"/>
      <c r="QT13" s="161"/>
      <c r="QU13" s="161"/>
      <c r="QV13" s="161"/>
      <c r="QW13" s="161"/>
      <c r="QX13" s="161"/>
      <c r="QY13" s="161"/>
      <c r="QZ13" s="161"/>
      <c r="RA13" s="161"/>
      <c r="RB13" s="161"/>
      <c r="RC13" s="161"/>
      <c r="RD13" s="161"/>
      <c r="RE13" s="161"/>
      <c r="RF13" s="161"/>
      <c r="RG13" s="161"/>
      <c r="RH13" s="161"/>
      <c r="RI13" s="161"/>
      <c r="RJ13" s="161"/>
      <c r="RK13" s="161"/>
      <c r="RL13" s="161"/>
      <c r="RM13" s="161"/>
      <c r="RN13" s="161"/>
      <c r="RO13" s="161"/>
      <c r="RP13" s="161"/>
      <c r="RQ13" s="161"/>
      <c r="RR13" s="161"/>
      <c r="RS13" s="161"/>
      <c r="RT13" s="161"/>
      <c r="RU13" s="161"/>
      <c r="RV13" s="161"/>
      <c r="RW13" s="161"/>
      <c r="RX13" s="161"/>
      <c r="RY13" s="161"/>
      <c r="RZ13" s="161"/>
      <c r="SA13" s="161"/>
      <c r="SB13" s="161"/>
      <c r="SC13" s="161"/>
      <c r="SD13" s="161"/>
      <c r="SE13" s="161"/>
      <c r="SF13" s="161"/>
      <c r="SG13" s="161"/>
      <c r="SH13" s="161"/>
      <c r="SI13" s="161"/>
      <c r="SJ13" s="161"/>
      <c r="SK13" s="161"/>
      <c r="SL13" s="161"/>
      <c r="SM13" s="161"/>
      <c r="SN13" s="161"/>
      <c r="SO13" s="161"/>
      <c r="SP13" s="161"/>
      <c r="SQ13" s="161"/>
      <c r="SR13" s="161"/>
      <c r="SS13" s="161"/>
      <c r="ST13" s="161"/>
      <c r="SU13" s="161"/>
      <c r="SV13" s="161"/>
      <c r="SW13" s="161"/>
      <c r="SX13" s="161"/>
      <c r="SY13" s="161"/>
      <c r="SZ13" s="161"/>
      <c r="TA13" s="161"/>
      <c r="TB13" s="161"/>
      <c r="TC13" s="161"/>
      <c r="TD13" s="161"/>
      <c r="TE13" s="161"/>
      <c r="TF13" s="161"/>
      <c r="TG13" s="161"/>
      <c r="TH13" s="161"/>
      <c r="TI13" s="161"/>
      <c r="TJ13" s="161"/>
      <c r="TK13" s="161"/>
      <c r="TL13" s="161"/>
      <c r="TM13" s="161"/>
      <c r="TN13" s="161"/>
      <c r="TO13" s="161"/>
      <c r="TP13" s="161"/>
      <c r="TQ13" s="161"/>
      <c r="TR13" s="161"/>
      <c r="TS13" s="161"/>
      <c r="TT13" s="161"/>
      <c r="TU13" s="161"/>
      <c r="TV13" s="161"/>
      <c r="TW13" s="161"/>
      <c r="TX13" s="161"/>
      <c r="TY13" s="161"/>
      <c r="TZ13" s="161"/>
      <c r="UA13" s="161"/>
      <c r="UB13" s="161"/>
      <c r="UC13" s="161"/>
      <c r="UD13" s="161"/>
      <c r="UE13" s="161"/>
      <c r="UF13" s="161"/>
      <c r="UG13" s="161"/>
      <c r="UH13" s="161"/>
      <c r="UI13" s="161"/>
      <c r="UJ13" s="161"/>
      <c r="UK13" s="161"/>
      <c r="UL13" s="161"/>
      <c r="UM13" s="161"/>
      <c r="UN13" s="161"/>
      <c r="UO13" s="161"/>
      <c r="UP13" s="161"/>
      <c r="UQ13" s="161"/>
      <c r="UR13" s="161"/>
      <c r="US13" s="161"/>
      <c r="UT13" s="161"/>
      <c r="UU13" s="161"/>
      <c r="UV13" s="161"/>
      <c r="UW13" s="161"/>
      <c r="UX13" s="161"/>
      <c r="UY13" s="161"/>
      <c r="UZ13" s="161"/>
      <c r="VA13" s="161"/>
      <c r="VB13" s="161"/>
      <c r="VC13" s="161"/>
      <c r="VD13" s="161"/>
      <c r="VE13" s="161"/>
      <c r="VF13" s="161"/>
      <c r="VG13" s="161"/>
      <c r="VH13" s="161"/>
      <c r="VI13" s="161"/>
      <c r="VJ13" s="161"/>
      <c r="VK13" s="161"/>
      <c r="VL13" s="161"/>
      <c r="VM13" s="161"/>
      <c r="VN13" s="161"/>
      <c r="VO13" s="161"/>
      <c r="VP13" s="161"/>
      <c r="VQ13" s="161"/>
      <c r="VR13" s="161"/>
      <c r="VS13" s="161"/>
      <c r="VT13" s="161"/>
      <c r="VU13" s="161"/>
      <c r="VV13" s="161"/>
      <c r="VW13" s="161"/>
      <c r="VX13" s="161"/>
      <c r="VY13" s="161"/>
      <c r="VZ13" s="161"/>
      <c r="WA13" s="161"/>
      <c r="WB13" s="161"/>
      <c r="WC13" s="161"/>
      <c r="WD13" s="161"/>
      <c r="WE13" s="161"/>
      <c r="WF13" s="161"/>
      <c r="WG13" s="161"/>
      <c r="WH13" s="161"/>
      <c r="WI13" s="161"/>
      <c r="WJ13" s="161"/>
      <c r="WK13" s="161"/>
      <c r="WL13" s="161"/>
      <c r="WM13" s="161"/>
      <c r="WN13" s="161"/>
      <c r="WO13" s="161"/>
      <c r="WP13" s="161"/>
      <c r="WQ13" s="161"/>
      <c r="WR13" s="161"/>
      <c r="WS13" s="161"/>
      <c r="WT13" s="161"/>
      <c r="WU13" s="161"/>
      <c r="WV13" s="161"/>
      <c r="WW13" s="161"/>
      <c r="WX13" s="161"/>
      <c r="WY13" s="161"/>
      <c r="WZ13" s="161"/>
      <c r="XA13" s="161"/>
      <c r="XB13" s="161"/>
      <c r="XC13" s="161"/>
      <c r="XD13" s="161"/>
      <c r="XE13" s="161"/>
      <c r="XF13" s="161"/>
      <c r="XG13" s="161"/>
      <c r="XH13" s="161"/>
      <c r="XI13" s="161"/>
      <c r="XJ13" s="161"/>
      <c r="XK13" s="161"/>
      <c r="XL13" s="161"/>
      <c r="XM13" s="161"/>
      <c r="XN13" s="161"/>
      <c r="XO13" s="161"/>
      <c r="XP13" s="161"/>
      <c r="XQ13" s="161"/>
      <c r="XR13" s="161"/>
      <c r="XS13" s="161"/>
      <c r="XT13" s="161"/>
      <c r="XU13" s="161"/>
      <c r="XV13" s="161"/>
      <c r="XW13" s="161"/>
      <c r="XX13" s="161"/>
      <c r="XY13" s="161"/>
      <c r="XZ13" s="161"/>
      <c r="YA13" s="161"/>
      <c r="YB13" s="161"/>
      <c r="YC13" s="161"/>
      <c r="YD13" s="161"/>
      <c r="YE13" s="161"/>
      <c r="YF13" s="161"/>
      <c r="YG13" s="161"/>
      <c r="YH13" s="161"/>
      <c r="YI13" s="161"/>
      <c r="YJ13" s="161"/>
      <c r="YK13" s="161"/>
      <c r="YL13" s="161"/>
      <c r="YM13" s="161"/>
      <c r="YN13" s="161"/>
      <c r="YO13" s="161"/>
      <c r="YP13" s="161"/>
      <c r="YQ13" s="161"/>
      <c r="YR13" s="161"/>
      <c r="YS13" s="161"/>
      <c r="YT13" s="161"/>
      <c r="YU13" s="161"/>
      <c r="YV13" s="161"/>
      <c r="YW13" s="161"/>
      <c r="YX13" s="161"/>
      <c r="YY13" s="161"/>
      <c r="YZ13" s="161"/>
      <c r="ZA13" s="161"/>
      <c r="ZB13" s="161"/>
      <c r="ZC13" s="161"/>
      <c r="ZD13" s="161"/>
      <c r="ZE13" s="161"/>
      <c r="ZF13" s="161"/>
      <c r="ZG13" s="161"/>
      <c r="ZH13" s="161"/>
      <c r="ZI13" s="161"/>
      <c r="ZJ13" s="161"/>
      <c r="ZK13" s="161"/>
      <c r="ZL13" s="161"/>
      <c r="ZM13" s="161"/>
      <c r="ZN13" s="161"/>
      <c r="ZO13" s="161"/>
      <c r="ZP13" s="161"/>
      <c r="ZQ13" s="161"/>
      <c r="ZR13" s="161"/>
      <c r="ZS13" s="161"/>
      <c r="ZT13" s="161"/>
      <c r="ZU13" s="161"/>
      <c r="ZV13" s="161"/>
      <c r="ZW13" s="161"/>
      <c r="ZX13" s="161"/>
      <c r="ZY13" s="161"/>
      <c r="ZZ13" s="161"/>
      <c r="AAA13" s="161"/>
      <c r="AAB13" s="161"/>
      <c r="AAC13" s="161"/>
      <c r="AAD13" s="161"/>
      <c r="AAE13" s="161"/>
      <c r="AAF13" s="161"/>
      <c r="AAG13" s="161"/>
      <c r="AAH13" s="161"/>
      <c r="AAI13" s="161"/>
      <c r="AAJ13" s="161"/>
      <c r="AAK13" s="161"/>
      <c r="AAL13" s="161"/>
      <c r="AAM13" s="161"/>
      <c r="AAN13" s="161"/>
      <c r="AAO13" s="161"/>
      <c r="AAP13" s="161"/>
      <c r="AAQ13" s="161"/>
      <c r="AAR13" s="161"/>
      <c r="AAS13" s="161"/>
      <c r="AAT13" s="161"/>
      <c r="AAU13" s="161"/>
      <c r="AAV13" s="161"/>
      <c r="AAW13" s="161"/>
      <c r="AAX13" s="161"/>
      <c r="AAY13" s="161"/>
      <c r="AAZ13" s="161"/>
      <c r="ABA13" s="161"/>
      <c r="ABB13" s="161"/>
      <c r="ABC13" s="161"/>
      <c r="ABD13" s="161"/>
      <c r="ABE13" s="161"/>
      <c r="ABF13" s="161"/>
      <c r="ABG13" s="161"/>
      <c r="ABH13" s="161"/>
      <c r="ABI13" s="161"/>
      <c r="ABJ13" s="161"/>
      <c r="ABK13" s="161"/>
      <c r="ABL13" s="161"/>
      <c r="ABM13" s="161"/>
      <c r="ABN13" s="161"/>
      <c r="ABO13" s="161"/>
      <c r="ABP13" s="161"/>
      <c r="ABQ13" s="161"/>
      <c r="ABR13" s="161"/>
      <c r="ABS13" s="161"/>
      <c r="ABT13" s="161"/>
      <c r="ABU13" s="161"/>
      <c r="ABV13" s="161"/>
      <c r="ABW13" s="161"/>
      <c r="ABX13" s="161"/>
      <c r="ABY13" s="161"/>
      <c r="ABZ13" s="161"/>
      <c r="ACA13" s="161"/>
      <c r="ACB13" s="161"/>
      <c r="ACC13" s="161"/>
      <c r="ACD13" s="161"/>
      <c r="ACE13" s="161"/>
      <c r="ACF13" s="161"/>
      <c r="ACG13" s="161"/>
      <c r="ACH13" s="161"/>
      <c r="ACI13" s="161"/>
      <c r="ACJ13" s="161"/>
      <c r="ACK13" s="161"/>
      <c r="ACL13" s="161"/>
      <c r="ACM13" s="161"/>
      <c r="ACN13" s="161"/>
      <c r="ACO13" s="161"/>
      <c r="ACP13" s="161"/>
      <c r="ACQ13" s="161"/>
      <c r="ACR13" s="161"/>
      <c r="ACS13" s="161"/>
      <c r="ACT13" s="161"/>
      <c r="ACU13" s="161"/>
      <c r="ACV13" s="161"/>
      <c r="ACW13" s="161"/>
      <c r="ACX13" s="161"/>
      <c r="ACY13" s="161"/>
      <c r="ACZ13" s="161"/>
      <c r="ADA13" s="161"/>
      <c r="ADB13" s="161"/>
      <c r="ADC13" s="161"/>
      <c r="ADD13" s="161"/>
      <c r="ADE13" s="161"/>
      <c r="ADF13" s="161"/>
      <c r="ADG13" s="161"/>
      <c r="ADH13" s="161"/>
      <c r="ADI13" s="161"/>
      <c r="ADJ13" s="161"/>
      <c r="ADK13" s="161"/>
      <c r="ADL13" s="161"/>
      <c r="ADM13" s="161"/>
      <c r="ADN13" s="161"/>
      <c r="ADO13" s="161"/>
      <c r="ADP13" s="161"/>
      <c r="ADQ13" s="161"/>
      <c r="ADR13" s="161"/>
      <c r="ADS13" s="161"/>
      <c r="ADT13" s="161"/>
      <c r="ADU13" s="161"/>
      <c r="ADV13" s="161"/>
      <c r="ADW13" s="161"/>
      <c r="ADX13" s="161"/>
      <c r="ADY13" s="161"/>
      <c r="ADZ13" s="161"/>
      <c r="AEA13" s="161"/>
      <c r="AEB13" s="161"/>
      <c r="AEC13" s="161"/>
      <c r="AED13" s="161"/>
      <c r="AEE13" s="161"/>
      <c r="AEF13" s="161"/>
      <c r="AEG13" s="161"/>
      <c r="AEH13" s="161"/>
      <c r="AEI13" s="161"/>
      <c r="AEJ13" s="161"/>
      <c r="AEK13" s="161"/>
      <c r="AEL13" s="161"/>
      <c r="AEM13" s="161"/>
      <c r="AEN13" s="161"/>
      <c r="AEO13" s="161"/>
      <c r="AEP13" s="161"/>
      <c r="AEQ13" s="161"/>
      <c r="AER13" s="161"/>
      <c r="AES13" s="161"/>
      <c r="AET13" s="161"/>
      <c r="AEU13" s="161"/>
      <c r="AEV13" s="161"/>
      <c r="AEW13" s="161"/>
      <c r="AEX13" s="161"/>
      <c r="AEY13" s="161"/>
      <c r="AEZ13" s="161"/>
      <c r="AFA13" s="161"/>
      <c r="AFB13" s="161"/>
      <c r="AFC13" s="161"/>
      <c r="AFD13" s="161"/>
      <c r="AFE13" s="161"/>
      <c r="AFF13" s="161"/>
      <c r="AFG13" s="161"/>
      <c r="AFH13" s="161"/>
      <c r="AFI13" s="161"/>
      <c r="AFJ13" s="161"/>
      <c r="AFK13" s="161"/>
      <c r="AFL13" s="161"/>
      <c r="AFM13" s="161"/>
      <c r="AFN13" s="161"/>
      <c r="AFO13" s="161"/>
      <c r="AFP13" s="161"/>
      <c r="AFQ13" s="161"/>
      <c r="AFR13" s="161"/>
      <c r="AFS13" s="161"/>
      <c r="AFT13" s="161"/>
      <c r="AFU13" s="161"/>
      <c r="AFV13" s="161"/>
      <c r="AFW13" s="161"/>
      <c r="AFX13" s="161"/>
      <c r="AFY13" s="161"/>
      <c r="AFZ13" s="161"/>
      <c r="AGA13" s="161"/>
      <c r="AGB13" s="161"/>
      <c r="AGC13" s="161"/>
      <c r="AGD13" s="161"/>
      <c r="AGE13" s="161"/>
      <c r="AGF13" s="161"/>
      <c r="AGG13" s="161"/>
      <c r="AGH13" s="161"/>
      <c r="AGI13" s="161"/>
      <c r="AGJ13" s="161"/>
      <c r="AGK13" s="161"/>
      <c r="AGL13" s="161"/>
      <c r="AGM13" s="161"/>
      <c r="AGN13" s="161"/>
      <c r="AGO13" s="161"/>
      <c r="AGP13" s="161"/>
      <c r="AGQ13" s="161"/>
      <c r="AGR13" s="161"/>
      <c r="AGS13" s="161"/>
      <c r="AGT13" s="161"/>
      <c r="AGU13" s="161"/>
      <c r="AGV13" s="161"/>
      <c r="AGW13" s="161"/>
      <c r="AGX13" s="161"/>
      <c r="AGY13" s="161"/>
      <c r="AGZ13" s="161"/>
      <c r="AHA13" s="161"/>
      <c r="AHB13" s="161"/>
      <c r="AHC13" s="161"/>
      <c r="AHD13" s="161"/>
      <c r="AHE13" s="161"/>
      <c r="AHF13" s="161"/>
      <c r="AHG13" s="161"/>
      <c r="AHH13" s="161"/>
      <c r="AHI13" s="161"/>
      <c r="AHJ13" s="161"/>
      <c r="AHK13" s="161"/>
      <c r="AHL13" s="161"/>
      <c r="AHM13" s="161"/>
      <c r="AHN13" s="161"/>
      <c r="AHO13" s="161"/>
      <c r="AHP13" s="161"/>
      <c r="AHQ13" s="161"/>
      <c r="AHR13" s="161"/>
      <c r="AHS13" s="161"/>
      <c r="AHT13" s="161"/>
      <c r="AHU13" s="161"/>
      <c r="AHV13" s="161"/>
      <c r="AHW13" s="161"/>
      <c r="AHX13" s="161"/>
      <c r="AHY13" s="161"/>
      <c r="AHZ13" s="161"/>
      <c r="AIA13" s="161"/>
      <c r="AIB13" s="161"/>
      <c r="AIC13" s="161"/>
      <c r="AID13" s="161"/>
      <c r="AIE13" s="161"/>
      <c r="AIF13" s="161"/>
      <c r="AIG13" s="161"/>
      <c r="AIH13" s="161"/>
      <c r="AII13" s="161"/>
      <c r="AIJ13" s="161"/>
      <c r="AIK13" s="161"/>
      <c r="AIL13" s="161"/>
      <c r="AIM13" s="161"/>
      <c r="AIN13" s="161"/>
      <c r="AIO13" s="161"/>
      <c r="AIP13" s="161"/>
      <c r="AIQ13" s="161"/>
      <c r="AIR13" s="161"/>
      <c r="AIS13" s="161"/>
      <c r="AIT13" s="161"/>
      <c r="AIU13" s="161"/>
      <c r="AIV13" s="161"/>
      <c r="AIW13" s="161"/>
      <c r="AIX13" s="161"/>
      <c r="AIY13" s="161"/>
      <c r="AIZ13" s="161"/>
      <c r="AJA13" s="161"/>
      <c r="AJB13" s="161"/>
      <c r="AJC13" s="161"/>
      <c r="AJD13" s="161"/>
      <c r="AJE13" s="161"/>
      <c r="AJF13" s="161"/>
      <c r="AJG13" s="161"/>
      <c r="AJH13" s="161"/>
      <c r="AJI13" s="161"/>
      <c r="AJJ13" s="161"/>
      <c r="AJK13" s="161"/>
      <c r="AJL13" s="161"/>
      <c r="AJM13" s="161"/>
      <c r="AJN13" s="161"/>
      <c r="AJO13" s="161"/>
      <c r="AJP13" s="161"/>
      <c r="AJQ13" s="161"/>
      <c r="AJR13" s="161"/>
      <c r="AJS13" s="161"/>
      <c r="AJT13" s="161"/>
      <c r="AJU13" s="161"/>
      <c r="AJV13" s="161"/>
      <c r="AJW13" s="161"/>
      <c r="AJX13" s="161"/>
      <c r="AJY13" s="161"/>
      <c r="AJZ13" s="161"/>
      <c r="AKA13" s="161"/>
      <c r="AKB13" s="161"/>
      <c r="AKC13" s="161"/>
      <c r="AKD13" s="161"/>
      <c r="AKE13" s="161"/>
      <c r="AKF13" s="161"/>
      <c r="AKG13" s="161"/>
      <c r="AKH13" s="161"/>
      <c r="AKI13" s="161"/>
      <c r="AKJ13" s="161"/>
      <c r="AKK13" s="161"/>
      <c r="AKL13" s="161"/>
      <c r="AKM13" s="161"/>
      <c r="AKN13" s="161"/>
      <c r="AKO13" s="161"/>
      <c r="AKP13" s="161"/>
      <c r="AKQ13" s="161"/>
      <c r="AKR13" s="161"/>
      <c r="AKS13" s="161"/>
      <c r="AKT13" s="161"/>
      <c r="AKU13" s="161"/>
      <c r="AKV13" s="161"/>
      <c r="AKW13" s="161"/>
      <c r="AKX13" s="161"/>
      <c r="AKY13" s="161"/>
      <c r="AKZ13" s="161"/>
      <c r="ALA13" s="161"/>
      <c r="ALB13" s="161"/>
      <c r="ALC13" s="161"/>
      <c r="ALD13" s="161"/>
      <c r="ALE13" s="161"/>
      <c r="ALF13" s="161"/>
      <c r="ALG13" s="161"/>
      <c r="ALH13" s="161"/>
      <c r="ALI13" s="161"/>
      <c r="ALJ13" s="161"/>
      <c r="ALK13" s="161"/>
      <c r="ALL13" s="161"/>
      <c r="ALM13" s="161"/>
      <c r="ALN13" s="161"/>
      <c r="ALO13" s="161"/>
      <c r="ALP13" s="161"/>
      <c r="ALQ13" s="161"/>
      <c r="ALR13" s="161"/>
      <c r="ALS13" s="161"/>
      <c r="ALT13" s="161"/>
      <c r="ALU13" s="161"/>
      <c r="ALV13" s="161"/>
      <c r="ALW13" s="161"/>
      <c r="ALX13" s="161"/>
      <c r="ALY13" s="161"/>
      <c r="ALZ13" s="161"/>
      <c r="AMA13" s="161"/>
      <c r="AMB13" s="161"/>
      <c r="AMC13" s="161"/>
      <c r="AMD13" s="161"/>
      <c r="AME13" s="161"/>
      <c r="AMF13" s="161"/>
      <c r="AMG13" s="161"/>
      <c r="AMH13" s="161"/>
      <c r="AMI13" s="161"/>
      <c r="AMJ13" s="161"/>
    </row>
    <row r="14" spans="1:1024" s="162" customFormat="1" ht="12.75" x14ac:dyDescent="0.2">
      <c r="A14" s="163"/>
      <c r="B14" s="180"/>
      <c r="C14" s="164"/>
      <c r="D14" s="182"/>
      <c r="E14" s="164"/>
      <c r="F14" s="164"/>
      <c r="G14" s="164"/>
      <c r="H14" s="161"/>
      <c r="I14" s="161"/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5"/>
      <c r="X14" s="161"/>
      <c r="Y14" s="161"/>
      <c r="Z14" s="161"/>
      <c r="AA14" s="161"/>
      <c r="AB14" s="161"/>
      <c r="AC14" s="161"/>
      <c r="AD14" s="161"/>
      <c r="AE14" s="161"/>
      <c r="AF14" s="161"/>
      <c r="AG14" s="161"/>
      <c r="AH14" s="161"/>
      <c r="AI14" s="161"/>
      <c r="AJ14" s="161"/>
      <c r="AK14" s="161"/>
      <c r="AL14" s="161"/>
      <c r="AM14" s="161"/>
      <c r="AN14" s="161"/>
      <c r="AO14" s="161"/>
      <c r="AP14" s="161"/>
      <c r="AQ14" s="161"/>
      <c r="AR14" s="161"/>
      <c r="AS14" s="161"/>
      <c r="AT14" s="161"/>
      <c r="AU14" s="161"/>
      <c r="AV14" s="161"/>
      <c r="AW14" s="161"/>
      <c r="AX14" s="161"/>
      <c r="AY14" s="161"/>
      <c r="AZ14" s="161"/>
      <c r="BA14" s="161"/>
      <c r="BB14" s="161"/>
      <c r="BC14" s="161"/>
      <c r="BD14" s="161"/>
      <c r="BE14" s="161"/>
      <c r="BF14" s="161"/>
      <c r="BG14" s="161"/>
      <c r="BH14" s="161"/>
      <c r="BI14" s="161"/>
      <c r="BJ14" s="161"/>
      <c r="BK14" s="161"/>
      <c r="BL14" s="161"/>
      <c r="BM14" s="161"/>
      <c r="BN14" s="161"/>
      <c r="BO14" s="161"/>
      <c r="BP14" s="161"/>
      <c r="BQ14" s="161"/>
      <c r="BR14" s="161"/>
      <c r="BS14" s="161"/>
      <c r="BT14" s="161"/>
      <c r="BU14" s="161"/>
      <c r="BV14" s="161"/>
      <c r="BW14" s="161"/>
      <c r="BX14" s="161"/>
      <c r="BY14" s="161"/>
      <c r="BZ14" s="161"/>
      <c r="CA14" s="161"/>
      <c r="CB14" s="161"/>
      <c r="CC14" s="161"/>
      <c r="CD14" s="161"/>
      <c r="CE14" s="161"/>
      <c r="CF14" s="161"/>
      <c r="CG14" s="161"/>
      <c r="CH14" s="161"/>
      <c r="CI14" s="161"/>
      <c r="CJ14" s="161"/>
      <c r="CK14" s="161"/>
      <c r="CL14" s="161"/>
      <c r="CM14" s="161"/>
      <c r="CN14" s="161"/>
      <c r="CO14" s="161"/>
      <c r="CP14" s="161"/>
      <c r="CQ14" s="161"/>
      <c r="CR14" s="161"/>
      <c r="CS14" s="161"/>
      <c r="CT14" s="161"/>
      <c r="CU14" s="161"/>
      <c r="CV14" s="161"/>
      <c r="CW14" s="161"/>
      <c r="CX14" s="161"/>
      <c r="CY14" s="161"/>
      <c r="CZ14" s="161"/>
      <c r="DA14" s="161"/>
      <c r="DB14" s="161"/>
      <c r="DC14" s="161"/>
      <c r="DD14" s="161"/>
      <c r="DE14" s="161"/>
      <c r="DF14" s="161"/>
      <c r="DG14" s="161"/>
      <c r="DH14" s="161"/>
      <c r="DI14" s="161"/>
      <c r="DJ14" s="161"/>
      <c r="DK14" s="161"/>
      <c r="DL14" s="161"/>
      <c r="DM14" s="161"/>
      <c r="DN14" s="161"/>
      <c r="DO14" s="161"/>
      <c r="DP14" s="161"/>
      <c r="DQ14" s="161"/>
      <c r="DR14" s="161"/>
      <c r="DS14" s="161"/>
      <c r="DT14" s="161"/>
      <c r="DU14" s="161"/>
      <c r="DV14" s="161"/>
      <c r="DW14" s="161"/>
      <c r="DX14" s="161"/>
      <c r="DY14" s="161"/>
      <c r="DZ14" s="161"/>
      <c r="EA14" s="161"/>
      <c r="EB14" s="161"/>
      <c r="EC14" s="161"/>
      <c r="ED14" s="161"/>
      <c r="EE14" s="161"/>
      <c r="EF14" s="161"/>
      <c r="EG14" s="161"/>
      <c r="EH14" s="161"/>
      <c r="EI14" s="161"/>
      <c r="EJ14" s="161"/>
      <c r="EK14" s="161"/>
      <c r="EL14" s="161"/>
      <c r="EM14" s="161"/>
      <c r="EN14" s="161"/>
      <c r="EO14" s="161"/>
      <c r="EP14" s="161"/>
      <c r="EQ14" s="161"/>
      <c r="ER14" s="161"/>
      <c r="ES14" s="161"/>
      <c r="ET14" s="161"/>
      <c r="EU14" s="161"/>
      <c r="EV14" s="161"/>
      <c r="EW14" s="161"/>
      <c r="EX14" s="161"/>
      <c r="EY14" s="161"/>
      <c r="EZ14" s="161"/>
      <c r="FA14" s="161"/>
      <c r="FB14" s="161"/>
      <c r="FC14" s="161"/>
      <c r="FD14" s="161"/>
      <c r="FE14" s="161"/>
      <c r="FF14" s="161"/>
      <c r="FG14" s="161"/>
      <c r="FH14" s="161"/>
      <c r="FI14" s="161"/>
      <c r="FJ14" s="161"/>
      <c r="FK14" s="161"/>
      <c r="FL14" s="161"/>
      <c r="FM14" s="161"/>
      <c r="FN14" s="161"/>
      <c r="FO14" s="161"/>
      <c r="FP14" s="161"/>
      <c r="FQ14" s="161"/>
      <c r="FR14" s="161"/>
      <c r="FS14" s="161"/>
      <c r="FT14" s="161"/>
      <c r="FU14" s="161"/>
      <c r="FV14" s="161"/>
      <c r="FW14" s="161"/>
      <c r="FX14" s="161"/>
      <c r="FY14" s="161"/>
      <c r="FZ14" s="161"/>
      <c r="GA14" s="161"/>
      <c r="GB14" s="161"/>
      <c r="GC14" s="161"/>
      <c r="GD14" s="161"/>
      <c r="GE14" s="161"/>
      <c r="GF14" s="161"/>
      <c r="GG14" s="161"/>
      <c r="GH14" s="161"/>
      <c r="GI14" s="161"/>
      <c r="GJ14" s="161"/>
      <c r="GK14" s="161"/>
      <c r="GL14" s="161"/>
      <c r="GM14" s="161"/>
      <c r="GN14" s="161"/>
      <c r="GO14" s="161"/>
      <c r="GP14" s="161"/>
      <c r="GQ14" s="161"/>
      <c r="GR14" s="161"/>
      <c r="GS14" s="161"/>
      <c r="GT14" s="161"/>
      <c r="GU14" s="161"/>
      <c r="GV14" s="161"/>
      <c r="GW14" s="161"/>
      <c r="GX14" s="161"/>
      <c r="GY14" s="161"/>
      <c r="GZ14" s="161"/>
      <c r="HA14" s="161"/>
      <c r="HB14" s="161"/>
      <c r="HC14" s="161"/>
      <c r="HD14" s="161"/>
      <c r="HE14" s="161"/>
      <c r="HF14" s="161"/>
      <c r="HG14" s="161"/>
      <c r="HH14" s="161"/>
      <c r="HI14" s="161"/>
      <c r="HJ14" s="161"/>
      <c r="HK14" s="161"/>
      <c r="HL14" s="161"/>
      <c r="HM14" s="161"/>
      <c r="HN14" s="161"/>
      <c r="HO14" s="161"/>
      <c r="HP14" s="161"/>
      <c r="HQ14" s="161"/>
      <c r="HR14" s="161"/>
      <c r="HS14" s="161"/>
      <c r="HT14" s="161"/>
      <c r="HU14" s="161"/>
      <c r="HV14" s="161"/>
      <c r="HW14" s="161"/>
      <c r="HX14" s="161"/>
      <c r="HY14" s="161"/>
      <c r="HZ14" s="161"/>
      <c r="IA14" s="161"/>
      <c r="IB14" s="161"/>
      <c r="IC14" s="161"/>
      <c r="ID14" s="161"/>
      <c r="IE14" s="161"/>
      <c r="IF14" s="161"/>
      <c r="IG14" s="161"/>
      <c r="IH14" s="161"/>
      <c r="II14" s="161"/>
      <c r="IJ14" s="161"/>
      <c r="IK14" s="161"/>
      <c r="IL14" s="161"/>
      <c r="IM14" s="161"/>
      <c r="IN14" s="161"/>
      <c r="IO14" s="161"/>
      <c r="IP14" s="161"/>
      <c r="IQ14" s="161"/>
      <c r="IR14" s="161"/>
      <c r="IS14" s="161"/>
      <c r="IT14" s="161"/>
      <c r="IU14" s="161"/>
      <c r="IV14" s="161"/>
      <c r="IW14" s="161"/>
      <c r="IX14" s="161"/>
      <c r="IY14" s="161"/>
      <c r="IZ14" s="161"/>
      <c r="JA14" s="161"/>
      <c r="JB14" s="161"/>
      <c r="JC14" s="161"/>
      <c r="JD14" s="161"/>
      <c r="JE14" s="161"/>
      <c r="JF14" s="161"/>
      <c r="JG14" s="161"/>
      <c r="JH14" s="161"/>
      <c r="JI14" s="161"/>
      <c r="JJ14" s="161"/>
      <c r="JK14" s="161"/>
      <c r="JL14" s="161"/>
      <c r="JM14" s="161"/>
      <c r="JN14" s="161"/>
      <c r="JO14" s="161"/>
      <c r="JP14" s="161"/>
      <c r="JQ14" s="161"/>
      <c r="JR14" s="161"/>
      <c r="JS14" s="161"/>
      <c r="JT14" s="161"/>
      <c r="JU14" s="161"/>
      <c r="JV14" s="161"/>
      <c r="JW14" s="161"/>
      <c r="JX14" s="161"/>
      <c r="JY14" s="161"/>
      <c r="JZ14" s="161"/>
      <c r="KA14" s="161"/>
      <c r="KB14" s="161"/>
      <c r="KC14" s="161"/>
      <c r="KD14" s="161"/>
      <c r="KE14" s="161"/>
      <c r="KF14" s="161"/>
      <c r="KG14" s="161"/>
      <c r="KH14" s="161"/>
      <c r="KI14" s="161"/>
      <c r="KJ14" s="161"/>
      <c r="KK14" s="161"/>
      <c r="KL14" s="161"/>
      <c r="KM14" s="161"/>
      <c r="KN14" s="161"/>
      <c r="KO14" s="161"/>
      <c r="KP14" s="161"/>
      <c r="KQ14" s="161"/>
      <c r="KR14" s="161"/>
      <c r="KS14" s="161"/>
      <c r="KT14" s="161"/>
      <c r="KU14" s="161"/>
      <c r="KV14" s="161"/>
      <c r="KW14" s="161"/>
      <c r="KX14" s="161"/>
      <c r="KY14" s="161"/>
      <c r="KZ14" s="161"/>
      <c r="LA14" s="161"/>
      <c r="LB14" s="161"/>
      <c r="LC14" s="161"/>
      <c r="LD14" s="161"/>
      <c r="LE14" s="161"/>
      <c r="LF14" s="161"/>
      <c r="LG14" s="161"/>
      <c r="LH14" s="161"/>
      <c r="LI14" s="161"/>
      <c r="LJ14" s="161"/>
      <c r="LK14" s="161"/>
      <c r="LL14" s="161"/>
      <c r="LM14" s="161"/>
      <c r="LN14" s="161"/>
      <c r="LO14" s="161"/>
      <c r="LP14" s="161"/>
      <c r="LQ14" s="161"/>
      <c r="LR14" s="161"/>
      <c r="LS14" s="161"/>
      <c r="LT14" s="161"/>
      <c r="LU14" s="161"/>
      <c r="LV14" s="161"/>
      <c r="LW14" s="161"/>
      <c r="LX14" s="161"/>
      <c r="LY14" s="161"/>
      <c r="LZ14" s="161"/>
      <c r="MA14" s="161"/>
      <c r="MB14" s="161"/>
      <c r="MC14" s="161"/>
      <c r="MD14" s="161"/>
      <c r="ME14" s="161"/>
      <c r="MF14" s="161"/>
      <c r="MG14" s="161"/>
      <c r="MH14" s="161"/>
      <c r="MI14" s="161"/>
      <c r="MJ14" s="161"/>
      <c r="MK14" s="161"/>
      <c r="ML14" s="161"/>
      <c r="MM14" s="161"/>
      <c r="MN14" s="161"/>
      <c r="MO14" s="161"/>
      <c r="MP14" s="161"/>
      <c r="MQ14" s="161"/>
      <c r="MR14" s="161"/>
      <c r="MS14" s="161"/>
      <c r="MT14" s="161"/>
      <c r="MU14" s="161"/>
      <c r="MV14" s="161"/>
      <c r="MW14" s="161"/>
      <c r="MX14" s="161"/>
      <c r="MY14" s="161"/>
      <c r="MZ14" s="161"/>
      <c r="NA14" s="161"/>
      <c r="NB14" s="161"/>
      <c r="NC14" s="161"/>
      <c r="ND14" s="161"/>
      <c r="NE14" s="161"/>
      <c r="NF14" s="161"/>
      <c r="NG14" s="161"/>
      <c r="NH14" s="161"/>
      <c r="NI14" s="161"/>
      <c r="NJ14" s="161"/>
      <c r="NK14" s="161"/>
      <c r="NL14" s="161"/>
      <c r="NM14" s="161"/>
      <c r="NN14" s="161"/>
      <c r="NO14" s="161"/>
      <c r="NP14" s="161"/>
      <c r="NQ14" s="161"/>
      <c r="NR14" s="161"/>
      <c r="NS14" s="161"/>
      <c r="NT14" s="161"/>
      <c r="NU14" s="161"/>
      <c r="NV14" s="161"/>
      <c r="NW14" s="161"/>
      <c r="NX14" s="161"/>
      <c r="NY14" s="161"/>
      <c r="NZ14" s="161"/>
      <c r="OA14" s="161"/>
      <c r="OB14" s="161"/>
      <c r="OC14" s="161"/>
      <c r="OD14" s="161"/>
      <c r="OE14" s="161"/>
      <c r="OF14" s="161"/>
      <c r="OG14" s="161"/>
      <c r="OH14" s="161"/>
      <c r="OI14" s="161"/>
      <c r="OJ14" s="161"/>
      <c r="OK14" s="161"/>
      <c r="OL14" s="161"/>
      <c r="OM14" s="161"/>
      <c r="ON14" s="161"/>
      <c r="OO14" s="161"/>
      <c r="OP14" s="161"/>
      <c r="OQ14" s="161"/>
      <c r="OR14" s="161"/>
      <c r="OS14" s="161"/>
      <c r="OT14" s="161"/>
      <c r="OU14" s="161"/>
      <c r="OV14" s="161"/>
      <c r="OW14" s="161"/>
      <c r="OX14" s="161"/>
      <c r="OY14" s="161"/>
      <c r="OZ14" s="161"/>
      <c r="PA14" s="161"/>
      <c r="PB14" s="161"/>
      <c r="PC14" s="161"/>
      <c r="PD14" s="161"/>
      <c r="PE14" s="161"/>
      <c r="PF14" s="161"/>
      <c r="PG14" s="161"/>
      <c r="PH14" s="161"/>
      <c r="PI14" s="161"/>
      <c r="PJ14" s="161"/>
      <c r="PK14" s="161"/>
      <c r="PL14" s="161"/>
      <c r="PM14" s="161"/>
      <c r="PN14" s="161"/>
      <c r="PO14" s="161"/>
      <c r="PP14" s="161"/>
      <c r="PQ14" s="161"/>
      <c r="PR14" s="161"/>
      <c r="PS14" s="161"/>
      <c r="PT14" s="161"/>
      <c r="PU14" s="161"/>
      <c r="PV14" s="161"/>
      <c r="PW14" s="161"/>
      <c r="PX14" s="161"/>
      <c r="PY14" s="161"/>
      <c r="PZ14" s="161"/>
      <c r="QA14" s="161"/>
      <c r="QB14" s="161"/>
      <c r="QC14" s="161"/>
      <c r="QD14" s="161"/>
      <c r="QE14" s="161"/>
      <c r="QF14" s="161"/>
      <c r="QG14" s="161"/>
      <c r="QH14" s="161"/>
      <c r="QI14" s="161"/>
      <c r="QJ14" s="161"/>
      <c r="QK14" s="161"/>
      <c r="QL14" s="161"/>
      <c r="QM14" s="161"/>
      <c r="QN14" s="161"/>
      <c r="QO14" s="161"/>
      <c r="QP14" s="161"/>
      <c r="QQ14" s="161"/>
      <c r="QR14" s="161"/>
      <c r="QS14" s="161"/>
      <c r="QT14" s="161"/>
      <c r="QU14" s="161"/>
      <c r="QV14" s="161"/>
      <c r="QW14" s="161"/>
      <c r="QX14" s="161"/>
      <c r="QY14" s="161"/>
      <c r="QZ14" s="161"/>
      <c r="RA14" s="161"/>
      <c r="RB14" s="161"/>
      <c r="RC14" s="161"/>
      <c r="RD14" s="161"/>
      <c r="RE14" s="161"/>
      <c r="RF14" s="161"/>
      <c r="RG14" s="161"/>
      <c r="RH14" s="161"/>
      <c r="RI14" s="161"/>
      <c r="RJ14" s="161"/>
      <c r="RK14" s="161"/>
      <c r="RL14" s="161"/>
      <c r="RM14" s="161"/>
      <c r="RN14" s="161"/>
      <c r="RO14" s="161"/>
      <c r="RP14" s="161"/>
      <c r="RQ14" s="161"/>
      <c r="RR14" s="161"/>
      <c r="RS14" s="161"/>
      <c r="RT14" s="161"/>
      <c r="RU14" s="161"/>
      <c r="RV14" s="161"/>
      <c r="RW14" s="161"/>
      <c r="RX14" s="161"/>
      <c r="RY14" s="161"/>
      <c r="RZ14" s="161"/>
      <c r="SA14" s="161"/>
      <c r="SB14" s="161"/>
      <c r="SC14" s="161"/>
      <c r="SD14" s="161"/>
      <c r="SE14" s="161"/>
      <c r="SF14" s="161"/>
      <c r="SG14" s="161"/>
      <c r="SH14" s="161"/>
      <c r="SI14" s="161"/>
      <c r="SJ14" s="161"/>
      <c r="SK14" s="161"/>
      <c r="SL14" s="161"/>
      <c r="SM14" s="161"/>
      <c r="SN14" s="161"/>
      <c r="SO14" s="161"/>
      <c r="SP14" s="161"/>
      <c r="SQ14" s="161"/>
      <c r="SR14" s="161"/>
      <c r="SS14" s="161"/>
      <c r="ST14" s="161"/>
      <c r="SU14" s="161"/>
      <c r="SV14" s="161"/>
      <c r="SW14" s="161"/>
      <c r="SX14" s="161"/>
      <c r="SY14" s="161"/>
      <c r="SZ14" s="161"/>
      <c r="TA14" s="161"/>
      <c r="TB14" s="161"/>
      <c r="TC14" s="161"/>
      <c r="TD14" s="161"/>
      <c r="TE14" s="161"/>
      <c r="TF14" s="161"/>
      <c r="TG14" s="161"/>
      <c r="TH14" s="161"/>
      <c r="TI14" s="161"/>
      <c r="TJ14" s="161"/>
      <c r="TK14" s="161"/>
      <c r="TL14" s="161"/>
      <c r="TM14" s="161"/>
      <c r="TN14" s="161"/>
      <c r="TO14" s="161"/>
      <c r="TP14" s="161"/>
      <c r="TQ14" s="161"/>
      <c r="TR14" s="161"/>
      <c r="TS14" s="161"/>
      <c r="TT14" s="161"/>
      <c r="TU14" s="161"/>
      <c r="TV14" s="161"/>
      <c r="TW14" s="161"/>
      <c r="TX14" s="161"/>
      <c r="TY14" s="161"/>
      <c r="TZ14" s="161"/>
      <c r="UA14" s="161"/>
      <c r="UB14" s="161"/>
      <c r="UC14" s="161"/>
      <c r="UD14" s="161"/>
      <c r="UE14" s="161"/>
      <c r="UF14" s="161"/>
      <c r="UG14" s="161"/>
      <c r="UH14" s="161"/>
      <c r="UI14" s="161"/>
      <c r="UJ14" s="161"/>
      <c r="UK14" s="161"/>
      <c r="UL14" s="161"/>
      <c r="UM14" s="161"/>
      <c r="UN14" s="161"/>
      <c r="UO14" s="161"/>
      <c r="UP14" s="161"/>
      <c r="UQ14" s="161"/>
      <c r="UR14" s="161"/>
      <c r="US14" s="161"/>
      <c r="UT14" s="161"/>
      <c r="UU14" s="161"/>
      <c r="UV14" s="161"/>
      <c r="UW14" s="161"/>
      <c r="UX14" s="161"/>
      <c r="UY14" s="161"/>
      <c r="UZ14" s="161"/>
      <c r="VA14" s="161"/>
      <c r="VB14" s="161"/>
      <c r="VC14" s="161"/>
      <c r="VD14" s="161"/>
      <c r="VE14" s="161"/>
      <c r="VF14" s="161"/>
      <c r="VG14" s="161"/>
      <c r="VH14" s="161"/>
      <c r="VI14" s="161"/>
      <c r="VJ14" s="161"/>
      <c r="VK14" s="161"/>
      <c r="VL14" s="161"/>
      <c r="VM14" s="161"/>
      <c r="VN14" s="161"/>
      <c r="VO14" s="161"/>
      <c r="VP14" s="161"/>
      <c r="VQ14" s="161"/>
      <c r="VR14" s="161"/>
      <c r="VS14" s="161"/>
      <c r="VT14" s="161"/>
      <c r="VU14" s="161"/>
      <c r="VV14" s="161"/>
      <c r="VW14" s="161"/>
      <c r="VX14" s="161"/>
      <c r="VY14" s="161"/>
      <c r="VZ14" s="161"/>
      <c r="WA14" s="161"/>
      <c r="WB14" s="161"/>
      <c r="WC14" s="161"/>
      <c r="WD14" s="161"/>
      <c r="WE14" s="161"/>
      <c r="WF14" s="161"/>
      <c r="WG14" s="161"/>
      <c r="WH14" s="161"/>
      <c r="WI14" s="161"/>
      <c r="WJ14" s="161"/>
      <c r="WK14" s="161"/>
      <c r="WL14" s="161"/>
      <c r="WM14" s="161"/>
      <c r="WN14" s="161"/>
      <c r="WO14" s="161"/>
      <c r="WP14" s="161"/>
      <c r="WQ14" s="161"/>
      <c r="WR14" s="161"/>
      <c r="WS14" s="161"/>
      <c r="WT14" s="161"/>
      <c r="WU14" s="161"/>
      <c r="WV14" s="161"/>
      <c r="WW14" s="161"/>
      <c r="WX14" s="161"/>
      <c r="WY14" s="161"/>
      <c r="WZ14" s="161"/>
      <c r="XA14" s="161"/>
      <c r="XB14" s="161"/>
      <c r="XC14" s="161"/>
      <c r="XD14" s="161"/>
      <c r="XE14" s="161"/>
      <c r="XF14" s="161"/>
      <c r="XG14" s="161"/>
      <c r="XH14" s="161"/>
      <c r="XI14" s="161"/>
      <c r="XJ14" s="161"/>
      <c r="XK14" s="161"/>
      <c r="XL14" s="161"/>
      <c r="XM14" s="161"/>
      <c r="XN14" s="161"/>
      <c r="XO14" s="161"/>
      <c r="XP14" s="161"/>
      <c r="XQ14" s="161"/>
      <c r="XR14" s="161"/>
      <c r="XS14" s="161"/>
      <c r="XT14" s="161"/>
      <c r="XU14" s="161"/>
      <c r="XV14" s="161"/>
      <c r="XW14" s="161"/>
      <c r="XX14" s="161"/>
      <c r="XY14" s="161"/>
      <c r="XZ14" s="161"/>
      <c r="YA14" s="161"/>
      <c r="YB14" s="161"/>
      <c r="YC14" s="161"/>
      <c r="YD14" s="161"/>
      <c r="YE14" s="161"/>
      <c r="YF14" s="161"/>
      <c r="YG14" s="161"/>
      <c r="YH14" s="161"/>
      <c r="YI14" s="161"/>
      <c r="YJ14" s="161"/>
      <c r="YK14" s="161"/>
      <c r="YL14" s="161"/>
      <c r="YM14" s="161"/>
      <c r="YN14" s="161"/>
      <c r="YO14" s="161"/>
      <c r="YP14" s="161"/>
      <c r="YQ14" s="161"/>
      <c r="YR14" s="161"/>
      <c r="YS14" s="161"/>
      <c r="YT14" s="161"/>
      <c r="YU14" s="161"/>
      <c r="YV14" s="161"/>
      <c r="YW14" s="161"/>
      <c r="YX14" s="161"/>
      <c r="YY14" s="161"/>
      <c r="YZ14" s="161"/>
      <c r="ZA14" s="161"/>
      <c r="ZB14" s="161"/>
      <c r="ZC14" s="161"/>
      <c r="ZD14" s="161"/>
      <c r="ZE14" s="161"/>
      <c r="ZF14" s="161"/>
      <c r="ZG14" s="161"/>
      <c r="ZH14" s="161"/>
      <c r="ZI14" s="161"/>
      <c r="ZJ14" s="161"/>
      <c r="ZK14" s="161"/>
      <c r="ZL14" s="161"/>
      <c r="ZM14" s="161"/>
      <c r="ZN14" s="161"/>
      <c r="ZO14" s="161"/>
      <c r="ZP14" s="161"/>
      <c r="ZQ14" s="161"/>
      <c r="ZR14" s="161"/>
      <c r="ZS14" s="161"/>
      <c r="ZT14" s="161"/>
      <c r="ZU14" s="161"/>
      <c r="ZV14" s="161"/>
      <c r="ZW14" s="161"/>
      <c r="ZX14" s="161"/>
      <c r="ZY14" s="161"/>
      <c r="ZZ14" s="161"/>
      <c r="AAA14" s="161"/>
      <c r="AAB14" s="161"/>
      <c r="AAC14" s="161"/>
      <c r="AAD14" s="161"/>
      <c r="AAE14" s="161"/>
      <c r="AAF14" s="161"/>
      <c r="AAG14" s="161"/>
      <c r="AAH14" s="161"/>
      <c r="AAI14" s="161"/>
      <c r="AAJ14" s="161"/>
      <c r="AAK14" s="161"/>
      <c r="AAL14" s="161"/>
      <c r="AAM14" s="161"/>
      <c r="AAN14" s="161"/>
      <c r="AAO14" s="161"/>
      <c r="AAP14" s="161"/>
      <c r="AAQ14" s="161"/>
      <c r="AAR14" s="161"/>
      <c r="AAS14" s="161"/>
      <c r="AAT14" s="161"/>
      <c r="AAU14" s="161"/>
      <c r="AAV14" s="161"/>
      <c r="AAW14" s="161"/>
      <c r="AAX14" s="161"/>
      <c r="AAY14" s="161"/>
      <c r="AAZ14" s="161"/>
      <c r="ABA14" s="161"/>
      <c r="ABB14" s="161"/>
      <c r="ABC14" s="161"/>
      <c r="ABD14" s="161"/>
      <c r="ABE14" s="161"/>
      <c r="ABF14" s="161"/>
      <c r="ABG14" s="161"/>
      <c r="ABH14" s="161"/>
      <c r="ABI14" s="161"/>
      <c r="ABJ14" s="161"/>
      <c r="ABK14" s="161"/>
      <c r="ABL14" s="161"/>
      <c r="ABM14" s="161"/>
      <c r="ABN14" s="161"/>
      <c r="ABO14" s="161"/>
      <c r="ABP14" s="161"/>
      <c r="ABQ14" s="161"/>
      <c r="ABR14" s="161"/>
      <c r="ABS14" s="161"/>
      <c r="ABT14" s="161"/>
      <c r="ABU14" s="161"/>
      <c r="ABV14" s="161"/>
      <c r="ABW14" s="161"/>
      <c r="ABX14" s="161"/>
      <c r="ABY14" s="161"/>
      <c r="ABZ14" s="161"/>
      <c r="ACA14" s="161"/>
      <c r="ACB14" s="161"/>
      <c r="ACC14" s="161"/>
      <c r="ACD14" s="161"/>
      <c r="ACE14" s="161"/>
      <c r="ACF14" s="161"/>
      <c r="ACG14" s="161"/>
      <c r="ACH14" s="161"/>
      <c r="ACI14" s="161"/>
      <c r="ACJ14" s="161"/>
      <c r="ACK14" s="161"/>
      <c r="ACL14" s="161"/>
      <c r="ACM14" s="161"/>
      <c r="ACN14" s="161"/>
      <c r="ACO14" s="161"/>
      <c r="ACP14" s="161"/>
      <c r="ACQ14" s="161"/>
      <c r="ACR14" s="161"/>
      <c r="ACS14" s="161"/>
      <c r="ACT14" s="161"/>
      <c r="ACU14" s="161"/>
      <c r="ACV14" s="161"/>
      <c r="ACW14" s="161"/>
      <c r="ACX14" s="161"/>
      <c r="ACY14" s="161"/>
      <c r="ACZ14" s="161"/>
      <c r="ADA14" s="161"/>
      <c r="ADB14" s="161"/>
      <c r="ADC14" s="161"/>
      <c r="ADD14" s="161"/>
      <c r="ADE14" s="161"/>
      <c r="ADF14" s="161"/>
      <c r="ADG14" s="161"/>
      <c r="ADH14" s="161"/>
      <c r="ADI14" s="161"/>
      <c r="ADJ14" s="161"/>
      <c r="ADK14" s="161"/>
      <c r="ADL14" s="161"/>
      <c r="ADM14" s="161"/>
      <c r="ADN14" s="161"/>
      <c r="ADO14" s="161"/>
      <c r="ADP14" s="161"/>
      <c r="ADQ14" s="161"/>
      <c r="ADR14" s="161"/>
      <c r="ADS14" s="161"/>
      <c r="ADT14" s="161"/>
      <c r="ADU14" s="161"/>
      <c r="ADV14" s="161"/>
      <c r="ADW14" s="161"/>
      <c r="ADX14" s="161"/>
      <c r="ADY14" s="161"/>
      <c r="ADZ14" s="161"/>
      <c r="AEA14" s="161"/>
      <c r="AEB14" s="161"/>
      <c r="AEC14" s="161"/>
      <c r="AED14" s="161"/>
      <c r="AEE14" s="161"/>
      <c r="AEF14" s="161"/>
      <c r="AEG14" s="161"/>
      <c r="AEH14" s="161"/>
      <c r="AEI14" s="161"/>
      <c r="AEJ14" s="161"/>
      <c r="AEK14" s="161"/>
      <c r="AEL14" s="161"/>
      <c r="AEM14" s="161"/>
      <c r="AEN14" s="161"/>
      <c r="AEO14" s="161"/>
      <c r="AEP14" s="161"/>
      <c r="AEQ14" s="161"/>
      <c r="AER14" s="161"/>
      <c r="AES14" s="161"/>
      <c r="AET14" s="161"/>
      <c r="AEU14" s="161"/>
      <c r="AEV14" s="161"/>
      <c r="AEW14" s="161"/>
      <c r="AEX14" s="161"/>
      <c r="AEY14" s="161"/>
      <c r="AEZ14" s="161"/>
      <c r="AFA14" s="161"/>
      <c r="AFB14" s="161"/>
      <c r="AFC14" s="161"/>
      <c r="AFD14" s="161"/>
      <c r="AFE14" s="161"/>
      <c r="AFF14" s="161"/>
      <c r="AFG14" s="161"/>
      <c r="AFH14" s="161"/>
      <c r="AFI14" s="161"/>
      <c r="AFJ14" s="161"/>
      <c r="AFK14" s="161"/>
      <c r="AFL14" s="161"/>
      <c r="AFM14" s="161"/>
      <c r="AFN14" s="161"/>
      <c r="AFO14" s="161"/>
      <c r="AFP14" s="161"/>
      <c r="AFQ14" s="161"/>
      <c r="AFR14" s="161"/>
      <c r="AFS14" s="161"/>
      <c r="AFT14" s="161"/>
      <c r="AFU14" s="161"/>
      <c r="AFV14" s="161"/>
      <c r="AFW14" s="161"/>
      <c r="AFX14" s="161"/>
      <c r="AFY14" s="161"/>
      <c r="AFZ14" s="161"/>
      <c r="AGA14" s="161"/>
      <c r="AGB14" s="161"/>
      <c r="AGC14" s="161"/>
      <c r="AGD14" s="161"/>
      <c r="AGE14" s="161"/>
      <c r="AGF14" s="161"/>
      <c r="AGG14" s="161"/>
      <c r="AGH14" s="161"/>
      <c r="AGI14" s="161"/>
      <c r="AGJ14" s="161"/>
      <c r="AGK14" s="161"/>
      <c r="AGL14" s="161"/>
      <c r="AGM14" s="161"/>
      <c r="AGN14" s="161"/>
      <c r="AGO14" s="161"/>
      <c r="AGP14" s="161"/>
      <c r="AGQ14" s="161"/>
      <c r="AGR14" s="161"/>
      <c r="AGS14" s="161"/>
      <c r="AGT14" s="161"/>
      <c r="AGU14" s="161"/>
      <c r="AGV14" s="161"/>
      <c r="AGW14" s="161"/>
      <c r="AGX14" s="161"/>
      <c r="AGY14" s="161"/>
      <c r="AGZ14" s="161"/>
      <c r="AHA14" s="161"/>
      <c r="AHB14" s="161"/>
      <c r="AHC14" s="161"/>
      <c r="AHD14" s="161"/>
      <c r="AHE14" s="161"/>
      <c r="AHF14" s="161"/>
      <c r="AHG14" s="161"/>
      <c r="AHH14" s="161"/>
      <c r="AHI14" s="161"/>
      <c r="AHJ14" s="161"/>
      <c r="AHK14" s="161"/>
      <c r="AHL14" s="161"/>
      <c r="AHM14" s="161"/>
      <c r="AHN14" s="161"/>
      <c r="AHO14" s="161"/>
      <c r="AHP14" s="161"/>
      <c r="AHQ14" s="161"/>
      <c r="AHR14" s="161"/>
      <c r="AHS14" s="161"/>
      <c r="AHT14" s="161"/>
      <c r="AHU14" s="161"/>
      <c r="AHV14" s="161"/>
      <c r="AHW14" s="161"/>
      <c r="AHX14" s="161"/>
      <c r="AHY14" s="161"/>
      <c r="AHZ14" s="161"/>
      <c r="AIA14" s="161"/>
      <c r="AIB14" s="161"/>
      <c r="AIC14" s="161"/>
      <c r="AID14" s="161"/>
      <c r="AIE14" s="161"/>
      <c r="AIF14" s="161"/>
      <c r="AIG14" s="161"/>
      <c r="AIH14" s="161"/>
      <c r="AII14" s="161"/>
      <c r="AIJ14" s="161"/>
      <c r="AIK14" s="161"/>
      <c r="AIL14" s="161"/>
      <c r="AIM14" s="161"/>
      <c r="AIN14" s="161"/>
      <c r="AIO14" s="161"/>
      <c r="AIP14" s="161"/>
      <c r="AIQ14" s="161"/>
      <c r="AIR14" s="161"/>
      <c r="AIS14" s="161"/>
      <c r="AIT14" s="161"/>
      <c r="AIU14" s="161"/>
      <c r="AIV14" s="161"/>
      <c r="AIW14" s="161"/>
      <c r="AIX14" s="161"/>
      <c r="AIY14" s="161"/>
      <c r="AIZ14" s="161"/>
      <c r="AJA14" s="161"/>
      <c r="AJB14" s="161"/>
      <c r="AJC14" s="161"/>
      <c r="AJD14" s="161"/>
      <c r="AJE14" s="161"/>
      <c r="AJF14" s="161"/>
      <c r="AJG14" s="161"/>
      <c r="AJH14" s="161"/>
      <c r="AJI14" s="161"/>
      <c r="AJJ14" s="161"/>
      <c r="AJK14" s="161"/>
      <c r="AJL14" s="161"/>
      <c r="AJM14" s="161"/>
      <c r="AJN14" s="161"/>
      <c r="AJO14" s="161"/>
      <c r="AJP14" s="161"/>
      <c r="AJQ14" s="161"/>
      <c r="AJR14" s="161"/>
      <c r="AJS14" s="161"/>
      <c r="AJT14" s="161"/>
      <c r="AJU14" s="161"/>
      <c r="AJV14" s="161"/>
      <c r="AJW14" s="161"/>
      <c r="AJX14" s="161"/>
      <c r="AJY14" s="161"/>
      <c r="AJZ14" s="161"/>
      <c r="AKA14" s="161"/>
      <c r="AKB14" s="161"/>
      <c r="AKC14" s="161"/>
      <c r="AKD14" s="161"/>
      <c r="AKE14" s="161"/>
      <c r="AKF14" s="161"/>
      <c r="AKG14" s="161"/>
      <c r="AKH14" s="161"/>
      <c r="AKI14" s="161"/>
      <c r="AKJ14" s="161"/>
      <c r="AKK14" s="161"/>
      <c r="AKL14" s="161"/>
      <c r="AKM14" s="161"/>
      <c r="AKN14" s="161"/>
      <c r="AKO14" s="161"/>
      <c r="AKP14" s="161"/>
      <c r="AKQ14" s="161"/>
      <c r="AKR14" s="161"/>
      <c r="AKS14" s="161"/>
      <c r="AKT14" s="161"/>
      <c r="AKU14" s="161"/>
      <c r="AKV14" s="161"/>
      <c r="AKW14" s="161"/>
      <c r="AKX14" s="161"/>
      <c r="AKY14" s="161"/>
      <c r="AKZ14" s="161"/>
      <c r="ALA14" s="161"/>
      <c r="ALB14" s="161"/>
      <c r="ALC14" s="161"/>
      <c r="ALD14" s="161"/>
      <c r="ALE14" s="161"/>
      <c r="ALF14" s="161"/>
      <c r="ALG14" s="161"/>
      <c r="ALH14" s="161"/>
      <c r="ALI14" s="161"/>
      <c r="ALJ14" s="161"/>
      <c r="ALK14" s="161"/>
      <c r="ALL14" s="161"/>
      <c r="ALM14" s="161"/>
      <c r="ALN14" s="161"/>
      <c r="ALO14" s="161"/>
      <c r="ALP14" s="161"/>
      <c r="ALQ14" s="161"/>
      <c r="ALR14" s="161"/>
      <c r="ALS14" s="161"/>
      <c r="ALT14" s="161"/>
      <c r="ALU14" s="161"/>
      <c r="ALV14" s="161"/>
      <c r="ALW14" s="161"/>
      <c r="ALX14" s="161"/>
      <c r="ALY14" s="161"/>
      <c r="ALZ14" s="161"/>
      <c r="AMA14" s="161"/>
      <c r="AMB14" s="161"/>
      <c r="AMC14" s="161"/>
      <c r="AMD14" s="161"/>
      <c r="AME14" s="161"/>
      <c r="AMF14" s="161"/>
      <c r="AMG14" s="161"/>
      <c r="AMH14" s="161"/>
      <c r="AMI14" s="161"/>
      <c r="AMJ14" s="161"/>
    </row>
    <row r="15" spans="1:1024" s="162" customFormat="1" ht="39" customHeight="1" x14ac:dyDescent="0.2">
      <c r="A15" s="163"/>
      <c r="B15" s="164"/>
      <c r="C15" s="164"/>
      <c r="D15" s="164"/>
      <c r="E15" s="164"/>
      <c r="F15" s="164"/>
      <c r="G15" s="164"/>
      <c r="H15" s="161"/>
      <c r="I15" s="161"/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5"/>
      <c r="X15" s="161"/>
      <c r="Y15" s="161"/>
      <c r="Z15" s="161"/>
      <c r="AA15" s="161"/>
      <c r="AB15" s="161"/>
      <c r="AC15" s="161"/>
      <c r="AD15" s="161"/>
      <c r="AE15" s="161"/>
      <c r="AF15" s="161"/>
      <c r="AG15" s="161"/>
      <c r="AH15" s="161"/>
      <c r="AI15" s="161"/>
      <c r="AJ15" s="161"/>
      <c r="AK15" s="161"/>
      <c r="AL15" s="161"/>
      <c r="AM15" s="161"/>
      <c r="AN15" s="161"/>
      <c r="AO15" s="161"/>
      <c r="AP15" s="161"/>
      <c r="AQ15" s="161"/>
      <c r="AR15" s="161"/>
      <c r="AS15" s="161"/>
      <c r="AT15" s="161"/>
      <c r="AU15" s="161"/>
      <c r="AV15" s="161"/>
      <c r="AW15" s="161"/>
      <c r="AX15" s="161"/>
      <c r="AY15" s="161"/>
      <c r="AZ15" s="161"/>
      <c r="BA15" s="161"/>
      <c r="BB15" s="161"/>
      <c r="BC15" s="161"/>
      <c r="BD15" s="161"/>
      <c r="BE15" s="161"/>
      <c r="BF15" s="161"/>
      <c r="BG15" s="161"/>
      <c r="BH15" s="161"/>
      <c r="BI15" s="161"/>
      <c r="BJ15" s="161"/>
      <c r="BK15" s="161"/>
      <c r="BL15" s="161"/>
      <c r="BM15" s="161"/>
      <c r="BN15" s="161"/>
      <c r="BO15" s="161"/>
      <c r="BP15" s="161"/>
      <c r="BQ15" s="161"/>
      <c r="BR15" s="161"/>
      <c r="BS15" s="161"/>
      <c r="BT15" s="161"/>
      <c r="BU15" s="161"/>
      <c r="BV15" s="161"/>
      <c r="BW15" s="161"/>
      <c r="BX15" s="161"/>
      <c r="BY15" s="161"/>
      <c r="BZ15" s="161"/>
      <c r="CA15" s="161"/>
      <c r="CB15" s="161"/>
      <c r="CC15" s="161"/>
      <c r="CD15" s="161"/>
      <c r="CE15" s="161"/>
      <c r="CF15" s="161"/>
      <c r="CG15" s="161"/>
      <c r="CH15" s="161"/>
      <c r="CI15" s="161"/>
      <c r="CJ15" s="161"/>
      <c r="CK15" s="161"/>
      <c r="CL15" s="161"/>
      <c r="CM15" s="161"/>
      <c r="CN15" s="161"/>
      <c r="CO15" s="161"/>
      <c r="CP15" s="161"/>
      <c r="CQ15" s="161"/>
      <c r="CR15" s="161"/>
      <c r="CS15" s="161"/>
      <c r="CT15" s="161"/>
      <c r="CU15" s="161"/>
      <c r="CV15" s="161"/>
      <c r="CW15" s="161"/>
      <c r="CX15" s="161"/>
      <c r="CY15" s="161"/>
      <c r="CZ15" s="161"/>
      <c r="DA15" s="161"/>
      <c r="DB15" s="161"/>
      <c r="DC15" s="161"/>
      <c r="DD15" s="161"/>
      <c r="DE15" s="161"/>
      <c r="DF15" s="161"/>
      <c r="DG15" s="161"/>
      <c r="DH15" s="161"/>
      <c r="DI15" s="161"/>
      <c r="DJ15" s="161"/>
      <c r="DK15" s="161"/>
      <c r="DL15" s="161"/>
      <c r="DM15" s="161"/>
      <c r="DN15" s="161"/>
      <c r="DO15" s="161"/>
      <c r="DP15" s="161"/>
      <c r="DQ15" s="161"/>
      <c r="DR15" s="161"/>
      <c r="DS15" s="161"/>
      <c r="DT15" s="161"/>
      <c r="DU15" s="161"/>
      <c r="DV15" s="161"/>
      <c r="DW15" s="161"/>
      <c r="DX15" s="161"/>
      <c r="DY15" s="161"/>
      <c r="DZ15" s="161"/>
      <c r="EA15" s="161"/>
      <c r="EB15" s="161"/>
      <c r="EC15" s="161"/>
      <c r="ED15" s="161"/>
      <c r="EE15" s="161"/>
      <c r="EF15" s="161"/>
      <c r="EG15" s="161"/>
      <c r="EH15" s="161"/>
      <c r="EI15" s="161"/>
      <c r="EJ15" s="161"/>
      <c r="EK15" s="161"/>
      <c r="EL15" s="161"/>
      <c r="EM15" s="161"/>
      <c r="EN15" s="161"/>
      <c r="EO15" s="161"/>
      <c r="EP15" s="161"/>
      <c r="EQ15" s="161"/>
      <c r="ER15" s="161"/>
      <c r="ES15" s="161"/>
      <c r="ET15" s="161"/>
      <c r="EU15" s="161"/>
      <c r="EV15" s="161"/>
      <c r="EW15" s="161"/>
      <c r="EX15" s="161"/>
      <c r="EY15" s="161"/>
      <c r="EZ15" s="161"/>
      <c r="FA15" s="161"/>
      <c r="FB15" s="161"/>
      <c r="FC15" s="161"/>
      <c r="FD15" s="161"/>
      <c r="FE15" s="161"/>
      <c r="FF15" s="161"/>
      <c r="FG15" s="161"/>
      <c r="FH15" s="161"/>
      <c r="FI15" s="161"/>
      <c r="FJ15" s="161"/>
      <c r="FK15" s="161"/>
      <c r="FL15" s="161"/>
      <c r="FM15" s="161"/>
      <c r="FN15" s="161"/>
      <c r="FO15" s="161"/>
      <c r="FP15" s="161"/>
      <c r="FQ15" s="161"/>
      <c r="FR15" s="161"/>
      <c r="FS15" s="161"/>
      <c r="FT15" s="161"/>
      <c r="FU15" s="161"/>
      <c r="FV15" s="161"/>
      <c r="FW15" s="161"/>
      <c r="FX15" s="161"/>
      <c r="FY15" s="161"/>
      <c r="FZ15" s="161"/>
      <c r="GA15" s="161"/>
      <c r="GB15" s="161"/>
      <c r="GC15" s="161"/>
      <c r="GD15" s="161"/>
      <c r="GE15" s="161"/>
      <c r="GF15" s="161"/>
      <c r="GG15" s="161"/>
      <c r="GH15" s="161"/>
      <c r="GI15" s="161"/>
      <c r="GJ15" s="161"/>
      <c r="GK15" s="161"/>
      <c r="GL15" s="161"/>
      <c r="GM15" s="161"/>
      <c r="GN15" s="161"/>
      <c r="GO15" s="161"/>
      <c r="GP15" s="161"/>
      <c r="GQ15" s="161"/>
      <c r="GR15" s="161"/>
      <c r="GS15" s="161"/>
      <c r="GT15" s="161"/>
      <c r="GU15" s="161"/>
      <c r="GV15" s="161"/>
      <c r="GW15" s="161"/>
      <c r="GX15" s="161"/>
      <c r="GY15" s="161"/>
      <c r="GZ15" s="161"/>
      <c r="HA15" s="161"/>
      <c r="HB15" s="161"/>
      <c r="HC15" s="161"/>
      <c r="HD15" s="161"/>
      <c r="HE15" s="161"/>
      <c r="HF15" s="161"/>
      <c r="HG15" s="161"/>
      <c r="HH15" s="161"/>
      <c r="HI15" s="161"/>
      <c r="HJ15" s="161"/>
      <c r="HK15" s="161"/>
      <c r="HL15" s="161"/>
      <c r="HM15" s="161"/>
      <c r="HN15" s="161"/>
      <c r="HO15" s="161"/>
      <c r="HP15" s="161"/>
      <c r="HQ15" s="161"/>
      <c r="HR15" s="161"/>
      <c r="HS15" s="161"/>
      <c r="HT15" s="161"/>
      <c r="HU15" s="161"/>
      <c r="HV15" s="161"/>
      <c r="HW15" s="161"/>
      <c r="HX15" s="161"/>
      <c r="HY15" s="161"/>
      <c r="HZ15" s="161"/>
      <c r="IA15" s="161"/>
      <c r="IB15" s="161"/>
      <c r="IC15" s="161"/>
      <c r="ID15" s="161"/>
      <c r="IE15" s="161"/>
      <c r="IF15" s="161"/>
      <c r="IG15" s="161"/>
      <c r="IH15" s="161"/>
      <c r="II15" s="161"/>
      <c r="IJ15" s="161"/>
      <c r="IK15" s="161"/>
      <c r="IL15" s="161"/>
      <c r="IM15" s="161"/>
      <c r="IN15" s="161"/>
      <c r="IO15" s="161"/>
      <c r="IP15" s="161"/>
      <c r="IQ15" s="161"/>
      <c r="IR15" s="161"/>
      <c r="IS15" s="161"/>
      <c r="IT15" s="161"/>
      <c r="IU15" s="161"/>
      <c r="IV15" s="161"/>
      <c r="IW15" s="161"/>
      <c r="IX15" s="161"/>
      <c r="IY15" s="161"/>
      <c r="IZ15" s="161"/>
      <c r="JA15" s="161"/>
      <c r="JB15" s="161"/>
      <c r="JC15" s="161"/>
      <c r="JD15" s="161"/>
      <c r="JE15" s="161"/>
      <c r="JF15" s="161"/>
      <c r="JG15" s="161"/>
      <c r="JH15" s="161"/>
      <c r="JI15" s="161"/>
      <c r="JJ15" s="161"/>
      <c r="JK15" s="161"/>
      <c r="JL15" s="161"/>
      <c r="JM15" s="161"/>
      <c r="JN15" s="161"/>
      <c r="JO15" s="161"/>
      <c r="JP15" s="161"/>
      <c r="JQ15" s="161"/>
      <c r="JR15" s="161"/>
      <c r="JS15" s="161"/>
      <c r="JT15" s="161"/>
      <c r="JU15" s="161"/>
      <c r="JV15" s="161"/>
      <c r="JW15" s="161"/>
      <c r="JX15" s="161"/>
      <c r="JY15" s="161"/>
      <c r="JZ15" s="161"/>
      <c r="KA15" s="161"/>
      <c r="KB15" s="161"/>
      <c r="KC15" s="161"/>
      <c r="KD15" s="161"/>
      <c r="KE15" s="161"/>
      <c r="KF15" s="161"/>
      <c r="KG15" s="161"/>
      <c r="KH15" s="161"/>
      <c r="KI15" s="161"/>
      <c r="KJ15" s="161"/>
      <c r="KK15" s="161"/>
      <c r="KL15" s="161"/>
      <c r="KM15" s="161"/>
      <c r="KN15" s="161"/>
      <c r="KO15" s="161"/>
      <c r="KP15" s="161"/>
      <c r="KQ15" s="161"/>
      <c r="KR15" s="161"/>
      <c r="KS15" s="161"/>
      <c r="KT15" s="161"/>
      <c r="KU15" s="161"/>
      <c r="KV15" s="161"/>
      <c r="KW15" s="161"/>
      <c r="KX15" s="161"/>
      <c r="KY15" s="161"/>
      <c r="KZ15" s="161"/>
      <c r="LA15" s="161"/>
      <c r="LB15" s="161"/>
      <c r="LC15" s="161"/>
      <c r="LD15" s="161"/>
      <c r="LE15" s="161"/>
      <c r="LF15" s="161"/>
      <c r="LG15" s="161"/>
      <c r="LH15" s="161"/>
      <c r="LI15" s="161"/>
      <c r="LJ15" s="161"/>
      <c r="LK15" s="161"/>
      <c r="LL15" s="161"/>
      <c r="LM15" s="161"/>
      <c r="LN15" s="161"/>
      <c r="LO15" s="161"/>
      <c r="LP15" s="161"/>
      <c r="LQ15" s="161"/>
      <c r="LR15" s="161"/>
      <c r="LS15" s="161"/>
      <c r="LT15" s="161"/>
      <c r="LU15" s="161"/>
      <c r="LV15" s="161"/>
      <c r="LW15" s="161"/>
      <c r="LX15" s="161"/>
      <c r="LY15" s="161"/>
      <c r="LZ15" s="161"/>
      <c r="MA15" s="161"/>
      <c r="MB15" s="161"/>
      <c r="MC15" s="161"/>
      <c r="MD15" s="161"/>
      <c r="ME15" s="161"/>
      <c r="MF15" s="161"/>
      <c r="MG15" s="161"/>
      <c r="MH15" s="161"/>
      <c r="MI15" s="161"/>
      <c r="MJ15" s="161"/>
      <c r="MK15" s="161"/>
      <c r="ML15" s="161"/>
      <c r="MM15" s="161"/>
      <c r="MN15" s="161"/>
      <c r="MO15" s="161"/>
      <c r="MP15" s="161"/>
      <c r="MQ15" s="161"/>
      <c r="MR15" s="161"/>
      <c r="MS15" s="161"/>
      <c r="MT15" s="161"/>
      <c r="MU15" s="161"/>
      <c r="MV15" s="161"/>
      <c r="MW15" s="161"/>
      <c r="MX15" s="161"/>
      <c r="MY15" s="161"/>
      <c r="MZ15" s="161"/>
      <c r="NA15" s="161"/>
      <c r="NB15" s="161"/>
      <c r="NC15" s="161"/>
      <c r="ND15" s="161"/>
      <c r="NE15" s="161"/>
      <c r="NF15" s="161"/>
      <c r="NG15" s="161"/>
      <c r="NH15" s="161"/>
      <c r="NI15" s="161"/>
      <c r="NJ15" s="161"/>
      <c r="NK15" s="161"/>
      <c r="NL15" s="161"/>
      <c r="NM15" s="161"/>
      <c r="NN15" s="161"/>
      <c r="NO15" s="161"/>
      <c r="NP15" s="161"/>
      <c r="NQ15" s="161"/>
      <c r="NR15" s="161"/>
      <c r="NS15" s="161"/>
      <c r="NT15" s="161"/>
      <c r="NU15" s="161"/>
      <c r="NV15" s="161"/>
      <c r="NW15" s="161"/>
      <c r="NX15" s="161"/>
      <c r="NY15" s="161"/>
      <c r="NZ15" s="161"/>
      <c r="OA15" s="161"/>
      <c r="OB15" s="161"/>
      <c r="OC15" s="161"/>
      <c r="OD15" s="161"/>
      <c r="OE15" s="161"/>
      <c r="OF15" s="161"/>
      <c r="OG15" s="161"/>
      <c r="OH15" s="161"/>
      <c r="OI15" s="161"/>
      <c r="OJ15" s="161"/>
      <c r="OK15" s="161"/>
      <c r="OL15" s="161"/>
      <c r="OM15" s="161"/>
      <c r="ON15" s="161"/>
      <c r="OO15" s="161"/>
      <c r="OP15" s="161"/>
      <c r="OQ15" s="161"/>
      <c r="OR15" s="161"/>
      <c r="OS15" s="161"/>
      <c r="OT15" s="161"/>
      <c r="OU15" s="161"/>
      <c r="OV15" s="161"/>
      <c r="OW15" s="161"/>
      <c r="OX15" s="161"/>
      <c r="OY15" s="161"/>
      <c r="OZ15" s="161"/>
      <c r="PA15" s="161"/>
      <c r="PB15" s="161"/>
      <c r="PC15" s="161"/>
      <c r="PD15" s="161"/>
      <c r="PE15" s="161"/>
      <c r="PF15" s="161"/>
      <c r="PG15" s="161"/>
      <c r="PH15" s="161"/>
      <c r="PI15" s="161"/>
      <c r="PJ15" s="161"/>
      <c r="PK15" s="161"/>
      <c r="PL15" s="161"/>
      <c r="PM15" s="161"/>
      <c r="PN15" s="161"/>
      <c r="PO15" s="161"/>
      <c r="PP15" s="161"/>
      <c r="PQ15" s="161"/>
      <c r="PR15" s="161"/>
      <c r="PS15" s="161"/>
      <c r="PT15" s="161"/>
      <c r="PU15" s="161"/>
      <c r="PV15" s="161"/>
      <c r="PW15" s="161"/>
      <c r="PX15" s="161"/>
      <c r="PY15" s="161"/>
      <c r="PZ15" s="161"/>
      <c r="QA15" s="161"/>
      <c r="QB15" s="161"/>
      <c r="QC15" s="161"/>
      <c r="QD15" s="161"/>
      <c r="QE15" s="161"/>
      <c r="QF15" s="161"/>
      <c r="QG15" s="161"/>
      <c r="QH15" s="161"/>
      <c r="QI15" s="161"/>
      <c r="QJ15" s="161"/>
      <c r="QK15" s="161"/>
      <c r="QL15" s="161"/>
      <c r="QM15" s="161"/>
      <c r="QN15" s="161"/>
      <c r="QO15" s="161"/>
      <c r="QP15" s="161"/>
      <c r="QQ15" s="161"/>
      <c r="QR15" s="161"/>
      <c r="QS15" s="161"/>
      <c r="QT15" s="161"/>
      <c r="QU15" s="161"/>
      <c r="QV15" s="161"/>
      <c r="QW15" s="161"/>
      <c r="QX15" s="161"/>
      <c r="QY15" s="161"/>
      <c r="QZ15" s="161"/>
      <c r="RA15" s="161"/>
      <c r="RB15" s="161"/>
      <c r="RC15" s="161"/>
      <c r="RD15" s="161"/>
      <c r="RE15" s="161"/>
      <c r="RF15" s="161"/>
      <c r="RG15" s="161"/>
      <c r="RH15" s="161"/>
      <c r="RI15" s="161"/>
      <c r="RJ15" s="161"/>
      <c r="RK15" s="161"/>
      <c r="RL15" s="161"/>
      <c r="RM15" s="161"/>
      <c r="RN15" s="161"/>
      <c r="RO15" s="161"/>
      <c r="RP15" s="161"/>
      <c r="RQ15" s="161"/>
      <c r="RR15" s="161"/>
      <c r="RS15" s="161"/>
      <c r="RT15" s="161"/>
      <c r="RU15" s="161"/>
      <c r="RV15" s="161"/>
      <c r="RW15" s="161"/>
      <c r="RX15" s="161"/>
      <c r="RY15" s="161"/>
      <c r="RZ15" s="161"/>
      <c r="SA15" s="161"/>
      <c r="SB15" s="161"/>
      <c r="SC15" s="161"/>
      <c r="SD15" s="161"/>
      <c r="SE15" s="161"/>
      <c r="SF15" s="161"/>
      <c r="SG15" s="161"/>
      <c r="SH15" s="161"/>
      <c r="SI15" s="161"/>
      <c r="SJ15" s="161"/>
      <c r="SK15" s="161"/>
      <c r="SL15" s="161"/>
      <c r="SM15" s="161"/>
      <c r="SN15" s="161"/>
      <c r="SO15" s="161"/>
      <c r="SP15" s="161"/>
      <c r="SQ15" s="161"/>
      <c r="SR15" s="161"/>
      <c r="SS15" s="161"/>
      <c r="ST15" s="161"/>
      <c r="SU15" s="161"/>
      <c r="SV15" s="161"/>
      <c r="SW15" s="161"/>
      <c r="SX15" s="161"/>
      <c r="SY15" s="161"/>
      <c r="SZ15" s="161"/>
      <c r="TA15" s="161"/>
      <c r="TB15" s="161"/>
      <c r="TC15" s="161"/>
      <c r="TD15" s="161"/>
      <c r="TE15" s="161"/>
      <c r="TF15" s="161"/>
      <c r="TG15" s="161"/>
      <c r="TH15" s="161"/>
      <c r="TI15" s="161"/>
      <c r="TJ15" s="161"/>
      <c r="TK15" s="161"/>
      <c r="TL15" s="161"/>
      <c r="TM15" s="161"/>
      <c r="TN15" s="161"/>
      <c r="TO15" s="161"/>
      <c r="TP15" s="161"/>
      <c r="TQ15" s="161"/>
      <c r="TR15" s="161"/>
      <c r="TS15" s="161"/>
      <c r="TT15" s="161"/>
      <c r="TU15" s="161"/>
      <c r="TV15" s="161"/>
      <c r="TW15" s="161"/>
      <c r="TX15" s="161"/>
      <c r="TY15" s="161"/>
      <c r="TZ15" s="161"/>
      <c r="UA15" s="161"/>
      <c r="UB15" s="161"/>
      <c r="UC15" s="161"/>
      <c r="UD15" s="161"/>
      <c r="UE15" s="161"/>
      <c r="UF15" s="161"/>
      <c r="UG15" s="161"/>
      <c r="UH15" s="161"/>
      <c r="UI15" s="161"/>
      <c r="UJ15" s="161"/>
      <c r="UK15" s="161"/>
      <c r="UL15" s="161"/>
      <c r="UM15" s="161"/>
      <c r="UN15" s="161"/>
      <c r="UO15" s="161"/>
      <c r="UP15" s="161"/>
      <c r="UQ15" s="161"/>
      <c r="UR15" s="161"/>
      <c r="US15" s="161"/>
      <c r="UT15" s="161"/>
      <c r="UU15" s="161"/>
      <c r="UV15" s="161"/>
      <c r="UW15" s="161"/>
      <c r="UX15" s="161"/>
      <c r="UY15" s="161"/>
      <c r="UZ15" s="161"/>
      <c r="VA15" s="161"/>
      <c r="VB15" s="161"/>
      <c r="VC15" s="161"/>
      <c r="VD15" s="161"/>
      <c r="VE15" s="161"/>
      <c r="VF15" s="161"/>
      <c r="VG15" s="161"/>
      <c r="VH15" s="161"/>
      <c r="VI15" s="161"/>
      <c r="VJ15" s="161"/>
      <c r="VK15" s="161"/>
      <c r="VL15" s="161"/>
      <c r="VM15" s="161"/>
      <c r="VN15" s="161"/>
      <c r="VO15" s="161"/>
      <c r="VP15" s="161"/>
      <c r="VQ15" s="161"/>
      <c r="VR15" s="161"/>
      <c r="VS15" s="161"/>
      <c r="VT15" s="161"/>
      <c r="VU15" s="161"/>
      <c r="VV15" s="161"/>
      <c r="VW15" s="161"/>
      <c r="VX15" s="161"/>
      <c r="VY15" s="161"/>
      <c r="VZ15" s="161"/>
      <c r="WA15" s="161"/>
      <c r="WB15" s="161"/>
      <c r="WC15" s="161"/>
      <c r="WD15" s="161"/>
      <c r="WE15" s="161"/>
      <c r="WF15" s="161"/>
      <c r="WG15" s="161"/>
      <c r="WH15" s="161"/>
      <c r="WI15" s="161"/>
      <c r="WJ15" s="161"/>
      <c r="WK15" s="161"/>
      <c r="WL15" s="161"/>
      <c r="WM15" s="161"/>
      <c r="WN15" s="161"/>
      <c r="WO15" s="161"/>
      <c r="WP15" s="161"/>
      <c r="WQ15" s="161"/>
      <c r="WR15" s="161"/>
      <c r="WS15" s="161"/>
      <c r="WT15" s="161"/>
      <c r="WU15" s="161"/>
      <c r="WV15" s="161"/>
      <c r="WW15" s="161"/>
      <c r="WX15" s="161"/>
      <c r="WY15" s="161"/>
      <c r="WZ15" s="161"/>
      <c r="XA15" s="161"/>
      <c r="XB15" s="161"/>
      <c r="XC15" s="161"/>
      <c r="XD15" s="161"/>
      <c r="XE15" s="161"/>
      <c r="XF15" s="161"/>
      <c r="XG15" s="161"/>
      <c r="XH15" s="161"/>
      <c r="XI15" s="161"/>
      <c r="XJ15" s="161"/>
      <c r="XK15" s="161"/>
      <c r="XL15" s="161"/>
      <c r="XM15" s="161"/>
      <c r="XN15" s="161"/>
      <c r="XO15" s="161"/>
      <c r="XP15" s="161"/>
      <c r="XQ15" s="161"/>
      <c r="XR15" s="161"/>
      <c r="XS15" s="161"/>
      <c r="XT15" s="161"/>
      <c r="XU15" s="161"/>
      <c r="XV15" s="161"/>
      <c r="XW15" s="161"/>
      <c r="XX15" s="161"/>
      <c r="XY15" s="161"/>
      <c r="XZ15" s="161"/>
      <c r="YA15" s="161"/>
      <c r="YB15" s="161"/>
      <c r="YC15" s="161"/>
      <c r="YD15" s="161"/>
      <c r="YE15" s="161"/>
      <c r="YF15" s="161"/>
      <c r="YG15" s="161"/>
      <c r="YH15" s="161"/>
      <c r="YI15" s="161"/>
      <c r="YJ15" s="161"/>
      <c r="YK15" s="161"/>
      <c r="YL15" s="161"/>
      <c r="YM15" s="161"/>
      <c r="YN15" s="161"/>
      <c r="YO15" s="161"/>
      <c r="YP15" s="161"/>
      <c r="YQ15" s="161"/>
      <c r="YR15" s="161"/>
      <c r="YS15" s="161"/>
      <c r="YT15" s="161"/>
      <c r="YU15" s="161"/>
      <c r="YV15" s="161"/>
      <c r="YW15" s="161"/>
      <c r="YX15" s="161"/>
      <c r="YY15" s="161"/>
      <c r="YZ15" s="161"/>
      <c r="ZA15" s="161"/>
      <c r="ZB15" s="161"/>
      <c r="ZC15" s="161"/>
      <c r="ZD15" s="161"/>
      <c r="ZE15" s="161"/>
      <c r="ZF15" s="161"/>
      <c r="ZG15" s="161"/>
      <c r="ZH15" s="161"/>
      <c r="ZI15" s="161"/>
      <c r="ZJ15" s="161"/>
      <c r="ZK15" s="161"/>
      <c r="ZL15" s="161"/>
      <c r="ZM15" s="161"/>
      <c r="ZN15" s="161"/>
      <c r="ZO15" s="161"/>
      <c r="ZP15" s="161"/>
      <c r="ZQ15" s="161"/>
      <c r="ZR15" s="161"/>
      <c r="ZS15" s="161"/>
      <c r="ZT15" s="161"/>
      <c r="ZU15" s="161"/>
      <c r="ZV15" s="161"/>
      <c r="ZW15" s="161"/>
      <c r="ZX15" s="161"/>
      <c r="ZY15" s="161"/>
      <c r="ZZ15" s="161"/>
      <c r="AAA15" s="161"/>
      <c r="AAB15" s="161"/>
      <c r="AAC15" s="161"/>
      <c r="AAD15" s="161"/>
      <c r="AAE15" s="161"/>
      <c r="AAF15" s="161"/>
      <c r="AAG15" s="161"/>
      <c r="AAH15" s="161"/>
      <c r="AAI15" s="161"/>
      <c r="AAJ15" s="161"/>
      <c r="AAK15" s="161"/>
      <c r="AAL15" s="161"/>
      <c r="AAM15" s="161"/>
      <c r="AAN15" s="161"/>
      <c r="AAO15" s="161"/>
      <c r="AAP15" s="161"/>
      <c r="AAQ15" s="161"/>
      <c r="AAR15" s="161"/>
      <c r="AAS15" s="161"/>
      <c r="AAT15" s="161"/>
      <c r="AAU15" s="161"/>
      <c r="AAV15" s="161"/>
      <c r="AAW15" s="161"/>
      <c r="AAX15" s="161"/>
      <c r="AAY15" s="161"/>
      <c r="AAZ15" s="161"/>
      <c r="ABA15" s="161"/>
      <c r="ABB15" s="161"/>
      <c r="ABC15" s="161"/>
      <c r="ABD15" s="161"/>
      <c r="ABE15" s="161"/>
      <c r="ABF15" s="161"/>
      <c r="ABG15" s="161"/>
      <c r="ABH15" s="161"/>
      <c r="ABI15" s="161"/>
      <c r="ABJ15" s="161"/>
      <c r="ABK15" s="161"/>
      <c r="ABL15" s="161"/>
      <c r="ABM15" s="161"/>
      <c r="ABN15" s="161"/>
      <c r="ABO15" s="161"/>
      <c r="ABP15" s="161"/>
      <c r="ABQ15" s="161"/>
      <c r="ABR15" s="161"/>
      <c r="ABS15" s="161"/>
      <c r="ABT15" s="161"/>
      <c r="ABU15" s="161"/>
      <c r="ABV15" s="161"/>
      <c r="ABW15" s="161"/>
      <c r="ABX15" s="161"/>
      <c r="ABY15" s="161"/>
      <c r="ABZ15" s="161"/>
      <c r="ACA15" s="161"/>
      <c r="ACB15" s="161"/>
      <c r="ACC15" s="161"/>
      <c r="ACD15" s="161"/>
      <c r="ACE15" s="161"/>
      <c r="ACF15" s="161"/>
      <c r="ACG15" s="161"/>
      <c r="ACH15" s="161"/>
      <c r="ACI15" s="161"/>
      <c r="ACJ15" s="161"/>
      <c r="ACK15" s="161"/>
      <c r="ACL15" s="161"/>
      <c r="ACM15" s="161"/>
      <c r="ACN15" s="161"/>
      <c r="ACO15" s="161"/>
      <c r="ACP15" s="161"/>
      <c r="ACQ15" s="161"/>
      <c r="ACR15" s="161"/>
      <c r="ACS15" s="161"/>
      <c r="ACT15" s="161"/>
      <c r="ACU15" s="161"/>
      <c r="ACV15" s="161"/>
      <c r="ACW15" s="161"/>
      <c r="ACX15" s="161"/>
      <c r="ACY15" s="161"/>
      <c r="ACZ15" s="161"/>
      <c r="ADA15" s="161"/>
      <c r="ADB15" s="161"/>
      <c r="ADC15" s="161"/>
      <c r="ADD15" s="161"/>
      <c r="ADE15" s="161"/>
      <c r="ADF15" s="161"/>
      <c r="ADG15" s="161"/>
      <c r="ADH15" s="161"/>
      <c r="ADI15" s="161"/>
      <c r="ADJ15" s="161"/>
      <c r="ADK15" s="161"/>
      <c r="ADL15" s="161"/>
      <c r="ADM15" s="161"/>
      <c r="ADN15" s="161"/>
      <c r="ADO15" s="161"/>
      <c r="ADP15" s="161"/>
      <c r="ADQ15" s="161"/>
      <c r="ADR15" s="161"/>
      <c r="ADS15" s="161"/>
      <c r="ADT15" s="161"/>
      <c r="ADU15" s="161"/>
      <c r="ADV15" s="161"/>
      <c r="ADW15" s="161"/>
      <c r="ADX15" s="161"/>
      <c r="ADY15" s="161"/>
      <c r="ADZ15" s="161"/>
      <c r="AEA15" s="161"/>
      <c r="AEB15" s="161"/>
      <c r="AEC15" s="161"/>
      <c r="AED15" s="161"/>
      <c r="AEE15" s="161"/>
      <c r="AEF15" s="161"/>
      <c r="AEG15" s="161"/>
      <c r="AEH15" s="161"/>
      <c r="AEI15" s="161"/>
      <c r="AEJ15" s="161"/>
      <c r="AEK15" s="161"/>
      <c r="AEL15" s="161"/>
      <c r="AEM15" s="161"/>
      <c r="AEN15" s="161"/>
      <c r="AEO15" s="161"/>
      <c r="AEP15" s="161"/>
      <c r="AEQ15" s="161"/>
      <c r="AER15" s="161"/>
      <c r="AES15" s="161"/>
      <c r="AET15" s="161"/>
      <c r="AEU15" s="161"/>
      <c r="AEV15" s="161"/>
      <c r="AEW15" s="161"/>
      <c r="AEX15" s="161"/>
      <c r="AEY15" s="161"/>
      <c r="AEZ15" s="161"/>
      <c r="AFA15" s="161"/>
      <c r="AFB15" s="161"/>
      <c r="AFC15" s="161"/>
      <c r="AFD15" s="161"/>
      <c r="AFE15" s="161"/>
      <c r="AFF15" s="161"/>
      <c r="AFG15" s="161"/>
      <c r="AFH15" s="161"/>
      <c r="AFI15" s="161"/>
      <c r="AFJ15" s="161"/>
      <c r="AFK15" s="161"/>
      <c r="AFL15" s="161"/>
      <c r="AFM15" s="161"/>
      <c r="AFN15" s="161"/>
      <c r="AFO15" s="161"/>
      <c r="AFP15" s="161"/>
      <c r="AFQ15" s="161"/>
      <c r="AFR15" s="161"/>
      <c r="AFS15" s="161"/>
      <c r="AFT15" s="161"/>
      <c r="AFU15" s="161"/>
      <c r="AFV15" s="161"/>
      <c r="AFW15" s="161"/>
      <c r="AFX15" s="161"/>
      <c r="AFY15" s="161"/>
      <c r="AFZ15" s="161"/>
      <c r="AGA15" s="161"/>
      <c r="AGB15" s="161"/>
      <c r="AGC15" s="161"/>
      <c r="AGD15" s="161"/>
      <c r="AGE15" s="161"/>
      <c r="AGF15" s="161"/>
      <c r="AGG15" s="161"/>
      <c r="AGH15" s="161"/>
      <c r="AGI15" s="161"/>
      <c r="AGJ15" s="161"/>
      <c r="AGK15" s="161"/>
      <c r="AGL15" s="161"/>
      <c r="AGM15" s="161"/>
      <c r="AGN15" s="161"/>
      <c r="AGO15" s="161"/>
      <c r="AGP15" s="161"/>
      <c r="AGQ15" s="161"/>
      <c r="AGR15" s="161"/>
      <c r="AGS15" s="161"/>
      <c r="AGT15" s="161"/>
      <c r="AGU15" s="161"/>
      <c r="AGV15" s="161"/>
      <c r="AGW15" s="161"/>
      <c r="AGX15" s="161"/>
      <c r="AGY15" s="161"/>
      <c r="AGZ15" s="161"/>
      <c r="AHA15" s="161"/>
      <c r="AHB15" s="161"/>
      <c r="AHC15" s="161"/>
      <c r="AHD15" s="161"/>
      <c r="AHE15" s="161"/>
      <c r="AHF15" s="161"/>
      <c r="AHG15" s="161"/>
      <c r="AHH15" s="161"/>
      <c r="AHI15" s="161"/>
      <c r="AHJ15" s="161"/>
      <c r="AHK15" s="161"/>
      <c r="AHL15" s="161"/>
      <c r="AHM15" s="161"/>
      <c r="AHN15" s="161"/>
      <c r="AHO15" s="161"/>
      <c r="AHP15" s="161"/>
      <c r="AHQ15" s="161"/>
      <c r="AHR15" s="161"/>
      <c r="AHS15" s="161"/>
      <c r="AHT15" s="161"/>
      <c r="AHU15" s="161"/>
      <c r="AHV15" s="161"/>
      <c r="AHW15" s="161"/>
      <c r="AHX15" s="161"/>
      <c r="AHY15" s="161"/>
      <c r="AHZ15" s="161"/>
      <c r="AIA15" s="161"/>
      <c r="AIB15" s="161"/>
      <c r="AIC15" s="161"/>
      <c r="AID15" s="161"/>
      <c r="AIE15" s="161"/>
      <c r="AIF15" s="161"/>
      <c r="AIG15" s="161"/>
      <c r="AIH15" s="161"/>
      <c r="AII15" s="161"/>
      <c r="AIJ15" s="161"/>
      <c r="AIK15" s="161"/>
      <c r="AIL15" s="161"/>
      <c r="AIM15" s="161"/>
      <c r="AIN15" s="161"/>
      <c r="AIO15" s="161"/>
      <c r="AIP15" s="161"/>
      <c r="AIQ15" s="161"/>
      <c r="AIR15" s="161"/>
      <c r="AIS15" s="161"/>
      <c r="AIT15" s="161"/>
      <c r="AIU15" s="161"/>
      <c r="AIV15" s="161"/>
      <c r="AIW15" s="161"/>
      <c r="AIX15" s="161"/>
      <c r="AIY15" s="161"/>
      <c r="AIZ15" s="161"/>
      <c r="AJA15" s="161"/>
      <c r="AJB15" s="161"/>
      <c r="AJC15" s="161"/>
      <c r="AJD15" s="161"/>
      <c r="AJE15" s="161"/>
      <c r="AJF15" s="161"/>
      <c r="AJG15" s="161"/>
      <c r="AJH15" s="161"/>
      <c r="AJI15" s="161"/>
      <c r="AJJ15" s="161"/>
      <c r="AJK15" s="161"/>
      <c r="AJL15" s="161"/>
      <c r="AJM15" s="161"/>
      <c r="AJN15" s="161"/>
      <c r="AJO15" s="161"/>
      <c r="AJP15" s="161"/>
      <c r="AJQ15" s="161"/>
      <c r="AJR15" s="161"/>
      <c r="AJS15" s="161"/>
      <c r="AJT15" s="161"/>
      <c r="AJU15" s="161"/>
      <c r="AJV15" s="161"/>
      <c r="AJW15" s="161"/>
      <c r="AJX15" s="161"/>
      <c r="AJY15" s="161"/>
      <c r="AJZ15" s="161"/>
      <c r="AKA15" s="161"/>
      <c r="AKB15" s="161"/>
      <c r="AKC15" s="161"/>
      <c r="AKD15" s="161"/>
      <c r="AKE15" s="161"/>
      <c r="AKF15" s="161"/>
      <c r="AKG15" s="161"/>
      <c r="AKH15" s="161"/>
      <c r="AKI15" s="161"/>
      <c r="AKJ15" s="161"/>
      <c r="AKK15" s="161"/>
      <c r="AKL15" s="161"/>
      <c r="AKM15" s="161"/>
      <c r="AKN15" s="161"/>
      <c r="AKO15" s="161"/>
      <c r="AKP15" s="161"/>
      <c r="AKQ15" s="161"/>
      <c r="AKR15" s="161"/>
      <c r="AKS15" s="161"/>
      <c r="AKT15" s="161"/>
      <c r="AKU15" s="161"/>
      <c r="AKV15" s="161"/>
      <c r="AKW15" s="161"/>
      <c r="AKX15" s="161"/>
      <c r="AKY15" s="161"/>
      <c r="AKZ15" s="161"/>
      <c r="ALA15" s="161"/>
      <c r="ALB15" s="161"/>
      <c r="ALC15" s="161"/>
      <c r="ALD15" s="161"/>
      <c r="ALE15" s="161"/>
      <c r="ALF15" s="161"/>
      <c r="ALG15" s="161"/>
      <c r="ALH15" s="161"/>
      <c r="ALI15" s="161"/>
      <c r="ALJ15" s="161"/>
      <c r="ALK15" s="161"/>
      <c r="ALL15" s="161"/>
      <c r="ALM15" s="161"/>
      <c r="ALN15" s="161"/>
      <c r="ALO15" s="161"/>
      <c r="ALP15" s="161"/>
      <c r="ALQ15" s="161"/>
      <c r="ALR15" s="161"/>
      <c r="ALS15" s="161"/>
      <c r="ALT15" s="161"/>
      <c r="ALU15" s="161"/>
      <c r="ALV15" s="161"/>
      <c r="ALW15" s="161"/>
      <c r="ALX15" s="161"/>
      <c r="ALY15" s="161"/>
      <c r="ALZ15" s="161"/>
      <c r="AMA15" s="161"/>
      <c r="AMB15" s="161"/>
      <c r="AMC15" s="161"/>
      <c r="AMD15" s="161"/>
      <c r="AME15" s="161"/>
      <c r="AMF15" s="161"/>
      <c r="AMG15" s="161"/>
      <c r="AMH15" s="161"/>
      <c r="AMI15" s="161"/>
      <c r="AMJ15" s="161"/>
    </row>
    <row r="16" spans="1:1024" s="162" customFormat="1" ht="39" customHeight="1" x14ac:dyDescent="0.2">
      <c r="A16" s="163"/>
      <c r="B16" s="166"/>
      <c r="C16" s="164"/>
      <c r="D16" s="164"/>
      <c r="E16" s="164"/>
      <c r="F16" s="164"/>
      <c r="G16" s="164"/>
      <c r="H16" s="161"/>
      <c r="I16" s="161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5"/>
      <c r="X16" s="161"/>
      <c r="Y16" s="161"/>
      <c r="Z16" s="161"/>
      <c r="AA16" s="161"/>
      <c r="AB16" s="161"/>
      <c r="AC16" s="161"/>
      <c r="AD16" s="161"/>
      <c r="AE16" s="161"/>
      <c r="AF16" s="161"/>
      <c r="AG16" s="161"/>
      <c r="AH16" s="161"/>
      <c r="AI16" s="161"/>
      <c r="AJ16" s="161"/>
      <c r="AK16" s="161"/>
      <c r="AL16" s="161"/>
      <c r="AM16" s="161"/>
      <c r="AN16" s="161"/>
      <c r="AO16" s="161"/>
      <c r="AP16" s="161"/>
      <c r="AQ16" s="161"/>
      <c r="AR16" s="161"/>
      <c r="AS16" s="161"/>
      <c r="AT16" s="161"/>
      <c r="AU16" s="161"/>
      <c r="AV16" s="161"/>
      <c r="AW16" s="161"/>
      <c r="AX16" s="161"/>
      <c r="AY16" s="161"/>
      <c r="AZ16" s="161"/>
      <c r="BA16" s="161"/>
      <c r="BB16" s="161"/>
      <c r="BC16" s="161"/>
      <c r="BD16" s="161"/>
      <c r="BE16" s="161"/>
      <c r="BF16" s="161"/>
      <c r="BG16" s="161"/>
      <c r="BH16" s="161"/>
      <c r="BI16" s="161"/>
      <c r="BJ16" s="161"/>
      <c r="BK16" s="161"/>
      <c r="BL16" s="161"/>
      <c r="BM16" s="161"/>
      <c r="BN16" s="161"/>
      <c r="BO16" s="161"/>
      <c r="BP16" s="161"/>
      <c r="BQ16" s="161"/>
      <c r="BR16" s="161"/>
      <c r="BS16" s="161"/>
      <c r="BT16" s="161"/>
      <c r="BU16" s="161"/>
      <c r="BV16" s="161"/>
      <c r="BW16" s="161"/>
      <c r="BX16" s="161"/>
      <c r="BY16" s="161"/>
      <c r="BZ16" s="161"/>
      <c r="CA16" s="161"/>
      <c r="CB16" s="161"/>
      <c r="CC16" s="161"/>
      <c r="CD16" s="161"/>
      <c r="CE16" s="161"/>
      <c r="CF16" s="161"/>
      <c r="CG16" s="161"/>
      <c r="CH16" s="161"/>
      <c r="CI16" s="161"/>
      <c r="CJ16" s="161"/>
      <c r="CK16" s="161"/>
      <c r="CL16" s="161"/>
      <c r="CM16" s="161"/>
      <c r="CN16" s="161"/>
      <c r="CO16" s="161"/>
      <c r="CP16" s="161"/>
      <c r="CQ16" s="161"/>
      <c r="CR16" s="161"/>
      <c r="CS16" s="161"/>
      <c r="CT16" s="161"/>
      <c r="CU16" s="161"/>
      <c r="CV16" s="161"/>
      <c r="CW16" s="161"/>
      <c r="CX16" s="161"/>
      <c r="CY16" s="161"/>
      <c r="CZ16" s="161"/>
      <c r="DA16" s="161"/>
      <c r="DB16" s="161"/>
      <c r="DC16" s="161"/>
      <c r="DD16" s="161"/>
      <c r="DE16" s="161"/>
      <c r="DF16" s="161"/>
      <c r="DG16" s="161"/>
      <c r="DH16" s="161"/>
      <c r="DI16" s="161"/>
      <c r="DJ16" s="161"/>
      <c r="DK16" s="161"/>
      <c r="DL16" s="161"/>
      <c r="DM16" s="161"/>
      <c r="DN16" s="161"/>
      <c r="DO16" s="161"/>
      <c r="DP16" s="161"/>
      <c r="DQ16" s="161"/>
      <c r="DR16" s="161"/>
      <c r="DS16" s="161"/>
      <c r="DT16" s="161"/>
      <c r="DU16" s="161"/>
      <c r="DV16" s="161"/>
      <c r="DW16" s="161"/>
      <c r="DX16" s="161"/>
      <c r="DY16" s="161"/>
      <c r="DZ16" s="161"/>
      <c r="EA16" s="161"/>
      <c r="EB16" s="161"/>
      <c r="EC16" s="161"/>
      <c r="ED16" s="161"/>
      <c r="EE16" s="161"/>
      <c r="EF16" s="161"/>
      <c r="EG16" s="161"/>
      <c r="EH16" s="161"/>
      <c r="EI16" s="161"/>
      <c r="EJ16" s="161"/>
      <c r="EK16" s="161"/>
      <c r="EL16" s="161"/>
      <c r="EM16" s="161"/>
      <c r="EN16" s="161"/>
      <c r="EO16" s="161"/>
      <c r="EP16" s="161"/>
      <c r="EQ16" s="161"/>
      <c r="ER16" s="161"/>
      <c r="ES16" s="161"/>
      <c r="ET16" s="161"/>
      <c r="EU16" s="161"/>
      <c r="EV16" s="161"/>
      <c r="EW16" s="161"/>
      <c r="EX16" s="161"/>
      <c r="EY16" s="161"/>
      <c r="EZ16" s="161"/>
      <c r="FA16" s="161"/>
      <c r="FB16" s="161"/>
      <c r="FC16" s="161"/>
      <c r="FD16" s="161"/>
      <c r="FE16" s="161"/>
      <c r="FF16" s="161"/>
      <c r="FG16" s="161"/>
      <c r="FH16" s="161"/>
      <c r="FI16" s="161"/>
      <c r="FJ16" s="161"/>
      <c r="FK16" s="161"/>
      <c r="FL16" s="161"/>
      <c r="FM16" s="161"/>
      <c r="FN16" s="161"/>
      <c r="FO16" s="161"/>
      <c r="FP16" s="161"/>
      <c r="FQ16" s="161"/>
      <c r="FR16" s="161"/>
      <c r="FS16" s="161"/>
      <c r="FT16" s="161"/>
      <c r="FU16" s="161"/>
      <c r="FV16" s="161"/>
      <c r="FW16" s="161"/>
      <c r="FX16" s="161"/>
      <c r="FY16" s="161"/>
      <c r="FZ16" s="161"/>
      <c r="GA16" s="161"/>
      <c r="GB16" s="161"/>
      <c r="GC16" s="161"/>
      <c r="GD16" s="161"/>
      <c r="GE16" s="161"/>
      <c r="GF16" s="161"/>
      <c r="GG16" s="161"/>
      <c r="GH16" s="161"/>
      <c r="GI16" s="161"/>
      <c r="GJ16" s="161"/>
      <c r="GK16" s="161"/>
      <c r="GL16" s="161"/>
      <c r="GM16" s="161"/>
      <c r="GN16" s="161"/>
      <c r="GO16" s="161"/>
      <c r="GP16" s="161"/>
      <c r="GQ16" s="161"/>
      <c r="GR16" s="161"/>
      <c r="GS16" s="161"/>
      <c r="GT16" s="161"/>
      <c r="GU16" s="161"/>
      <c r="GV16" s="161"/>
      <c r="GW16" s="161"/>
      <c r="GX16" s="161"/>
      <c r="GY16" s="161"/>
      <c r="GZ16" s="161"/>
      <c r="HA16" s="161"/>
      <c r="HB16" s="161"/>
      <c r="HC16" s="161"/>
      <c r="HD16" s="161"/>
      <c r="HE16" s="161"/>
      <c r="HF16" s="161"/>
      <c r="HG16" s="161"/>
      <c r="HH16" s="161"/>
      <c r="HI16" s="161"/>
      <c r="HJ16" s="161"/>
      <c r="HK16" s="161"/>
      <c r="HL16" s="161"/>
      <c r="HM16" s="161"/>
      <c r="HN16" s="161"/>
      <c r="HO16" s="161"/>
      <c r="HP16" s="161"/>
      <c r="HQ16" s="161"/>
      <c r="HR16" s="161"/>
      <c r="HS16" s="161"/>
      <c r="HT16" s="161"/>
      <c r="HU16" s="161"/>
      <c r="HV16" s="161"/>
      <c r="HW16" s="161"/>
      <c r="HX16" s="161"/>
      <c r="HY16" s="161"/>
      <c r="HZ16" s="161"/>
      <c r="IA16" s="161"/>
      <c r="IB16" s="161"/>
      <c r="IC16" s="161"/>
      <c r="ID16" s="161"/>
      <c r="IE16" s="161"/>
      <c r="IF16" s="161"/>
      <c r="IG16" s="161"/>
      <c r="IH16" s="161"/>
      <c r="II16" s="161"/>
      <c r="IJ16" s="161"/>
      <c r="IK16" s="161"/>
      <c r="IL16" s="161"/>
      <c r="IM16" s="161"/>
      <c r="IN16" s="161"/>
      <c r="IO16" s="161"/>
      <c r="IP16" s="161"/>
      <c r="IQ16" s="161"/>
      <c r="IR16" s="161"/>
      <c r="IS16" s="161"/>
      <c r="IT16" s="161"/>
      <c r="IU16" s="161"/>
      <c r="IV16" s="161"/>
      <c r="IW16" s="161"/>
      <c r="IX16" s="161"/>
      <c r="IY16" s="161"/>
      <c r="IZ16" s="161"/>
      <c r="JA16" s="161"/>
      <c r="JB16" s="161"/>
      <c r="JC16" s="161"/>
      <c r="JD16" s="161"/>
      <c r="JE16" s="161"/>
      <c r="JF16" s="161"/>
      <c r="JG16" s="161"/>
      <c r="JH16" s="161"/>
      <c r="JI16" s="161"/>
      <c r="JJ16" s="161"/>
      <c r="JK16" s="161"/>
      <c r="JL16" s="161"/>
      <c r="JM16" s="161"/>
      <c r="JN16" s="161"/>
      <c r="JO16" s="161"/>
      <c r="JP16" s="161"/>
      <c r="JQ16" s="161"/>
      <c r="JR16" s="161"/>
      <c r="JS16" s="161"/>
      <c r="JT16" s="161"/>
      <c r="JU16" s="161"/>
      <c r="JV16" s="161"/>
      <c r="JW16" s="161"/>
      <c r="JX16" s="161"/>
      <c r="JY16" s="161"/>
      <c r="JZ16" s="161"/>
      <c r="KA16" s="161"/>
      <c r="KB16" s="161"/>
      <c r="KC16" s="161"/>
      <c r="KD16" s="161"/>
      <c r="KE16" s="161"/>
      <c r="KF16" s="161"/>
      <c r="KG16" s="161"/>
      <c r="KH16" s="161"/>
      <c r="KI16" s="161"/>
      <c r="KJ16" s="161"/>
      <c r="KK16" s="161"/>
      <c r="KL16" s="161"/>
      <c r="KM16" s="161"/>
      <c r="KN16" s="161"/>
      <c r="KO16" s="161"/>
      <c r="KP16" s="161"/>
      <c r="KQ16" s="161"/>
      <c r="KR16" s="161"/>
      <c r="KS16" s="161"/>
      <c r="KT16" s="161"/>
      <c r="KU16" s="161"/>
      <c r="KV16" s="161"/>
      <c r="KW16" s="161"/>
      <c r="KX16" s="161"/>
      <c r="KY16" s="161"/>
      <c r="KZ16" s="161"/>
      <c r="LA16" s="161"/>
      <c r="LB16" s="161"/>
      <c r="LC16" s="161"/>
      <c r="LD16" s="161"/>
      <c r="LE16" s="161"/>
      <c r="LF16" s="161"/>
      <c r="LG16" s="161"/>
      <c r="LH16" s="161"/>
      <c r="LI16" s="161"/>
      <c r="LJ16" s="161"/>
      <c r="LK16" s="161"/>
      <c r="LL16" s="161"/>
      <c r="LM16" s="161"/>
      <c r="LN16" s="161"/>
      <c r="LO16" s="161"/>
      <c r="LP16" s="161"/>
      <c r="LQ16" s="161"/>
      <c r="LR16" s="161"/>
      <c r="LS16" s="161"/>
      <c r="LT16" s="161"/>
      <c r="LU16" s="161"/>
      <c r="LV16" s="161"/>
      <c r="LW16" s="161"/>
      <c r="LX16" s="161"/>
      <c r="LY16" s="161"/>
      <c r="LZ16" s="161"/>
      <c r="MA16" s="161"/>
      <c r="MB16" s="161"/>
      <c r="MC16" s="161"/>
      <c r="MD16" s="161"/>
      <c r="ME16" s="161"/>
      <c r="MF16" s="161"/>
      <c r="MG16" s="161"/>
      <c r="MH16" s="161"/>
      <c r="MI16" s="161"/>
      <c r="MJ16" s="161"/>
      <c r="MK16" s="161"/>
      <c r="ML16" s="161"/>
      <c r="MM16" s="161"/>
      <c r="MN16" s="161"/>
      <c r="MO16" s="161"/>
      <c r="MP16" s="161"/>
      <c r="MQ16" s="161"/>
      <c r="MR16" s="161"/>
      <c r="MS16" s="161"/>
      <c r="MT16" s="161"/>
      <c r="MU16" s="161"/>
      <c r="MV16" s="161"/>
      <c r="MW16" s="161"/>
      <c r="MX16" s="161"/>
      <c r="MY16" s="161"/>
      <c r="MZ16" s="161"/>
      <c r="NA16" s="161"/>
      <c r="NB16" s="161"/>
      <c r="NC16" s="161"/>
      <c r="ND16" s="161"/>
      <c r="NE16" s="161"/>
      <c r="NF16" s="161"/>
      <c r="NG16" s="161"/>
      <c r="NH16" s="161"/>
      <c r="NI16" s="161"/>
      <c r="NJ16" s="161"/>
      <c r="NK16" s="161"/>
      <c r="NL16" s="161"/>
      <c r="NM16" s="161"/>
      <c r="NN16" s="161"/>
      <c r="NO16" s="161"/>
      <c r="NP16" s="161"/>
      <c r="NQ16" s="161"/>
      <c r="NR16" s="161"/>
      <c r="NS16" s="161"/>
      <c r="NT16" s="161"/>
      <c r="NU16" s="161"/>
      <c r="NV16" s="161"/>
      <c r="NW16" s="161"/>
      <c r="NX16" s="161"/>
      <c r="NY16" s="161"/>
      <c r="NZ16" s="161"/>
      <c r="OA16" s="161"/>
      <c r="OB16" s="161"/>
      <c r="OC16" s="161"/>
      <c r="OD16" s="161"/>
      <c r="OE16" s="161"/>
      <c r="OF16" s="161"/>
      <c r="OG16" s="161"/>
      <c r="OH16" s="161"/>
      <c r="OI16" s="161"/>
      <c r="OJ16" s="161"/>
      <c r="OK16" s="161"/>
      <c r="OL16" s="161"/>
      <c r="OM16" s="161"/>
      <c r="ON16" s="161"/>
      <c r="OO16" s="161"/>
      <c r="OP16" s="161"/>
      <c r="OQ16" s="161"/>
      <c r="OR16" s="161"/>
      <c r="OS16" s="161"/>
      <c r="OT16" s="161"/>
      <c r="OU16" s="161"/>
      <c r="OV16" s="161"/>
      <c r="OW16" s="161"/>
      <c r="OX16" s="161"/>
      <c r="OY16" s="161"/>
      <c r="OZ16" s="161"/>
      <c r="PA16" s="161"/>
      <c r="PB16" s="161"/>
      <c r="PC16" s="161"/>
      <c r="PD16" s="161"/>
      <c r="PE16" s="161"/>
      <c r="PF16" s="161"/>
      <c r="PG16" s="161"/>
      <c r="PH16" s="161"/>
      <c r="PI16" s="161"/>
      <c r="PJ16" s="161"/>
      <c r="PK16" s="161"/>
      <c r="PL16" s="161"/>
      <c r="PM16" s="161"/>
      <c r="PN16" s="161"/>
      <c r="PO16" s="161"/>
      <c r="PP16" s="161"/>
      <c r="PQ16" s="161"/>
      <c r="PR16" s="161"/>
      <c r="PS16" s="161"/>
      <c r="PT16" s="161"/>
      <c r="PU16" s="161"/>
      <c r="PV16" s="161"/>
      <c r="PW16" s="161"/>
      <c r="PX16" s="161"/>
      <c r="PY16" s="161"/>
      <c r="PZ16" s="161"/>
      <c r="QA16" s="161"/>
      <c r="QB16" s="161"/>
      <c r="QC16" s="161"/>
      <c r="QD16" s="161"/>
      <c r="QE16" s="161"/>
      <c r="QF16" s="161"/>
      <c r="QG16" s="161"/>
      <c r="QH16" s="161"/>
      <c r="QI16" s="161"/>
      <c r="QJ16" s="161"/>
      <c r="QK16" s="161"/>
      <c r="QL16" s="161"/>
      <c r="QM16" s="161"/>
      <c r="QN16" s="161"/>
      <c r="QO16" s="161"/>
      <c r="QP16" s="161"/>
      <c r="QQ16" s="161"/>
      <c r="QR16" s="161"/>
      <c r="QS16" s="161"/>
      <c r="QT16" s="161"/>
      <c r="QU16" s="161"/>
      <c r="QV16" s="161"/>
      <c r="QW16" s="161"/>
      <c r="QX16" s="161"/>
      <c r="QY16" s="161"/>
      <c r="QZ16" s="161"/>
      <c r="RA16" s="161"/>
      <c r="RB16" s="161"/>
      <c r="RC16" s="161"/>
      <c r="RD16" s="161"/>
      <c r="RE16" s="161"/>
      <c r="RF16" s="161"/>
      <c r="RG16" s="161"/>
      <c r="RH16" s="161"/>
      <c r="RI16" s="161"/>
      <c r="RJ16" s="161"/>
      <c r="RK16" s="161"/>
      <c r="RL16" s="161"/>
      <c r="RM16" s="161"/>
      <c r="RN16" s="161"/>
      <c r="RO16" s="161"/>
      <c r="RP16" s="161"/>
      <c r="RQ16" s="161"/>
      <c r="RR16" s="161"/>
      <c r="RS16" s="161"/>
      <c r="RT16" s="161"/>
      <c r="RU16" s="161"/>
      <c r="RV16" s="161"/>
      <c r="RW16" s="161"/>
      <c r="RX16" s="161"/>
      <c r="RY16" s="161"/>
      <c r="RZ16" s="161"/>
      <c r="SA16" s="161"/>
      <c r="SB16" s="161"/>
      <c r="SC16" s="161"/>
      <c r="SD16" s="161"/>
      <c r="SE16" s="161"/>
      <c r="SF16" s="161"/>
      <c r="SG16" s="161"/>
      <c r="SH16" s="161"/>
      <c r="SI16" s="161"/>
      <c r="SJ16" s="161"/>
      <c r="SK16" s="161"/>
      <c r="SL16" s="161"/>
      <c r="SM16" s="161"/>
      <c r="SN16" s="161"/>
      <c r="SO16" s="161"/>
      <c r="SP16" s="161"/>
      <c r="SQ16" s="161"/>
      <c r="SR16" s="161"/>
      <c r="SS16" s="161"/>
      <c r="ST16" s="161"/>
      <c r="SU16" s="161"/>
      <c r="SV16" s="161"/>
      <c r="SW16" s="161"/>
      <c r="SX16" s="161"/>
      <c r="SY16" s="161"/>
      <c r="SZ16" s="161"/>
      <c r="TA16" s="161"/>
      <c r="TB16" s="161"/>
      <c r="TC16" s="161"/>
      <c r="TD16" s="161"/>
      <c r="TE16" s="161"/>
      <c r="TF16" s="161"/>
      <c r="TG16" s="161"/>
      <c r="TH16" s="161"/>
      <c r="TI16" s="161"/>
      <c r="TJ16" s="161"/>
      <c r="TK16" s="161"/>
      <c r="TL16" s="161"/>
      <c r="TM16" s="161"/>
      <c r="TN16" s="161"/>
      <c r="TO16" s="161"/>
      <c r="TP16" s="161"/>
      <c r="TQ16" s="161"/>
      <c r="TR16" s="161"/>
      <c r="TS16" s="161"/>
      <c r="TT16" s="161"/>
      <c r="TU16" s="161"/>
      <c r="TV16" s="161"/>
      <c r="TW16" s="161"/>
      <c r="TX16" s="161"/>
      <c r="TY16" s="161"/>
      <c r="TZ16" s="161"/>
      <c r="UA16" s="161"/>
      <c r="UB16" s="161"/>
      <c r="UC16" s="161"/>
      <c r="UD16" s="161"/>
      <c r="UE16" s="161"/>
      <c r="UF16" s="161"/>
      <c r="UG16" s="161"/>
      <c r="UH16" s="161"/>
      <c r="UI16" s="161"/>
      <c r="UJ16" s="161"/>
      <c r="UK16" s="161"/>
      <c r="UL16" s="161"/>
      <c r="UM16" s="161"/>
      <c r="UN16" s="161"/>
      <c r="UO16" s="161"/>
      <c r="UP16" s="161"/>
      <c r="UQ16" s="161"/>
      <c r="UR16" s="161"/>
      <c r="US16" s="161"/>
      <c r="UT16" s="161"/>
      <c r="UU16" s="161"/>
      <c r="UV16" s="161"/>
      <c r="UW16" s="161"/>
      <c r="UX16" s="161"/>
      <c r="UY16" s="161"/>
      <c r="UZ16" s="161"/>
      <c r="VA16" s="161"/>
      <c r="VB16" s="161"/>
      <c r="VC16" s="161"/>
      <c r="VD16" s="161"/>
      <c r="VE16" s="161"/>
      <c r="VF16" s="161"/>
      <c r="VG16" s="161"/>
      <c r="VH16" s="161"/>
      <c r="VI16" s="161"/>
      <c r="VJ16" s="161"/>
      <c r="VK16" s="161"/>
      <c r="VL16" s="161"/>
      <c r="VM16" s="161"/>
      <c r="VN16" s="161"/>
      <c r="VO16" s="161"/>
      <c r="VP16" s="161"/>
      <c r="VQ16" s="161"/>
      <c r="VR16" s="161"/>
      <c r="VS16" s="161"/>
      <c r="VT16" s="161"/>
      <c r="VU16" s="161"/>
      <c r="VV16" s="161"/>
      <c r="VW16" s="161"/>
      <c r="VX16" s="161"/>
      <c r="VY16" s="161"/>
      <c r="VZ16" s="161"/>
      <c r="WA16" s="161"/>
      <c r="WB16" s="161"/>
      <c r="WC16" s="161"/>
      <c r="WD16" s="161"/>
      <c r="WE16" s="161"/>
      <c r="WF16" s="161"/>
      <c r="WG16" s="161"/>
      <c r="WH16" s="161"/>
      <c r="WI16" s="161"/>
      <c r="WJ16" s="161"/>
      <c r="WK16" s="161"/>
      <c r="WL16" s="161"/>
      <c r="WM16" s="161"/>
      <c r="WN16" s="161"/>
      <c r="WO16" s="161"/>
      <c r="WP16" s="161"/>
      <c r="WQ16" s="161"/>
      <c r="WR16" s="161"/>
      <c r="WS16" s="161"/>
      <c r="WT16" s="161"/>
      <c r="WU16" s="161"/>
      <c r="WV16" s="161"/>
      <c r="WW16" s="161"/>
      <c r="WX16" s="161"/>
      <c r="WY16" s="161"/>
      <c r="WZ16" s="161"/>
      <c r="XA16" s="161"/>
      <c r="XB16" s="161"/>
      <c r="XC16" s="161"/>
      <c r="XD16" s="161"/>
      <c r="XE16" s="161"/>
      <c r="XF16" s="161"/>
      <c r="XG16" s="161"/>
      <c r="XH16" s="161"/>
      <c r="XI16" s="161"/>
      <c r="XJ16" s="161"/>
      <c r="XK16" s="161"/>
      <c r="XL16" s="161"/>
      <c r="XM16" s="161"/>
      <c r="XN16" s="161"/>
      <c r="XO16" s="161"/>
      <c r="XP16" s="161"/>
      <c r="XQ16" s="161"/>
      <c r="XR16" s="161"/>
      <c r="XS16" s="161"/>
      <c r="XT16" s="161"/>
      <c r="XU16" s="161"/>
      <c r="XV16" s="161"/>
      <c r="XW16" s="161"/>
      <c r="XX16" s="161"/>
      <c r="XY16" s="161"/>
      <c r="XZ16" s="161"/>
      <c r="YA16" s="161"/>
      <c r="YB16" s="161"/>
      <c r="YC16" s="161"/>
      <c r="YD16" s="161"/>
      <c r="YE16" s="161"/>
      <c r="YF16" s="161"/>
      <c r="YG16" s="161"/>
      <c r="YH16" s="161"/>
      <c r="YI16" s="161"/>
      <c r="YJ16" s="161"/>
      <c r="YK16" s="161"/>
      <c r="YL16" s="161"/>
      <c r="YM16" s="161"/>
      <c r="YN16" s="161"/>
      <c r="YO16" s="161"/>
      <c r="YP16" s="161"/>
      <c r="YQ16" s="161"/>
      <c r="YR16" s="161"/>
      <c r="YS16" s="161"/>
      <c r="YT16" s="161"/>
      <c r="YU16" s="161"/>
      <c r="YV16" s="161"/>
      <c r="YW16" s="161"/>
      <c r="YX16" s="161"/>
      <c r="YY16" s="161"/>
      <c r="YZ16" s="161"/>
      <c r="ZA16" s="161"/>
      <c r="ZB16" s="161"/>
      <c r="ZC16" s="161"/>
      <c r="ZD16" s="161"/>
      <c r="ZE16" s="161"/>
      <c r="ZF16" s="161"/>
      <c r="ZG16" s="161"/>
      <c r="ZH16" s="161"/>
      <c r="ZI16" s="161"/>
      <c r="ZJ16" s="161"/>
      <c r="ZK16" s="161"/>
      <c r="ZL16" s="161"/>
      <c r="ZM16" s="161"/>
      <c r="ZN16" s="161"/>
      <c r="ZO16" s="161"/>
      <c r="ZP16" s="161"/>
      <c r="ZQ16" s="161"/>
      <c r="ZR16" s="161"/>
      <c r="ZS16" s="161"/>
      <c r="ZT16" s="161"/>
      <c r="ZU16" s="161"/>
      <c r="ZV16" s="161"/>
      <c r="ZW16" s="161"/>
      <c r="ZX16" s="161"/>
      <c r="ZY16" s="161"/>
      <c r="ZZ16" s="161"/>
      <c r="AAA16" s="161"/>
      <c r="AAB16" s="161"/>
      <c r="AAC16" s="161"/>
      <c r="AAD16" s="161"/>
      <c r="AAE16" s="161"/>
      <c r="AAF16" s="161"/>
      <c r="AAG16" s="161"/>
      <c r="AAH16" s="161"/>
      <c r="AAI16" s="161"/>
      <c r="AAJ16" s="161"/>
      <c r="AAK16" s="161"/>
      <c r="AAL16" s="161"/>
      <c r="AAM16" s="161"/>
      <c r="AAN16" s="161"/>
      <c r="AAO16" s="161"/>
      <c r="AAP16" s="161"/>
      <c r="AAQ16" s="161"/>
      <c r="AAR16" s="161"/>
      <c r="AAS16" s="161"/>
      <c r="AAT16" s="161"/>
      <c r="AAU16" s="161"/>
      <c r="AAV16" s="161"/>
      <c r="AAW16" s="161"/>
      <c r="AAX16" s="161"/>
      <c r="AAY16" s="161"/>
      <c r="AAZ16" s="161"/>
      <c r="ABA16" s="161"/>
      <c r="ABB16" s="161"/>
      <c r="ABC16" s="161"/>
      <c r="ABD16" s="161"/>
      <c r="ABE16" s="161"/>
      <c r="ABF16" s="161"/>
      <c r="ABG16" s="161"/>
      <c r="ABH16" s="161"/>
      <c r="ABI16" s="161"/>
      <c r="ABJ16" s="161"/>
      <c r="ABK16" s="161"/>
      <c r="ABL16" s="161"/>
      <c r="ABM16" s="161"/>
      <c r="ABN16" s="161"/>
      <c r="ABO16" s="161"/>
      <c r="ABP16" s="161"/>
      <c r="ABQ16" s="161"/>
      <c r="ABR16" s="161"/>
      <c r="ABS16" s="161"/>
      <c r="ABT16" s="161"/>
      <c r="ABU16" s="161"/>
      <c r="ABV16" s="161"/>
      <c r="ABW16" s="161"/>
      <c r="ABX16" s="161"/>
      <c r="ABY16" s="161"/>
      <c r="ABZ16" s="161"/>
      <c r="ACA16" s="161"/>
      <c r="ACB16" s="161"/>
      <c r="ACC16" s="161"/>
      <c r="ACD16" s="161"/>
      <c r="ACE16" s="161"/>
      <c r="ACF16" s="161"/>
      <c r="ACG16" s="161"/>
      <c r="ACH16" s="161"/>
      <c r="ACI16" s="161"/>
      <c r="ACJ16" s="161"/>
      <c r="ACK16" s="161"/>
      <c r="ACL16" s="161"/>
      <c r="ACM16" s="161"/>
      <c r="ACN16" s="161"/>
      <c r="ACO16" s="161"/>
      <c r="ACP16" s="161"/>
      <c r="ACQ16" s="161"/>
      <c r="ACR16" s="161"/>
      <c r="ACS16" s="161"/>
      <c r="ACT16" s="161"/>
      <c r="ACU16" s="161"/>
      <c r="ACV16" s="161"/>
      <c r="ACW16" s="161"/>
      <c r="ACX16" s="161"/>
      <c r="ACY16" s="161"/>
      <c r="ACZ16" s="161"/>
      <c r="ADA16" s="161"/>
      <c r="ADB16" s="161"/>
      <c r="ADC16" s="161"/>
      <c r="ADD16" s="161"/>
      <c r="ADE16" s="161"/>
      <c r="ADF16" s="161"/>
      <c r="ADG16" s="161"/>
      <c r="ADH16" s="161"/>
      <c r="ADI16" s="161"/>
      <c r="ADJ16" s="161"/>
      <c r="ADK16" s="161"/>
      <c r="ADL16" s="161"/>
      <c r="ADM16" s="161"/>
      <c r="ADN16" s="161"/>
      <c r="ADO16" s="161"/>
      <c r="ADP16" s="161"/>
      <c r="ADQ16" s="161"/>
      <c r="ADR16" s="161"/>
      <c r="ADS16" s="161"/>
      <c r="ADT16" s="161"/>
      <c r="ADU16" s="161"/>
      <c r="ADV16" s="161"/>
      <c r="ADW16" s="161"/>
      <c r="ADX16" s="161"/>
      <c r="ADY16" s="161"/>
      <c r="ADZ16" s="161"/>
      <c r="AEA16" s="161"/>
      <c r="AEB16" s="161"/>
      <c r="AEC16" s="161"/>
      <c r="AED16" s="161"/>
      <c r="AEE16" s="161"/>
      <c r="AEF16" s="161"/>
      <c r="AEG16" s="161"/>
      <c r="AEH16" s="161"/>
      <c r="AEI16" s="161"/>
      <c r="AEJ16" s="161"/>
      <c r="AEK16" s="161"/>
      <c r="AEL16" s="161"/>
      <c r="AEM16" s="161"/>
      <c r="AEN16" s="161"/>
      <c r="AEO16" s="161"/>
      <c r="AEP16" s="161"/>
      <c r="AEQ16" s="161"/>
      <c r="AER16" s="161"/>
      <c r="AES16" s="161"/>
      <c r="AET16" s="161"/>
      <c r="AEU16" s="161"/>
      <c r="AEV16" s="161"/>
      <c r="AEW16" s="161"/>
      <c r="AEX16" s="161"/>
      <c r="AEY16" s="161"/>
      <c r="AEZ16" s="161"/>
      <c r="AFA16" s="161"/>
      <c r="AFB16" s="161"/>
      <c r="AFC16" s="161"/>
      <c r="AFD16" s="161"/>
      <c r="AFE16" s="161"/>
      <c r="AFF16" s="161"/>
      <c r="AFG16" s="161"/>
      <c r="AFH16" s="161"/>
      <c r="AFI16" s="161"/>
      <c r="AFJ16" s="161"/>
      <c r="AFK16" s="161"/>
      <c r="AFL16" s="161"/>
      <c r="AFM16" s="161"/>
      <c r="AFN16" s="161"/>
      <c r="AFO16" s="161"/>
      <c r="AFP16" s="161"/>
      <c r="AFQ16" s="161"/>
      <c r="AFR16" s="161"/>
      <c r="AFS16" s="161"/>
      <c r="AFT16" s="161"/>
      <c r="AFU16" s="161"/>
      <c r="AFV16" s="161"/>
      <c r="AFW16" s="161"/>
      <c r="AFX16" s="161"/>
      <c r="AFY16" s="161"/>
      <c r="AFZ16" s="161"/>
      <c r="AGA16" s="161"/>
      <c r="AGB16" s="161"/>
      <c r="AGC16" s="161"/>
      <c r="AGD16" s="161"/>
      <c r="AGE16" s="161"/>
      <c r="AGF16" s="161"/>
      <c r="AGG16" s="161"/>
      <c r="AGH16" s="161"/>
      <c r="AGI16" s="161"/>
      <c r="AGJ16" s="161"/>
      <c r="AGK16" s="161"/>
      <c r="AGL16" s="161"/>
      <c r="AGM16" s="161"/>
      <c r="AGN16" s="161"/>
      <c r="AGO16" s="161"/>
      <c r="AGP16" s="161"/>
      <c r="AGQ16" s="161"/>
      <c r="AGR16" s="161"/>
      <c r="AGS16" s="161"/>
      <c r="AGT16" s="161"/>
      <c r="AGU16" s="161"/>
      <c r="AGV16" s="161"/>
      <c r="AGW16" s="161"/>
      <c r="AGX16" s="161"/>
      <c r="AGY16" s="161"/>
      <c r="AGZ16" s="161"/>
      <c r="AHA16" s="161"/>
      <c r="AHB16" s="161"/>
      <c r="AHC16" s="161"/>
      <c r="AHD16" s="161"/>
      <c r="AHE16" s="161"/>
      <c r="AHF16" s="161"/>
      <c r="AHG16" s="161"/>
      <c r="AHH16" s="161"/>
      <c r="AHI16" s="161"/>
      <c r="AHJ16" s="161"/>
      <c r="AHK16" s="161"/>
      <c r="AHL16" s="161"/>
      <c r="AHM16" s="161"/>
      <c r="AHN16" s="161"/>
      <c r="AHO16" s="161"/>
      <c r="AHP16" s="161"/>
      <c r="AHQ16" s="161"/>
      <c r="AHR16" s="161"/>
      <c r="AHS16" s="161"/>
      <c r="AHT16" s="161"/>
      <c r="AHU16" s="161"/>
      <c r="AHV16" s="161"/>
      <c r="AHW16" s="161"/>
      <c r="AHX16" s="161"/>
      <c r="AHY16" s="161"/>
      <c r="AHZ16" s="161"/>
      <c r="AIA16" s="161"/>
      <c r="AIB16" s="161"/>
      <c r="AIC16" s="161"/>
      <c r="AID16" s="161"/>
      <c r="AIE16" s="161"/>
      <c r="AIF16" s="161"/>
      <c r="AIG16" s="161"/>
      <c r="AIH16" s="161"/>
      <c r="AII16" s="161"/>
      <c r="AIJ16" s="161"/>
      <c r="AIK16" s="161"/>
      <c r="AIL16" s="161"/>
      <c r="AIM16" s="161"/>
      <c r="AIN16" s="161"/>
      <c r="AIO16" s="161"/>
      <c r="AIP16" s="161"/>
      <c r="AIQ16" s="161"/>
      <c r="AIR16" s="161"/>
      <c r="AIS16" s="161"/>
      <c r="AIT16" s="161"/>
      <c r="AIU16" s="161"/>
      <c r="AIV16" s="161"/>
      <c r="AIW16" s="161"/>
      <c r="AIX16" s="161"/>
      <c r="AIY16" s="161"/>
      <c r="AIZ16" s="161"/>
      <c r="AJA16" s="161"/>
      <c r="AJB16" s="161"/>
      <c r="AJC16" s="161"/>
      <c r="AJD16" s="161"/>
      <c r="AJE16" s="161"/>
      <c r="AJF16" s="161"/>
      <c r="AJG16" s="161"/>
      <c r="AJH16" s="161"/>
      <c r="AJI16" s="161"/>
      <c r="AJJ16" s="161"/>
      <c r="AJK16" s="161"/>
      <c r="AJL16" s="161"/>
      <c r="AJM16" s="161"/>
      <c r="AJN16" s="161"/>
      <c r="AJO16" s="161"/>
      <c r="AJP16" s="161"/>
      <c r="AJQ16" s="161"/>
      <c r="AJR16" s="161"/>
      <c r="AJS16" s="161"/>
      <c r="AJT16" s="161"/>
      <c r="AJU16" s="161"/>
      <c r="AJV16" s="161"/>
      <c r="AJW16" s="161"/>
      <c r="AJX16" s="161"/>
      <c r="AJY16" s="161"/>
      <c r="AJZ16" s="161"/>
      <c r="AKA16" s="161"/>
      <c r="AKB16" s="161"/>
      <c r="AKC16" s="161"/>
      <c r="AKD16" s="161"/>
      <c r="AKE16" s="161"/>
      <c r="AKF16" s="161"/>
      <c r="AKG16" s="161"/>
      <c r="AKH16" s="161"/>
      <c r="AKI16" s="161"/>
      <c r="AKJ16" s="161"/>
      <c r="AKK16" s="161"/>
      <c r="AKL16" s="161"/>
      <c r="AKM16" s="161"/>
      <c r="AKN16" s="161"/>
      <c r="AKO16" s="161"/>
      <c r="AKP16" s="161"/>
      <c r="AKQ16" s="161"/>
      <c r="AKR16" s="161"/>
      <c r="AKS16" s="161"/>
      <c r="AKT16" s="161"/>
      <c r="AKU16" s="161"/>
      <c r="AKV16" s="161"/>
      <c r="AKW16" s="161"/>
      <c r="AKX16" s="161"/>
      <c r="AKY16" s="161"/>
      <c r="AKZ16" s="161"/>
      <c r="ALA16" s="161"/>
      <c r="ALB16" s="161"/>
      <c r="ALC16" s="161"/>
      <c r="ALD16" s="161"/>
      <c r="ALE16" s="161"/>
      <c r="ALF16" s="161"/>
      <c r="ALG16" s="161"/>
      <c r="ALH16" s="161"/>
      <c r="ALI16" s="161"/>
      <c r="ALJ16" s="161"/>
      <c r="ALK16" s="161"/>
      <c r="ALL16" s="161"/>
      <c r="ALM16" s="161"/>
      <c r="ALN16" s="161"/>
      <c r="ALO16" s="161"/>
      <c r="ALP16" s="161"/>
      <c r="ALQ16" s="161"/>
      <c r="ALR16" s="161"/>
      <c r="ALS16" s="161"/>
      <c r="ALT16" s="161"/>
      <c r="ALU16" s="161"/>
      <c r="ALV16" s="161"/>
      <c r="ALW16" s="161"/>
      <c r="ALX16" s="161"/>
      <c r="ALY16" s="161"/>
      <c r="ALZ16" s="161"/>
      <c r="AMA16" s="161"/>
      <c r="AMB16" s="161"/>
      <c r="AMC16" s="161"/>
      <c r="AMD16" s="161"/>
      <c r="AME16" s="161"/>
      <c r="AMF16" s="161"/>
      <c r="AMG16" s="161"/>
      <c r="AMH16" s="161"/>
      <c r="AMI16" s="161"/>
      <c r="AMJ16" s="161"/>
    </row>
    <row r="17" spans="1:1024" s="162" customFormat="1" ht="39" customHeight="1" x14ac:dyDescent="0.2">
      <c r="A17" s="163"/>
      <c r="B17" s="161"/>
      <c r="C17" s="161"/>
      <c r="D17" s="161"/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165"/>
      <c r="W17" s="161"/>
      <c r="X17" s="161"/>
      <c r="Y17" s="161"/>
      <c r="Z17" s="161"/>
      <c r="AA17" s="161"/>
      <c r="AB17" s="161"/>
      <c r="AC17" s="161"/>
      <c r="AD17" s="161"/>
      <c r="AE17" s="161"/>
      <c r="AF17" s="161"/>
      <c r="AG17" s="161"/>
      <c r="AH17" s="161"/>
      <c r="AI17" s="161"/>
      <c r="AJ17" s="161"/>
      <c r="AK17" s="161"/>
      <c r="AL17" s="161"/>
      <c r="AM17" s="161"/>
      <c r="AN17" s="161"/>
      <c r="AO17" s="161"/>
      <c r="AP17" s="161"/>
      <c r="AQ17" s="161"/>
      <c r="AR17" s="161"/>
      <c r="AS17" s="161"/>
      <c r="AT17" s="161"/>
      <c r="AU17" s="161"/>
      <c r="AV17" s="161"/>
      <c r="AW17" s="161"/>
      <c r="AX17" s="161"/>
      <c r="AY17" s="161"/>
      <c r="AZ17" s="161"/>
      <c r="BA17" s="161"/>
      <c r="BB17" s="161"/>
      <c r="BC17" s="161"/>
      <c r="BD17" s="161"/>
      <c r="BE17" s="161"/>
      <c r="BF17" s="161"/>
      <c r="BG17" s="161"/>
      <c r="BH17" s="161"/>
      <c r="BI17" s="161"/>
      <c r="BJ17" s="161"/>
      <c r="BK17" s="161"/>
      <c r="BL17" s="161"/>
      <c r="BM17" s="161"/>
      <c r="BN17" s="161"/>
      <c r="BO17" s="161"/>
      <c r="BP17" s="161"/>
      <c r="BQ17" s="161"/>
      <c r="BR17" s="161"/>
      <c r="BS17" s="161"/>
      <c r="BT17" s="161"/>
      <c r="BU17" s="161"/>
      <c r="BV17" s="161"/>
      <c r="BW17" s="161"/>
      <c r="BX17" s="161"/>
      <c r="BY17" s="161"/>
      <c r="BZ17" s="161"/>
      <c r="CA17" s="161"/>
      <c r="CB17" s="161"/>
      <c r="CC17" s="161"/>
      <c r="CD17" s="161"/>
      <c r="CE17" s="161"/>
      <c r="CF17" s="161"/>
      <c r="CG17" s="161"/>
      <c r="CH17" s="161"/>
      <c r="CI17" s="161"/>
      <c r="CJ17" s="161"/>
      <c r="CK17" s="161"/>
      <c r="CL17" s="161"/>
      <c r="CM17" s="161"/>
      <c r="CN17" s="161"/>
      <c r="CO17" s="161"/>
      <c r="CP17" s="161"/>
      <c r="CQ17" s="161"/>
      <c r="CR17" s="161"/>
      <c r="CS17" s="161"/>
      <c r="CT17" s="161"/>
      <c r="CU17" s="161"/>
      <c r="CV17" s="161"/>
      <c r="CW17" s="161"/>
      <c r="CX17" s="161"/>
      <c r="CY17" s="161"/>
      <c r="CZ17" s="161"/>
      <c r="DA17" s="161"/>
      <c r="DB17" s="161"/>
      <c r="DC17" s="161"/>
      <c r="DD17" s="161"/>
      <c r="DE17" s="161"/>
      <c r="DF17" s="161"/>
      <c r="DG17" s="161"/>
      <c r="DH17" s="161"/>
      <c r="DI17" s="161"/>
      <c r="DJ17" s="161"/>
      <c r="DK17" s="161"/>
      <c r="DL17" s="161"/>
      <c r="DM17" s="161"/>
      <c r="DN17" s="161"/>
      <c r="DO17" s="161"/>
      <c r="DP17" s="161"/>
      <c r="DQ17" s="161"/>
      <c r="DR17" s="161"/>
      <c r="DS17" s="161"/>
      <c r="DT17" s="161"/>
      <c r="DU17" s="161"/>
      <c r="DV17" s="161"/>
      <c r="DW17" s="161"/>
      <c r="DX17" s="161"/>
      <c r="DY17" s="161"/>
      <c r="DZ17" s="161"/>
      <c r="EA17" s="161"/>
      <c r="EB17" s="161"/>
      <c r="EC17" s="161"/>
      <c r="ED17" s="161"/>
      <c r="EE17" s="161"/>
      <c r="EF17" s="161"/>
      <c r="EG17" s="161"/>
      <c r="EH17" s="161"/>
      <c r="EI17" s="161"/>
      <c r="EJ17" s="161"/>
      <c r="EK17" s="161"/>
      <c r="EL17" s="161"/>
      <c r="EM17" s="161"/>
      <c r="EN17" s="161"/>
      <c r="EO17" s="161"/>
      <c r="EP17" s="161"/>
      <c r="EQ17" s="161"/>
      <c r="ER17" s="161"/>
      <c r="ES17" s="161"/>
      <c r="ET17" s="161"/>
      <c r="EU17" s="161"/>
      <c r="EV17" s="161"/>
      <c r="EW17" s="161"/>
      <c r="EX17" s="161"/>
      <c r="EY17" s="161"/>
      <c r="EZ17" s="161"/>
      <c r="FA17" s="161"/>
      <c r="FB17" s="161"/>
      <c r="FC17" s="161"/>
      <c r="FD17" s="161"/>
      <c r="FE17" s="161"/>
      <c r="FF17" s="161"/>
      <c r="FG17" s="161"/>
      <c r="FH17" s="161"/>
      <c r="FI17" s="161"/>
      <c r="FJ17" s="161"/>
      <c r="FK17" s="161"/>
      <c r="FL17" s="161"/>
      <c r="FM17" s="161"/>
      <c r="FN17" s="161"/>
      <c r="FO17" s="161"/>
      <c r="FP17" s="161"/>
      <c r="FQ17" s="161"/>
      <c r="FR17" s="161"/>
      <c r="FS17" s="161"/>
      <c r="FT17" s="161"/>
      <c r="FU17" s="161"/>
      <c r="FV17" s="161"/>
      <c r="FW17" s="161"/>
      <c r="FX17" s="161"/>
      <c r="FY17" s="161"/>
      <c r="FZ17" s="161"/>
      <c r="GA17" s="161"/>
      <c r="GB17" s="161"/>
      <c r="GC17" s="161"/>
      <c r="GD17" s="161"/>
      <c r="GE17" s="161"/>
      <c r="GF17" s="161"/>
      <c r="GG17" s="161"/>
      <c r="GH17" s="161"/>
      <c r="GI17" s="161"/>
      <c r="GJ17" s="161"/>
      <c r="GK17" s="161"/>
      <c r="GL17" s="161"/>
      <c r="GM17" s="161"/>
      <c r="GN17" s="161"/>
      <c r="GO17" s="161"/>
      <c r="GP17" s="161"/>
      <c r="GQ17" s="161"/>
      <c r="GR17" s="161"/>
      <c r="GS17" s="161"/>
      <c r="GT17" s="161"/>
      <c r="GU17" s="161"/>
      <c r="GV17" s="161"/>
      <c r="GW17" s="161"/>
      <c r="GX17" s="161"/>
      <c r="GY17" s="161"/>
      <c r="GZ17" s="161"/>
      <c r="HA17" s="161"/>
      <c r="HB17" s="161"/>
      <c r="HC17" s="161"/>
      <c r="HD17" s="161"/>
      <c r="HE17" s="161"/>
      <c r="HF17" s="161"/>
      <c r="HG17" s="161"/>
      <c r="HH17" s="161"/>
      <c r="HI17" s="161"/>
      <c r="HJ17" s="161"/>
      <c r="HK17" s="161"/>
      <c r="HL17" s="161"/>
      <c r="HM17" s="161"/>
      <c r="HN17" s="161"/>
      <c r="HO17" s="161"/>
      <c r="HP17" s="161"/>
      <c r="HQ17" s="161"/>
      <c r="HR17" s="161"/>
      <c r="HS17" s="161"/>
      <c r="HT17" s="161"/>
      <c r="HU17" s="161"/>
      <c r="HV17" s="161"/>
      <c r="HW17" s="161"/>
      <c r="HX17" s="161"/>
      <c r="HY17" s="161"/>
      <c r="HZ17" s="161"/>
      <c r="IA17" s="161"/>
      <c r="IB17" s="161"/>
      <c r="IC17" s="161"/>
      <c r="ID17" s="161"/>
      <c r="IE17" s="161"/>
      <c r="IF17" s="161"/>
      <c r="IG17" s="161"/>
      <c r="IH17" s="161"/>
      <c r="II17" s="161"/>
      <c r="IJ17" s="161"/>
      <c r="IK17" s="161"/>
      <c r="IL17" s="161"/>
      <c r="IM17" s="161"/>
      <c r="IN17" s="161"/>
      <c r="IO17" s="161"/>
      <c r="IP17" s="161"/>
      <c r="IQ17" s="161"/>
      <c r="IR17" s="161"/>
      <c r="IS17" s="161"/>
      <c r="IT17" s="161"/>
      <c r="IU17" s="161"/>
      <c r="IV17" s="161"/>
      <c r="IW17" s="161"/>
      <c r="IX17" s="161"/>
      <c r="IY17" s="161"/>
      <c r="IZ17" s="161"/>
      <c r="JA17" s="161"/>
      <c r="JB17" s="161"/>
      <c r="JC17" s="161"/>
      <c r="JD17" s="161"/>
      <c r="JE17" s="161"/>
      <c r="JF17" s="161"/>
      <c r="JG17" s="161"/>
      <c r="JH17" s="161"/>
      <c r="JI17" s="161"/>
      <c r="JJ17" s="161"/>
      <c r="JK17" s="161"/>
      <c r="JL17" s="161"/>
      <c r="JM17" s="161"/>
      <c r="JN17" s="161"/>
      <c r="JO17" s="161"/>
      <c r="JP17" s="161"/>
      <c r="JQ17" s="161"/>
      <c r="JR17" s="161"/>
      <c r="JS17" s="161"/>
      <c r="JT17" s="161"/>
      <c r="JU17" s="161"/>
      <c r="JV17" s="161"/>
      <c r="JW17" s="161"/>
      <c r="JX17" s="161"/>
      <c r="JY17" s="161"/>
      <c r="JZ17" s="161"/>
      <c r="KA17" s="161"/>
      <c r="KB17" s="161"/>
      <c r="KC17" s="161"/>
      <c r="KD17" s="161"/>
      <c r="KE17" s="161"/>
      <c r="KF17" s="161"/>
      <c r="KG17" s="161"/>
      <c r="KH17" s="161"/>
      <c r="KI17" s="161"/>
      <c r="KJ17" s="161"/>
      <c r="KK17" s="161"/>
      <c r="KL17" s="161"/>
      <c r="KM17" s="161"/>
      <c r="KN17" s="161"/>
      <c r="KO17" s="161"/>
      <c r="KP17" s="161"/>
      <c r="KQ17" s="161"/>
      <c r="KR17" s="161"/>
      <c r="KS17" s="161"/>
      <c r="KT17" s="161"/>
      <c r="KU17" s="161"/>
      <c r="KV17" s="161"/>
      <c r="KW17" s="161"/>
      <c r="KX17" s="161"/>
      <c r="KY17" s="161"/>
      <c r="KZ17" s="161"/>
      <c r="LA17" s="161"/>
      <c r="LB17" s="161"/>
      <c r="LC17" s="161"/>
      <c r="LD17" s="161"/>
      <c r="LE17" s="161"/>
      <c r="LF17" s="161"/>
      <c r="LG17" s="161"/>
      <c r="LH17" s="161"/>
      <c r="LI17" s="161"/>
      <c r="LJ17" s="161"/>
      <c r="LK17" s="161"/>
      <c r="LL17" s="161"/>
      <c r="LM17" s="161"/>
      <c r="LN17" s="161"/>
      <c r="LO17" s="161"/>
      <c r="LP17" s="161"/>
      <c r="LQ17" s="161"/>
      <c r="LR17" s="161"/>
      <c r="LS17" s="161"/>
      <c r="LT17" s="161"/>
      <c r="LU17" s="161"/>
      <c r="LV17" s="161"/>
      <c r="LW17" s="161"/>
      <c r="LX17" s="161"/>
      <c r="LY17" s="161"/>
      <c r="LZ17" s="161"/>
      <c r="MA17" s="161"/>
      <c r="MB17" s="161"/>
      <c r="MC17" s="161"/>
      <c r="MD17" s="161"/>
      <c r="ME17" s="161"/>
      <c r="MF17" s="161"/>
      <c r="MG17" s="161"/>
      <c r="MH17" s="161"/>
      <c r="MI17" s="161"/>
      <c r="MJ17" s="161"/>
      <c r="MK17" s="161"/>
      <c r="ML17" s="161"/>
      <c r="MM17" s="161"/>
      <c r="MN17" s="161"/>
      <c r="MO17" s="161"/>
      <c r="MP17" s="161"/>
      <c r="MQ17" s="161"/>
      <c r="MR17" s="161"/>
      <c r="MS17" s="161"/>
      <c r="MT17" s="161"/>
      <c r="MU17" s="161"/>
      <c r="MV17" s="161"/>
      <c r="MW17" s="161"/>
      <c r="MX17" s="161"/>
      <c r="MY17" s="161"/>
      <c r="MZ17" s="161"/>
      <c r="NA17" s="161"/>
      <c r="NB17" s="161"/>
      <c r="NC17" s="161"/>
      <c r="ND17" s="161"/>
      <c r="NE17" s="161"/>
      <c r="NF17" s="161"/>
      <c r="NG17" s="161"/>
      <c r="NH17" s="161"/>
      <c r="NI17" s="161"/>
      <c r="NJ17" s="161"/>
      <c r="NK17" s="161"/>
      <c r="NL17" s="161"/>
      <c r="NM17" s="161"/>
      <c r="NN17" s="161"/>
      <c r="NO17" s="161"/>
      <c r="NP17" s="161"/>
      <c r="NQ17" s="161"/>
      <c r="NR17" s="161"/>
      <c r="NS17" s="161"/>
      <c r="NT17" s="161"/>
      <c r="NU17" s="161"/>
      <c r="NV17" s="161"/>
      <c r="NW17" s="161"/>
      <c r="NX17" s="161"/>
      <c r="NY17" s="161"/>
      <c r="NZ17" s="161"/>
      <c r="OA17" s="161"/>
      <c r="OB17" s="161"/>
      <c r="OC17" s="161"/>
      <c r="OD17" s="161"/>
      <c r="OE17" s="161"/>
      <c r="OF17" s="161"/>
      <c r="OG17" s="161"/>
      <c r="OH17" s="161"/>
      <c r="OI17" s="161"/>
      <c r="OJ17" s="161"/>
      <c r="OK17" s="161"/>
      <c r="OL17" s="161"/>
      <c r="OM17" s="161"/>
      <c r="ON17" s="161"/>
      <c r="OO17" s="161"/>
      <c r="OP17" s="161"/>
      <c r="OQ17" s="161"/>
      <c r="OR17" s="161"/>
      <c r="OS17" s="161"/>
      <c r="OT17" s="161"/>
      <c r="OU17" s="161"/>
      <c r="OV17" s="161"/>
      <c r="OW17" s="161"/>
      <c r="OX17" s="161"/>
      <c r="OY17" s="161"/>
      <c r="OZ17" s="161"/>
      <c r="PA17" s="161"/>
      <c r="PB17" s="161"/>
      <c r="PC17" s="161"/>
      <c r="PD17" s="161"/>
      <c r="PE17" s="161"/>
      <c r="PF17" s="161"/>
      <c r="PG17" s="161"/>
      <c r="PH17" s="161"/>
      <c r="PI17" s="161"/>
      <c r="PJ17" s="161"/>
      <c r="PK17" s="161"/>
      <c r="PL17" s="161"/>
      <c r="PM17" s="161"/>
      <c r="PN17" s="161"/>
      <c r="PO17" s="161"/>
      <c r="PP17" s="161"/>
      <c r="PQ17" s="161"/>
      <c r="PR17" s="161"/>
      <c r="PS17" s="161"/>
      <c r="PT17" s="161"/>
      <c r="PU17" s="161"/>
      <c r="PV17" s="161"/>
      <c r="PW17" s="161"/>
      <c r="PX17" s="161"/>
      <c r="PY17" s="161"/>
      <c r="PZ17" s="161"/>
      <c r="QA17" s="161"/>
      <c r="QB17" s="161"/>
      <c r="QC17" s="161"/>
      <c r="QD17" s="161"/>
      <c r="QE17" s="161"/>
      <c r="QF17" s="161"/>
      <c r="QG17" s="161"/>
      <c r="QH17" s="161"/>
      <c r="QI17" s="161"/>
      <c r="QJ17" s="161"/>
      <c r="QK17" s="161"/>
      <c r="QL17" s="161"/>
      <c r="QM17" s="161"/>
      <c r="QN17" s="161"/>
      <c r="QO17" s="161"/>
      <c r="QP17" s="161"/>
      <c r="QQ17" s="161"/>
      <c r="QR17" s="161"/>
      <c r="QS17" s="161"/>
      <c r="QT17" s="161"/>
      <c r="QU17" s="161"/>
      <c r="QV17" s="161"/>
      <c r="QW17" s="161"/>
      <c r="QX17" s="161"/>
      <c r="QY17" s="161"/>
      <c r="QZ17" s="161"/>
      <c r="RA17" s="161"/>
      <c r="RB17" s="161"/>
      <c r="RC17" s="161"/>
      <c r="RD17" s="161"/>
      <c r="RE17" s="161"/>
      <c r="RF17" s="161"/>
      <c r="RG17" s="161"/>
      <c r="RH17" s="161"/>
      <c r="RI17" s="161"/>
      <c r="RJ17" s="161"/>
      <c r="RK17" s="161"/>
      <c r="RL17" s="161"/>
      <c r="RM17" s="161"/>
      <c r="RN17" s="161"/>
      <c r="RO17" s="161"/>
      <c r="RP17" s="161"/>
      <c r="RQ17" s="161"/>
      <c r="RR17" s="161"/>
      <c r="RS17" s="161"/>
      <c r="RT17" s="161"/>
      <c r="RU17" s="161"/>
      <c r="RV17" s="161"/>
      <c r="RW17" s="161"/>
      <c r="RX17" s="161"/>
      <c r="RY17" s="161"/>
      <c r="RZ17" s="161"/>
      <c r="SA17" s="161"/>
      <c r="SB17" s="161"/>
      <c r="SC17" s="161"/>
      <c r="SD17" s="161"/>
      <c r="SE17" s="161"/>
      <c r="SF17" s="161"/>
      <c r="SG17" s="161"/>
      <c r="SH17" s="161"/>
      <c r="SI17" s="161"/>
      <c r="SJ17" s="161"/>
      <c r="SK17" s="161"/>
      <c r="SL17" s="161"/>
      <c r="SM17" s="161"/>
      <c r="SN17" s="161"/>
      <c r="SO17" s="161"/>
      <c r="SP17" s="161"/>
      <c r="SQ17" s="161"/>
      <c r="SR17" s="161"/>
      <c r="SS17" s="161"/>
      <c r="ST17" s="161"/>
      <c r="SU17" s="161"/>
      <c r="SV17" s="161"/>
      <c r="SW17" s="161"/>
      <c r="SX17" s="161"/>
      <c r="SY17" s="161"/>
      <c r="SZ17" s="161"/>
      <c r="TA17" s="161"/>
      <c r="TB17" s="161"/>
      <c r="TC17" s="161"/>
      <c r="TD17" s="161"/>
      <c r="TE17" s="161"/>
      <c r="TF17" s="161"/>
      <c r="TG17" s="161"/>
      <c r="TH17" s="161"/>
      <c r="TI17" s="161"/>
      <c r="TJ17" s="161"/>
      <c r="TK17" s="161"/>
      <c r="TL17" s="161"/>
      <c r="TM17" s="161"/>
      <c r="TN17" s="161"/>
      <c r="TO17" s="161"/>
      <c r="TP17" s="161"/>
      <c r="TQ17" s="161"/>
      <c r="TR17" s="161"/>
      <c r="TS17" s="161"/>
      <c r="TT17" s="161"/>
      <c r="TU17" s="161"/>
      <c r="TV17" s="161"/>
      <c r="TW17" s="161"/>
      <c r="TX17" s="161"/>
      <c r="TY17" s="161"/>
      <c r="TZ17" s="161"/>
      <c r="UA17" s="161"/>
      <c r="UB17" s="161"/>
      <c r="UC17" s="161"/>
      <c r="UD17" s="161"/>
      <c r="UE17" s="161"/>
      <c r="UF17" s="161"/>
      <c r="UG17" s="161"/>
      <c r="UH17" s="161"/>
      <c r="UI17" s="161"/>
      <c r="UJ17" s="161"/>
      <c r="UK17" s="161"/>
      <c r="UL17" s="161"/>
      <c r="UM17" s="161"/>
      <c r="UN17" s="161"/>
      <c r="UO17" s="161"/>
      <c r="UP17" s="161"/>
      <c r="UQ17" s="161"/>
      <c r="UR17" s="161"/>
      <c r="US17" s="161"/>
      <c r="UT17" s="161"/>
      <c r="UU17" s="161"/>
      <c r="UV17" s="161"/>
      <c r="UW17" s="161"/>
      <c r="UX17" s="161"/>
      <c r="UY17" s="161"/>
      <c r="UZ17" s="161"/>
      <c r="VA17" s="161"/>
      <c r="VB17" s="161"/>
      <c r="VC17" s="161"/>
      <c r="VD17" s="161"/>
      <c r="VE17" s="161"/>
      <c r="VF17" s="161"/>
      <c r="VG17" s="161"/>
      <c r="VH17" s="161"/>
      <c r="VI17" s="161"/>
      <c r="VJ17" s="161"/>
      <c r="VK17" s="161"/>
      <c r="VL17" s="161"/>
      <c r="VM17" s="161"/>
      <c r="VN17" s="161"/>
      <c r="VO17" s="161"/>
      <c r="VP17" s="161"/>
      <c r="VQ17" s="161"/>
      <c r="VR17" s="161"/>
      <c r="VS17" s="161"/>
      <c r="VT17" s="161"/>
      <c r="VU17" s="161"/>
      <c r="VV17" s="161"/>
      <c r="VW17" s="161"/>
      <c r="VX17" s="161"/>
      <c r="VY17" s="161"/>
      <c r="VZ17" s="161"/>
      <c r="WA17" s="161"/>
      <c r="WB17" s="161"/>
      <c r="WC17" s="161"/>
      <c r="WD17" s="161"/>
      <c r="WE17" s="161"/>
      <c r="WF17" s="161"/>
      <c r="WG17" s="161"/>
      <c r="WH17" s="161"/>
      <c r="WI17" s="161"/>
      <c r="WJ17" s="161"/>
      <c r="WK17" s="161"/>
      <c r="WL17" s="161"/>
      <c r="WM17" s="161"/>
      <c r="WN17" s="161"/>
      <c r="WO17" s="161"/>
      <c r="WP17" s="161"/>
      <c r="WQ17" s="161"/>
      <c r="WR17" s="161"/>
      <c r="WS17" s="161"/>
      <c r="WT17" s="161"/>
      <c r="WU17" s="161"/>
      <c r="WV17" s="161"/>
      <c r="WW17" s="161"/>
      <c r="WX17" s="161"/>
      <c r="WY17" s="161"/>
      <c r="WZ17" s="161"/>
      <c r="XA17" s="161"/>
      <c r="XB17" s="161"/>
      <c r="XC17" s="161"/>
      <c r="XD17" s="161"/>
      <c r="XE17" s="161"/>
      <c r="XF17" s="161"/>
      <c r="XG17" s="161"/>
      <c r="XH17" s="161"/>
      <c r="XI17" s="161"/>
      <c r="XJ17" s="161"/>
      <c r="XK17" s="161"/>
      <c r="XL17" s="161"/>
      <c r="XM17" s="161"/>
      <c r="XN17" s="161"/>
      <c r="XO17" s="161"/>
      <c r="XP17" s="161"/>
      <c r="XQ17" s="161"/>
      <c r="XR17" s="161"/>
      <c r="XS17" s="161"/>
      <c r="XT17" s="161"/>
      <c r="XU17" s="161"/>
      <c r="XV17" s="161"/>
      <c r="XW17" s="161"/>
      <c r="XX17" s="161"/>
      <c r="XY17" s="161"/>
      <c r="XZ17" s="161"/>
      <c r="YA17" s="161"/>
      <c r="YB17" s="161"/>
      <c r="YC17" s="161"/>
      <c r="YD17" s="161"/>
      <c r="YE17" s="161"/>
      <c r="YF17" s="161"/>
      <c r="YG17" s="161"/>
      <c r="YH17" s="161"/>
      <c r="YI17" s="161"/>
      <c r="YJ17" s="161"/>
      <c r="YK17" s="161"/>
      <c r="YL17" s="161"/>
      <c r="YM17" s="161"/>
      <c r="YN17" s="161"/>
      <c r="YO17" s="161"/>
      <c r="YP17" s="161"/>
      <c r="YQ17" s="161"/>
      <c r="YR17" s="161"/>
      <c r="YS17" s="161"/>
      <c r="YT17" s="161"/>
      <c r="YU17" s="161"/>
      <c r="YV17" s="161"/>
      <c r="YW17" s="161"/>
      <c r="YX17" s="161"/>
      <c r="YY17" s="161"/>
      <c r="YZ17" s="161"/>
      <c r="ZA17" s="161"/>
      <c r="ZB17" s="161"/>
      <c r="ZC17" s="161"/>
      <c r="ZD17" s="161"/>
      <c r="ZE17" s="161"/>
      <c r="ZF17" s="161"/>
      <c r="ZG17" s="161"/>
      <c r="ZH17" s="161"/>
      <c r="ZI17" s="161"/>
      <c r="ZJ17" s="161"/>
      <c r="ZK17" s="161"/>
      <c r="ZL17" s="161"/>
      <c r="ZM17" s="161"/>
      <c r="ZN17" s="161"/>
      <c r="ZO17" s="161"/>
      <c r="ZP17" s="161"/>
      <c r="ZQ17" s="161"/>
      <c r="ZR17" s="161"/>
      <c r="ZS17" s="161"/>
      <c r="ZT17" s="161"/>
      <c r="ZU17" s="161"/>
      <c r="ZV17" s="161"/>
      <c r="ZW17" s="161"/>
      <c r="ZX17" s="161"/>
      <c r="ZY17" s="161"/>
      <c r="ZZ17" s="161"/>
      <c r="AAA17" s="161"/>
      <c r="AAB17" s="161"/>
      <c r="AAC17" s="161"/>
      <c r="AAD17" s="161"/>
      <c r="AAE17" s="161"/>
      <c r="AAF17" s="161"/>
      <c r="AAG17" s="161"/>
      <c r="AAH17" s="161"/>
      <c r="AAI17" s="161"/>
      <c r="AAJ17" s="161"/>
      <c r="AAK17" s="161"/>
      <c r="AAL17" s="161"/>
      <c r="AAM17" s="161"/>
      <c r="AAN17" s="161"/>
      <c r="AAO17" s="161"/>
      <c r="AAP17" s="161"/>
      <c r="AAQ17" s="161"/>
      <c r="AAR17" s="161"/>
      <c r="AAS17" s="161"/>
      <c r="AAT17" s="161"/>
      <c r="AAU17" s="161"/>
      <c r="AAV17" s="161"/>
      <c r="AAW17" s="161"/>
      <c r="AAX17" s="161"/>
      <c r="AAY17" s="161"/>
      <c r="AAZ17" s="161"/>
      <c r="ABA17" s="161"/>
      <c r="ABB17" s="161"/>
      <c r="ABC17" s="161"/>
      <c r="ABD17" s="161"/>
      <c r="ABE17" s="161"/>
      <c r="ABF17" s="161"/>
      <c r="ABG17" s="161"/>
      <c r="ABH17" s="161"/>
      <c r="ABI17" s="161"/>
      <c r="ABJ17" s="161"/>
      <c r="ABK17" s="161"/>
      <c r="ABL17" s="161"/>
      <c r="ABM17" s="161"/>
      <c r="ABN17" s="161"/>
      <c r="ABO17" s="161"/>
      <c r="ABP17" s="161"/>
      <c r="ABQ17" s="161"/>
      <c r="ABR17" s="161"/>
      <c r="ABS17" s="161"/>
      <c r="ABT17" s="161"/>
      <c r="ABU17" s="161"/>
      <c r="ABV17" s="161"/>
      <c r="ABW17" s="161"/>
      <c r="ABX17" s="161"/>
      <c r="ABY17" s="161"/>
      <c r="ABZ17" s="161"/>
      <c r="ACA17" s="161"/>
      <c r="ACB17" s="161"/>
      <c r="ACC17" s="161"/>
      <c r="ACD17" s="161"/>
      <c r="ACE17" s="161"/>
      <c r="ACF17" s="161"/>
      <c r="ACG17" s="161"/>
      <c r="ACH17" s="161"/>
      <c r="ACI17" s="161"/>
      <c r="ACJ17" s="161"/>
      <c r="ACK17" s="161"/>
      <c r="ACL17" s="161"/>
      <c r="ACM17" s="161"/>
      <c r="ACN17" s="161"/>
      <c r="ACO17" s="161"/>
      <c r="ACP17" s="161"/>
      <c r="ACQ17" s="161"/>
      <c r="ACR17" s="161"/>
      <c r="ACS17" s="161"/>
      <c r="ACT17" s="161"/>
      <c r="ACU17" s="161"/>
      <c r="ACV17" s="161"/>
      <c r="ACW17" s="161"/>
      <c r="ACX17" s="161"/>
      <c r="ACY17" s="161"/>
      <c r="ACZ17" s="161"/>
      <c r="ADA17" s="161"/>
      <c r="ADB17" s="161"/>
      <c r="ADC17" s="161"/>
      <c r="ADD17" s="161"/>
      <c r="ADE17" s="161"/>
      <c r="ADF17" s="161"/>
      <c r="ADG17" s="161"/>
      <c r="ADH17" s="161"/>
      <c r="ADI17" s="161"/>
      <c r="ADJ17" s="161"/>
      <c r="ADK17" s="161"/>
      <c r="ADL17" s="161"/>
      <c r="ADM17" s="161"/>
      <c r="ADN17" s="161"/>
      <c r="ADO17" s="161"/>
      <c r="ADP17" s="161"/>
      <c r="ADQ17" s="161"/>
      <c r="ADR17" s="161"/>
      <c r="ADS17" s="161"/>
      <c r="ADT17" s="161"/>
      <c r="ADU17" s="161"/>
      <c r="ADV17" s="161"/>
      <c r="ADW17" s="161"/>
      <c r="ADX17" s="161"/>
      <c r="ADY17" s="161"/>
      <c r="ADZ17" s="161"/>
      <c r="AEA17" s="161"/>
      <c r="AEB17" s="161"/>
      <c r="AEC17" s="161"/>
      <c r="AED17" s="161"/>
      <c r="AEE17" s="161"/>
      <c r="AEF17" s="161"/>
      <c r="AEG17" s="161"/>
      <c r="AEH17" s="161"/>
      <c r="AEI17" s="161"/>
      <c r="AEJ17" s="161"/>
      <c r="AEK17" s="161"/>
      <c r="AEL17" s="161"/>
      <c r="AEM17" s="161"/>
      <c r="AEN17" s="161"/>
      <c r="AEO17" s="161"/>
      <c r="AEP17" s="161"/>
      <c r="AEQ17" s="161"/>
      <c r="AER17" s="161"/>
      <c r="AES17" s="161"/>
      <c r="AET17" s="161"/>
      <c r="AEU17" s="161"/>
      <c r="AEV17" s="161"/>
      <c r="AEW17" s="161"/>
      <c r="AEX17" s="161"/>
      <c r="AEY17" s="161"/>
      <c r="AEZ17" s="161"/>
      <c r="AFA17" s="161"/>
      <c r="AFB17" s="161"/>
      <c r="AFC17" s="161"/>
      <c r="AFD17" s="161"/>
      <c r="AFE17" s="161"/>
      <c r="AFF17" s="161"/>
      <c r="AFG17" s="161"/>
      <c r="AFH17" s="161"/>
      <c r="AFI17" s="161"/>
      <c r="AFJ17" s="161"/>
      <c r="AFK17" s="161"/>
      <c r="AFL17" s="161"/>
      <c r="AFM17" s="161"/>
      <c r="AFN17" s="161"/>
      <c r="AFO17" s="161"/>
      <c r="AFP17" s="161"/>
      <c r="AFQ17" s="161"/>
      <c r="AFR17" s="161"/>
      <c r="AFS17" s="161"/>
      <c r="AFT17" s="161"/>
      <c r="AFU17" s="161"/>
      <c r="AFV17" s="161"/>
      <c r="AFW17" s="161"/>
      <c r="AFX17" s="161"/>
      <c r="AFY17" s="161"/>
      <c r="AFZ17" s="161"/>
      <c r="AGA17" s="161"/>
      <c r="AGB17" s="161"/>
      <c r="AGC17" s="161"/>
      <c r="AGD17" s="161"/>
      <c r="AGE17" s="161"/>
      <c r="AGF17" s="161"/>
      <c r="AGG17" s="161"/>
      <c r="AGH17" s="161"/>
      <c r="AGI17" s="161"/>
      <c r="AGJ17" s="161"/>
      <c r="AGK17" s="161"/>
      <c r="AGL17" s="161"/>
      <c r="AGM17" s="161"/>
      <c r="AGN17" s="161"/>
      <c r="AGO17" s="161"/>
      <c r="AGP17" s="161"/>
      <c r="AGQ17" s="161"/>
      <c r="AGR17" s="161"/>
      <c r="AGS17" s="161"/>
      <c r="AGT17" s="161"/>
      <c r="AGU17" s="161"/>
      <c r="AGV17" s="161"/>
      <c r="AGW17" s="161"/>
      <c r="AGX17" s="161"/>
      <c r="AGY17" s="161"/>
      <c r="AGZ17" s="161"/>
      <c r="AHA17" s="161"/>
      <c r="AHB17" s="161"/>
      <c r="AHC17" s="161"/>
      <c r="AHD17" s="161"/>
      <c r="AHE17" s="161"/>
      <c r="AHF17" s="161"/>
      <c r="AHG17" s="161"/>
      <c r="AHH17" s="161"/>
      <c r="AHI17" s="161"/>
      <c r="AHJ17" s="161"/>
      <c r="AHK17" s="161"/>
      <c r="AHL17" s="161"/>
      <c r="AHM17" s="161"/>
      <c r="AHN17" s="161"/>
      <c r="AHO17" s="161"/>
      <c r="AHP17" s="161"/>
      <c r="AHQ17" s="161"/>
      <c r="AHR17" s="161"/>
      <c r="AHS17" s="161"/>
      <c r="AHT17" s="161"/>
      <c r="AHU17" s="161"/>
      <c r="AHV17" s="161"/>
      <c r="AHW17" s="161"/>
      <c r="AHX17" s="161"/>
      <c r="AHY17" s="161"/>
      <c r="AHZ17" s="161"/>
      <c r="AIA17" s="161"/>
      <c r="AIB17" s="161"/>
      <c r="AIC17" s="161"/>
      <c r="AID17" s="161"/>
      <c r="AIE17" s="161"/>
      <c r="AIF17" s="161"/>
      <c r="AIG17" s="161"/>
      <c r="AIH17" s="161"/>
      <c r="AII17" s="161"/>
      <c r="AIJ17" s="161"/>
      <c r="AIK17" s="161"/>
      <c r="AIL17" s="161"/>
      <c r="AIM17" s="161"/>
      <c r="AIN17" s="161"/>
      <c r="AIO17" s="161"/>
      <c r="AIP17" s="161"/>
      <c r="AIQ17" s="161"/>
      <c r="AIR17" s="161"/>
      <c r="AIS17" s="161"/>
      <c r="AIT17" s="161"/>
      <c r="AIU17" s="161"/>
      <c r="AIV17" s="161"/>
      <c r="AIW17" s="161"/>
      <c r="AIX17" s="161"/>
      <c r="AIY17" s="161"/>
      <c r="AIZ17" s="161"/>
      <c r="AJA17" s="161"/>
      <c r="AJB17" s="161"/>
      <c r="AJC17" s="161"/>
      <c r="AJD17" s="161"/>
      <c r="AJE17" s="161"/>
      <c r="AJF17" s="161"/>
      <c r="AJG17" s="161"/>
      <c r="AJH17" s="161"/>
      <c r="AJI17" s="161"/>
      <c r="AJJ17" s="161"/>
      <c r="AJK17" s="161"/>
      <c r="AJL17" s="161"/>
      <c r="AJM17" s="161"/>
      <c r="AJN17" s="161"/>
      <c r="AJO17" s="161"/>
      <c r="AJP17" s="161"/>
      <c r="AJQ17" s="161"/>
      <c r="AJR17" s="161"/>
      <c r="AJS17" s="161"/>
      <c r="AJT17" s="161"/>
      <c r="AJU17" s="161"/>
      <c r="AJV17" s="161"/>
      <c r="AJW17" s="161"/>
      <c r="AJX17" s="161"/>
      <c r="AJY17" s="161"/>
      <c r="AJZ17" s="161"/>
      <c r="AKA17" s="161"/>
      <c r="AKB17" s="161"/>
      <c r="AKC17" s="161"/>
      <c r="AKD17" s="161"/>
      <c r="AKE17" s="161"/>
      <c r="AKF17" s="161"/>
      <c r="AKG17" s="161"/>
      <c r="AKH17" s="161"/>
      <c r="AKI17" s="161"/>
      <c r="AKJ17" s="161"/>
      <c r="AKK17" s="161"/>
      <c r="AKL17" s="161"/>
      <c r="AKM17" s="161"/>
      <c r="AKN17" s="161"/>
      <c r="AKO17" s="161"/>
      <c r="AKP17" s="161"/>
      <c r="AKQ17" s="161"/>
      <c r="AKR17" s="161"/>
      <c r="AKS17" s="161"/>
      <c r="AKT17" s="161"/>
      <c r="AKU17" s="161"/>
      <c r="AKV17" s="161"/>
      <c r="AKW17" s="161"/>
      <c r="AKX17" s="161"/>
      <c r="AKY17" s="161"/>
      <c r="AKZ17" s="161"/>
      <c r="ALA17" s="161"/>
      <c r="ALB17" s="161"/>
      <c r="ALC17" s="161"/>
      <c r="ALD17" s="161"/>
      <c r="ALE17" s="161"/>
      <c r="ALF17" s="161"/>
      <c r="ALG17" s="161"/>
      <c r="ALH17" s="161"/>
      <c r="ALI17" s="161"/>
      <c r="ALJ17" s="161"/>
      <c r="ALK17" s="161"/>
      <c r="ALL17" s="161"/>
      <c r="ALM17" s="161"/>
      <c r="ALN17" s="161"/>
      <c r="ALO17" s="161"/>
      <c r="ALP17" s="161"/>
      <c r="ALQ17" s="161"/>
      <c r="ALR17" s="161"/>
      <c r="ALS17" s="161"/>
      <c r="ALT17" s="161"/>
      <c r="ALU17" s="161"/>
      <c r="ALV17" s="161"/>
      <c r="ALW17" s="161"/>
      <c r="ALX17" s="161"/>
      <c r="ALY17" s="161"/>
      <c r="ALZ17" s="161"/>
      <c r="AMA17" s="161"/>
      <c r="AMB17" s="161"/>
      <c r="AMC17" s="161"/>
      <c r="AMD17" s="161"/>
      <c r="AME17" s="161"/>
      <c r="AMF17" s="161"/>
      <c r="AMG17" s="161"/>
      <c r="AMH17" s="161"/>
      <c r="AMI17" s="161"/>
      <c r="AMJ17" s="161"/>
    </row>
    <row r="18" spans="1:1024" s="162" customFormat="1" ht="39" customHeight="1" x14ac:dyDescent="0.2">
      <c r="A18" s="161"/>
      <c r="B18" s="161"/>
      <c r="C18" s="161"/>
      <c r="D18" s="161"/>
      <c r="E18" s="161"/>
      <c r="F18" s="161"/>
      <c r="G18" s="161"/>
      <c r="H18" s="161"/>
      <c r="I18" s="161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5"/>
      <c r="W18" s="161"/>
      <c r="X18" s="161"/>
      <c r="Y18" s="161"/>
      <c r="Z18" s="161"/>
      <c r="AA18" s="161"/>
      <c r="AB18" s="161"/>
      <c r="AC18" s="161"/>
      <c r="AD18" s="161"/>
      <c r="AE18" s="161"/>
      <c r="AF18" s="161"/>
      <c r="AG18" s="161"/>
      <c r="AH18" s="161"/>
      <c r="AI18" s="161"/>
      <c r="AJ18" s="161"/>
      <c r="AK18" s="161"/>
      <c r="AL18" s="161"/>
      <c r="AM18" s="161"/>
      <c r="AN18" s="161"/>
      <c r="AO18" s="161"/>
      <c r="AP18" s="161"/>
      <c r="AQ18" s="161"/>
      <c r="AR18" s="161"/>
      <c r="AS18" s="161"/>
      <c r="AT18" s="161"/>
      <c r="AU18" s="161"/>
      <c r="AV18" s="161"/>
      <c r="AW18" s="161"/>
      <c r="AX18" s="161"/>
      <c r="AY18" s="161"/>
      <c r="AZ18" s="161"/>
      <c r="BA18" s="161"/>
      <c r="BB18" s="161"/>
      <c r="BC18" s="161"/>
      <c r="BD18" s="161"/>
      <c r="BE18" s="161"/>
      <c r="BF18" s="161"/>
      <c r="BG18" s="161"/>
      <c r="BH18" s="161"/>
      <c r="BI18" s="161"/>
      <c r="BJ18" s="161"/>
      <c r="BK18" s="161"/>
      <c r="BL18" s="161"/>
      <c r="BM18" s="161"/>
      <c r="BN18" s="161"/>
      <c r="BO18" s="161"/>
      <c r="BP18" s="161"/>
      <c r="BQ18" s="161"/>
      <c r="BR18" s="161"/>
      <c r="BS18" s="161"/>
      <c r="BT18" s="161"/>
      <c r="BU18" s="161"/>
      <c r="BV18" s="161"/>
      <c r="BW18" s="161"/>
      <c r="BX18" s="161"/>
      <c r="BY18" s="161"/>
      <c r="BZ18" s="161"/>
      <c r="CA18" s="161"/>
      <c r="CB18" s="161"/>
      <c r="CC18" s="161"/>
      <c r="CD18" s="161"/>
      <c r="CE18" s="161"/>
      <c r="CF18" s="161"/>
      <c r="CG18" s="161"/>
      <c r="CH18" s="161"/>
      <c r="CI18" s="161"/>
      <c r="CJ18" s="161"/>
      <c r="CK18" s="161"/>
      <c r="CL18" s="161"/>
      <c r="CM18" s="161"/>
      <c r="CN18" s="161"/>
      <c r="CO18" s="161"/>
      <c r="CP18" s="161"/>
      <c r="CQ18" s="161"/>
      <c r="CR18" s="161"/>
      <c r="CS18" s="161"/>
      <c r="CT18" s="161"/>
      <c r="CU18" s="161"/>
      <c r="CV18" s="161"/>
      <c r="CW18" s="161"/>
      <c r="CX18" s="161"/>
      <c r="CY18" s="161"/>
      <c r="CZ18" s="161"/>
      <c r="DA18" s="161"/>
      <c r="DB18" s="161"/>
      <c r="DC18" s="161"/>
      <c r="DD18" s="161"/>
      <c r="DE18" s="161"/>
      <c r="DF18" s="161"/>
      <c r="DG18" s="161"/>
      <c r="DH18" s="161"/>
      <c r="DI18" s="161"/>
      <c r="DJ18" s="161"/>
      <c r="DK18" s="161"/>
      <c r="DL18" s="161"/>
      <c r="DM18" s="161"/>
      <c r="DN18" s="161"/>
      <c r="DO18" s="161"/>
      <c r="DP18" s="161"/>
      <c r="DQ18" s="161"/>
      <c r="DR18" s="161"/>
      <c r="DS18" s="161"/>
      <c r="DT18" s="161"/>
      <c r="DU18" s="161"/>
      <c r="DV18" s="161"/>
      <c r="DW18" s="161"/>
      <c r="DX18" s="161"/>
      <c r="DY18" s="161"/>
      <c r="DZ18" s="161"/>
      <c r="EA18" s="161"/>
      <c r="EB18" s="161"/>
      <c r="EC18" s="161"/>
      <c r="ED18" s="161"/>
      <c r="EE18" s="161"/>
      <c r="EF18" s="161"/>
      <c r="EG18" s="161"/>
      <c r="EH18" s="161"/>
      <c r="EI18" s="161"/>
      <c r="EJ18" s="161"/>
      <c r="EK18" s="161"/>
      <c r="EL18" s="161"/>
      <c r="EM18" s="161"/>
      <c r="EN18" s="161"/>
      <c r="EO18" s="161"/>
      <c r="EP18" s="161"/>
      <c r="EQ18" s="161"/>
      <c r="ER18" s="161"/>
      <c r="ES18" s="161"/>
      <c r="ET18" s="161"/>
      <c r="EU18" s="161"/>
      <c r="EV18" s="161"/>
      <c r="EW18" s="161"/>
      <c r="EX18" s="161"/>
      <c r="EY18" s="161"/>
      <c r="EZ18" s="161"/>
      <c r="FA18" s="161"/>
      <c r="FB18" s="161"/>
      <c r="FC18" s="161"/>
      <c r="FD18" s="161"/>
      <c r="FE18" s="161"/>
      <c r="FF18" s="161"/>
      <c r="FG18" s="161"/>
      <c r="FH18" s="161"/>
      <c r="FI18" s="161"/>
      <c r="FJ18" s="161"/>
      <c r="FK18" s="161"/>
      <c r="FL18" s="161"/>
      <c r="FM18" s="161"/>
      <c r="FN18" s="161"/>
      <c r="FO18" s="161"/>
      <c r="FP18" s="161"/>
      <c r="FQ18" s="161"/>
      <c r="FR18" s="161"/>
      <c r="FS18" s="161"/>
      <c r="FT18" s="161"/>
      <c r="FU18" s="161"/>
      <c r="FV18" s="161"/>
      <c r="FW18" s="161"/>
      <c r="FX18" s="161"/>
      <c r="FY18" s="161"/>
      <c r="FZ18" s="161"/>
      <c r="GA18" s="161"/>
      <c r="GB18" s="161"/>
      <c r="GC18" s="161"/>
      <c r="GD18" s="161"/>
      <c r="GE18" s="161"/>
      <c r="GF18" s="161"/>
      <c r="GG18" s="161"/>
      <c r="GH18" s="161"/>
      <c r="GI18" s="161"/>
      <c r="GJ18" s="161"/>
      <c r="GK18" s="161"/>
      <c r="GL18" s="161"/>
      <c r="GM18" s="161"/>
      <c r="GN18" s="161"/>
      <c r="GO18" s="161"/>
      <c r="GP18" s="161"/>
      <c r="GQ18" s="161"/>
      <c r="GR18" s="161"/>
      <c r="GS18" s="161"/>
      <c r="GT18" s="161"/>
      <c r="GU18" s="161"/>
      <c r="GV18" s="161"/>
      <c r="GW18" s="161"/>
      <c r="GX18" s="161"/>
      <c r="GY18" s="161"/>
      <c r="GZ18" s="161"/>
      <c r="HA18" s="161"/>
      <c r="HB18" s="161"/>
      <c r="HC18" s="161"/>
      <c r="HD18" s="161"/>
      <c r="HE18" s="161"/>
      <c r="HF18" s="161"/>
      <c r="HG18" s="161"/>
      <c r="HH18" s="161"/>
      <c r="HI18" s="161"/>
      <c r="HJ18" s="161"/>
      <c r="HK18" s="161"/>
      <c r="HL18" s="161"/>
      <c r="HM18" s="161"/>
      <c r="HN18" s="161"/>
      <c r="HO18" s="161"/>
      <c r="HP18" s="161"/>
      <c r="HQ18" s="161"/>
      <c r="HR18" s="161"/>
      <c r="HS18" s="161"/>
      <c r="HT18" s="161"/>
      <c r="HU18" s="161"/>
      <c r="HV18" s="161"/>
      <c r="HW18" s="161"/>
      <c r="HX18" s="161"/>
      <c r="HY18" s="161"/>
      <c r="HZ18" s="161"/>
      <c r="IA18" s="161"/>
      <c r="IB18" s="161"/>
      <c r="IC18" s="161"/>
      <c r="ID18" s="161"/>
      <c r="IE18" s="161"/>
      <c r="IF18" s="161"/>
      <c r="IG18" s="161"/>
      <c r="IH18" s="161"/>
      <c r="II18" s="161"/>
      <c r="IJ18" s="161"/>
      <c r="IK18" s="161"/>
      <c r="IL18" s="161"/>
      <c r="IM18" s="161"/>
      <c r="IN18" s="161"/>
      <c r="IO18" s="161"/>
      <c r="IP18" s="161"/>
      <c r="IQ18" s="161"/>
      <c r="IR18" s="161"/>
      <c r="IS18" s="161"/>
      <c r="IT18" s="161"/>
      <c r="IU18" s="161"/>
      <c r="IV18" s="161"/>
      <c r="IW18" s="161"/>
      <c r="IX18" s="161"/>
      <c r="IY18" s="161"/>
      <c r="IZ18" s="161"/>
      <c r="JA18" s="161"/>
      <c r="JB18" s="161"/>
      <c r="JC18" s="161"/>
      <c r="JD18" s="161"/>
      <c r="JE18" s="161"/>
      <c r="JF18" s="161"/>
      <c r="JG18" s="161"/>
      <c r="JH18" s="161"/>
      <c r="JI18" s="161"/>
      <c r="JJ18" s="161"/>
      <c r="JK18" s="161"/>
      <c r="JL18" s="161"/>
      <c r="JM18" s="161"/>
      <c r="JN18" s="161"/>
      <c r="JO18" s="161"/>
      <c r="JP18" s="161"/>
      <c r="JQ18" s="161"/>
      <c r="JR18" s="161"/>
      <c r="JS18" s="161"/>
      <c r="JT18" s="161"/>
      <c r="JU18" s="161"/>
      <c r="JV18" s="161"/>
      <c r="JW18" s="161"/>
      <c r="JX18" s="161"/>
      <c r="JY18" s="161"/>
      <c r="JZ18" s="161"/>
      <c r="KA18" s="161"/>
      <c r="KB18" s="161"/>
      <c r="KC18" s="161"/>
      <c r="KD18" s="161"/>
      <c r="KE18" s="161"/>
      <c r="KF18" s="161"/>
      <c r="KG18" s="161"/>
      <c r="KH18" s="161"/>
      <c r="KI18" s="161"/>
      <c r="KJ18" s="161"/>
      <c r="KK18" s="161"/>
      <c r="KL18" s="161"/>
      <c r="KM18" s="161"/>
      <c r="KN18" s="161"/>
      <c r="KO18" s="161"/>
      <c r="KP18" s="161"/>
      <c r="KQ18" s="161"/>
      <c r="KR18" s="161"/>
      <c r="KS18" s="161"/>
      <c r="KT18" s="161"/>
      <c r="KU18" s="161"/>
      <c r="KV18" s="161"/>
      <c r="KW18" s="161"/>
      <c r="KX18" s="161"/>
      <c r="KY18" s="161"/>
      <c r="KZ18" s="161"/>
      <c r="LA18" s="161"/>
      <c r="LB18" s="161"/>
      <c r="LC18" s="161"/>
      <c r="LD18" s="161"/>
      <c r="LE18" s="161"/>
      <c r="LF18" s="161"/>
      <c r="LG18" s="161"/>
      <c r="LH18" s="161"/>
      <c r="LI18" s="161"/>
      <c r="LJ18" s="161"/>
      <c r="LK18" s="161"/>
      <c r="LL18" s="161"/>
      <c r="LM18" s="161"/>
      <c r="LN18" s="161"/>
      <c r="LO18" s="161"/>
      <c r="LP18" s="161"/>
      <c r="LQ18" s="161"/>
      <c r="LR18" s="161"/>
      <c r="LS18" s="161"/>
      <c r="LT18" s="161"/>
      <c r="LU18" s="161"/>
      <c r="LV18" s="161"/>
      <c r="LW18" s="161"/>
      <c r="LX18" s="161"/>
      <c r="LY18" s="161"/>
      <c r="LZ18" s="161"/>
      <c r="MA18" s="161"/>
      <c r="MB18" s="161"/>
      <c r="MC18" s="161"/>
      <c r="MD18" s="161"/>
      <c r="ME18" s="161"/>
      <c r="MF18" s="161"/>
      <c r="MG18" s="161"/>
      <c r="MH18" s="161"/>
      <c r="MI18" s="161"/>
      <c r="MJ18" s="161"/>
      <c r="MK18" s="161"/>
      <c r="ML18" s="161"/>
      <c r="MM18" s="161"/>
      <c r="MN18" s="161"/>
      <c r="MO18" s="161"/>
      <c r="MP18" s="161"/>
      <c r="MQ18" s="161"/>
      <c r="MR18" s="161"/>
      <c r="MS18" s="161"/>
      <c r="MT18" s="161"/>
      <c r="MU18" s="161"/>
      <c r="MV18" s="161"/>
      <c r="MW18" s="161"/>
      <c r="MX18" s="161"/>
      <c r="MY18" s="161"/>
      <c r="MZ18" s="161"/>
      <c r="NA18" s="161"/>
      <c r="NB18" s="161"/>
      <c r="NC18" s="161"/>
      <c r="ND18" s="161"/>
      <c r="NE18" s="161"/>
      <c r="NF18" s="161"/>
      <c r="NG18" s="161"/>
      <c r="NH18" s="161"/>
      <c r="NI18" s="161"/>
      <c r="NJ18" s="161"/>
      <c r="NK18" s="161"/>
      <c r="NL18" s="161"/>
      <c r="NM18" s="161"/>
      <c r="NN18" s="161"/>
      <c r="NO18" s="161"/>
      <c r="NP18" s="161"/>
      <c r="NQ18" s="161"/>
      <c r="NR18" s="161"/>
      <c r="NS18" s="161"/>
      <c r="NT18" s="161"/>
      <c r="NU18" s="161"/>
      <c r="NV18" s="161"/>
      <c r="NW18" s="161"/>
      <c r="NX18" s="161"/>
      <c r="NY18" s="161"/>
      <c r="NZ18" s="161"/>
      <c r="OA18" s="161"/>
      <c r="OB18" s="161"/>
      <c r="OC18" s="161"/>
      <c r="OD18" s="161"/>
      <c r="OE18" s="161"/>
      <c r="OF18" s="161"/>
      <c r="OG18" s="161"/>
      <c r="OH18" s="161"/>
      <c r="OI18" s="161"/>
      <c r="OJ18" s="161"/>
      <c r="OK18" s="161"/>
      <c r="OL18" s="161"/>
      <c r="OM18" s="161"/>
      <c r="ON18" s="161"/>
      <c r="OO18" s="161"/>
      <c r="OP18" s="161"/>
      <c r="OQ18" s="161"/>
      <c r="OR18" s="161"/>
      <c r="OS18" s="161"/>
      <c r="OT18" s="161"/>
      <c r="OU18" s="161"/>
      <c r="OV18" s="161"/>
      <c r="OW18" s="161"/>
      <c r="OX18" s="161"/>
      <c r="OY18" s="161"/>
      <c r="OZ18" s="161"/>
      <c r="PA18" s="161"/>
      <c r="PB18" s="161"/>
      <c r="PC18" s="161"/>
      <c r="PD18" s="161"/>
      <c r="PE18" s="161"/>
      <c r="PF18" s="161"/>
      <c r="PG18" s="161"/>
      <c r="PH18" s="161"/>
      <c r="PI18" s="161"/>
      <c r="PJ18" s="161"/>
      <c r="PK18" s="161"/>
      <c r="PL18" s="161"/>
      <c r="PM18" s="161"/>
      <c r="PN18" s="161"/>
      <c r="PO18" s="161"/>
      <c r="PP18" s="161"/>
      <c r="PQ18" s="161"/>
      <c r="PR18" s="161"/>
      <c r="PS18" s="161"/>
      <c r="PT18" s="161"/>
      <c r="PU18" s="161"/>
      <c r="PV18" s="161"/>
      <c r="PW18" s="161"/>
      <c r="PX18" s="161"/>
      <c r="PY18" s="161"/>
      <c r="PZ18" s="161"/>
      <c r="QA18" s="161"/>
      <c r="QB18" s="161"/>
      <c r="QC18" s="161"/>
      <c r="QD18" s="161"/>
      <c r="QE18" s="161"/>
      <c r="QF18" s="161"/>
      <c r="QG18" s="161"/>
      <c r="QH18" s="161"/>
      <c r="QI18" s="161"/>
      <c r="QJ18" s="161"/>
      <c r="QK18" s="161"/>
      <c r="QL18" s="161"/>
      <c r="QM18" s="161"/>
      <c r="QN18" s="161"/>
      <c r="QO18" s="161"/>
      <c r="QP18" s="161"/>
      <c r="QQ18" s="161"/>
      <c r="QR18" s="161"/>
      <c r="QS18" s="161"/>
      <c r="QT18" s="161"/>
      <c r="QU18" s="161"/>
      <c r="QV18" s="161"/>
      <c r="QW18" s="161"/>
      <c r="QX18" s="161"/>
      <c r="QY18" s="161"/>
      <c r="QZ18" s="161"/>
      <c r="RA18" s="161"/>
      <c r="RB18" s="161"/>
      <c r="RC18" s="161"/>
      <c r="RD18" s="161"/>
      <c r="RE18" s="161"/>
      <c r="RF18" s="161"/>
      <c r="RG18" s="161"/>
      <c r="RH18" s="161"/>
      <c r="RI18" s="161"/>
      <c r="RJ18" s="161"/>
      <c r="RK18" s="161"/>
      <c r="RL18" s="161"/>
      <c r="RM18" s="161"/>
      <c r="RN18" s="161"/>
      <c r="RO18" s="161"/>
      <c r="RP18" s="161"/>
      <c r="RQ18" s="161"/>
      <c r="RR18" s="161"/>
      <c r="RS18" s="161"/>
      <c r="RT18" s="161"/>
      <c r="RU18" s="161"/>
      <c r="RV18" s="161"/>
      <c r="RW18" s="161"/>
      <c r="RX18" s="161"/>
      <c r="RY18" s="161"/>
      <c r="RZ18" s="161"/>
      <c r="SA18" s="161"/>
      <c r="SB18" s="161"/>
      <c r="SC18" s="161"/>
      <c r="SD18" s="161"/>
      <c r="SE18" s="161"/>
      <c r="SF18" s="161"/>
      <c r="SG18" s="161"/>
      <c r="SH18" s="161"/>
      <c r="SI18" s="161"/>
      <c r="SJ18" s="161"/>
      <c r="SK18" s="161"/>
      <c r="SL18" s="161"/>
      <c r="SM18" s="161"/>
      <c r="SN18" s="161"/>
      <c r="SO18" s="161"/>
      <c r="SP18" s="161"/>
      <c r="SQ18" s="161"/>
      <c r="SR18" s="161"/>
      <c r="SS18" s="161"/>
      <c r="ST18" s="161"/>
      <c r="SU18" s="161"/>
      <c r="SV18" s="161"/>
      <c r="SW18" s="161"/>
      <c r="SX18" s="161"/>
      <c r="SY18" s="161"/>
      <c r="SZ18" s="161"/>
      <c r="TA18" s="161"/>
      <c r="TB18" s="161"/>
      <c r="TC18" s="161"/>
      <c r="TD18" s="161"/>
      <c r="TE18" s="161"/>
      <c r="TF18" s="161"/>
      <c r="TG18" s="161"/>
      <c r="TH18" s="161"/>
      <c r="TI18" s="161"/>
      <c r="TJ18" s="161"/>
      <c r="TK18" s="161"/>
      <c r="TL18" s="161"/>
      <c r="TM18" s="161"/>
      <c r="TN18" s="161"/>
      <c r="TO18" s="161"/>
      <c r="TP18" s="161"/>
      <c r="TQ18" s="161"/>
      <c r="TR18" s="161"/>
      <c r="TS18" s="161"/>
      <c r="TT18" s="161"/>
      <c r="TU18" s="161"/>
      <c r="TV18" s="161"/>
      <c r="TW18" s="161"/>
      <c r="TX18" s="161"/>
      <c r="TY18" s="161"/>
      <c r="TZ18" s="161"/>
      <c r="UA18" s="161"/>
      <c r="UB18" s="161"/>
      <c r="UC18" s="161"/>
      <c r="UD18" s="161"/>
      <c r="UE18" s="161"/>
      <c r="UF18" s="161"/>
      <c r="UG18" s="161"/>
      <c r="UH18" s="161"/>
      <c r="UI18" s="161"/>
      <c r="UJ18" s="161"/>
      <c r="UK18" s="161"/>
      <c r="UL18" s="161"/>
      <c r="UM18" s="161"/>
      <c r="UN18" s="161"/>
      <c r="UO18" s="161"/>
      <c r="UP18" s="161"/>
      <c r="UQ18" s="161"/>
      <c r="UR18" s="161"/>
      <c r="US18" s="161"/>
      <c r="UT18" s="161"/>
      <c r="UU18" s="161"/>
      <c r="UV18" s="161"/>
      <c r="UW18" s="161"/>
      <c r="UX18" s="161"/>
      <c r="UY18" s="161"/>
      <c r="UZ18" s="161"/>
      <c r="VA18" s="161"/>
      <c r="VB18" s="161"/>
      <c r="VC18" s="161"/>
      <c r="VD18" s="161"/>
      <c r="VE18" s="161"/>
      <c r="VF18" s="161"/>
      <c r="VG18" s="161"/>
      <c r="VH18" s="161"/>
      <c r="VI18" s="161"/>
      <c r="VJ18" s="161"/>
      <c r="VK18" s="161"/>
      <c r="VL18" s="161"/>
      <c r="VM18" s="161"/>
      <c r="VN18" s="161"/>
      <c r="VO18" s="161"/>
      <c r="VP18" s="161"/>
      <c r="VQ18" s="161"/>
      <c r="VR18" s="161"/>
      <c r="VS18" s="161"/>
      <c r="VT18" s="161"/>
      <c r="VU18" s="161"/>
      <c r="VV18" s="161"/>
      <c r="VW18" s="161"/>
      <c r="VX18" s="161"/>
      <c r="VY18" s="161"/>
      <c r="VZ18" s="161"/>
      <c r="WA18" s="161"/>
      <c r="WB18" s="161"/>
      <c r="WC18" s="161"/>
      <c r="WD18" s="161"/>
      <c r="WE18" s="161"/>
      <c r="WF18" s="161"/>
      <c r="WG18" s="161"/>
      <c r="WH18" s="161"/>
      <c r="WI18" s="161"/>
      <c r="WJ18" s="161"/>
      <c r="WK18" s="161"/>
      <c r="WL18" s="161"/>
      <c r="WM18" s="161"/>
      <c r="WN18" s="161"/>
      <c r="WO18" s="161"/>
      <c r="WP18" s="161"/>
      <c r="WQ18" s="161"/>
      <c r="WR18" s="161"/>
      <c r="WS18" s="161"/>
      <c r="WT18" s="161"/>
      <c r="WU18" s="161"/>
      <c r="WV18" s="161"/>
      <c r="WW18" s="161"/>
      <c r="WX18" s="161"/>
      <c r="WY18" s="161"/>
      <c r="WZ18" s="161"/>
      <c r="XA18" s="161"/>
      <c r="XB18" s="161"/>
      <c r="XC18" s="161"/>
      <c r="XD18" s="161"/>
      <c r="XE18" s="161"/>
      <c r="XF18" s="161"/>
      <c r="XG18" s="161"/>
      <c r="XH18" s="161"/>
      <c r="XI18" s="161"/>
      <c r="XJ18" s="161"/>
      <c r="XK18" s="161"/>
      <c r="XL18" s="161"/>
      <c r="XM18" s="161"/>
      <c r="XN18" s="161"/>
      <c r="XO18" s="161"/>
      <c r="XP18" s="161"/>
      <c r="XQ18" s="161"/>
      <c r="XR18" s="161"/>
      <c r="XS18" s="161"/>
      <c r="XT18" s="161"/>
      <c r="XU18" s="161"/>
      <c r="XV18" s="161"/>
      <c r="XW18" s="161"/>
      <c r="XX18" s="161"/>
      <c r="XY18" s="161"/>
      <c r="XZ18" s="161"/>
      <c r="YA18" s="161"/>
      <c r="YB18" s="161"/>
      <c r="YC18" s="161"/>
      <c r="YD18" s="161"/>
      <c r="YE18" s="161"/>
      <c r="YF18" s="161"/>
      <c r="YG18" s="161"/>
      <c r="YH18" s="161"/>
      <c r="YI18" s="161"/>
      <c r="YJ18" s="161"/>
      <c r="YK18" s="161"/>
      <c r="YL18" s="161"/>
      <c r="YM18" s="161"/>
      <c r="YN18" s="161"/>
      <c r="YO18" s="161"/>
      <c r="YP18" s="161"/>
      <c r="YQ18" s="161"/>
      <c r="YR18" s="161"/>
      <c r="YS18" s="161"/>
      <c r="YT18" s="161"/>
      <c r="YU18" s="161"/>
      <c r="YV18" s="161"/>
      <c r="YW18" s="161"/>
      <c r="YX18" s="161"/>
      <c r="YY18" s="161"/>
      <c r="YZ18" s="161"/>
      <c r="ZA18" s="161"/>
      <c r="ZB18" s="161"/>
      <c r="ZC18" s="161"/>
      <c r="ZD18" s="161"/>
      <c r="ZE18" s="161"/>
      <c r="ZF18" s="161"/>
      <c r="ZG18" s="161"/>
      <c r="ZH18" s="161"/>
      <c r="ZI18" s="161"/>
      <c r="ZJ18" s="161"/>
      <c r="ZK18" s="161"/>
      <c r="ZL18" s="161"/>
      <c r="ZM18" s="161"/>
      <c r="ZN18" s="161"/>
      <c r="ZO18" s="161"/>
      <c r="ZP18" s="161"/>
      <c r="ZQ18" s="161"/>
      <c r="ZR18" s="161"/>
      <c r="ZS18" s="161"/>
      <c r="ZT18" s="161"/>
      <c r="ZU18" s="161"/>
      <c r="ZV18" s="161"/>
      <c r="ZW18" s="161"/>
      <c r="ZX18" s="161"/>
      <c r="ZY18" s="161"/>
      <c r="ZZ18" s="161"/>
      <c r="AAA18" s="161"/>
      <c r="AAB18" s="161"/>
      <c r="AAC18" s="161"/>
      <c r="AAD18" s="161"/>
      <c r="AAE18" s="161"/>
      <c r="AAF18" s="161"/>
      <c r="AAG18" s="161"/>
      <c r="AAH18" s="161"/>
      <c r="AAI18" s="161"/>
      <c r="AAJ18" s="161"/>
      <c r="AAK18" s="161"/>
      <c r="AAL18" s="161"/>
      <c r="AAM18" s="161"/>
      <c r="AAN18" s="161"/>
      <c r="AAO18" s="161"/>
      <c r="AAP18" s="161"/>
      <c r="AAQ18" s="161"/>
      <c r="AAR18" s="161"/>
      <c r="AAS18" s="161"/>
      <c r="AAT18" s="161"/>
      <c r="AAU18" s="161"/>
      <c r="AAV18" s="161"/>
      <c r="AAW18" s="161"/>
      <c r="AAX18" s="161"/>
      <c r="AAY18" s="161"/>
      <c r="AAZ18" s="161"/>
      <c r="ABA18" s="161"/>
      <c r="ABB18" s="161"/>
      <c r="ABC18" s="161"/>
      <c r="ABD18" s="161"/>
      <c r="ABE18" s="161"/>
      <c r="ABF18" s="161"/>
      <c r="ABG18" s="161"/>
      <c r="ABH18" s="161"/>
      <c r="ABI18" s="161"/>
      <c r="ABJ18" s="161"/>
      <c r="ABK18" s="161"/>
      <c r="ABL18" s="161"/>
      <c r="ABM18" s="161"/>
      <c r="ABN18" s="161"/>
      <c r="ABO18" s="161"/>
      <c r="ABP18" s="161"/>
      <c r="ABQ18" s="161"/>
      <c r="ABR18" s="161"/>
      <c r="ABS18" s="161"/>
      <c r="ABT18" s="161"/>
      <c r="ABU18" s="161"/>
      <c r="ABV18" s="161"/>
      <c r="ABW18" s="161"/>
      <c r="ABX18" s="161"/>
      <c r="ABY18" s="161"/>
      <c r="ABZ18" s="161"/>
      <c r="ACA18" s="161"/>
      <c r="ACB18" s="161"/>
      <c r="ACC18" s="161"/>
      <c r="ACD18" s="161"/>
      <c r="ACE18" s="161"/>
      <c r="ACF18" s="161"/>
      <c r="ACG18" s="161"/>
      <c r="ACH18" s="161"/>
      <c r="ACI18" s="161"/>
      <c r="ACJ18" s="161"/>
      <c r="ACK18" s="161"/>
      <c r="ACL18" s="161"/>
      <c r="ACM18" s="161"/>
      <c r="ACN18" s="161"/>
      <c r="ACO18" s="161"/>
      <c r="ACP18" s="161"/>
      <c r="ACQ18" s="161"/>
      <c r="ACR18" s="161"/>
      <c r="ACS18" s="161"/>
      <c r="ACT18" s="161"/>
      <c r="ACU18" s="161"/>
      <c r="ACV18" s="161"/>
      <c r="ACW18" s="161"/>
      <c r="ACX18" s="161"/>
      <c r="ACY18" s="161"/>
      <c r="ACZ18" s="161"/>
      <c r="ADA18" s="161"/>
      <c r="ADB18" s="161"/>
      <c r="ADC18" s="161"/>
      <c r="ADD18" s="161"/>
      <c r="ADE18" s="161"/>
      <c r="ADF18" s="161"/>
      <c r="ADG18" s="161"/>
      <c r="ADH18" s="161"/>
      <c r="ADI18" s="161"/>
      <c r="ADJ18" s="161"/>
      <c r="ADK18" s="161"/>
      <c r="ADL18" s="161"/>
      <c r="ADM18" s="161"/>
      <c r="ADN18" s="161"/>
      <c r="ADO18" s="161"/>
      <c r="ADP18" s="161"/>
      <c r="ADQ18" s="161"/>
      <c r="ADR18" s="161"/>
      <c r="ADS18" s="161"/>
      <c r="ADT18" s="161"/>
      <c r="ADU18" s="161"/>
      <c r="ADV18" s="161"/>
      <c r="ADW18" s="161"/>
      <c r="ADX18" s="161"/>
      <c r="ADY18" s="161"/>
      <c r="ADZ18" s="161"/>
      <c r="AEA18" s="161"/>
      <c r="AEB18" s="161"/>
      <c r="AEC18" s="161"/>
      <c r="AED18" s="161"/>
      <c r="AEE18" s="161"/>
      <c r="AEF18" s="161"/>
      <c r="AEG18" s="161"/>
      <c r="AEH18" s="161"/>
      <c r="AEI18" s="161"/>
      <c r="AEJ18" s="161"/>
      <c r="AEK18" s="161"/>
      <c r="AEL18" s="161"/>
      <c r="AEM18" s="161"/>
      <c r="AEN18" s="161"/>
      <c r="AEO18" s="161"/>
      <c r="AEP18" s="161"/>
      <c r="AEQ18" s="161"/>
      <c r="AER18" s="161"/>
      <c r="AES18" s="161"/>
      <c r="AET18" s="161"/>
      <c r="AEU18" s="161"/>
      <c r="AEV18" s="161"/>
      <c r="AEW18" s="161"/>
      <c r="AEX18" s="161"/>
      <c r="AEY18" s="161"/>
      <c r="AEZ18" s="161"/>
      <c r="AFA18" s="161"/>
      <c r="AFB18" s="161"/>
      <c r="AFC18" s="161"/>
      <c r="AFD18" s="161"/>
      <c r="AFE18" s="161"/>
      <c r="AFF18" s="161"/>
      <c r="AFG18" s="161"/>
      <c r="AFH18" s="161"/>
      <c r="AFI18" s="161"/>
      <c r="AFJ18" s="161"/>
      <c r="AFK18" s="161"/>
      <c r="AFL18" s="161"/>
      <c r="AFM18" s="161"/>
      <c r="AFN18" s="161"/>
      <c r="AFO18" s="161"/>
      <c r="AFP18" s="161"/>
      <c r="AFQ18" s="161"/>
      <c r="AFR18" s="161"/>
      <c r="AFS18" s="161"/>
      <c r="AFT18" s="161"/>
      <c r="AFU18" s="161"/>
      <c r="AFV18" s="161"/>
      <c r="AFW18" s="161"/>
      <c r="AFX18" s="161"/>
      <c r="AFY18" s="161"/>
      <c r="AFZ18" s="161"/>
      <c r="AGA18" s="161"/>
      <c r="AGB18" s="161"/>
      <c r="AGC18" s="161"/>
      <c r="AGD18" s="161"/>
      <c r="AGE18" s="161"/>
      <c r="AGF18" s="161"/>
      <c r="AGG18" s="161"/>
      <c r="AGH18" s="161"/>
      <c r="AGI18" s="161"/>
      <c r="AGJ18" s="161"/>
      <c r="AGK18" s="161"/>
      <c r="AGL18" s="161"/>
      <c r="AGM18" s="161"/>
      <c r="AGN18" s="161"/>
      <c r="AGO18" s="161"/>
      <c r="AGP18" s="161"/>
      <c r="AGQ18" s="161"/>
      <c r="AGR18" s="161"/>
      <c r="AGS18" s="161"/>
      <c r="AGT18" s="161"/>
      <c r="AGU18" s="161"/>
      <c r="AGV18" s="161"/>
      <c r="AGW18" s="161"/>
      <c r="AGX18" s="161"/>
      <c r="AGY18" s="161"/>
      <c r="AGZ18" s="161"/>
      <c r="AHA18" s="161"/>
      <c r="AHB18" s="161"/>
      <c r="AHC18" s="161"/>
      <c r="AHD18" s="161"/>
      <c r="AHE18" s="161"/>
      <c r="AHF18" s="161"/>
      <c r="AHG18" s="161"/>
      <c r="AHH18" s="161"/>
      <c r="AHI18" s="161"/>
      <c r="AHJ18" s="161"/>
      <c r="AHK18" s="161"/>
      <c r="AHL18" s="161"/>
      <c r="AHM18" s="161"/>
      <c r="AHN18" s="161"/>
      <c r="AHO18" s="161"/>
      <c r="AHP18" s="161"/>
      <c r="AHQ18" s="161"/>
      <c r="AHR18" s="161"/>
      <c r="AHS18" s="161"/>
      <c r="AHT18" s="161"/>
      <c r="AHU18" s="161"/>
      <c r="AHV18" s="161"/>
      <c r="AHW18" s="161"/>
      <c r="AHX18" s="161"/>
      <c r="AHY18" s="161"/>
      <c r="AHZ18" s="161"/>
      <c r="AIA18" s="161"/>
      <c r="AIB18" s="161"/>
      <c r="AIC18" s="161"/>
      <c r="AID18" s="161"/>
      <c r="AIE18" s="161"/>
      <c r="AIF18" s="161"/>
      <c r="AIG18" s="161"/>
      <c r="AIH18" s="161"/>
      <c r="AII18" s="161"/>
      <c r="AIJ18" s="161"/>
      <c r="AIK18" s="161"/>
      <c r="AIL18" s="161"/>
      <c r="AIM18" s="161"/>
      <c r="AIN18" s="161"/>
      <c r="AIO18" s="161"/>
      <c r="AIP18" s="161"/>
      <c r="AIQ18" s="161"/>
      <c r="AIR18" s="161"/>
      <c r="AIS18" s="161"/>
      <c r="AIT18" s="161"/>
      <c r="AIU18" s="161"/>
      <c r="AIV18" s="161"/>
      <c r="AIW18" s="161"/>
      <c r="AIX18" s="161"/>
      <c r="AIY18" s="161"/>
      <c r="AIZ18" s="161"/>
      <c r="AJA18" s="161"/>
      <c r="AJB18" s="161"/>
      <c r="AJC18" s="161"/>
      <c r="AJD18" s="161"/>
      <c r="AJE18" s="161"/>
      <c r="AJF18" s="161"/>
      <c r="AJG18" s="161"/>
      <c r="AJH18" s="161"/>
      <c r="AJI18" s="161"/>
      <c r="AJJ18" s="161"/>
      <c r="AJK18" s="161"/>
      <c r="AJL18" s="161"/>
      <c r="AJM18" s="161"/>
      <c r="AJN18" s="161"/>
      <c r="AJO18" s="161"/>
      <c r="AJP18" s="161"/>
      <c r="AJQ18" s="161"/>
      <c r="AJR18" s="161"/>
      <c r="AJS18" s="161"/>
      <c r="AJT18" s="161"/>
      <c r="AJU18" s="161"/>
      <c r="AJV18" s="161"/>
      <c r="AJW18" s="161"/>
      <c r="AJX18" s="161"/>
      <c r="AJY18" s="161"/>
      <c r="AJZ18" s="161"/>
      <c r="AKA18" s="161"/>
      <c r="AKB18" s="161"/>
      <c r="AKC18" s="161"/>
      <c r="AKD18" s="161"/>
      <c r="AKE18" s="161"/>
      <c r="AKF18" s="161"/>
      <c r="AKG18" s="161"/>
      <c r="AKH18" s="161"/>
      <c r="AKI18" s="161"/>
      <c r="AKJ18" s="161"/>
      <c r="AKK18" s="161"/>
      <c r="AKL18" s="161"/>
      <c r="AKM18" s="161"/>
      <c r="AKN18" s="161"/>
      <c r="AKO18" s="161"/>
      <c r="AKP18" s="161"/>
      <c r="AKQ18" s="161"/>
      <c r="AKR18" s="161"/>
      <c r="AKS18" s="161"/>
      <c r="AKT18" s="161"/>
      <c r="AKU18" s="161"/>
      <c r="AKV18" s="161"/>
      <c r="AKW18" s="161"/>
      <c r="AKX18" s="161"/>
      <c r="AKY18" s="161"/>
      <c r="AKZ18" s="161"/>
      <c r="ALA18" s="161"/>
      <c r="ALB18" s="161"/>
      <c r="ALC18" s="161"/>
      <c r="ALD18" s="161"/>
      <c r="ALE18" s="161"/>
      <c r="ALF18" s="161"/>
      <c r="ALG18" s="161"/>
      <c r="ALH18" s="161"/>
      <c r="ALI18" s="161"/>
      <c r="ALJ18" s="161"/>
      <c r="ALK18" s="161"/>
      <c r="ALL18" s="161"/>
      <c r="ALM18" s="161"/>
      <c r="ALN18" s="161"/>
      <c r="ALO18" s="161"/>
      <c r="ALP18" s="161"/>
      <c r="ALQ18" s="161"/>
      <c r="ALR18" s="161"/>
      <c r="ALS18" s="161"/>
      <c r="ALT18" s="161"/>
      <c r="ALU18" s="161"/>
      <c r="ALV18" s="161"/>
      <c r="ALW18" s="161"/>
      <c r="ALX18" s="161"/>
      <c r="ALY18" s="161"/>
      <c r="ALZ18" s="161"/>
      <c r="AMA18" s="161"/>
      <c r="AMB18" s="161"/>
      <c r="AMC18" s="161"/>
      <c r="AMD18" s="161"/>
      <c r="AME18" s="161"/>
      <c r="AMF18" s="161"/>
      <c r="AMG18" s="161"/>
      <c r="AMH18" s="161"/>
      <c r="AMI18" s="161"/>
      <c r="AMJ18" s="161"/>
    </row>
  </sheetData>
  <mergeCells count="11">
    <mergeCell ref="A4:B4"/>
    <mergeCell ref="A2:A3"/>
    <mergeCell ref="B2:B3"/>
    <mergeCell ref="C2:K2"/>
    <mergeCell ref="L2:T2"/>
    <mergeCell ref="AG2:AG3"/>
    <mergeCell ref="U2:U3"/>
    <mergeCell ref="V2:V3"/>
    <mergeCell ref="W2:W3"/>
    <mergeCell ref="X2:AE2"/>
    <mergeCell ref="AF2:AF3"/>
  </mergeCells>
  <conditionalFormatting sqref="X1:X4 X10:X1048576">
    <cfRule type="cellIs" dxfId="28" priority="8" operator="equal">
      <formula>0.9</formula>
    </cfRule>
    <cfRule type="cellIs" dxfId="27" priority="9" operator="equal">
      <formula>1.15</formula>
    </cfRule>
    <cfRule type="cellIs" dxfId="26" priority="10" operator="equal">
      <formula>0.9</formula>
    </cfRule>
  </conditionalFormatting>
  <conditionalFormatting sqref="Y1 X1:X4 X10:Y1048576">
    <cfRule type="cellIs" dxfId="25" priority="7" operator="equal">
      <formula>1</formula>
    </cfRule>
    <cfRule type="cellIs" dxfId="24" priority="11" operator="equal">
      <formula>1</formula>
    </cfRule>
  </conditionalFormatting>
  <conditionalFormatting sqref="Y1 Y4 Y10:Y1048576">
    <cfRule type="cellIs" dxfId="23" priority="13" operator="equal">
      <formula>0.93</formula>
    </cfRule>
    <cfRule type="cellIs" dxfId="22" priority="14" operator="equal">
      <formula>0.93</formula>
    </cfRule>
    <cfRule type="cellIs" dxfId="21" priority="16" operator="equal">
      <formula>1.07</formula>
    </cfRule>
  </conditionalFormatting>
  <conditionalFormatting sqref="Y3">
    <cfRule type="cellIs" dxfId="20" priority="36" operator="equal">
      <formula>0.9</formula>
    </cfRule>
    <cfRule type="cellIs" dxfId="19" priority="38" operator="equal">
      <formula>0.9</formula>
    </cfRule>
    <cfRule type="cellIs" dxfId="18" priority="39" operator="equal">
      <formula>1</formula>
    </cfRule>
  </conditionalFormatting>
  <conditionalFormatting sqref="Y4">
    <cfRule type="cellIs" dxfId="17" priority="12" operator="equal">
      <formula>1</formula>
    </cfRule>
    <cfRule type="cellIs" dxfId="16" priority="15" operator="equal">
      <formula>1</formula>
    </cfRule>
  </conditionalFormatting>
  <conditionalFormatting sqref="Z1 Z4 Z10:Z1048576">
    <cfRule type="cellIs" dxfId="15" priority="17" operator="equal">
      <formula>1</formula>
    </cfRule>
    <cfRule type="cellIs" dxfId="14" priority="18" operator="equal">
      <formula>0.95</formula>
    </cfRule>
    <cfRule type="cellIs" dxfId="13" priority="19" operator="equal">
      <formula>0.95</formula>
    </cfRule>
    <cfRule type="cellIs" dxfId="12" priority="20" operator="equal">
      <formula>1</formula>
    </cfRule>
    <cfRule type="cellIs" dxfId="11" priority="21" operator="equal">
      <formula>1.05</formula>
    </cfRule>
  </conditionalFormatting>
  <conditionalFormatting sqref="AA1 AA4 AA10:AA1048576">
    <cfRule type="cellIs" dxfId="10" priority="22" operator="equal">
      <formula>0.85</formula>
    </cfRule>
    <cfRule type="cellIs" dxfId="9" priority="23" operator="equal">
      <formula>1</formula>
    </cfRule>
    <cfRule type="cellIs" dxfId="8" priority="24" operator="equal">
      <formula>0.85</formula>
    </cfRule>
    <cfRule type="cellIs" dxfId="7" priority="25" operator="equal">
      <formula>1.15</formula>
    </cfRule>
  </conditionalFormatting>
  <conditionalFormatting sqref="AA1:AB1 AA4:AB4 AA10:AB1048576">
    <cfRule type="cellIs" dxfId="6" priority="26" operator="equal">
      <formula>1</formula>
    </cfRule>
  </conditionalFormatting>
  <conditionalFormatting sqref="AB1 AB4 AB10:AB1048576">
    <cfRule type="cellIs" dxfId="5" priority="27" operator="equal">
      <formula>1.07</formula>
    </cfRule>
  </conditionalFormatting>
  <conditionalFormatting sqref="AC1 Y3:AB3 AD3:AE3 AC3:AC4 AC10:AC1048576">
    <cfRule type="cellIs" dxfId="4" priority="29" operator="equal">
      <formula>1.15</formula>
    </cfRule>
  </conditionalFormatting>
  <conditionalFormatting sqref="AC1 Z3:AB3 AD3:AE3 AC3:AC4 AC10:AC1048576">
    <cfRule type="cellIs" dxfId="3" priority="31" operator="equal">
      <formula>0.87</formula>
    </cfRule>
  </conditionalFormatting>
  <conditionalFormatting sqref="AC1:AE1 Y3:AB3 AC3:AE4 AC10:AE1048576">
    <cfRule type="cellIs" dxfId="2" priority="30" operator="equal">
      <formula>1</formula>
    </cfRule>
  </conditionalFormatting>
  <conditionalFormatting sqref="AD1:AE1 AD4:AE4 AD10:AE1048576">
    <cfRule type="cellIs" dxfId="1" priority="32" operator="equal">
      <formula>1.04</formula>
    </cfRule>
    <cfRule type="cellIs" dxfId="0" priority="34" operator="equal">
      <formula>0.97</formula>
    </cfRule>
  </conditionalFormatting>
  <pageMargins left="0.27569444444444402" right="0.118055555555556" top="0.74791666666666701" bottom="0.27569444444444402" header="0.511811023622047" footer="0.511811023622047"/>
  <pageSetup paperSize="9" scale="55" pageOrder="overThenDown" orientation="landscape" horizontalDpi="300" verticalDpi="300" r:id="rId1"/>
  <customProperties>
    <customPr name="Guid" r:id="rId2"/>
  </customProperties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0.59999389629810485"/>
    <pageSetUpPr fitToPage="1"/>
  </sheetPr>
  <dimension ref="A1:AMI106"/>
  <sheetViews>
    <sheetView zoomScale="90" zoomScaleNormal="90" workbookViewId="0">
      <selection activeCell="A4" sqref="A4"/>
    </sheetView>
  </sheetViews>
  <sheetFormatPr defaultColWidth="8.5703125" defaultRowHeight="15" x14ac:dyDescent="0.25"/>
  <cols>
    <col min="1" max="1" width="12.42578125" style="5" customWidth="1"/>
    <col min="2" max="2" width="33.85546875" style="5" customWidth="1"/>
    <col min="3" max="3" width="20.7109375" style="5" customWidth="1"/>
    <col min="4" max="4" width="25.140625" style="5" customWidth="1"/>
    <col min="5" max="5" width="27.85546875" style="5" customWidth="1"/>
    <col min="6" max="6" width="17.5703125" style="5" customWidth="1"/>
    <col min="7" max="7" width="8.5703125" style="5"/>
    <col min="8" max="8" width="26.42578125" style="5" customWidth="1"/>
    <col min="9" max="9" width="10.5703125" style="5" customWidth="1"/>
    <col min="10" max="1023" width="8.5703125" style="5"/>
  </cols>
  <sheetData>
    <row r="1" spans="1:1023" ht="37.5" customHeight="1" x14ac:dyDescent="0.25">
      <c r="A1" s="239" t="str">
        <f>'2.5.Трудоемкость'!A4</f>
        <v>Выполнение работ по развитию автоматизированной информационной системы «Единое информационное пространство мировых судей города Москвы» (третья очередь)</v>
      </c>
      <c r="B1" s="239"/>
      <c r="C1" s="239"/>
      <c r="D1" s="239"/>
      <c r="E1" s="239"/>
      <c r="F1" s="17"/>
      <c r="G1" s="17"/>
      <c r="H1" s="17"/>
    </row>
    <row r="3" spans="1:1023" ht="30" x14ac:dyDescent="0.25">
      <c r="A3" s="18"/>
      <c r="B3" s="19" t="s">
        <v>13</v>
      </c>
      <c r="C3" s="18"/>
      <c r="D3" s="18"/>
      <c r="E3" s="18"/>
    </row>
    <row r="4" spans="1:1023" ht="42.75" x14ac:dyDescent="0.25">
      <c r="A4" s="198" t="s">
        <v>1</v>
      </c>
      <c r="B4" s="199" t="s">
        <v>14</v>
      </c>
      <c r="C4" s="200" t="s">
        <v>15</v>
      </c>
      <c r="D4" s="198" t="s">
        <v>16</v>
      </c>
      <c r="E4" s="199" t="s">
        <v>17</v>
      </c>
    </row>
    <row r="5" spans="1:1023" s="202" customFormat="1" ht="15.75" thickBot="1" x14ac:dyDescent="0.3">
      <c r="A5" s="20">
        <v>1</v>
      </c>
      <c r="B5" s="23">
        <v>274521.09999999998</v>
      </c>
      <c r="C5" s="23">
        <v>1.05</v>
      </c>
      <c r="D5" s="23">
        <v>0.67</v>
      </c>
      <c r="E5" s="36">
        <f>ROUND(B5/D5*C5,2)</f>
        <v>430219.63</v>
      </c>
      <c r="F5" s="201"/>
      <c r="G5" s="201"/>
      <c r="H5" s="201"/>
      <c r="I5" s="201"/>
      <c r="J5" s="201"/>
      <c r="K5" s="201"/>
      <c r="L5" s="201"/>
      <c r="M5" s="201"/>
      <c r="N5" s="201"/>
      <c r="O5" s="201"/>
      <c r="P5" s="201"/>
      <c r="Q5" s="201"/>
      <c r="R5" s="201"/>
      <c r="S5" s="201"/>
      <c r="T5" s="201"/>
      <c r="U5" s="201"/>
      <c r="V5" s="201"/>
      <c r="W5" s="201"/>
      <c r="X5" s="201"/>
      <c r="Y5" s="201"/>
      <c r="Z5" s="201"/>
      <c r="AA5" s="201"/>
      <c r="AB5" s="201"/>
      <c r="AC5" s="201"/>
      <c r="AD5" s="201"/>
      <c r="AE5" s="201"/>
      <c r="AF5" s="201"/>
      <c r="AG5" s="201"/>
      <c r="AH5" s="201"/>
      <c r="AI5" s="201"/>
      <c r="AJ5" s="201"/>
      <c r="AK5" s="201"/>
      <c r="AL5" s="201"/>
      <c r="AM5" s="201"/>
      <c r="AN5" s="201"/>
      <c r="AO5" s="201"/>
      <c r="AP5" s="201"/>
      <c r="AQ5" s="201"/>
      <c r="AR5" s="201"/>
      <c r="AS5" s="201"/>
      <c r="AT5" s="201"/>
      <c r="AU5" s="201"/>
      <c r="AV5" s="201"/>
      <c r="AW5" s="201"/>
      <c r="AX5" s="201"/>
      <c r="AY5" s="201"/>
      <c r="AZ5" s="201"/>
      <c r="BA5" s="201"/>
      <c r="BB5" s="201"/>
      <c r="BC5" s="201"/>
      <c r="BD5" s="201"/>
      <c r="BE5" s="201"/>
      <c r="BF5" s="201"/>
      <c r="BG5" s="201"/>
      <c r="BH5" s="201"/>
      <c r="BI5" s="201"/>
      <c r="BJ5" s="201"/>
      <c r="BK5" s="201"/>
      <c r="BL5" s="201"/>
      <c r="BM5" s="201"/>
      <c r="BN5" s="201"/>
      <c r="BO5" s="201"/>
      <c r="BP5" s="201"/>
      <c r="BQ5" s="201"/>
      <c r="BR5" s="201"/>
      <c r="BS5" s="201"/>
      <c r="BT5" s="201"/>
      <c r="BU5" s="201"/>
      <c r="BV5" s="201"/>
      <c r="BW5" s="201"/>
      <c r="BX5" s="201"/>
      <c r="BY5" s="201"/>
      <c r="BZ5" s="201"/>
      <c r="CA5" s="201"/>
      <c r="CB5" s="201"/>
      <c r="CC5" s="201"/>
      <c r="CD5" s="201"/>
      <c r="CE5" s="201"/>
      <c r="CF5" s="201"/>
      <c r="CG5" s="201"/>
      <c r="CH5" s="201"/>
      <c r="CI5" s="201"/>
      <c r="CJ5" s="201"/>
      <c r="CK5" s="201"/>
      <c r="CL5" s="201"/>
      <c r="CM5" s="201"/>
      <c r="CN5" s="201"/>
      <c r="CO5" s="201"/>
      <c r="CP5" s="201"/>
      <c r="CQ5" s="201"/>
      <c r="CR5" s="201"/>
      <c r="CS5" s="201"/>
      <c r="CT5" s="201"/>
      <c r="CU5" s="201"/>
      <c r="CV5" s="201"/>
      <c r="CW5" s="201"/>
      <c r="CX5" s="201"/>
      <c r="CY5" s="201"/>
      <c r="CZ5" s="201"/>
      <c r="DA5" s="201"/>
      <c r="DB5" s="201"/>
      <c r="DC5" s="201"/>
      <c r="DD5" s="201"/>
      <c r="DE5" s="201"/>
      <c r="DF5" s="201"/>
      <c r="DG5" s="201"/>
      <c r="DH5" s="201"/>
      <c r="DI5" s="201"/>
      <c r="DJ5" s="201"/>
      <c r="DK5" s="201"/>
      <c r="DL5" s="201"/>
      <c r="DM5" s="201"/>
      <c r="DN5" s="201"/>
      <c r="DO5" s="201"/>
      <c r="DP5" s="201"/>
      <c r="DQ5" s="201"/>
      <c r="DR5" s="201"/>
      <c r="DS5" s="201"/>
      <c r="DT5" s="201"/>
      <c r="DU5" s="201"/>
      <c r="DV5" s="201"/>
      <c r="DW5" s="201"/>
      <c r="DX5" s="201"/>
      <c r="DY5" s="201"/>
      <c r="DZ5" s="201"/>
      <c r="EA5" s="201"/>
      <c r="EB5" s="201"/>
      <c r="EC5" s="201"/>
      <c r="ED5" s="201"/>
      <c r="EE5" s="201"/>
      <c r="EF5" s="201"/>
      <c r="EG5" s="201"/>
      <c r="EH5" s="201"/>
      <c r="EI5" s="201"/>
      <c r="EJ5" s="201"/>
      <c r="EK5" s="201"/>
      <c r="EL5" s="201"/>
      <c r="EM5" s="201"/>
      <c r="EN5" s="201"/>
      <c r="EO5" s="201"/>
      <c r="EP5" s="201"/>
      <c r="EQ5" s="201"/>
      <c r="ER5" s="201"/>
      <c r="ES5" s="201"/>
      <c r="ET5" s="201"/>
      <c r="EU5" s="201"/>
      <c r="EV5" s="201"/>
      <c r="EW5" s="201"/>
      <c r="EX5" s="201"/>
      <c r="EY5" s="201"/>
      <c r="EZ5" s="201"/>
      <c r="FA5" s="201"/>
      <c r="FB5" s="201"/>
      <c r="FC5" s="201"/>
      <c r="FD5" s="201"/>
      <c r="FE5" s="201"/>
      <c r="FF5" s="201"/>
      <c r="FG5" s="201"/>
      <c r="FH5" s="201"/>
      <c r="FI5" s="201"/>
      <c r="FJ5" s="201"/>
      <c r="FK5" s="201"/>
      <c r="FL5" s="201"/>
      <c r="FM5" s="201"/>
      <c r="FN5" s="201"/>
      <c r="FO5" s="201"/>
      <c r="FP5" s="201"/>
      <c r="FQ5" s="201"/>
      <c r="FR5" s="201"/>
      <c r="FS5" s="201"/>
      <c r="FT5" s="201"/>
      <c r="FU5" s="201"/>
      <c r="FV5" s="201"/>
      <c r="FW5" s="201"/>
      <c r="FX5" s="201"/>
      <c r="FY5" s="201"/>
      <c r="FZ5" s="201"/>
      <c r="GA5" s="201"/>
      <c r="GB5" s="201"/>
      <c r="GC5" s="201"/>
      <c r="GD5" s="201"/>
      <c r="GE5" s="201"/>
      <c r="GF5" s="201"/>
      <c r="GG5" s="201"/>
      <c r="GH5" s="201"/>
      <c r="GI5" s="201"/>
      <c r="GJ5" s="201"/>
      <c r="GK5" s="201"/>
      <c r="GL5" s="201"/>
      <c r="GM5" s="201"/>
      <c r="GN5" s="201"/>
      <c r="GO5" s="201"/>
      <c r="GP5" s="201"/>
      <c r="GQ5" s="201"/>
      <c r="GR5" s="201"/>
      <c r="GS5" s="201"/>
      <c r="GT5" s="201"/>
      <c r="GU5" s="201"/>
      <c r="GV5" s="201"/>
      <c r="GW5" s="201"/>
      <c r="GX5" s="201"/>
      <c r="GY5" s="201"/>
      <c r="GZ5" s="201"/>
      <c r="HA5" s="201"/>
      <c r="HB5" s="201"/>
      <c r="HC5" s="201"/>
      <c r="HD5" s="201"/>
      <c r="HE5" s="201"/>
      <c r="HF5" s="201"/>
      <c r="HG5" s="201"/>
      <c r="HH5" s="201"/>
      <c r="HI5" s="201"/>
      <c r="HJ5" s="201"/>
      <c r="HK5" s="201"/>
      <c r="HL5" s="201"/>
      <c r="HM5" s="201"/>
      <c r="HN5" s="201"/>
      <c r="HO5" s="201"/>
      <c r="HP5" s="201"/>
      <c r="HQ5" s="201"/>
      <c r="HR5" s="201"/>
      <c r="HS5" s="201"/>
      <c r="HT5" s="201"/>
      <c r="HU5" s="201"/>
      <c r="HV5" s="201"/>
      <c r="HW5" s="201"/>
      <c r="HX5" s="201"/>
      <c r="HY5" s="201"/>
      <c r="HZ5" s="201"/>
      <c r="IA5" s="201"/>
      <c r="IB5" s="201"/>
      <c r="IC5" s="201"/>
      <c r="ID5" s="201"/>
      <c r="IE5" s="201"/>
      <c r="IF5" s="201"/>
      <c r="IG5" s="201"/>
      <c r="IH5" s="201"/>
      <c r="II5" s="201"/>
      <c r="IJ5" s="201"/>
      <c r="IK5" s="201"/>
      <c r="IL5" s="201"/>
      <c r="IM5" s="201"/>
      <c r="IN5" s="201"/>
      <c r="IO5" s="201"/>
      <c r="IP5" s="201"/>
      <c r="IQ5" s="201"/>
      <c r="IR5" s="201"/>
      <c r="IS5" s="201"/>
      <c r="IT5" s="201"/>
      <c r="IU5" s="201"/>
      <c r="IV5" s="201"/>
      <c r="IW5" s="201"/>
      <c r="IX5" s="201"/>
      <c r="IY5" s="201"/>
      <c r="IZ5" s="201"/>
      <c r="JA5" s="201"/>
      <c r="JB5" s="201"/>
      <c r="JC5" s="201"/>
      <c r="JD5" s="201"/>
      <c r="JE5" s="201"/>
      <c r="JF5" s="201"/>
      <c r="JG5" s="201"/>
      <c r="JH5" s="201"/>
      <c r="JI5" s="201"/>
      <c r="JJ5" s="201"/>
      <c r="JK5" s="201"/>
      <c r="JL5" s="201"/>
      <c r="JM5" s="201"/>
      <c r="JN5" s="201"/>
      <c r="JO5" s="201"/>
      <c r="JP5" s="201"/>
      <c r="JQ5" s="201"/>
      <c r="JR5" s="201"/>
      <c r="JS5" s="201"/>
      <c r="JT5" s="201"/>
      <c r="JU5" s="201"/>
      <c r="JV5" s="201"/>
      <c r="JW5" s="201"/>
      <c r="JX5" s="201"/>
      <c r="JY5" s="201"/>
      <c r="JZ5" s="201"/>
      <c r="KA5" s="201"/>
      <c r="KB5" s="201"/>
      <c r="KC5" s="201"/>
      <c r="KD5" s="201"/>
      <c r="KE5" s="201"/>
      <c r="KF5" s="201"/>
      <c r="KG5" s="201"/>
      <c r="KH5" s="201"/>
      <c r="KI5" s="201"/>
      <c r="KJ5" s="201"/>
      <c r="KK5" s="201"/>
      <c r="KL5" s="201"/>
      <c r="KM5" s="201"/>
      <c r="KN5" s="201"/>
      <c r="KO5" s="201"/>
      <c r="KP5" s="201"/>
      <c r="KQ5" s="201"/>
      <c r="KR5" s="201"/>
      <c r="KS5" s="201"/>
      <c r="KT5" s="201"/>
      <c r="KU5" s="201"/>
      <c r="KV5" s="201"/>
      <c r="KW5" s="201"/>
      <c r="KX5" s="201"/>
      <c r="KY5" s="201"/>
      <c r="KZ5" s="201"/>
      <c r="LA5" s="201"/>
      <c r="LB5" s="201"/>
      <c r="LC5" s="201"/>
      <c r="LD5" s="201"/>
      <c r="LE5" s="201"/>
      <c r="LF5" s="201"/>
      <c r="LG5" s="201"/>
      <c r="LH5" s="201"/>
      <c r="LI5" s="201"/>
      <c r="LJ5" s="201"/>
      <c r="LK5" s="201"/>
      <c r="LL5" s="201"/>
      <c r="LM5" s="201"/>
      <c r="LN5" s="201"/>
      <c r="LO5" s="201"/>
      <c r="LP5" s="201"/>
      <c r="LQ5" s="201"/>
      <c r="LR5" s="201"/>
      <c r="LS5" s="201"/>
      <c r="LT5" s="201"/>
      <c r="LU5" s="201"/>
      <c r="LV5" s="201"/>
      <c r="LW5" s="201"/>
      <c r="LX5" s="201"/>
      <c r="LY5" s="201"/>
      <c r="LZ5" s="201"/>
      <c r="MA5" s="201"/>
      <c r="MB5" s="201"/>
      <c r="MC5" s="201"/>
      <c r="MD5" s="201"/>
      <c r="ME5" s="201"/>
      <c r="MF5" s="201"/>
      <c r="MG5" s="201"/>
      <c r="MH5" s="201"/>
      <c r="MI5" s="201"/>
      <c r="MJ5" s="201"/>
      <c r="MK5" s="201"/>
      <c r="ML5" s="201"/>
      <c r="MM5" s="201"/>
      <c r="MN5" s="201"/>
      <c r="MO5" s="201"/>
      <c r="MP5" s="201"/>
      <c r="MQ5" s="201"/>
      <c r="MR5" s="201"/>
      <c r="MS5" s="201"/>
      <c r="MT5" s="201"/>
      <c r="MU5" s="201"/>
      <c r="MV5" s="201"/>
      <c r="MW5" s="201"/>
      <c r="MX5" s="201"/>
      <c r="MY5" s="201"/>
      <c r="MZ5" s="201"/>
      <c r="NA5" s="201"/>
      <c r="NB5" s="201"/>
      <c r="NC5" s="201"/>
      <c r="ND5" s="201"/>
      <c r="NE5" s="201"/>
      <c r="NF5" s="201"/>
      <c r="NG5" s="201"/>
      <c r="NH5" s="201"/>
      <c r="NI5" s="201"/>
      <c r="NJ5" s="201"/>
      <c r="NK5" s="201"/>
      <c r="NL5" s="201"/>
      <c r="NM5" s="201"/>
      <c r="NN5" s="201"/>
      <c r="NO5" s="201"/>
      <c r="NP5" s="201"/>
      <c r="NQ5" s="201"/>
      <c r="NR5" s="201"/>
      <c r="NS5" s="201"/>
      <c r="NT5" s="201"/>
      <c r="NU5" s="201"/>
      <c r="NV5" s="201"/>
      <c r="NW5" s="201"/>
      <c r="NX5" s="201"/>
      <c r="NY5" s="201"/>
      <c r="NZ5" s="201"/>
      <c r="OA5" s="201"/>
      <c r="OB5" s="201"/>
      <c r="OC5" s="201"/>
      <c r="OD5" s="201"/>
      <c r="OE5" s="201"/>
      <c r="OF5" s="201"/>
      <c r="OG5" s="201"/>
      <c r="OH5" s="201"/>
      <c r="OI5" s="201"/>
      <c r="OJ5" s="201"/>
      <c r="OK5" s="201"/>
      <c r="OL5" s="201"/>
      <c r="OM5" s="201"/>
      <c r="ON5" s="201"/>
      <c r="OO5" s="201"/>
      <c r="OP5" s="201"/>
      <c r="OQ5" s="201"/>
      <c r="OR5" s="201"/>
      <c r="OS5" s="201"/>
      <c r="OT5" s="201"/>
      <c r="OU5" s="201"/>
      <c r="OV5" s="201"/>
      <c r="OW5" s="201"/>
      <c r="OX5" s="201"/>
      <c r="OY5" s="201"/>
      <c r="OZ5" s="201"/>
      <c r="PA5" s="201"/>
      <c r="PB5" s="201"/>
      <c r="PC5" s="201"/>
      <c r="PD5" s="201"/>
      <c r="PE5" s="201"/>
      <c r="PF5" s="201"/>
      <c r="PG5" s="201"/>
      <c r="PH5" s="201"/>
      <c r="PI5" s="201"/>
      <c r="PJ5" s="201"/>
      <c r="PK5" s="201"/>
      <c r="PL5" s="201"/>
      <c r="PM5" s="201"/>
      <c r="PN5" s="201"/>
      <c r="PO5" s="201"/>
      <c r="PP5" s="201"/>
      <c r="PQ5" s="201"/>
      <c r="PR5" s="201"/>
      <c r="PS5" s="201"/>
      <c r="PT5" s="201"/>
      <c r="PU5" s="201"/>
      <c r="PV5" s="201"/>
      <c r="PW5" s="201"/>
      <c r="PX5" s="201"/>
      <c r="PY5" s="201"/>
      <c r="PZ5" s="201"/>
      <c r="QA5" s="201"/>
      <c r="QB5" s="201"/>
      <c r="QC5" s="201"/>
      <c r="QD5" s="201"/>
      <c r="QE5" s="201"/>
      <c r="QF5" s="201"/>
      <c r="QG5" s="201"/>
      <c r="QH5" s="201"/>
      <c r="QI5" s="201"/>
      <c r="QJ5" s="201"/>
      <c r="QK5" s="201"/>
      <c r="QL5" s="201"/>
      <c r="QM5" s="201"/>
      <c r="QN5" s="201"/>
      <c r="QO5" s="201"/>
      <c r="QP5" s="201"/>
      <c r="QQ5" s="201"/>
      <c r="QR5" s="201"/>
      <c r="QS5" s="201"/>
      <c r="QT5" s="201"/>
      <c r="QU5" s="201"/>
      <c r="QV5" s="201"/>
      <c r="QW5" s="201"/>
      <c r="QX5" s="201"/>
      <c r="QY5" s="201"/>
      <c r="QZ5" s="201"/>
      <c r="RA5" s="201"/>
      <c r="RB5" s="201"/>
      <c r="RC5" s="201"/>
      <c r="RD5" s="201"/>
      <c r="RE5" s="201"/>
      <c r="RF5" s="201"/>
      <c r="RG5" s="201"/>
      <c r="RH5" s="201"/>
      <c r="RI5" s="201"/>
      <c r="RJ5" s="201"/>
      <c r="RK5" s="201"/>
      <c r="RL5" s="201"/>
      <c r="RM5" s="201"/>
      <c r="RN5" s="201"/>
      <c r="RO5" s="201"/>
      <c r="RP5" s="201"/>
      <c r="RQ5" s="201"/>
      <c r="RR5" s="201"/>
      <c r="RS5" s="201"/>
      <c r="RT5" s="201"/>
      <c r="RU5" s="201"/>
      <c r="RV5" s="201"/>
      <c r="RW5" s="201"/>
      <c r="RX5" s="201"/>
      <c r="RY5" s="201"/>
      <c r="RZ5" s="201"/>
      <c r="SA5" s="201"/>
      <c r="SB5" s="201"/>
      <c r="SC5" s="201"/>
      <c r="SD5" s="201"/>
      <c r="SE5" s="201"/>
      <c r="SF5" s="201"/>
      <c r="SG5" s="201"/>
      <c r="SH5" s="201"/>
      <c r="SI5" s="201"/>
      <c r="SJ5" s="201"/>
      <c r="SK5" s="201"/>
      <c r="SL5" s="201"/>
      <c r="SM5" s="201"/>
      <c r="SN5" s="201"/>
      <c r="SO5" s="201"/>
      <c r="SP5" s="201"/>
      <c r="SQ5" s="201"/>
      <c r="SR5" s="201"/>
      <c r="SS5" s="201"/>
      <c r="ST5" s="201"/>
      <c r="SU5" s="201"/>
      <c r="SV5" s="201"/>
      <c r="SW5" s="201"/>
      <c r="SX5" s="201"/>
      <c r="SY5" s="201"/>
      <c r="SZ5" s="201"/>
      <c r="TA5" s="201"/>
      <c r="TB5" s="201"/>
      <c r="TC5" s="201"/>
      <c r="TD5" s="201"/>
      <c r="TE5" s="201"/>
      <c r="TF5" s="201"/>
      <c r="TG5" s="201"/>
      <c r="TH5" s="201"/>
      <c r="TI5" s="201"/>
      <c r="TJ5" s="201"/>
      <c r="TK5" s="201"/>
      <c r="TL5" s="201"/>
      <c r="TM5" s="201"/>
      <c r="TN5" s="201"/>
      <c r="TO5" s="201"/>
      <c r="TP5" s="201"/>
      <c r="TQ5" s="201"/>
      <c r="TR5" s="201"/>
      <c r="TS5" s="201"/>
      <c r="TT5" s="201"/>
      <c r="TU5" s="201"/>
      <c r="TV5" s="201"/>
      <c r="TW5" s="201"/>
      <c r="TX5" s="201"/>
      <c r="TY5" s="201"/>
      <c r="TZ5" s="201"/>
      <c r="UA5" s="201"/>
      <c r="UB5" s="201"/>
      <c r="UC5" s="201"/>
      <c r="UD5" s="201"/>
      <c r="UE5" s="201"/>
      <c r="UF5" s="201"/>
      <c r="UG5" s="201"/>
      <c r="UH5" s="201"/>
      <c r="UI5" s="201"/>
      <c r="UJ5" s="201"/>
      <c r="UK5" s="201"/>
      <c r="UL5" s="201"/>
      <c r="UM5" s="201"/>
      <c r="UN5" s="201"/>
      <c r="UO5" s="201"/>
      <c r="UP5" s="201"/>
      <c r="UQ5" s="201"/>
      <c r="UR5" s="201"/>
      <c r="US5" s="201"/>
      <c r="UT5" s="201"/>
      <c r="UU5" s="201"/>
      <c r="UV5" s="201"/>
      <c r="UW5" s="201"/>
      <c r="UX5" s="201"/>
      <c r="UY5" s="201"/>
      <c r="UZ5" s="201"/>
      <c r="VA5" s="201"/>
      <c r="VB5" s="201"/>
      <c r="VC5" s="201"/>
      <c r="VD5" s="201"/>
      <c r="VE5" s="201"/>
      <c r="VF5" s="201"/>
      <c r="VG5" s="201"/>
      <c r="VH5" s="201"/>
      <c r="VI5" s="201"/>
      <c r="VJ5" s="201"/>
      <c r="VK5" s="201"/>
      <c r="VL5" s="201"/>
      <c r="VM5" s="201"/>
      <c r="VN5" s="201"/>
      <c r="VO5" s="201"/>
      <c r="VP5" s="201"/>
      <c r="VQ5" s="201"/>
      <c r="VR5" s="201"/>
      <c r="VS5" s="201"/>
      <c r="VT5" s="201"/>
      <c r="VU5" s="201"/>
      <c r="VV5" s="201"/>
      <c r="VW5" s="201"/>
      <c r="VX5" s="201"/>
      <c r="VY5" s="201"/>
      <c r="VZ5" s="201"/>
      <c r="WA5" s="201"/>
      <c r="WB5" s="201"/>
      <c r="WC5" s="201"/>
      <c r="WD5" s="201"/>
      <c r="WE5" s="201"/>
      <c r="WF5" s="201"/>
      <c r="WG5" s="201"/>
      <c r="WH5" s="201"/>
      <c r="WI5" s="201"/>
      <c r="WJ5" s="201"/>
      <c r="WK5" s="201"/>
      <c r="WL5" s="201"/>
      <c r="WM5" s="201"/>
      <c r="WN5" s="201"/>
      <c r="WO5" s="201"/>
      <c r="WP5" s="201"/>
      <c r="WQ5" s="201"/>
      <c r="WR5" s="201"/>
      <c r="WS5" s="201"/>
      <c r="WT5" s="201"/>
      <c r="WU5" s="201"/>
      <c r="WV5" s="201"/>
      <c r="WW5" s="201"/>
      <c r="WX5" s="201"/>
      <c r="WY5" s="201"/>
      <c r="WZ5" s="201"/>
      <c r="XA5" s="201"/>
      <c r="XB5" s="201"/>
      <c r="XC5" s="201"/>
      <c r="XD5" s="201"/>
      <c r="XE5" s="201"/>
      <c r="XF5" s="201"/>
      <c r="XG5" s="201"/>
      <c r="XH5" s="201"/>
      <c r="XI5" s="201"/>
      <c r="XJ5" s="201"/>
      <c r="XK5" s="201"/>
      <c r="XL5" s="201"/>
      <c r="XM5" s="201"/>
      <c r="XN5" s="201"/>
      <c r="XO5" s="201"/>
      <c r="XP5" s="201"/>
      <c r="XQ5" s="201"/>
      <c r="XR5" s="201"/>
      <c r="XS5" s="201"/>
      <c r="XT5" s="201"/>
      <c r="XU5" s="201"/>
      <c r="XV5" s="201"/>
      <c r="XW5" s="201"/>
      <c r="XX5" s="201"/>
      <c r="XY5" s="201"/>
      <c r="XZ5" s="201"/>
      <c r="YA5" s="201"/>
      <c r="YB5" s="201"/>
      <c r="YC5" s="201"/>
      <c r="YD5" s="201"/>
      <c r="YE5" s="201"/>
      <c r="YF5" s="201"/>
      <c r="YG5" s="201"/>
      <c r="YH5" s="201"/>
      <c r="YI5" s="201"/>
      <c r="YJ5" s="201"/>
      <c r="YK5" s="201"/>
      <c r="YL5" s="201"/>
      <c r="YM5" s="201"/>
      <c r="YN5" s="201"/>
      <c r="YO5" s="201"/>
      <c r="YP5" s="201"/>
      <c r="YQ5" s="201"/>
      <c r="YR5" s="201"/>
      <c r="YS5" s="201"/>
      <c r="YT5" s="201"/>
      <c r="YU5" s="201"/>
      <c r="YV5" s="201"/>
      <c r="YW5" s="201"/>
      <c r="YX5" s="201"/>
      <c r="YY5" s="201"/>
      <c r="YZ5" s="201"/>
      <c r="ZA5" s="201"/>
      <c r="ZB5" s="201"/>
      <c r="ZC5" s="201"/>
      <c r="ZD5" s="201"/>
      <c r="ZE5" s="201"/>
      <c r="ZF5" s="201"/>
      <c r="ZG5" s="201"/>
      <c r="ZH5" s="201"/>
      <c r="ZI5" s="201"/>
      <c r="ZJ5" s="201"/>
      <c r="ZK5" s="201"/>
      <c r="ZL5" s="201"/>
      <c r="ZM5" s="201"/>
      <c r="ZN5" s="201"/>
      <c r="ZO5" s="201"/>
      <c r="ZP5" s="201"/>
      <c r="ZQ5" s="201"/>
      <c r="ZR5" s="201"/>
      <c r="ZS5" s="201"/>
      <c r="ZT5" s="201"/>
      <c r="ZU5" s="201"/>
      <c r="ZV5" s="201"/>
      <c r="ZW5" s="201"/>
      <c r="ZX5" s="201"/>
      <c r="ZY5" s="201"/>
      <c r="ZZ5" s="201"/>
      <c r="AAA5" s="201"/>
      <c r="AAB5" s="201"/>
      <c r="AAC5" s="201"/>
      <c r="AAD5" s="201"/>
      <c r="AAE5" s="201"/>
      <c r="AAF5" s="201"/>
      <c r="AAG5" s="201"/>
      <c r="AAH5" s="201"/>
      <c r="AAI5" s="201"/>
      <c r="AAJ5" s="201"/>
      <c r="AAK5" s="201"/>
      <c r="AAL5" s="201"/>
      <c r="AAM5" s="201"/>
      <c r="AAN5" s="201"/>
      <c r="AAO5" s="201"/>
      <c r="AAP5" s="201"/>
      <c r="AAQ5" s="201"/>
      <c r="AAR5" s="201"/>
      <c r="AAS5" s="201"/>
      <c r="AAT5" s="201"/>
      <c r="AAU5" s="201"/>
      <c r="AAV5" s="201"/>
      <c r="AAW5" s="201"/>
      <c r="AAX5" s="201"/>
      <c r="AAY5" s="201"/>
      <c r="AAZ5" s="201"/>
      <c r="ABA5" s="201"/>
      <c r="ABB5" s="201"/>
      <c r="ABC5" s="201"/>
      <c r="ABD5" s="201"/>
      <c r="ABE5" s="201"/>
      <c r="ABF5" s="201"/>
      <c r="ABG5" s="201"/>
      <c r="ABH5" s="201"/>
      <c r="ABI5" s="201"/>
      <c r="ABJ5" s="201"/>
      <c r="ABK5" s="201"/>
      <c r="ABL5" s="201"/>
      <c r="ABM5" s="201"/>
      <c r="ABN5" s="201"/>
      <c r="ABO5" s="201"/>
      <c r="ABP5" s="201"/>
      <c r="ABQ5" s="201"/>
      <c r="ABR5" s="201"/>
      <c r="ABS5" s="201"/>
      <c r="ABT5" s="201"/>
      <c r="ABU5" s="201"/>
      <c r="ABV5" s="201"/>
      <c r="ABW5" s="201"/>
      <c r="ABX5" s="201"/>
      <c r="ABY5" s="201"/>
      <c r="ABZ5" s="201"/>
      <c r="ACA5" s="201"/>
      <c r="ACB5" s="201"/>
      <c r="ACC5" s="201"/>
      <c r="ACD5" s="201"/>
      <c r="ACE5" s="201"/>
      <c r="ACF5" s="201"/>
      <c r="ACG5" s="201"/>
      <c r="ACH5" s="201"/>
      <c r="ACI5" s="201"/>
      <c r="ACJ5" s="201"/>
      <c r="ACK5" s="201"/>
      <c r="ACL5" s="201"/>
      <c r="ACM5" s="201"/>
      <c r="ACN5" s="201"/>
      <c r="ACO5" s="201"/>
      <c r="ACP5" s="201"/>
      <c r="ACQ5" s="201"/>
      <c r="ACR5" s="201"/>
      <c r="ACS5" s="201"/>
      <c r="ACT5" s="201"/>
      <c r="ACU5" s="201"/>
      <c r="ACV5" s="201"/>
      <c r="ACW5" s="201"/>
      <c r="ACX5" s="201"/>
      <c r="ACY5" s="201"/>
      <c r="ACZ5" s="201"/>
      <c r="ADA5" s="201"/>
      <c r="ADB5" s="201"/>
      <c r="ADC5" s="201"/>
      <c r="ADD5" s="201"/>
      <c r="ADE5" s="201"/>
      <c r="ADF5" s="201"/>
      <c r="ADG5" s="201"/>
      <c r="ADH5" s="201"/>
      <c r="ADI5" s="201"/>
      <c r="ADJ5" s="201"/>
      <c r="ADK5" s="201"/>
      <c r="ADL5" s="201"/>
      <c r="ADM5" s="201"/>
      <c r="ADN5" s="201"/>
      <c r="ADO5" s="201"/>
      <c r="ADP5" s="201"/>
      <c r="ADQ5" s="201"/>
      <c r="ADR5" s="201"/>
      <c r="ADS5" s="201"/>
      <c r="ADT5" s="201"/>
      <c r="ADU5" s="201"/>
      <c r="ADV5" s="201"/>
      <c r="ADW5" s="201"/>
      <c r="ADX5" s="201"/>
      <c r="ADY5" s="201"/>
      <c r="ADZ5" s="201"/>
      <c r="AEA5" s="201"/>
      <c r="AEB5" s="201"/>
      <c r="AEC5" s="201"/>
      <c r="AED5" s="201"/>
      <c r="AEE5" s="201"/>
      <c r="AEF5" s="201"/>
      <c r="AEG5" s="201"/>
      <c r="AEH5" s="201"/>
      <c r="AEI5" s="201"/>
      <c r="AEJ5" s="201"/>
      <c r="AEK5" s="201"/>
      <c r="AEL5" s="201"/>
      <c r="AEM5" s="201"/>
      <c r="AEN5" s="201"/>
      <c r="AEO5" s="201"/>
      <c r="AEP5" s="201"/>
      <c r="AEQ5" s="201"/>
      <c r="AER5" s="201"/>
      <c r="AES5" s="201"/>
      <c r="AET5" s="201"/>
      <c r="AEU5" s="201"/>
      <c r="AEV5" s="201"/>
      <c r="AEW5" s="201"/>
      <c r="AEX5" s="201"/>
      <c r="AEY5" s="201"/>
      <c r="AEZ5" s="201"/>
      <c r="AFA5" s="201"/>
      <c r="AFB5" s="201"/>
      <c r="AFC5" s="201"/>
      <c r="AFD5" s="201"/>
      <c r="AFE5" s="201"/>
      <c r="AFF5" s="201"/>
      <c r="AFG5" s="201"/>
      <c r="AFH5" s="201"/>
      <c r="AFI5" s="201"/>
      <c r="AFJ5" s="201"/>
      <c r="AFK5" s="201"/>
      <c r="AFL5" s="201"/>
      <c r="AFM5" s="201"/>
      <c r="AFN5" s="201"/>
      <c r="AFO5" s="201"/>
      <c r="AFP5" s="201"/>
      <c r="AFQ5" s="201"/>
      <c r="AFR5" s="201"/>
      <c r="AFS5" s="201"/>
      <c r="AFT5" s="201"/>
      <c r="AFU5" s="201"/>
      <c r="AFV5" s="201"/>
      <c r="AFW5" s="201"/>
      <c r="AFX5" s="201"/>
      <c r="AFY5" s="201"/>
      <c r="AFZ5" s="201"/>
      <c r="AGA5" s="201"/>
      <c r="AGB5" s="201"/>
      <c r="AGC5" s="201"/>
      <c r="AGD5" s="201"/>
      <c r="AGE5" s="201"/>
      <c r="AGF5" s="201"/>
      <c r="AGG5" s="201"/>
      <c r="AGH5" s="201"/>
      <c r="AGI5" s="201"/>
      <c r="AGJ5" s="201"/>
      <c r="AGK5" s="201"/>
      <c r="AGL5" s="201"/>
      <c r="AGM5" s="201"/>
      <c r="AGN5" s="201"/>
      <c r="AGO5" s="201"/>
      <c r="AGP5" s="201"/>
      <c r="AGQ5" s="201"/>
      <c r="AGR5" s="201"/>
      <c r="AGS5" s="201"/>
      <c r="AGT5" s="201"/>
      <c r="AGU5" s="201"/>
      <c r="AGV5" s="201"/>
      <c r="AGW5" s="201"/>
      <c r="AGX5" s="201"/>
      <c r="AGY5" s="201"/>
      <c r="AGZ5" s="201"/>
      <c r="AHA5" s="201"/>
      <c r="AHB5" s="201"/>
      <c r="AHC5" s="201"/>
      <c r="AHD5" s="201"/>
      <c r="AHE5" s="201"/>
      <c r="AHF5" s="201"/>
      <c r="AHG5" s="201"/>
      <c r="AHH5" s="201"/>
      <c r="AHI5" s="201"/>
      <c r="AHJ5" s="201"/>
      <c r="AHK5" s="201"/>
      <c r="AHL5" s="201"/>
      <c r="AHM5" s="201"/>
      <c r="AHN5" s="201"/>
      <c r="AHO5" s="201"/>
      <c r="AHP5" s="201"/>
      <c r="AHQ5" s="201"/>
      <c r="AHR5" s="201"/>
      <c r="AHS5" s="201"/>
      <c r="AHT5" s="201"/>
      <c r="AHU5" s="201"/>
      <c r="AHV5" s="201"/>
      <c r="AHW5" s="201"/>
      <c r="AHX5" s="201"/>
      <c r="AHY5" s="201"/>
      <c r="AHZ5" s="201"/>
      <c r="AIA5" s="201"/>
      <c r="AIB5" s="201"/>
      <c r="AIC5" s="201"/>
      <c r="AID5" s="201"/>
      <c r="AIE5" s="201"/>
      <c r="AIF5" s="201"/>
      <c r="AIG5" s="201"/>
      <c r="AIH5" s="201"/>
      <c r="AII5" s="201"/>
      <c r="AIJ5" s="201"/>
      <c r="AIK5" s="201"/>
      <c r="AIL5" s="201"/>
      <c r="AIM5" s="201"/>
      <c r="AIN5" s="201"/>
      <c r="AIO5" s="201"/>
      <c r="AIP5" s="201"/>
      <c r="AIQ5" s="201"/>
      <c r="AIR5" s="201"/>
      <c r="AIS5" s="201"/>
      <c r="AIT5" s="201"/>
      <c r="AIU5" s="201"/>
      <c r="AIV5" s="201"/>
      <c r="AIW5" s="201"/>
      <c r="AIX5" s="201"/>
      <c r="AIY5" s="201"/>
      <c r="AIZ5" s="201"/>
      <c r="AJA5" s="201"/>
      <c r="AJB5" s="201"/>
      <c r="AJC5" s="201"/>
      <c r="AJD5" s="201"/>
      <c r="AJE5" s="201"/>
      <c r="AJF5" s="201"/>
      <c r="AJG5" s="201"/>
      <c r="AJH5" s="201"/>
      <c r="AJI5" s="201"/>
      <c r="AJJ5" s="201"/>
      <c r="AJK5" s="201"/>
      <c r="AJL5" s="201"/>
      <c r="AJM5" s="201"/>
      <c r="AJN5" s="201"/>
      <c r="AJO5" s="201"/>
      <c r="AJP5" s="201"/>
      <c r="AJQ5" s="201"/>
      <c r="AJR5" s="201"/>
      <c r="AJS5" s="201"/>
      <c r="AJT5" s="201"/>
      <c r="AJU5" s="201"/>
      <c r="AJV5" s="201"/>
      <c r="AJW5" s="201"/>
      <c r="AJX5" s="201"/>
      <c r="AJY5" s="201"/>
      <c r="AJZ5" s="201"/>
      <c r="AKA5" s="201"/>
      <c r="AKB5" s="201"/>
      <c r="AKC5" s="201"/>
      <c r="AKD5" s="201"/>
      <c r="AKE5" s="201"/>
      <c r="AKF5" s="201"/>
      <c r="AKG5" s="201"/>
      <c r="AKH5" s="201"/>
      <c r="AKI5" s="201"/>
      <c r="AKJ5" s="201"/>
      <c r="AKK5" s="201"/>
      <c r="AKL5" s="201"/>
      <c r="AKM5" s="201"/>
      <c r="AKN5" s="201"/>
      <c r="AKO5" s="201"/>
      <c r="AKP5" s="201"/>
      <c r="AKQ5" s="201"/>
      <c r="AKR5" s="201"/>
      <c r="AKS5" s="201"/>
      <c r="AKT5" s="201"/>
      <c r="AKU5" s="201"/>
      <c r="AKV5" s="201"/>
      <c r="AKW5" s="201"/>
      <c r="AKX5" s="201"/>
      <c r="AKY5" s="201"/>
      <c r="AKZ5" s="201"/>
      <c r="ALA5" s="201"/>
      <c r="ALB5" s="201"/>
      <c r="ALC5" s="201"/>
      <c r="ALD5" s="201"/>
      <c r="ALE5" s="201"/>
      <c r="ALF5" s="201"/>
      <c r="ALG5" s="201"/>
      <c r="ALH5" s="201"/>
      <c r="ALI5" s="201"/>
      <c r="ALJ5" s="201"/>
      <c r="ALK5" s="201"/>
      <c r="ALL5" s="201"/>
      <c r="ALM5" s="201"/>
      <c r="ALN5" s="201"/>
      <c r="ALO5" s="201"/>
      <c r="ALP5" s="201"/>
      <c r="ALQ5" s="201"/>
      <c r="ALR5" s="201"/>
      <c r="ALS5" s="201"/>
      <c r="ALT5" s="201"/>
      <c r="ALU5" s="201"/>
      <c r="ALV5" s="201"/>
      <c r="ALW5" s="201"/>
      <c r="ALX5" s="201"/>
      <c r="ALY5" s="201"/>
      <c r="ALZ5" s="201"/>
      <c r="AMA5" s="201"/>
      <c r="AMB5" s="201"/>
      <c r="AMC5" s="201"/>
      <c r="AMD5" s="201"/>
      <c r="AME5" s="201"/>
      <c r="AMF5" s="201"/>
      <c r="AMG5" s="201"/>
      <c r="AMH5" s="201"/>
      <c r="AMI5" s="201"/>
    </row>
    <row r="6" spans="1:1023" x14ac:dyDescent="0.25">
      <c r="A6" s="18"/>
      <c r="B6" s="18"/>
      <c r="C6" s="18"/>
      <c r="D6" s="18"/>
      <c r="E6" s="18"/>
    </row>
    <row r="7" spans="1:1023" ht="18" customHeight="1" thickBot="1" x14ac:dyDescent="0.3">
      <c r="A7" s="18"/>
      <c r="B7" s="240" t="s">
        <v>18</v>
      </c>
      <c r="C7" s="240"/>
      <c r="D7" s="240"/>
      <c r="E7" s="240"/>
      <c r="F7" s="240"/>
    </row>
    <row r="8" spans="1:1023" ht="42.75" x14ac:dyDescent="0.25">
      <c r="A8" s="198" t="s">
        <v>1</v>
      </c>
      <c r="B8" s="199" t="s">
        <v>17</v>
      </c>
      <c r="C8" s="200" t="s">
        <v>185</v>
      </c>
      <c r="D8" s="21"/>
      <c r="E8" s="21"/>
      <c r="F8" s="21"/>
    </row>
    <row r="9" spans="1:1023" s="202" customFormat="1" ht="15.75" thickBot="1" x14ac:dyDescent="0.3">
      <c r="A9" s="22">
        <v>1</v>
      </c>
      <c r="B9" s="23">
        <f>E5</f>
        <v>430219.63</v>
      </c>
      <c r="C9" s="36">
        <f>'2.5.Трудоемкость'!AG4</f>
        <v>159.03</v>
      </c>
      <c r="D9" s="24"/>
      <c r="E9" s="25"/>
      <c r="F9" s="24"/>
      <c r="G9" s="201"/>
      <c r="H9" s="201"/>
      <c r="I9" s="201"/>
      <c r="J9" s="201"/>
      <c r="K9" s="201"/>
      <c r="L9" s="201"/>
      <c r="M9" s="201"/>
      <c r="N9" s="201"/>
      <c r="O9" s="201"/>
      <c r="P9" s="201"/>
      <c r="Q9" s="201"/>
      <c r="R9" s="201"/>
      <c r="S9" s="201"/>
      <c r="T9" s="201"/>
      <c r="U9" s="201"/>
      <c r="V9" s="201"/>
      <c r="W9" s="201"/>
      <c r="X9" s="201"/>
      <c r="Y9" s="201"/>
      <c r="Z9" s="201"/>
      <c r="AA9" s="201"/>
      <c r="AB9" s="201"/>
      <c r="AC9" s="201"/>
      <c r="AD9" s="201"/>
      <c r="AE9" s="201"/>
      <c r="AF9" s="201"/>
      <c r="AG9" s="201"/>
      <c r="AH9" s="201"/>
      <c r="AI9" s="201"/>
      <c r="AJ9" s="201"/>
      <c r="AK9" s="201"/>
      <c r="AL9" s="201"/>
      <c r="AM9" s="201"/>
      <c r="AN9" s="201"/>
      <c r="AO9" s="201"/>
      <c r="AP9" s="201"/>
      <c r="AQ9" s="201"/>
      <c r="AR9" s="201"/>
      <c r="AS9" s="201"/>
      <c r="AT9" s="201"/>
      <c r="AU9" s="201"/>
      <c r="AV9" s="201"/>
      <c r="AW9" s="201"/>
      <c r="AX9" s="201"/>
      <c r="AY9" s="201"/>
      <c r="AZ9" s="201"/>
      <c r="BA9" s="201"/>
      <c r="BB9" s="201"/>
      <c r="BC9" s="201"/>
      <c r="BD9" s="201"/>
      <c r="BE9" s="201"/>
      <c r="BF9" s="201"/>
      <c r="BG9" s="201"/>
      <c r="BH9" s="201"/>
      <c r="BI9" s="201"/>
      <c r="BJ9" s="201"/>
      <c r="BK9" s="201"/>
      <c r="BL9" s="201"/>
      <c r="BM9" s="201"/>
      <c r="BN9" s="201"/>
      <c r="BO9" s="201"/>
      <c r="BP9" s="201"/>
      <c r="BQ9" s="201"/>
      <c r="BR9" s="201"/>
      <c r="BS9" s="201"/>
      <c r="BT9" s="201"/>
      <c r="BU9" s="201"/>
      <c r="BV9" s="201"/>
      <c r="BW9" s="201"/>
      <c r="BX9" s="201"/>
      <c r="BY9" s="201"/>
      <c r="BZ9" s="201"/>
      <c r="CA9" s="201"/>
      <c r="CB9" s="201"/>
      <c r="CC9" s="201"/>
      <c r="CD9" s="201"/>
      <c r="CE9" s="201"/>
      <c r="CF9" s="201"/>
      <c r="CG9" s="201"/>
      <c r="CH9" s="201"/>
      <c r="CI9" s="201"/>
      <c r="CJ9" s="201"/>
      <c r="CK9" s="201"/>
      <c r="CL9" s="201"/>
      <c r="CM9" s="201"/>
      <c r="CN9" s="201"/>
      <c r="CO9" s="201"/>
      <c r="CP9" s="201"/>
      <c r="CQ9" s="201"/>
      <c r="CR9" s="201"/>
      <c r="CS9" s="201"/>
      <c r="CT9" s="201"/>
      <c r="CU9" s="201"/>
      <c r="CV9" s="201"/>
      <c r="CW9" s="201"/>
      <c r="CX9" s="201"/>
      <c r="CY9" s="201"/>
      <c r="CZ9" s="201"/>
      <c r="DA9" s="201"/>
      <c r="DB9" s="201"/>
      <c r="DC9" s="201"/>
      <c r="DD9" s="201"/>
      <c r="DE9" s="201"/>
      <c r="DF9" s="201"/>
      <c r="DG9" s="201"/>
      <c r="DH9" s="201"/>
      <c r="DI9" s="201"/>
      <c r="DJ9" s="201"/>
      <c r="DK9" s="201"/>
      <c r="DL9" s="201"/>
      <c r="DM9" s="201"/>
      <c r="DN9" s="201"/>
      <c r="DO9" s="201"/>
      <c r="DP9" s="201"/>
      <c r="DQ9" s="201"/>
      <c r="DR9" s="201"/>
      <c r="DS9" s="201"/>
      <c r="DT9" s="201"/>
      <c r="DU9" s="201"/>
      <c r="DV9" s="201"/>
      <c r="DW9" s="201"/>
      <c r="DX9" s="201"/>
      <c r="DY9" s="201"/>
      <c r="DZ9" s="201"/>
      <c r="EA9" s="201"/>
      <c r="EB9" s="201"/>
      <c r="EC9" s="201"/>
      <c r="ED9" s="201"/>
      <c r="EE9" s="201"/>
      <c r="EF9" s="201"/>
      <c r="EG9" s="201"/>
      <c r="EH9" s="201"/>
      <c r="EI9" s="201"/>
      <c r="EJ9" s="201"/>
      <c r="EK9" s="201"/>
      <c r="EL9" s="201"/>
      <c r="EM9" s="201"/>
      <c r="EN9" s="201"/>
      <c r="EO9" s="201"/>
      <c r="EP9" s="201"/>
      <c r="EQ9" s="201"/>
      <c r="ER9" s="201"/>
      <c r="ES9" s="201"/>
      <c r="ET9" s="201"/>
      <c r="EU9" s="201"/>
      <c r="EV9" s="201"/>
      <c r="EW9" s="201"/>
      <c r="EX9" s="201"/>
      <c r="EY9" s="201"/>
      <c r="EZ9" s="201"/>
      <c r="FA9" s="201"/>
      <c r="FB9" s="201"/>
      <c r="FC9" s="201"/>
      <c r="FD9" s="201"/>
      <c r="FE9" s="201"/>
      <c r="FF9" s="201"/>
      <c r="FG9" s="201"/>
      <c r="FH9" s="201"/>
      <c r="FI9" s="201"/>
      <c r="FJ9" s="201"/>
      <c r="FK9" s="201"/>
      <c r="FL9" s="201"/>
      <c r="FM9" s="201"/>
      <c r="FN9" s="201"/>
      <c r="FO9" s="201"/>
      <c r="FP9" s="201"/>
      <c r="FQ9" s="201"/>
      <c r="FR9" s="201"/>
      <c r="FS9" s="201"/>
      <c r="FT9" s="201"/>
      <c r="FU9" s="201"/>
      <c r="FV9" s="201"/>
      <c r="FW9" s="201"/>
      <c r="FX9" s="201"/>
      <c r="FY9" s="201"/>
      <c r="FZ9" s="201"/>
      <c r="GA9" s="201"/>
      <c r="GB9" s="201"/>
      <c r="GC9" s="201"/>
      <c r="GD9" s="201"/>
      <c r="GE9" s="201"/>
      <c r="GF9" s="201"/>
      <c r="GG9" s="201"/>
      <c r="GH9" s="201"/>
      <c r="GI9" s="201"/>
      <c r="GJ9" s="201"/>
      <c r="GK9" s="201"/>
      <c r="GL9" s="201"/>
      <c r="GM9" s="201"/>
      <c r="GN9" s="201"/>
      <c r="GO9" s="201"/>
      <c r="GP9" s="201"/>
      <c r="GQ9" s="201"/>
      <c r="GR9" s="201"/>
      <c r="GS9" s="201"/>
      <c r="GT9" s="201"/>
      <c r="GU9" s="201"/>
      <c r="GV9" s="201"/>
      <c r="GW9" s="201"/>
      <c r="GX9" s="201"/>
      <c r="GY9" s="201"/>
      <c r="GZ9" s="201"/>
      <c r="HA9" s="201"/>
      <c r="HB9" s="201"/>
      <c r="HC9" s="201"/>
      <c r="HD9" s="201"/>
      <c r="HE9" s="201"/>
      <c r="HF9" s="201"/>
      <c r="HG9" s="201"/>
      <c r="HH9" s="201"/>
      <c r="HI9" s="201"/>
      <c r="HJ9" s="201"/>
      <c r="HK9" s="201"/>
      <c r="HL9" s="201"/>
      <c r="HM9" s="201"/>
      <c r="HN9" s="201"/>
      <c r="HO9" s="201"/>
      <c r="HP9" s="201"/>
      <c r="HQ9" s="201"/>
      <c r="HR9" s="201"/>
      <c r="HS9" s="201"/>
      <c r="HT9" s="201"/>
      <c r="HU9" s="201"/>
      <c r="HV9" s="201"/>
      <c r="HW9" s="201"/>
      <c r="HX9" s="201"/>
      <c r="HY9" s="201"/>
      <c r="HZ9" s="201"/>
      <c r="IA9" s="201"/>
      <c r="IB9" s="201"/>
      <c r="IC9" s="201"/>
      <c r="ID9" s="201"/>
      <c r="IE9" s="201"/>
      <c r="IF9" s="201"/>
      <c r="IG9" s="201"/>
      <c r="IH9" s="201"/>
      <c r="II9" s="201"/>
      <c r="IJ9" s="201"/>
      <c r="IK9" s="201"/>
      <c r="IL9" s="201"/>
      <c r="IM9" s="201"/>
      <c r="IN9" s="201"/>
      <c r="IO9" s="201"/>
      <c r="IP9" s="201"/>
      <c r="IQ9" s="201"/>
      <c r="IR9" s="201"/>
      <c r="IS9" s="201"/>
      <c r="IT9" s="201"/>
      <c r="IU9" s="201"/>
      <c r="IV9" s="201"/>
      <c r="IW9" s="201"/>
      <c r="IX9" s="201"/>
      <c r="IY9" s="201"/>
      <c r="IZ9" s="201"/>
      <c r="JA9" s="201"/>
      <c r="JB9" s="201"/>
      <c r="JC9" s="201"/>
      <c r="JD9" s="201"/>
      <c r="JE9" s="201"/>
      <c r="JF9" s="201"/>
      <c r="JG9" s="201"/>
      <c r="JH9" s="201"/>
      <c r="JI9" s="201"/>
      <c r="JJ9" s="201"/>
      <c r="JK9" s="201"/>
      <c r="JL9" s="201"/>
      <c r="JM9" s="201"/>
      <c r="JN9" s="201"/>
      <c r="JO9" s="201"/>
      <c r="JP9" s="201"/>
      <c r="JQ9" s="201"/>
      <c r="JR9" s="201"/>
      <c r="JS9" s="201"/>
      <c r="JT9" s="201"/>
      <c r="JU9" s="201"/>
      <c r="JV9" s="201"/>
      <c r="JW9" s="201"/>
      <c r="JX9" s="201"/>
      <c r="JY9" s="201"/>
      <c r="JZ9" s="201"/>
      <c r="KA9" s="201"/>
      <c r="KB9" s="201"/>
      <c r="KC9" s="201"/>
      <c r="KD9" s="201"/>
      <c r="KE9" s="201"/>
      <c r="KF9" s="201"/>
      <c r="KG9" s="201"/>
      <c r="KH9" s="201"/>
      <c r="KI9" s="201"/>
      <c r="KJ9" s="201"/>
      <c r="KK9" s="201"/>
      <c r="KL9" s="201"/>
      <c r="KM9" s="201"/>
      <c r="KN9" s="201"/>
      <c r="KO9" s="201"/>
      <c r="KP9" s="201"/>
      <c r="KQ9" s="201"/>
      <c r="KR9" s="201"/>
      <c r="KS9" s="201"/>
      <c r="KT9" s="201"/>
      <c r="KU9" s="201"/>
      <c r="KV9" s="201"/>
      <c r="KW9" s="201"/>
      <c r="KX9" s="201"/>
      <c r="KY9" s="201"/>
      <c r="KZ9" s="201"/>
      <c r="LA9" s="201"/>
      <c r="LB9" s="201"/>
      <c r="LC9" s="201"/>
      <c r="LD9" s="201"/>
      <c r="LE9" s="201"/>
      <c r="LF9" s="201"/>
      <c r="LG9" s="201"/>
      <c r="LH9" s="201"/>
      <c r="LI9" s="201"/>
      <c r="LJ9" s="201"/>
      <c r="LK9" s="201"/>
      <c r="LL9" s="201"/>
      <c r="LM9" s="201"/>
      <c r="LN9" s="201"/>
      <c r="LO9" s="201"/>
      <c r="LP9" s="201"/>
      <c r="LQ9" s="201"/>
      <c r="LR9" s="201"/>
      <c r="LS9" s="201"/>
      <c r="LT9" s="201"/>
      <c r="LU9" s="201"/>
      <c r="LV9" s="201"/>
      <c r="LW9" s="201"/>
      <c r="LX9" s="201"/>
      <c r="LY9" s="201"/>
      <c r="LZ9" s="201"/>
      <c r="MA9" s="201"/>
      <c r="MB9" s="201"/>
      <c r="MC9" s="201"/>
      <c r="MD9" s="201"/>
      <c r="ME9" s="201"/>
      <c r="MF9" s="201"/>
      <c r="MG9" s="201"/>
      <c r="MH9" s="201"/>
      <c r="MI9" s="201"/>
      <c r="MJ9" s="201"/>
      <c r="MK9" s="201"/>
      <c r="ML9" s="201"/>
      <c r="MM9" s="201"/>
      <c r="MN9" s="201"/>
      <c r="MO9" s="201"/>
      <c r="MP9" s="201"/>
      <c r="MQ9" s="201"/>
      <c r="MR9" s="201"/>
      <c r="MS9" s="201"/>
      <c r="MT9" s="201"/>
      <c r="MU9" s="201"/>
      <c r="MV9" s="201"/>
      <c r="MW9" s="201"/>
      <c r="MX9" s="201"/>
      <c r="MY9" s="201"/>
      <c r="MZ9" s="201"/>
      <c r="NA9" s="201"/>
      <c r="NB9" s="201"/>
      <c r="NC9" s="201"/>
      <c r="ND9" s="201"/>
      <c r="NE9" s="201"/>
      <c r="NF9" s="201"/>
      <c r="NG9" s="201"/>
      <c r="NH9" s="201"/>
      <c r="NI9" s="201"/>
      <c r="NJ9" s="201"/>
      <c r="NK9" s="201"/>
      <c r="NL9" s="201"/>
      <c r="NM9" s="201"/>
      <c r="NN9" s="201"/>
      <c r="NO9" s="201"/>
      <c r="NP9" s="201"/>
      <c r="NQ9" s="201"/>
      <c r="NR9" s="201"/>
      <c r="NS9" s="201"/>
      <c r="NT9" s="201"/>
      <c r="NU9" s="201"/>
      <c r="NV9" s="201"/>
      <c r="NW9" s="201"/>
      <c r="NX9" s="201"/>
      <c r="NY9" s="201"/>
      <c r="NZ9" s="201"/>
      <c r="OA9" s="201"/>
      <c r="OB9" s="201"/>
      <c r="OC9" s="201"/>
      <c r="OD9" s="201"/>
      <c r="OE9" s="201"/>
      <c r="OF9" s="201"/>
      <c r="OG9" s="201"/>
      <c r="OH9" s="201"/>
      <c r="OI9" s="201"/>
      <c r="OJ9" s="201"/>
      <c r="OK9" s="201"/>
      <c r="OL9" s="201"/>
      <c r="OM9" s="201"/>
      <c r="ON9" s="201"/>
      <c r="OO9" s="201"/>
      <c r="OP9" s="201"/>
      <c r="OQ9" s="201"/>
      <c r="OR9" s="201"/>
      <c r="OS9" s="201"/>
      <c r="OT9" s="201"/>
      <c r="OU9" s="201"/>
      <c r="OV9" s="201"/>
      <c r="OW9" s="201"/>
      <c r="OX9" s="201"/>
      <c r="OY9" s="201"/>
      <c r="OZ9" s="201"/>
      <c r="PA9" s="201"/>
      <c r="PB9" s="201"/>
      <c r="PC9" s="201"/>
      <c r="PD9" s="201"/>
      <c r="PE9" s="201"/>
      <c r="PF9" s="201"/>
      <c r="PG9" s="201"/>
      <c r="PH9" s="201"/>
      <c r="PI9" s="201"/>
      <c r="PJ9" s="201"/>
      <c r="PK9" s="201"/>
      <c r="PL9" s="201"/>
      <c r="PM9" s="201"/>
      <c r="PN9" s="201"/>
      <c r="PO9" s="201"/>
      <c r="PP9" s="201"/>
      <c r="PQ9" s="201"/>
      <c r="PR9" s="201"/>
      <c r="PS9" s="201"/>
      <c r="PT9" s="201"/>
      <c r="PU9" s="201"/>
      <c r="PV9" s="201"/>
      <c r="PW9" s="201"/>
      <c r="PX9" s="201"/>
      <c r="PY9" s="201"/>
      <c r="PZ9" s="201"/>
      <c r="QA9" s="201"/>
      <c r="QB9" s="201"/>
      <c r="QC9" s="201"/>
      <c r="QD9" s="201"/>
      <c r="QE9" s="201"/>
      <c r="QF9" s="201"/>
      <c r="QG9" s="201"/>
      <c r="QH9" s="201"/>
      <c r="QI9" s="201"/>
      <c r="QJ9" s="201"/>
      <c r="QK9" s="201"/>
      <c r="QL9" s="201"/>
      <c r="QM9" s="201"/>
      <c r="QN9" s="201"/>
      <c r="QO9" s="201"/>
      <c r="QP9" s="201"/>
      <c r="QQ9" s="201"/>
      <c r="QR9" s="201"/>
      <c r="QS9" s="201"/>
      <c r="QT9" s="201"/>
      <c r="QU9" s="201"/>
      <c r="QV9" s="201"/>
      <c r="QW9" s="201"/>
      <c r="QX9" s="201"/>
      <c r="QY9" s="201"/>
      <c r="QZ9" s="201"/>
      <c r="RA9" s="201"/>
      <c r="RB9" s="201"/>
      <c r="RC9" s="201"/>
      <c r="RD9" s="201"/>
      <c r="RE9" s="201"/>
      <c r="RF9" s="201"/>
      <c r="RG9" s="201"/>
      <c r="RH9" s="201"/>
      <c r="RI9" s="201"/>
      <c r="RJ9" s="201"/>
      <c r="RK9" s="201"/>
      <c r="RL9" s="201"/>
      <c r="RM9" s="201"/>
      <c r="RN9" s="201"/>
      <c r="RO9" s="201"/>
      <c r="RP9" s="201"/>
      <c r="RQ9" s="201"/>
      <c r="RR9" s="201"/>
      <c r="RS9" s="201"/>
      <c r="RT9" s="201"/>
      <c r="RU9" s="201"/>
      <c r="RV9" s="201"/>
      <c r="RW9" s="201"/>
      <c r="RX9" s="201"/>
      <c r="RY9" s="201"/>
      <c r="RZ9" s="201"/>
      <c r="SA9" s="201"/>
      <c r="SB9" s="201"/>
      <c r="SC9" s="201"/>
      <c r="SD9" s="201"/>
      <c r="SE9" s="201"/>
      <c r="SF9" s="201"/>
      <c r="SG9" s="201"/>
      <c r="SH9" s="201"/>
      <c r="SI9" s="201"/>
      <c r="SJ9" s="201"/>
      <c r="SK9" s="201"/>
      <c r="SL9" s="201"/>
      <c r="SM9" s="201"/>
      <c r="SN9" s="201"/>
      <c r="SO9" s="201"/>
      <c r="SP9" s="201"/>
      <c r="SQ9" s="201"/>
      <c r="SR9" s="201"/>
      <c r="SS9" s="201"/>
      <c r="ST9" s="201"/>
      <c r="SU9" s="201"/>
      <c r="SV9" s="201"/>
      <c r="SW9" s="201"/>
      <c r="SX9" s="201"/>
      <c r="SY9" s="201"/>
      <c r="SZ9" s="201"/>
      <c r="TA9" s="201"/>
      <c r="TB9" s="201"/>
      <c r="TC9" s="201"/>
      <c r="TD9" s="201"/>
      <c r="TE9" s="201"/>
      <c r="TF9" s="201"/>
      <c r="TG9" s="201"/>
      <c r="TH9" s="201"/>
      <c r="TI9" s="201"/>
      <c r="TJ9" s="201"/>
      <c r="TK9" s="201"/>
      <c r="TL9" s="201"/>
      <c r="TM9" s="201"/>
      <c r="TN9" s="201"/>
      <c r="TO9" s="201"/>
      <c r="TP9" s="201"/>
      <c r="TQ9" s="201"/>
      <c r="TR9" s="201"/>
      <c r="TS9" s="201"/>
      <c r="TT9" s="201"/>
      <c r="TU9" s="201"/>
      <c r="TV9" s="201"/>
      <c r="TW9" s="201"/>
      <c r="TX9" s="201"/>
      <c r="TY9" s="201"/>
      <c r="TZ9" s="201"/>
      <c r="UA9" s="201"/>
      <c r="UB9" s="201"/>
      <c r="UC9" s="201"/>
      <c r="UD9" s="201"/>
      <c r="UE9" s="201"/>
      <c r="UF9" s="201"/>
      <c r="UG9" s="201"/>
      <c r="UH9" s="201"/>
      <c r="UI9" s="201"/>
      <c r="UJ9" s="201"/>
      <c r="UK9" s="201"/>
      <c r="UL9" s="201"/>
      <c r="UM9" s="201"/>
      <c r="UN9" s="201"/>
      <c r="UO9" s="201"/>
      <c r="UP9" s="201"/>
      <c r="UQ9" s="201"/>
      <c r="UR9" s="201"/>
      <c r="US9" s="201"/>
      <c r="UT9" s="201"/>
      <c r="UU9" s="201"/>
      <c r="UV9" s="201"/>
      <c r="UW9" s="201"/>
      <c r="UX9" s="201"/>
      <c r="UY9" s="201"/>
      <c r="UZ9" s="201"/>
      <c r="VA9" s="201"/>
      <c r="VB9" s="201"/>
      <c r="VC9" s="201"/>
      <c r="VD9" s="201"/>
      <c r="VE9" s="201"/>
      <c r="VF9" s="201"/>
      <c r="VG9" s="201"/>
      <c r="VH9" s="201"/>
      <c r="VI9" s="201"/>
      <c r="VJ9" s="201"/>
      <c r="VK9" s="201"/>
      <c r="VL9" s="201"/>
      <c r="VM9" s="201"/>
      <c r="VN9" s="201"/>
      <c r="VO9" s="201"/>
      <c r="VP9" s="201"/>
      <c r="VQ9" s="201"/>
      <c r="VR9" s="201"/>
      <c r="VS9" s="201"/>
      <c r="VT9" s="201"/>
      <c r="VU9" s="201"/>
      <c r="VV9" s="201"/>
      <c r="VW9" s="201"/>
      <c r="VX9" s="201"/>
      <c r="VY9" s="201"/>
      <c r="VZ9" s="201"/>
      <c r="WA9" s="201"/>
      <c r="WB9" s="201"/>
      <c r="WC9" s="201"/>
      <c r="WD9" s="201"/>
      <c r="WE9" s="201"/>
      <c r="WF9" s="201"/>
      <c r="WG9" s="201"/>
      <c r="WH9" s="201"/>
      <c r="WI9" s="201"/>
      <c r="WJ9" s="201"/>
      <c r="WK9" s="201"/>
      <c r="WL9" s="201"/>
      <c r="WM9" s="201"/>
      <c r="WN9" s="201"/>
      <c r="WO9" s="201"/>
      <c r="WP9" s="201"/>
      <c r="WQ9" s="201"/>
      <c r="WR9" s="201"/>
      <c r="WS9" s="201"/>
      <c r="WT9" s="201"/>
      <c r="WU9" s="201"/>
      <c r="WV9" s="201"/>
      <c r="WW9" s="201"/>
      <c r="WX9" s="201"/>
      <c r="WY9" s="201"/>
      <c r="WZ9" s="201"/>
      <c r="XA9" s="201"/>
      <c r="XB9" s="201"/>
      <c r="XC9" s="201"/>
      <c r="XD9" s="201"/>
      <c r="XE9" s="201"/>
      <c r="XF9" s="201"/>
      <c r="XG9" s="201"/>
      <c r="XH9" s="201"/>
      <c r="XI9" s="201"/>
      <c r="XJ9" s="201"/>
      <c r="XK9" s="201"/>
      <c r="XL9" s="201"/>
      <c r="XM9" s="201"/>
      <c r="XN9" s="201"/>
      <c r="XO9" s="201"/>
      <c r="XP9" s="201"/>
      <c r="XQ9" s="201"/>
      <c r="XR9" s="201"/>
      <c r="XS9" s="201"/>
      <c r="XT9" s="201"/>
      <c r="XU9" s="201"/>
      <c r="XV9" s="201"/>
      <c r="XW9" s="201"/>
      <c r="XX9" s="201"/>
      <c r="XY9" s="201"/>
      <c r="XZ9" s="201"/>
      <c r="YA9" s="201"/>
      <c r="YB9" s="201"/>
      <c r="YC9" s="201"/>
      <c r="YD9" s="201"/>
      <c r="YE9" s="201"/>
      <c r="YF9" s="201"/>
      <c r="YG9" s="201"/>
      <c r="YH9" s="201"/>
      <c r="YI9" s="201"/>
      <c r="YJ9" s="201"/>
      <c r="YK9" s="201"/>
      <c r="YL9" s="201"/>
      <c r="YM9" s="201"/>
      <c r="YN9" s="201"/>
      <c r="YO9" s="201"/>
      <c r="YP9" s="201"/>
      <c r="YQ9" s="201"/>
      <c r="YR9" s="201"/>
      <c r="YS9" s="201"/>
      <c r="YT9" s="201"/>
      <c r="YU9" s="201"/>
      <c r="YV9" s="201"/>
      <c r="YW9" s="201"/>
      <c r="YX9" s="201"/>
      <c r="YY9" s="201"/>
      <c r="YZ9" s="201"/>
      <c r="ZA9" s="201"/>
      <c r="ZB9" s="201"/>
      <c r="ZC9" s="201"/>
      <c r="ZD9" s="201"/>
      <c r="ZE9" s="201"/>
      <c r="ZF9" s="201"/>
      <c r="ZG9" s="201"/>
      <c r="ZH9" s="201"/>
      <c r="ZI9" s="201"/>
      <c r="ZJ9" s="201"/>
      <c r="ZK9" s="201"/>
      <c r="ZL9" s="201"/>
      <c r="ZM9" s="201"/>
      <c r="ZN9" s="201"/>
      <c r="ZO9" s="201"/>
      <c r="ZP9" s="201"/>
      <c r="ZQ9" s="201"/>
      <c r="ZR9" s="201"/>
      <c r="ZS9" s="201"/>
      <c r="ZT9" s="201"/>
      <c r="ZU9" s="201"/>
      <c r="ZV9" s="201"/>
      <c r="ZW9" s="201"/>
      <c r="ZX9" s="201"/>
      <c r="ZY9" s="201"/>
      <c r="ZZ9" s="201"/>
      <c r="AAA9" s="201"/>
      <c r="AAB9" s="201"/>
      <c r="AAC9" s="201"/>
      <c r="AAD9" s="201"/>
      <c r="AAE9" s="201"/>
      <c r="AAF9" s="201"/>
      <c r="AAG9" s="201"/>
      <c r="AAH9" s="201"/>
      <c r="AAI9" s="201"/>
      <c r="AAJ9" s="201"/>
      <c r="AAK9" s="201"/>
      <c r="AAL9" s="201"/>
      <c r="AAM9" s="201"/>
      <c r="AAN9" s="201"/>
      <c r="AAO9" s="201"/>
      <c r="AAP9" s="201"/>
      <c r="AAQ9" s="201"/>
      <c r="AAR9" s="201"/>
      <c r="AAS9" s="201"/>
      <c r="AAT9" s="201"/>
      <c r="AAU9" s="201"/>
      <c r="AAV9" s="201"/>
      <c r="AAW9" s="201"/>
      <c r="AAX9" s="201"/>
      <c r="AAY9" s="201"/>
      <c r="AAZ9" s="201"/>
      <c r="ABA9" s="201"/>
      <c r="ABB9" s="201"/>
      <c r="ABC9" s="201"/>
      <c r="ABD9" s="201"/>
      <c r="ABE9" s="201"/>
      <c r="ABF9" s="201"/>
      <c r="ABG9" s="201"/>
      <c r="ABH9" s="201"/>
      <c r="ABI9" s="201"/>
      <c r="ABJ9" s="201"/>
      <c r="ABK9" s="201"/>
      <c r="ABL9" s="201"/>
      <c r="ABM9" s="201"/>
      <c r="ABN9" s="201"/>
      <c r="ABO9" s="201"/>
      <c r="ABP9" s="201"/>
      <c r="ABQ9" s="201"/>
      <c r="ABR9" s="201"/>
      <c r="ABS9" s="201"/>
      <c r="ABT9" s="201"/>
      <c r="ABU9" s="201"/>
      <c r="ABV9" s="201"/>
      <c r="ABW9" s="201"/>
      <c r="ABX9" s="201"/>
      <c r="ABY9" s="201"/>
      <c r="ABZ9" s="201"/>
      <c r="ACA9" s="201"/>
      <c r="ACB9" s="201"/>
      <c r="ACC9" s="201"/>
      <c r="ACD9" s="201"/>
      <c r="ACE9" s="201"/>
      <c r="ACF9" s="201"/>
      <c r="ACG9" s="201"/>
      <c r="ACH9" s="201"/>
      <c r="ACI9" s="201"/>
      <c r="ACJ9" s="201"/>
      <c r="ACK9" s="201"/>
      <c r="ACL9" s="201"/>
      <c r="ACM9" s="201"/>
      <c r="ACN9" s="201"/>
      <c r="ACO9" s="201"/>
      <c r="ACP9" s="201"/>
      <c r="ACQ9" s="201"/>
      <c r="ACR9" s="201"/>
      <c r="ACS9" s="201"/>
      <c r="ACT9" s="201"/>
      <c r="ACU9" s="201"/>
      <c r="ACV9" s="201"/>
      <c r="ACW9" s="201"/>
      <c r="ACX9" s="201"/>
      <c r="ACY9" s="201"/>
      <c r="ACZ9" s="201"/>
      <c r="ADA9" s="201"/>
      <c r="ADB9" s="201"/>
      <c r="ADC9" s="201"/>
      <c r="ADD9" s="201"/>
      <c r="ADE9" s="201"/>
      <c r="ADF9" s="201"/>
      <c r="ADG9" s="201"/>
      <c r="ADH9" s="201"/>
      <c r="ADI9" s="201"/>
      <c r="ADJ9" s="201"/>
      <c r="ADK9" s="201"/>
      <c r="ADL9" s="201"/>
      <c r="ADM9" s="201"/>
      <c r="ADN9" s="201"/>
      <c r="ADO9" s="201"/>
      <c r="ADP9" s="201"/>
      <c r="ADQ9" s="201"/>
      <c r="ADR9" s="201"/>
      <c r="ADS9" s="201"/>
      <c r="ADT9" s="201"/>
      <c r="ADU9" s="201"/>
      <c r="ADV9" s="201"/>
      <c r="ADW9" s="201"/>
      <c r="ADX9" s="201"/>
      <c r="ADY9" s="201"/>
      <c r="ADZ9" s="201"/>
      <c r="AEA9" s="201"/>
      <c r="AEB9" s="201"/>
      <c r="AEC9" s="201"/>
      <c r="AED9" s="201"/>
      <c r="AEE9" s="201"/>
      <c r="AEF9" s="201"/>
      <c r="AEG9" s="201"/>
      <c r="AEH9" s="201"/>
      <c r="AEI9" s="201"/>
      <c r="AEJ9" s="201"/>
      <c r="AEK9" s="201"/>
      <c r="AEL9" s="201"/>
      <c r="AEM9" s="201"/>
      <c r="AEN9" s="201"/>
      <c r="AEO9" s="201"/>
      <c r="AEP9" s="201"/>
      <c r="AEQ9" s="201"/>
      <c r="AER9" s="201"/>
      <c r="AES9" s="201"/>
      <c r="AET9" s="201"/>
      <c r="AEU9" s="201"/>
      <c r="AEV9" s="201"/>
      <c r="AEW9" s="201"/>
      <c r="AEX9" s="201"/>
      <c r="AEY9" s="201"/>
      <c r="AEZ9" s="201"/>
      <c r="AFA9" s="201"/>
      <c r="AFB9" s="201"/>
      <c r="AFC9" s="201"/>
      <c r="AFD9" s="201"/>
      <c r="AFE9" s="201"/>
      <c r="AFF9" s="201"/>
      <c r="AFG9" s="201"/>
      <c r="AFH9" s="201"/>
      <c r="AFI9" s="201"/>
      <c r="AFJ9" s="201"/>
      <c r="AFK9" s="201"/>
      <c r="AFL9" s="201"/>
      <c r="AFM9" s="201"/>
      <c r="AFN9" s="201"/>
      <c r="AFO9" s="201"/>
      <c r="AFP9" s="201"/>
      <c r="AFQ9" s="201"/>
      <c r="AFR9" s="201"/>
      <c r="AFS9" s="201"/>
      <c r="AFT9" s="201"/>
      <c r="AFU9" s="201"/>
      <c r="AFV9" s="201"/>
      <c r="AFW9" s="201"/>
      <c r="AFX9" s="201"/>
      <c r="AFY9" s="201"/>
      <c r="AFZ9" s="201"/>
      <c r="AGA9" s="201"/>
      <c r="AGB9" s="201"/>
      <c r="AGC9" s="201"/>
      <c r="AGD9" s="201"/>
      <c r="AGE9" s="201"/>
      <c r="AGF9" s="201"/>
      <c r="AGG9" s="201"/>
      <c r="AGH9" s="201"/>
      <c r="AGI9" s="201"/>
      <c r="AGJ9" s="201"/>
      <c r="AGK9" s="201"/>
      <c r="AGL9" s="201"/>
      <c r="AGM9" s="201"/>
      <c r="AGN9" s="201"/>
      <c r="AGO9" s="201"/>
      <c r="AGP9" s="201"/>
      <c r="AGQ9" s="201"/>
      <c r="AGR9" s="201"/>
      <c r="AGS9" s="201"/>
      <c r="AGT9" s="201"/>
      <c r="AGU9" s="201"/>
      <c r="AGV9" s="201"/>
      <c r="AGW9" s="201"/>
      <c r="AGX9" s="201"/>
      <c r="AGY9" s="201"/>
      <c r="AGZ9" s="201"/>
      <c r="AHA9" s="201"/>
      <c r="AHB9" s="201"/>
      <c r="AHC9" s="201"/>
      <c r="AHD9" s="201"/>
      <c r="AHE9" s="201"/>
      <c r="AHF9" s="201"/>
      <c r="AHG9" s="201"/>
      <c r="AHH9" s="201"/>
      <c r="AHI9" s="201"/>
      <c r="AHJ9" s="201"/>
      <c r="AHK9" s="201"/>
      <c r="AHL9" s="201"/>
      <c r="AHM9" s="201"/>
      <c r="AHN9" s="201"/>
      <c r="AHO9" s="201"/>
      <c r="AHP9" s="201"/>
      <c r="AHQ9" s="201"/>
      <c r="AHR9" s="201"/>
      <c r="AHS9" s="201"/>
      <c r="AHT9" s="201"/>
      <c r="AHU9" s="201"/>
      <c r="AHV9" s="201"/>
      <c r="AHW9" s="201"/>
      <c r="AHX9" s="201"/>
      <c r="AHY9" s="201"/>
      <c r="AHZ9" s="201"/>
      <c r="AIA9" s="201"/>
      <c r="AIB9" s="201"/>
      <c r="AIC9" s="201"/>
      <c r="AID9" s="201"/>
      <c r="AIE9" s="201"/>
      <c r="AIF9" s="201"/>
      <c r="AIG9" s="201"/>
      <c r="AIH9" s="201"/>
      <c r="AII9" s="201"/>
      <c r="AIJ9" s="201"/>
      <c r="AIK9" s="201"/>
      <c r="AIL9" s="201"/>
      <c r="AIM9" s="201"/>
      <c r="AIN9" s="201"/>
      <c r="AIO9" s="201"/>
      <c r="AIP9" s="201"/>
      <c r="AIQ9" s="201"/>
      <c r="AIR9" s="201"/>
      <c r="AIS9" s="201"/>
      <c r="AIT9" s="201"/>
      <c r="AIU9" s="201"/>
      <c r="AIV9" s="201"/>
      <c r="AIW9" s="201"/>
      <c r="AIX9" s="201"/>
      <c r="AIY9" s="201"/>
      <c r="AIZ9" s="201"/>
      <c r="AJA9" s="201"/>
      <c r="AJB9" s="201"/>
      <c r="AJC9" s="201"/>
      <c r="AJD9" s="201"/>
      <c r="AJE9" s="201"/>
      <c r="AJF9" s="201"/>
      <c r="AJG9" s="201"/>
      <c r="AJH9" s="201"/>
      <c r="AJI9" s="201"/>
      <c r="AJJ9" s="201"/>
      <c r="AJK9" s="201"/>
      <c r="AJL9" s="201"/>
      <c r="AJM9" s="201"/>
      <c r="AJN9" s="201"/>
      <c r="AJO9" s="201"/>
      <c r="AJP9" s="201"/>
      <c r="AJQ9" s="201"/>
      <c r="AJR9" s="201"/>
      <c r="AJS9" s="201"/>
      <c r="AJT9" s="201"/>
      <c r="AJU9" s="201"/>
      <c r="AJV9" s="201"/>
      <c r="AJW9" s="201"/>
      <c r="AJX9" s="201"/>
      <c r="AJY9" s="201"/>
      <c r="AJZ9" s="201"/>
      <c r="AKA9" s="201"/>
      <c r="AKB9" s="201"/>
      <c r="AKC9" s="201"/>
      <c r="AKD9" s="201"/>
      <c r="AKE9" s="201"/>
      <c r="AKF9" s="201"/>
      <c r="AKG9" s="201"/>
      <c r="AKH9" s="201"/>
      <c r="AKI9" s="201"/>
      <c r="AKJ9" s="201"/>
      <c r="AKK9" s="201"/>
      <c r="AKL9" s="201"/>
      <c r="AKM9" s="201"/>
      <c r="AKN9" s="201"/>
      <c r="AKO9" s="201"/>
      <c r="AKP9" s="201"/>
      <c r="AKQ9" s="201"/>
      <c r="AKR9" s="201"/>
      <c r="AKS9" s="201"/>
      <c r="AKT9" s="201"/>
      <c r="AKU9" s="201"/>
      <c r="AKV9" s="201"/>
      <c r="AKW9" s="201"/>
      <c r="AKX9" s="201"/>
      <c r="AKY9" s="201"/>
      <c r="AKZ9" s="201"/>
      <c r="ALA9" s="201"/>
      <c r="ALB9" s="201"/>
      <c r="ALC9" s="201"/>
      <c r="ALD9" s="201"/>
      <c r="ALE9" s="201"/>
      <c r="ALF9" s="201"/>
      <c r="ALG9" s="201"/>
      <c r="ALH9" s="201"/>
      <c r="ALI9" s="201"/>
      <c r="ALJ9" s="201"/>
      <c r="ALK9" s="201"/>
      <c r="ALL9" s="201"/>
      <c r="ALM9" s="201"/>
      <c r="ALN9" s="201"/>
      <c r="ALO9" s="201"/>
      <c r="ALP9" s="201"/>
      <c r="ALQ9" s="201"/>
      <c r="ALR9" s="201"/>
      <c r="ALS9" s="201"/>
      <c r="ALT9" s="201"/>
      <c r="ALU9" s="201"/>
      <c r="ALV9" s="201"/>
      <c r="ALW9" s="201"/>
      <c r="ALX9" s="201"/>
      <c r="ALY9" s="201"/>
      <c r="ALZ9" s="201"/>
      <c r="AMA9" s="201"/>
      <c r="AMB9" s="201"/>
      <c r="AMC9" s="201"/>
      <c r="AMD9" s="201"/>
      <c r="AME9" s="201"/>
      <c r="AMF9" s="201"/>
      <c r="AMG9" s="201"/>
      <c r="AMH9" s="201"/>
      <c r="AMI9" s="201"/>
    </row>
    <row r="10" spans="1:1023" ht="15.75" thickBot="1" x14ac:dyDescent="0.3">
      <c r="A10" s="26"/>
      <c r="B10" s="27"/>
      <c r="C10" s="27"/>
      <c r="D10" s="24"/>
      <c r="E10" s="25"/>
      <c r="F10" s="24"/>
    </row>
    <row r="11" spans="1:1023" ht="85.5" x14ac:dyDescent="0.25">
      <c r="A11" s="198" t="s">
        <v>3</v>
      </c>
      <c r="B11" s="199" t="s">
        <v>19</v>
      </c>
      <c r="C11" s="199" t="s">
        <v>439</v>
      </c>
      <c r="D11" s="199" t="s">
        <v>20</v>
      </c>
      <c r="E11" s="200" t="s">
        <v>21</v>
      </c>
      <c r="F11" s="29"/>
      <c r="H11" s="28"/>
    </row>
    <row r="12" spans="1:1023" s="202" customFormat="1" x14ac:dyDescent="0.25">
      <c r="A12" s="30">
        <v>2026</v>
      </c>
      <c r="B12" s="115">
        <f>ROUND((1+2.75%/12*12),4)</f>
        <v>1.0275000000000001</v>
      </c>
      <c r="C12" s="60">
        <v>1</v>
      </c>
      <c r="D12" s="31">
        <f>ROUND($B$9*$C$9*B12*C12,2)</f>
        <v>70299318.019999996</v>
      </c>
      <c r="E12" s="37">
        <f>ROUND(D12*1.22,2)</f>
        <v>85765167.980000004</v>
      </c>
      <c r="F12" s="203"/>
      <c r="G12" s="201"/>
      <c r="H12" s="204"/>
      <c r="I12" s="201"/>
      <c r="J12" s="201"/>
      <c r="K12" s="201"/>
      <c r="L12" s="201"/>
      <c r="M12" s="201"/>
      <c r="N12" s="201"/>
      <c r="O12" s="201"/>
      <c r="P12" s="201"/>
      <c r="Q12" s="201"/>
      <c r="R12" s="201"/>
      <c r="S12" s="201"/>
      <c r="T12" s="201"/>
      <c r="U12" s="201"/>
      <c r="V12" s="201"/>
      <c r="W12" s="201"/>
      <c r="X12" s="201"/>
      <c r="Y12" s="201"/>
      <c r="Z12" s="201"/>
      <c r="AA12" s="201"/>
      <c r="AB12" s="201"/>
      <c r="AC12" s="201"/>
      <c r="AD12" s="201"/>
      <c r="AE12" s="201"/>
      <c r="AF12" s="201"/>
      <c r="AG12" s="201"/>
      <c r="AH12" s="201"/>
      <c r="AI12" s="201"/>
      <c r="AJ12" s="201"/>
      <c r="AK12" s="201"/>
      <c r="AL12" s="201"/>
      <c r="AM12" s="201"/>
      <c r="AN12" s="201"/>
      <c r="AO12" s="201"/>
      <c r="AP12" s="201"/>
      <c r="AQ12" s="201"/>
      <c r="AR12" s="201"/>
      <c r="AS12" s="201"/>
      <c r="AT12" s="201"/>
      <c r="AU12" s="201"/>
      <c r="AV12" s="201"/>
      <c r="AW12" s="201"/>
      <c r="AX12" s="201"/>
      <c r="AY12" s="201"/>
      <c r="AZ12" s="201"/>
      <c r="BA12" s="201"/>
      <c r="BB12" s="201"/>
      <c r="BC12" s="201"/>
      <c r="BD12" s="201"/>
      <c r="BE12" s="201"/>
      <c r="BF12" s="201"/>
      <c r="BG12" s="201"/>
      <c r="BH12" s="201"/>
      <c r="BI12" s="201"/>
      <c r="BJ12" s="201"/>
      <c r="BK12" s="201"/>
      <c r="BL12" s="201"/>
      <c r="BM12" s="201"/>
      <c r="BN12" s="201"/>
      <c r="BO12" s="201"/>
      <c r="BP12" s="201"/>
      <c r="BQ12" s="201"/>
      <c r="BR12" s="201"/>
      <c r="BS12" s="201"/>
      <c r="BT12" s="201"/>
      <c r="BU12" s="201"/>
      <c r="BV12" s="201"/>
      <c r="BW12" s="201"/>
      <c r="BX12" s="201"/>
      <c r="BY12" s="201"/>
      <c r="BZ12" s="201"/>
      <c r="CA12" s="201"/>
      <c r="CB12" s="201"/>
      <c r="CC12" s="201"/>
      <c r="CD12" s="201"/>
      <c r="CE12" s="201"/>
      <c r="CF12" s="201"/>
      <c r="CG12" s="201"/>
      <c r="CH12" s="201"/>
      <c r="CI12" s="201"/>
      <c r="CJ12" s="201"/>
      <c r="CK12" s="201"/>
      <c r="CL12" s="201"/>
      <c r="CM12" s="201"/>
      <c r="CN12" s="201"/>
      <c r="CO12" s="201"/>
      <c r="CP12" s="201"/>
      <c r="CQ12" s="201"/>
      <c r="CR12" s="201"/>
      <c r="CS12" s="201"/>
      <c r="CT12" s="201"/>
      <c r="CU12" s="201"/>
      <c r="CV12" s="201"/>
      <c r="CW12" s="201"/>
      <c r="CX12" s="201"/>
      <c r="CY12" s="201"/>
      <c r="CZ12" s="201"/>
      <c r="DA12" s="201"/>
      <c r="DB12" s="201"/>
      <c r="DC12" s="201"/>
      <c r="DD12" s="201"/>
      <c r="DE12" s="201"/>
      <c r="DF12" s="201"/>
      <c r="DG12" s="201"/>
      <c r="DH12" s="201"/>
      <c r="DI12" s="201"/>
      <c r="DJ12" s="201"/>
      <c r="DK12" s="201"/>
      <c r="DL12" s="201"/>
      <c r="DM12" s="201"/>
      <c r="DN12" s="201"/>
      <c r="DO12" s="201"/>
      <c r="DP12" s="201"/>
      <c r="DQ12" s="201"/>
      <c r="DR12" s="201"/>
      <c r="DS12" s="201"/>
      <c r="DT12" s="201"/>
      <c r="DU12" s="201"/>
      <c r="DV12" s="201"/>
      <c r="DW12" s="201"/>
      <c r="DX12" s="201"/>
      <c r="DY12" s="201"/>
      <c r="DZ12" s="201"/>
      <c r="EA12" s="201"/>
      <c r="EB12" s="201"/>
      <c r="EC12" s="201"/>
      <c r="ED12" s="201"/>
      <c r="EE12" s="201"/>
      <c r="EF12" s="201"/>
      <c r="EG12" s="201"/>
      <c r="EH12" s="201"/>
      <c r="EI12" s="201"/>
      <c r="EJ12" s="201"/>
      <c r="EK12" s="201"/>
      <c r="EL12" s="201"/>
      <c r="EM12" s="201"/>
      <c r="EN12" s="201"/>
      <c r="EO12" s="201"/>
      <c r="EP12" s="201"/>
      <c r="EQ12" s="201"/>
      <c r="ER12" s="201"/>
      <c r="ES12" s="201"/>
      <c r="ET12" s="201"/>
      <c r="EU12" s="201"/>
      <c r="EV12" s="201"/>
      <c r="EW12" s="201"/>
      <c r="EX12" s="201"/>
      <c r="EY12" s="201"/>
      <c r="EZ12" s="201"/>
      <c r="FA12" s="201"/>
      <c r="FB12" s="201"/>
      <c r="FC12" s="201"/>
      <c r="FD12" s="201"/>
      <c r="FE12" s="201"/>
      <c r="FF12" s="201"/>
      <c r="FG12" s="201"/>
      <c r="FH12" s="201"/>
      <c r="FI12" s="201"/>
      <c r="FJ12" s="201"/>
      <c r="FK12" s="201"/>
      <c r="FL12" s="201"/>
      <c r="FM12" s="201"/>
      <c r="FN12" s="201"/>
      <c r="FO12" s="201"/>
      <c r="FP12" s="201"/>
      <c r="FQ12" s="201"/>
      <c r="FR12" s="201"/>
      <c r="FS12" s="201"/>
      <c r="FT12" s="201"/>
      <c r="FU12" s="201"/>
      <c r="FV12" s="201"/>
      <c r="FW12" s="201"/>
      <c r="FX12" s="201"/>
      <c r="FY12" s="201"/>
      <c r="FZ12" s="201"/>
      <c r="GA12" s="201"/>
      <c r="GB12" s="201"/>
      <c r="GC12" s="201"/>
      <c r="GD12" s="201"/>
      <c r="GE12" s="201"/>
      <c r="GF12" s="201"/>
      <c r="GG12" s="201"/>
      <c r="GH12" s="201"/>
      <c r="GI12" s="201"/>
      <c r="GJ12" s="201"/>
      <c r="GK12" s="201"/>
      <c r="GL12" s="201"/>
      <c r="GM12" s="201"/>
      <c r="GN12" s="201"/>
      <c r="GO12" s="201"/>
      <c r="GP12" s="201"/>
      <c r="GQ12" s="201"/>
      <c r="GR12" s="201"/>
      <c r="GS12" s="201"/>
      <c r="GT12" s="201"/>
      <c r="GU12" s="201"/>
      <c r="GV12" s="201"/>
      <c r="GW12" s="201"/>
      <c r="GX12" s="201"/>
      <c r="GY12" s="201"/>
      <c r="GZ12" s="201"/>
      <c r="HA12" s="201"/>
      <c r="HB12" s="201"/>
      <c r="HC12" s="201"/>
      <c r="HD12" s="201"/>
      <c r="HE12" s="201"/>
      <c r="HF12" s="201"/>
      <c r="HG12" s="201"/>
      <c r="HH12" s="201"/>
      <c r="HI12" s="201"/>
      <c r="HJ12" s="201"/>
      <c r="HK12" s="201"/>
      <c r="HL12" s="201"/>
      <c r="HM12" s="201"/>
      <c r="HN12" s="201"/>
      <c r="HO12" s="201"/>
      <c r="HP12" s="201"/>
      <c r="HQ12" s="201"/>
      <c r="HR12" s="201"/>
      <c r="HS12" s="201"/>
      <c r="HT12" s="201"/>
      <c r="HU12" s="201"/>
      <c r="HV12" s="201"/>
      <c r="HW12" s="201"/>
      <c r="HX12" s="201"/>
      <c r="HY12" s="201"/>
      <c r="HZ12" s="201"/>
      <c r="IA12" s="201"/>
      <c r="IB12" s="201"/>
      <c r="IC12" s="201"/>
      <c r="ID12" s="201"/>
      <c r="IE12" s="201"/>
      <c r="IF12" s="201"/>
      <c r="IG12" s="201"/>
      <c r="IH12" s="201"/>
      <c r="II12" s="201"/>
      <c r="IJ12" s="201"/>
      <c r="IK12" s="201"/>
      <c r="IL12" s="201"/>
      <c r="IM12" s="201"/>
      <c r="IN12" s="201"/>
      <c r="IO12" s="201"/>
      <c r="IP12" s="201"/>
      <c r="IQ12" s="201"/>
      <c r="IR12" s="201"/>
      <c r="IS12" s="201"/>
      <c r="IT12" s="201"/>
      <c r="IU12" s="201"/>
      <c r="IV12" s="201"/>
      <c r="IW12" s="201"/>
      <c r="IX12" s="201"/>
      <c r="IY12" s="201"/>
      <c r="IZ12" s="201"/>
      <c r="JA12" s="201"/>
      <c r="JB12" s="201"/>
      <c r="JC12" s="201"/>
      <c r="JD12" s="201"/>
      <c r="JE12" s="201"/>
      <c r="JF12" s="201"/>
      <c r="JG12" s="201"/>
      <c r="JH12" s="201"/>
      <c r="JI12" s="201"/>
      <c r="JJ12" s="201"/>
      <c r="JK12" s="201"/>
      <c r="JL12" s="201"/>
      <c r="JM12" s="201"/>
      <c r="JN12" s="201"/>
      <c r="JO12" s="201"/>
      <c r="JP12" s="201"/>
      <c r="JQ12" s="201"/>
      <c r="JR12" s="201"/>
      <c r="JS12" s="201"/>
      <c r="JT12" s="201"/>
      <c r="JU12" s="201"/>
      <c r="JV12" s="201"/>
      <c r="JW12" s="201"/>
      <c r="JX12" s="201"/>
      <c r="JY12" s="201"/>
      <c r="JZ12" s="201"/>
      <c r="KA12" s="201"/>
      <c r="KB12" s="201"/>
      <c r="KC12" s="201"/>
      <c r="KD12" s="201"/>
      <c r="KE12" s="201"/>
      <c r="KF12" s="201"/>
      <c r="KG12" s="201"/>
      <c r="KH12" s="201"/>
      <c r="KI12" s="201"/>
      <c r="KJ12" s="201"/>
      <c r="KK12" s="201"/>
      <c r="KL12" s="201"/>
      <c r="KM12" s="201"/>
      <c r="KN12" s="201"/>
      <c r="KO12" s="201"/>
      <c r="KP12" s="201"/>
      <c r="KQ12" s="201"/>
      <c r="KR12" s="201"/>
      <c r="KS12" s="201"/>
      <c r="KT12" s="201"/>
      <c r="KU12" s="201"/>
      <c r="KV12" s="201"/>
      <c r="KW12" s="201"/>
      <c r="KX12" s="201"/>
      <c r="KY12" s="201"/>
      <c r="KZ12" s="201"/>
      <c r="LA12" s="201"/>
      <c r="LB12" s="201"/>
      <c r="LC12" s="201"/>
      <c r="LD12" s="201"/>
      <c r="LE12" s="201"/>
      <c r="LF12" s="201"/>
      <c r="LG12" s="201"/>
      <c r="LH12" s="201"/>
      <c r="LI12" s="201"/>
      <c r="LJ12" s="201"/>
      <c r="LK12" s="201"/>
      <c r="LL12" s="201"/>
      <c r="LM12" s="201"/>
      <c r="LN12" s="201"/>
      <c r="LO12" s="201"/>
      <c r="LP12" s="201"/>
      <c r="LQ12" s="201"/>
      <c r="LR12" s="201"/>
      <c r="LS12" s="201"/>
      <c r="LT12" s="201"/>
      <c r="LU12" s="201"/>
      <c r="LV12" s="201"/>
      <c r="LW12" s="201"/>
      <c r="LX12" s="201"/>
      <c r="LY12" s="201"/>
      <c r="LZ12" s="201"/>
      <c r="MA12" s="201"/>
      <c r="MB12" s="201"/>
      <c r="MC12" s="201"/>
      <c r="MD12" s="201"/>
      <c r="ME12" s="201"/>
      <c r="MF12" s="201"/>
      <c r="MG12" s="201"/>
      <c r="MH12" s="201"/>
      <c r="MI12" s="201"/>
      <c r="MJ12" s="201"/>
      <c r="MK12" s="201"/>
      <c r="ML12" s="201"/>
      <c r="MM12" s="201"/>
      <c r="MN12" s="201"/>
      <c r="MO12" s="201"/>
      <c r="MP12" s="201"/>
      <c r="MQ12" s="201"/>
      <c r="MR12" s="201"/>
      <c r="MS12" s="201"/>
      <c r="MT12" s="201"/>
      <c r="MU12" s="201"/>
      <c r="MV12" s="201"/>
      <c r="MW12" s="201"/>
      <c r="MX12" s="201"/>
      <c r="MY12" s="201"/>
      <c r="MZ12" s="201"/>
      <c r="NA12" s="201"/>
      <c r="NB12" s="201"/>
      <c r="NC12" s="201"/>
      <c r="ND12" s="201"/>
      <c r="NE12" s="201"/>
      <c r="NF12" s="201"/>
      <c r="NG12" s="201"/>
      <c r="NH12" s="201"/>
      <c r="NI12" s="201"/>
      <c r="NJ12" s="201"/>
      <c r="NK12" s="201"/>
      <c r="NL12" s="201"/>
      <c r="NM12" s="201"/>
      <c r="NN12" s="201"/>
      <c r="NO12" s="201"/>
      <c r="NP12" s="201"/>
      <c r="NQ12" s="201"/>
      <c r="NR12" s="201"/>
      <c r="NS12" s="201"/>
      <c r="NT12" s="201"/>
      <c r="NU12" s="201"/>
      <c r="NV12" s="201"/>
      <c r="NW12" s="201"/>
      <c r="NX12" s="201"/>
      <c r="NY12" s="201"/>
      <c r="NZ12" s="201"/>
      <c r="OA12" s="201"/>
      <c r="OB12" s="201"/>
      <c r="OC12" s="201"/>
      <c r="OD12" s="201"/>
      <c r="OE12" s="201"/>
      <c r="OF12" s="201"/>
      <c r="OG12" s="201"/>
      <c r="OH12" s="201"/>
      <c r="OI12" s="201"/>
      <c r="OJ12" s="201"/>
      <c r="OK12" s="201"/>
      <c r="OL12" s="201"/>
      <c r="OM12" s="201"/>
      <c r="ON12" s="201"/>
      <c r="OO12" s="201"/>
      <c r="OP12" s="201"/>
      <c r="OQ12" s="201"/>
      <c r="OR12" s="201"/>
      <c r="OS12" s="201"/>
      <c r="OT12" s="201"/>
      <c r="OU12" s="201"/>
      <c r="OV12" s="201"/>
      <c r="OW12" s="201"/>
      <c r="OX12" s="201"/>
      <c r="OY12" s="201"/>
      <c r="OZ12" s="201"/>
      <c r="PA12" s="201"/>
      <c r="PB12" s="201"/>
      <c r="PC12" s="201"/>
      <c r="PD12" s="201"/>
      <c r="PE12" s="201"/>
      <c r="PF12" s="201"/>
      <c r="PG12" s="201"/>
      <c r="PH12" s="201"/>
      <c r="PI12" s="201"/>
      <c r="PJ12" s="201"/>
      <c r="PK12" s="201"/>
      <c r="PL12" s="201"/>
      <c r="PM12" s="201"/>
      <c r="PN12" s="201"/>
      <c r="PO12" s="201"/>
      <c r="PP12" s="201"/>
      <c r="PQ12" s="201"/>
      <c r="PR12" s="201"/>
      <c r="PS12" s="201"/>
      <c r="PT12" s="201"/>
      <c r="PU12" s="201"/>
      <c r="PV12" s="201"/>
      <c r="PW12" s="201"/>
      <c r="PX12" s="201"/>
      <c r="PY12" s="201"/>
      <c r="PZ12" s="201"/>
      <c r="QA12" s="201"/>
      <c r="QB12" s="201"/>
      <c r="QC12" s="201"/>
      <c r="QD12" s="201"/>
      <c r="QE12" s="201"/>
      <c r="QF12" s="201"/>
      <c r="QG12" s="201"/>
      <c r="QH12" s="201"/>
      <c r="QI12" s="201"/>
      <c r="QJ12" s="201"/>
      <c r="QK12" s="201"/>
      <c r="QL12" s="201"/>
      <c r="QM12" s="201"/>
      <c r="QN12" s="201"/>
      <c r="QO12" s="201"/>
      <c r="QP12" s="201"/>
      <c r="QQ12" s="201"/>
      <c r="QR12" s="201"/>
      <c r="QS12" s="201"/>
      <c r="QT12" s="201"/>
      <c r="QU12" s="201"/>
      <c r="QV12" s="201"/>
      <c r="QW12" s="201"/>
      <c r="QX12" s="201"/>
      <c r="QY12" s="201"/>
      <c r="QZ12" s="201"/>
      <c r="RA12" s="201"/>
      <c r="RB12" s="201"/>
      <c r="RC12" s="201"/>
      <c r="RD12" s="201"/>
      <c r="RE12" s="201"/>
      <c r="RF12" s="201"/>
      <c r="RG12" s="201"/>
      <c r="RH12" s="201"/>
      <c r="RI12" s="201"/>
      <c r="RJ12" s="201"/>
      <c r="RK12" s="201"/>
      <c r="RL12" s="201"/>
      <c r="RM12" s="201"/>
      <c r="RN12" s="201"/>
      <c r="RO12" s="201"/>
      <c r="RP12" s="201"/>
      <c r="RQ12" s="201"/>
      <c r="RR12" s="201"/>
      <c r="RS12" s="201"/>
      <c r="RT12" s="201"/>
      <c r="RU12" s="201"/>
      <c r="RV12" s="201"/>
      <c r="RW12" s="201"/>
      <c r="RX12" s="201"/>
      <c r="RY12" s="201"/>
      <c r="RZ12" s="201"/>
      <c r="SA12" s="201"/>
      <c r="SB12" s="201"/>
      <c r="SC12" s="201"/>
      <c r="SD12" s="201"/>
      <c r="SE12" s="201"/>
      <c r="SF12" s="201"/>
      <c r="SG12" s="201"/>
      <c r="SH12" s="201"/>
      <c r="SI12" s="201"/>
      <c r="SJ12" s="201"/>
      <c r="SK12" s="201"/>
      <c r="SL12" s="201"/>
      <c r="SM12" s="201"/>
      <c r="SN12" s="201"/>
      <c r="SO12" s="201"/>
      <c r="SP12" s="201"/>
      <c r="SQ12" s="201"/>
      <c r="SR12" s="201"/>
      <c r="SS12" s="201"/>
      <c r="ST12" s="201"/>
      <c r="SU12" s="201"/>
      <c r="SV12" s="201"/>
      <c r="SW12" s="201"/>
      <c r="SX12" s="201"/>
      <c r="SY12" s="201"/>
      <c r="SZ12" s="201"/>
      <c r="TA12" s="201"/>
      <c r="TB12" s="201"/>
      <c r="TC12" s="201"/>
      <c r="TD12" s="201"/>
      <c r="TE12" s="201"/>
      <c r="TF12" s="201"/>
      <c r="TG12" s="201"/>
      <c r="TH12" s="201"/>
      <c r="TI12" s="201"/>
      <c r="TJ12" s="201"/>
      <c r="TK12" s="201"/>
      <c r="TL12" s="201"/>
      <c r="TM12" s="201"/>
      <c r="TN12" s="201"/>
      <c r="TO12" s="201"/>
      <c r="TP12" s="201"/>
      <c r="TQ12" s="201"/>
      <c r="TR12" s="201"/>
      <c r="TS12" s="201"/>
      <c r="TT12" s="201"/>
      <c r="TU12" s="201"/>
      <c r="TV12" s="201"/>
      <c r="TW12" s="201"/>
      <c r="TX12" s="201"/>
      <c r="TY12" s="201"/>
      <c r="TZ12" s="201"/>
      <c r="UA12" s="201"/>
      <c r="UB12" s="201"/>
      <c r="UC12" s="201"/>
      <c r="UD12" s="201"/>
      <c r="UE12" s="201"/>
      <c r="UF12" s="201"/>
      <c r="UG12" s="201"/>
      <c r="UH12" s="201"/>
      <c r="UI12" s="201"/>
      <c r="UJ12" s="201"/>
      <c r="UK12" s="201"/>
      <c r="UL12" s="201"/>
      <c r="UM12" s="201"/>
      <c r="UN12" s="201"/>
      <c r="UO12" s="201"/>
      <c r="UP12" s="201"/>
      <c r="UQ12" s="201"/>
      <c r="UR12" s="201"/>
      <c r="US12" s="201"/>
      <c r="UT12" s="201"/>
      <c r="UU12" s="201"/>
      <c r="UV12" s="201"/>
      <c r="UW12" s="201"/>
      <c r="UX12" s="201"/>
      <c r="UY12" s="201"/>
      <c r="UZ12" s="201"/>
      <c r="VA12" s="201"/>
      <c r="VB12" s="201"/>
      <c r="VC12" s="201"/>
      <c r="VD12" s="201"/>
      <c r="VE12" s="201"/>
      <c r="VF12" s="201"/>
      <c r="VG12" s="201"/>
      <c r="VH12" s="201"/>
      <c r="VI12" s="201"/>
      <c r="VJ12" s="201"/>
      <c r="VK12" s="201"/>
      <c r="VL12" s="201"/>
      <c r="VM12" s="201"/>
      <c r="VN12" s="201"/>
      <c r="VO12" s="201"/>
      <c r="VP12" s="201"/>
      <c r="VQ12" s="201"/>
      <c r="VR12" s="201"/>
      <c r="VS12" s="201"/>
      <c r="VT12" s="201"/>
      <c r="VU12" s="201"/>
      <c r="VV12" s="201"/>
      <c r="VW12" s="201"/>
      <c r="VX12" s="201"/>
      <c r="VY12" s="201"/>
      <c r="VZ12" s="201"/>
      <c r="WA12" s="201"/>
      <c r="WB12" s="201"/>
      <c r="WC12" s="201"/>
      <c r="WD12" s="201"/>
      <c r="WE12" s="201"/>
      <c r="WF12" s="201"/>
      <c r="WG12" s="201"/>
      <c r="WH12" s="201"/>
      <c r="WI12" s="201"/>
      <c r="WJ12" s="201"/>
      <c r="WK12" s="201"/>
      <c r="WL12" s="201"/>
      <c r="WM12" s="201"/>
      <c r="WN12" s="201"/>
      <c r="WO12" s="201"/>
      <c r="WP12" s="201"/>
      <c r="WQ12" s="201"/>
      <c r="WR12" s="201"/>
      <c r="WS12" s="201"/>
      <c r="WT12" s="201"/>
      <c r="WU12" s="201"/>
      <c r="WV12" s="201"/>
      <c r="WW12" s="201"/>
      <c r="WX12" s="201"/>
      <c r="WY12" s="201"/>
      <c r="WZ12" s="201"/>
      <c r="XA12" s="201"/>
      <c r="XB12" s="201"/>
      <c r="XC12" s="201"/>
      <c r="XD12" s="201"/>
      <c r="XE12" s="201"/>
      <c r="XF12" s="201"/>
      <c r="XG12" s="201"/>
      <c r="XH12" s="201"/>
      <c r="XI12" s="201"/>
      <c r="XJ12" s="201"/>
      <c r="XK12" s="201"/>
      <c r="XL12" s="201"/>
      <c r="XM12" s="201"/>
      <c r="XN12" s="201"/>
      <c r="XO12" s="201"/>
      <c r="XP12" s="201"/>
      <c r="XQ12" s="201"/>
      <c r="XR12" s="201"/>
      <c r="XS12" s="201"/>
      <c r="XT12" s="201"/>
      <c r="XU12" s="201"/>
      <c r="XV12" s="201"/>
      <c r="XW12" s="201"/>
      <c r="XX12" s="201"/>
      <c r="XY12" s="201"/>
      <c r="XZ12" s="201"/>
      <c r="YA12" s="201"/>
      <c r="YB12" s="201"/>
      <c r="YC12" s="201"/>
      <c r="YD12" s="201"/>
      <c r="YE12" s="201"/>
      <c r="YF12" s="201"/>
      <c r="YG12" s="201"/>
      <c r="YH12" s="201"/>
      <c r="YI12" s="201"/>
      <c r="YJ12" s="201"/>
      <c r="YK12" s="201"/>
      <c r="YL12" s="201"/>
      <c r="YM12" s="201"/>
      <c r="YN12" s="201"/>
      <c r="YO12" s="201"/>
      <c r="YP12" s="201"/>
      <c r="YQ12" s="201"/>
      <c r="YR12" s="201"/>
      <c r="YS12" s="201"/>
      <c r="YT12" s="201"/>
      <c r="YU12" s="201"/>
      <c r="YV12" s="201"/>
      <c r="YW12" s="201"/>
      <c r="YX12" s="201"/>
      <c r="YY12" s="201"/>
      <c r="YZ12" s="201"/>
      <c r="ZA12" s="201"/>
      <c r="ZB12" s="201"/>
      <c r="ZC12" s="201"/>
      <c r="ZD12" s="201"/>
      <c r="ZE12" s="201"/>
      <c r="ZF12" s="201"/>
      <c r="ZG12" s="201"/>
      <c r="ZH12" s="201"/>
      <c r="ZI12" s="201"/>
      <c r="ZJ12" s="201"/>
      <c r="ZK12" s="201"/>
      <c r="ZL12" s="201"/>
      <c r="ZM12" s="201"/>
      <c r="ZN12" s="201"/>
      <c r="ZO12" s="201"/>
      <c r="ZP12" s="201"/>
      <c r="ZQ12" s="201"/>
      <c r="ZR12" s="201"/>
      <c r="ZS12" s="201"/>
      <c r="ZT12" s="201"/>
      <c r="ZU12" s="201"/>
      <c r="ZV12" s="201"/>
      <c r="ZW12" s="201"/>
      <c r="ZX12" s="201"/>
      <c r="ZY12" s="201"/>
      <c r="ZZ12" s="201"/>
      <c r="AAA12" s="201"/>
      <c r="AAB12" s="201"/>
      <c r="AAC12" s="201"/>
      <c r="AAD12" s="201"/>
      <c r="AAE12" s="201"/>
      <c r="AAF12" s="201"/>
      <c r="AAG12" s="201"/>
      <c r="AAH12" s="201"/>
      <c r="AAI12" s="201"/>
      <c r="AAJ12" s="201"/>
      <c r="AAK12" s="201"/>
      <c r="AAL12" s="201"/>
      <c r="AAM12" s="201"/>
      <c r="AAN12" s="201"/>
      <c r="AAO12" s="201"/>
      <c r="AAP12" s="201"/>
      <c r="AAQ12" s="201"/>
      <c r="AAR12" s="201"/>
      <c r="AAS12" s="201"/>
      <c r="AAT12" s="201"/>
      <c r="AAU12" s="201"/>
      <c r="AAV12" s="201"/>
      <c r="AAW12" s="201"/>
      <c r="AAX12" s="201"/>
      <c r="AAY12" s="201"/>
      <c r="AAZ12" s="201"/>
      <c r="ABA12" s="201"/>
      <c r="ABB12" s="201"/>
      <c r="ABC12" s="201"/>
      <c r="ABD12" s="201"/>
      <c r="ABE12" s="201"/>
      <c r="ABF12" s="201"/>
      <c r="ABG12" s="201"/>
      <c r="ABH12" s="201"/>
      <c r="ABI12" s="201"/>
      <c r="ABJ12" s="201"/>
      <c r="ABK12" s="201"/>
      <c r="ABL12" s="201"/>
      <c r="ABM12" s="201"/>
      <c r="ABN12" s="201"/>
      <c r="ABO12" s="201"/>
      <c r="ABP12" s="201"/>
      <c r="ABQ12" s="201"/>
      <c r="ABR12" s="201"/>
      <c r="ABS12" s="201"/>
      <c r="ABT12" s="201"/>
      <c r="ABU12" s="201"/>
      <c r="ABV12" s="201"/>
      <c r="ABW12" s="201"/>
      <c r="ABX12" s="201"/>
      <c r="ABY12" s="201"/>
      <c r="ABZ12" s="201"/>
      <c r="ACA12" s="201"/>
      <c r="ACB12" s="201"/>
      <c r="ACC12" s="201"/>
      <c r="ACD12" s="201"/>
      <c r="ACE12" s="201"/>
      <c r="ACF12" s="201"/>
      <c r="ACG12" s="201"/>
      <c r="ACH12" s="201"/>
      <c r="ACI12" s="201"/>
      <c r="ACJ12" s="201"/>
      <c r="ACK12" s="201"/>
      <c r="ACL12" s="201"/>
      <c r="ACM12" s="201"/>
      <c r="ACN12" s="201"/>
      <c r="ACO12" s="201"/>
      <c r="ACP12" s="201"/>
      <c r="ACQ12" s="201"/>
      <c r="ACR12" s="201"/>
      <c r="ACS12" s="201"/>
      <c r="ACT12" s="201"/>
      <c r="ACU12" s="201"/>
      <c r="ACV12" s="201"/>
      <c r="ACW12" s="201"/>
      <c r="ACX12" s="201"/>
      <c r="ACY12" s="201"/>
      <c r="ACZ12" s="201"/>
      <c r="ADA12" s="201"/>
      <c r="ADB12" s="201"/>
      <c r="ADC12" s="201"/>
      <c r="ADD12" s="201"/>
      <c r="ADE12" s="201"/>
      <c r="ADF12" s="201"/>
      <c r="ADG12" s="201"/>
      <c r="ADH12" s="201"/>
      <c r="ADI12" s="201"/>
      <c r="ADJ12" s="201"/>
      <c r="ADK12" s="201"/>
      <c r="ADL12" s="201"/>
      <c r="ADM12" s="201"/>
      <c r="ADN12" s="201"/>
      <c r="ADO12" s="201"/>
      <c r="ADP12" s="201"/>
      <c r="ADQ12" s="201"/>
      <c r="ADR12" s="201"/>
      <c r="ADS12" s="201"/>
      <c r="ADT12" s="201"/>
      <c r="ADU12" s="201"/>
      <c r="ADV12" s="201"/>
      <c r="ADW12" s="201"/>
      <c r="ADX12" s="201"/>
      <c r="ADY12" s="201"/>
      <c r="ADZ12" s="201"/>
      <c r="AEA12" s="201"/>
      <c r="AEB12" s="201"/>
      <c r="AEC12" s="201"/>
      <c r="AED12" s="201"/>
      <c r="AEE12" s="201"/>
      <c r="AEF12" s="201"/>
      <c r="AEG12" s="201"/>
      <c r="AEH12" s="201"/>
      <c r="AEI12" s="201"/>
      <c r="AEJ12" s="201"/>
      <c r="AEK12" s="201"/>
      <c r="AEL12" s="201"/>
      <c r="AEM12" s="201"/>
      <c r="AEN12" s="201"/>
      <c r="AEO12" s="201"/>
      <c r="AEP12" s="201"/>
      <c r="AEQ12" s="201"/>
      <c r="AER12" s="201"/>
      <c r="AES12" s="201"/>
      <c r="AET12" s="201"/>
      <c r="AEU12" s="201"/>
      <c r="AEV12" s="201"/>
      <c r="AEW12" s="201"/>
      <c r="AEX12" s="201"/>
      <c r="AEY12" s="201"/>
      <c r="AEZ12" s="201"/>
      <c r="AFA12" s="201"/>
      <c r="AFB12" s="201"/>
      <c r="AFC12" s="201"/>
      <c r="AFD12" s="201"/>
      <c r="AFE12" s="201"/>
      <c r="AFF12" s="201"/>
      <c r="AFG12" s="201"/>
      <c r="AFH12" s="201"/>
      <c r="AFI12" s="201"/>
      <c r="AFJ12" s="201"/>
      <c r="AFK12" s="201"/>
      <c r="AFL12" s="201"/>
      <c r="AFM12" s="201"/>
      <c r="AFN12" s="201"/>
      <c r="AFO12" s="201"/>
      <c r="AFP12" s="201"/>
      <c r="AFQ12" s="201"/>
      <c r="AFR12" s="201"/>
      <c r="AFS12" s="201"/>
      <c r="AFT12" s="201"/>
      <c r="AFU12" s="201"/>
      <c r="AFV12" s="201"/>
      <c r="AFW12" s="201"/>
      <c r="AFX12" s="201"/>
      <c r="AFY12" s="201"/>
      <c r="AFZ12" s="201"/>
      <c r="AGA12" s="201"/>
      <c r="AGB12" s="201"/>
      <c r="AGC12" s="201"/>
      <c r="AGD12" s="201"/>
      <c r="AGE12" s="201"/>
      <c r="AGF12" s="201"/>
      <c r="AGG12" s="201"/>
      <c r="AGH12" s="201"/>
      <c r="AGI12" s="201"/>
      <c r="AGJ12" s="201"/>
      <c r="AGK12" s="201"/>
      <c r="AGL12" s="201"/>
      <c r="AGM12" s="201"/>
      <c r="AGN12" s="201"/>
      <c r="AGO12" s="201"/>
      <c r="AGP12" s="201"/>
      <c r="AGQ12" s="201"/>
      <c r="AGR12" s="201"/>
      <c r="AGS12" s="201"/>
      <c r="AGT12" s="201"/>
      <c r="AGU12" s="201"/>
      <c r="AGV12" s="201"/>
      <c r="AGW12" s="201"/>
      <c r="AGX12" s="201"/>
      <c r="AGY12" s="201"/>
      <c r="AGZ12" s="201"/>
      <c r="AHA12" s="201"/>
      <c r="AHB12" s="201"/>
      <c r="AHC12" s="201"/>
      <c r="AHD12" s="201"/>
      <c r="AHE12" s="201"/>
      <c r="AHF12" s="201"/>
      <c r="AHG12" s="201"/>
      <c r="AHH12" s="201"/>
      <c r="AHI12" s="201"/>
      <c r="AHJ12" s="201"/>
      <c r="AHK12" s="201"/>
      <c r="AHL12" s="201"/>
      <c r="AHM12" s="201"/>
      <c r="AHN12" s="201"/>
      <c r="AHO12" s="201"/>
      <c r="AHP12" s="201"/>
      <c r="AHQ12" s="201"/>
      <c r="AHR12" s="201"/>
      <c r="AHS12" s="201"/>
      <c r="AHT12" s="201"/>
      <c r="AHU12" s="201"/>
      <c r="AHV12" s="201"/>
      <c r="AHW12" s="201"/>
      <c r="AHX12" s="201"/>
      <c r="AHY12" s="201"/>
      <c r="AHZ12" s="201"/>
      <c r="AIA12" s="201"/>
      <c r="AIB12" s="201"/>
      <c r="AIC12" s="201"/>
      <c r="AID12" s="201"/>
      <c r="AIE12" s="201"/>
      <c r="AIF12" s="201"/>
      <c r="AIG12" s="201"/>
      <c r="AIH12" s="201"/>
      <c r="AII12" s="201"/>
      <c r="AIJ12" s="201"/>
      <c r="AIK12" s="201"/>
      <c r="AIL12" s="201"/>
      <c r="AIM12" s="201"/>
      <c r="AIN12" s="201"/>
      <c r="AIO12" s="201"/>
      <c r="AIP12" s="201"/>
      <c r="AIQ12" s="201"/>
      <c r="AIR12" s="201"/>
      <c r="AIS12" s="201"/>
      <c r="AIT12" s="201"/>
      <c r="AIU12" s="201"/>
      <c r="AIV12" s="201"/>
      <c r="AIW12" s="201"/>
      <c r="AIX12" s="201"/>
      <c r="AIY12" s="201"/>
      <c r="AIZ12" s="201"/>
      <c r="AJA12" s="201"/>
      <c r="AJB12" s="201"/>
      <c r="AJC12" s="201"/>
      <c r="AJD12" s="201"/>
      <c r="AJE12" s="201"/>
      <c r="AJF12" s="201"/>
      <c r="AJG12" s="201"/>
      <c r="AJH12" s="201"/>
      <c r="AJI12" s="201"/>
      <c r="AJJ12" s="201"/>
      <c r="AJK12" s="201"/>
      <c r="AJL12" s="201"/>
      <c r="AJM12" s="201"/>
      <c r="AJN12" s="201"/>
      <c r="AJO12" s="201"/>
      <c r="AJP12" s="201"/>
      <c r="AJQ12" s="201"/>
      <c r="AJR12" s="201"/>
      <c r="AJS12" s="201"/>
      <c r="AJT12" s="201"/>
      <c r="AJU12" s="201"/>
      <c r="AJV12" s="201"/>
      <c r="AJW12" s="201"/>
      <c r="AJX12" s="201"/>
      <c r="AJY12" s="201"/>
      <c r="AJZ12" s="201"/>
      <c r="AKA12" s="201"/>
      <c r="AKB12" s="201"/>
      <c r="AKC12" s="201"/>
      <c r="AKD12" s="201"/>
      <c r="AKE12" s="201"/>
      <c r="AKF12" s="201"/>
      <c r="AKG12" s="201"/>
      <c r="AKH12" s="201"/>
      <c r="AKI12" s="201"/>
      <c r="AKJ12" s="201"/>
      <c r="AKK12" s="201"/>
      <c r="AKL12" s="201"/>
      <c r="AKM12" s="201"/>
      <c r="AKN12" s="201"/>
      <c r="AKO12" s="201"/>
      <c r="AKP12" s="201"/>
      <c r="AKQ12" s="201"/>
      <c r="AKR12" s="201"/>
      <c r="AKS12" s="201"/>
      <c r="AKT12" s="201"/>
      <c r="AKU12" s="201"/>
      <c r="AKV12" s="201"/>
      <c r="AKW12" s="201"/>
      <c r="AKX12" s="201"/>
      <c r="AKY12" s="201"/>
      <c r="AKZ12" s="201"/>
      <c r="ALA12" s="201"/>
      <c r="ALB12" s="201"/>
      <c r="ALC12" s="201"/>
      <c r="ALD12" s="201"/>
      <c r="ALE12" s="201"/>
      <c r="ALF12" s="201"/>
      <c r="ALG12" s="201"/>
      <c r="ALH12" s="201"/>
      <c r="ALI12" s="201"/>
      <c r="ALJ12" s="201"/>
      <c r="ALK12" s="201"/>
      <c r="ALL12" s="201"/>
      <c r="ALM12" s="201"/>
      <c r="ALN12" s="201"/>
      <c r="ALO12" s="201"/>
      <c r="ALP12" s="201"/>
      <c r="ALQ12" s="201"/>
      <c r="ALR12" s="201"/>
      <c r="ALS12" s="201"/>
      <c r="ALT12" s="201"/>
      <c r="ALU12" s="201"/>
      <c r="ALV12" s="201"/>
      <c r="ALW12" s="201"/>
      <c r="ALX12" s="201"/>
      <c r="ALY12" s="201"/>
      <c r="ALZ12" s="201"/>
      <c r="AMA12" s="201"/>
      <c r="AMB12" s="201"/>
      <c r="AMC12" s="201"/>
      <c r="AMD12" s="201"/>
      <c r="AME12" s="201"/>
      <c r="AMF12" s="201"/>
      <c r="AMG12" s="201"/>
      <c r="AMH12" s="201"/>
      <c r="AMI12" s="201"/>
    </row>
    <row r="13" spans="1:1023" s="134" customFormat="1" ht="16.5" customHeight="1" thickBot="1" x14ac:dyDescent="0.25">
      <c r="A13" s="241" t="s">
        <v>22</v>
      </c>
      <c r="B13" s="242"/>
      <c r="C13" s="242"/>
      <c r="D13" s="205">
        <f>SUM(D12:D12)</f>
        <v>70299318.019999996</v>
      </c>
      <c r="E13" s="206">
        <f>SUM(E12:E12)</f>
        <v>85765167.980000004</v>
      </c>
      <c r="F13" s="207"/>
      <c r="G13" s="208"/>
      <c r="H13" s="207"/>
      <c r="I13" s="208"/>
      <c r="J13" s="208"/>
      <c r="K13" s="208"/>
      <c r="L13" s="208"/>
      <c r="M13" s="208"/>
      <c r="N13" s="208"/>
      <c r="O13" s="208"/>
      <c r="P13" s="208"/>
      <c r="Q13" s="208"/>
      <c r="R13" s="208"/>
      <c r="S13" s="208"/>
      <c r="T13" s="208"/>
      <c r="U13" s="208"/>
      <c r="V13" s="208"/>
      <c r="W13" s="208"/>
      <c r="X13" s="208"/>
      <c r="Y13" s="208"/>
      <c r="Z13" s="208"/>
      <c r="AA13" s="208"/>
      <c r="AB13" s="208"/>
      <c r="AC13" s="208"/>
      <c r="AD13" s="208"/>
      <c r="AE13" s="208"/>
      <c r="AF13" s="208"/>
      <c r="AG13" s="208"/>
      <c r="AH13" s="208"/>
      <c r="AI13" s="208"/>
      <c r="AJ13" s="208"/>
      <c r="AK13" s="208"/>
      <c r="AL13" s="208"/>
      <c r="AM13" s="208"/>
      <c r="AN13" s="208"/>
      <c r="AO13" s="208"/>
      <c r="AP13" s="208"/>
      <c r="AQ13" s="208"/>
      <c r="AR13" s="208"/>
      <c r="AS13" s="208"/>
      <c r="AT13" s="208"/>
      <c r="AU13" s="208"/>
      <c r="AV13" s="208"/>
      <c r="AW13" s="208"/>
      <c r="AX13" s="208"/>
      <c r="AY13" s="208"/>
      <c r="AZ13" s="208"/>
      <c r="BA13" s="208"/>
      <c r="BB13" s="208"/>
      <c r="BC13" s="208"/>
      <c r="BD13" s="208"/>
      <c r="BE13" s="208"/>
      <c r="BF13" s="208"/>
      <c r="BG13" s="208"/>
      <c r="BH13" s="208"/>
      <c r="BI13" s="208"/>
      <c r="BJ13" s="208"/>
      <c r="BK13" s="208"/>
      <c r="BL13" s="208"/>
      <c r="BM13" s="208"/>
      <c r="BN13" s="208"/>
      <c r="BO13" s="208"/>
      <c r="BP13" s="208"/>
      <c r="BQ13" s="208"/>
      <c r="BR13" s="208"/>
      <c r="BS13" s="208"/>
      <c r="BT13" s="208"/>
      <c r="BU13" s="208"/>
      <c r="BV13" s="208"/>
      <c r="BW13" s="208"/>
      <c r="BX13" s="208"/>
      <c r="BY13" s="208"/>
      <c r="BZ13" s="208"/>
      <c r="CA13" s="208"/>
      <c r="CB13" s="208"/>
      <c r="CC13" s="208"/>
      <c r="CD13" s="208"/>
      <c r="CE13" s="208"/>
      <c r="CF13" s="208"/>
      <c r="CG13" s="208"/>
      <c r="CH13" s="208"/>
      <c r="CI13" s="208"/>
      <c r="CJ13" s="208"/>
      <c r="CK13" s="208"/>
      <c r="CL13" s="208"/>
      <c r="CM13" s="208"/>
      <c r="CN13" s="208"/>
      <c r="CO13" s="208"/>
      <c r="CP13" s="208"/>
      <c r="CQ13" s="208"/>
      <c r="CR13" s="208"/>
      <c r="CS13" s="208"/>
      <c r="CT13" s="208"/>
      <c r="CU13" s="208"/>
      <c r="CV13" s="208"/>
      <c r="CW13" s="208"/>
      <c r="CX13" s="208"/>
      <c r="CY13" s="208"/>
      <c r="CZ13" s="208"/>
      <c r="DA13" s="208"/>
      <c r="DB13" s="208"/>
      <c r="DC13" s="208"/>
      <c r="DD13" s="208"/>
      <c r="DE13" s="208"/>
      <c r="DF13" s="208"/>
      <c r="DG13" s="208"/>
      <c r="DH13" s="208"/>
      <c r="DI13" s="208"/>
      <c r="DJ13" s="208"/>
      <c r="DK13" s="208"/>
      <c r="DL13" s="208"/>
      <c r="DM13" s="208"/>
      <c r="DN13" s="208"/>
      <c r="DO13" s="208"/>
      <c r="DP13" s="208"/>
      <c r="DQ13" s="208"/>
      <c r="DR13" s="208"/>
      <c r="DS13" s="208"/>
      <c r="DT13" s="208"/>
      <c r="DU13" s="208"/>
      <c r="DV13" s="208"/>
      <c r="DW13" s="208"/>
      <c r="DX13" s="208"/>
      <c r="DY13" s="208"/>
      <c r="DZ13" s="208"/>
      <c r="EA13" s="208"/>
      <c r="EB13" s="208"/>
      <c r="EC13" s="208"/>
      <c r="ED13" s="208"/>
      <c r="EE13" s="208"/>
      <c r="EF13" s="208"/>
      <c r="EG13" s="208"/>
      <c r="EH13" s="208"/>
      <c r="EI13" s="208"/>
      <c r="EJ13" s="208"/>
      <c r="EK13" s="208"/>
      <c r="EL13" s="208"/>
      <c r="EM13" s="208"/>
      <c r="EN13" s="208"/>
      <c r="EO13" s="208"/>
      <c r="EP13" s="208"/>
      <c r="EQ13" s="208"/>
      <c r="ER13" s="208"/>
      <c r="ES13" s="208"/>
      <c r="ET13" s="208"/>
      <c r="EU13" s="208"/>
      <c r="EV13" s="208"/>
      <c r="EW13" s="208"/>
      <c r="EX13" s="208"/>
      <c r="EY13" s="208"/>
      <c r="EZ13" s="208"/>
      <c r="FA13" s="208"/>
      <c r="FB13" s="208"/>
      <c r="FC13" s="208"/>
      <c r="FD13" s="208"/>
      <c r="FE13" s="208"/>
      <c r="FF13" s="208"/>
      <c r="FG13" s="208"/>
      <c r="FH13" s="208"/>
      <c r="FI13" s="208"/>
      <c r="FJ13" s="208"/>
      <c r="FK13" s="208"/>
      <c r="FL13" s="208"/>
      <c r="FM13" s="208"/>
      <c r="FN13" s="208"/>
      <c r="FO13" s="208"/>
      <c r="FP13" s="208"/>
      <c r="FQ13" s="208"/>
      <c r="FR13" s="208"/>
      <c r="FS13" s="208"/>
      <c r="FT13" s="208"/>
      <c r="FU13" s="208"/>
      <c r="FV13" s="208"/>
      <c r="FW13" s="208"/>
      <c r="FX13" s="208"/>
      <c r="FY13" s="208"/>
      <c r="FZ13" s="208"/>
      <c r="GA13" s="208"/>
      <c r="GB13" s="208"/>
      <c r="GC13" s="208"/>
      <c r="GD13" s="208"/>
      <c r="GE13" s="208"/>
      <c r="GF13" s="208"/>
      <c r="GG13" s="208"/>
      <c r="GH13" s="208"/>
      <c r="GI13" s="208"/>
      <c r="GJ13" s="208"/>
      <c r="GK13" s="208"/>
      <c r="GL13" s="208"/>
      <c r="GM13" s="208"/>
      <c r="GN13" s="208"/>
      <c r="GO13" s="208"/>
      <c r="GP13" s="208"/>
      <c r="GQ13" s="208"/>
      <c r="GR13" s="208"/>
      <c r="GS13" s="208"/>
      <c r="GT13" s="208"/>
      <c r="GU13" s="208"/>
      <c r="GV13" s="208"/>
      <c r="GW13" s="208"/>
      <c r="GX13" s="208"/>
      <c r="GY13" s="208"/>
      <c r="GZ13" s="208"/>
      <c r="HA13" s="208"/>
      <c r="HB13" s="208"/>
      <c r="HC13" s="208"/>
      <c r="HD13" s="208"/>
      <c r="HE13" s="208"/>
      <c r="HF13" s="208"/>
      <c r="HG13" s="208"/>
      <c r="HH13" s="208"/>
      <c r="HI13" s="208"/>
      <c r="HJ13" s="208"/>
      <c r="HK13" s="208"/>
      <c r="HL13" s="208"/>
      <c r="HM13" s="208"/>
      <c r="HN13" s="208"/>
      <c r="HO13" s="208"/>
      <c r="HP13" s="208"/>
      <c r="HQ13" s="208"/>
      <c r="HR13" s="208"/>
      <c r="HS13" s="208"/>
      <c r="HT13" s="208"/>
      <c r="HU13" s="208"/>
      <c r="HV13" s="208"/>
      <c r="HW13" s="208"/>
      <c r="HX13" s="208"/>
      <c r="HY13" s="208"/>
      <c r="HZ13" s="208"/>
      <c r="IA13" s="208"/>
      <c r="IB13" s="208"/>
      <c r="IC13" s="208"/>
      <c r="ID13" s="208"/>
      <c r="IE13" s="208"/>
      <c r="IF13" s="208"/>
      <c r="IG13" s="208"/>
      <c r="IH13" s="208"/>
      <c r="II13" s="208"/>
      <c r="IJ13" s="208"/>
      <c r="IK13" s="208"/>
      <c r="IL13" s="208"/>
      <c r="IM13" s="208"/>
      <c r="IN13" s="208"/>
      <c r="IO13" s="208"/>
      <c r="IP13" s="208"/>
      <c r="IQ13" s="208"/>
      <c r="IR13" s="208"/>
      <c r="IS13" s="208"/>
      <c r="IT13" s="208"/>
      <c r="IU13" s="208"/>
      <c r="IV13" s="208"/>
      <c r="IW13" s="208"/>
      <c r="IX13" s="208"/>
      <c r="IY13" s="208"/>
      <c r="IZ13" s="208"/>
      <c r="JA13" s="208"/>
      <c r="JB13" s="208"/>
      <c r="JC13" s="208"/>
      <c r="JD13" s="208"/>
      <c r="JE13" s="208"/>
      <c r="JF13" s="208"/>
      <c r="JG13" s="208"/>
      <c r="JH13" s="208"/>
      <c r="JI13" s="208"/>
      <c r="JJ13" s="208"/>
      <c r="JK13" s="208"/>
      <c r="JL13" s="208"/>
      <c r="JM13" s="208"/>
      <c r="JN13" s="208"/>
      <c r="JO13" s="208"/>
      <c r="JP13" s="208"/>
      <c r="JQ13" s="208"/>
      <c r="JR13" s="208"/>
      <c r="JS13" s="208"/>
      <c r="JT13" s="208"/>
      <c r="JU13" s="208"/>
      <c r="JV13" s="208"/>
      <c r="JW13" s="208"/>
      <c r="JX13" s="208"/>
      <c r="JY13" s="208"/>
      <c r="JZ13" s="208"/>
      <c r="KA13" s="208"/>
      <c r="KB13" s="208"/>
      <c r="KC13" s="208"/>
      <c r="KD13" s="208"/>
      <c r="KE13" s="208"/>
      <c r="KF13" s="208"/>
      <c r="KG13" s="208"/>
      <c r="KH13" s="208"/>
      <c r="KI13" s="208"/>
      <c r="KJ13" s="208"/>
      <c r="KK13" s="208"/>
      <c r="KL13" s="208"/>
      <c r="KM13" s="208"/>
      <c r="KN13" s="208"/>
      <c r="KO13" s="208"/>
      <c r="KP13" s="208"/>
      <c r="KQ13" s="208"/>
      <c r="KR13" s="208"/>
      <c r="KS13" s="208"/>
      <c r="KT13" s="208"/>
      <c r="KU13" s="208"/>
      <c r="KV13" s="208"/>
      <c r="KW13" s="208"/>
      <c r="KX13" s="208"/>
      <c r="KY13" s="208"/>
      <c r="KZ13" s="208"/>
      <c r="LA13" s="208"/>
      <c r="LB13" s="208"/>
      <c r="LC13" s="208"/>
      <c r="LD13" s="208"/>
      <c r="LE13" s="208"/>
      <c r="LF13" s="208"/>
      <c r="LG13" s="208"/>
      <c r="LH13" s="208"/>
      <c r="LI13" s="208"/>
      <c r="LJ13" s="208"/>
      <c r="LK13" s="208"/>
      <c r="LL13" s="208"/>
      <c r="LM13" s="208"/>
      <c r="LN13" s="208"/>
      <c r="LO13" s="208"/>
      <c r="LP13" s="208"/>
      <c r="LQ13" s="208"/>
      <c r="LR13" s="208"/>
      <c r="LS13" s="208"/>
      <c r="LT13" s="208"/>
      <c r="LU13" s="208"/>
      <c r="LV13" s="208"/>
      <c r="LW13" s="208"/>
      <c r="LX13" s="208"/>
      <c r="LY13" s="208"/>
      <c r="LZ13" s="208"/>
      <c r="MA13" s="208"/>
      <c r="MB13" s="208"/>
      <c r="MC13" s="208"/>
      <c r="MD13" s="208"/>
      <c r="ME13" s="208"/>
      <c r="MF13" s="208"/>
      <c r="MG13" s="208"/>
      <c r="MH13" s="208"/>
      <c r="MI13" s="208"/>
      <c r="MJ13" s="208"/>
      <c r="MK13" s="208"/>
      <c r="ML13" s="208"/>
      <c r="MM13" s="208"/>
      <c r="MN13" s="208"/>
      <c r="MO13" s="208"/>
      <c r="MP13" s="208"/>
      <c r="MQ13" s="208"/>
      <c r="MR13" s="208"/>
      <c r="MS13" s="208"/>
      <c r="MT13" s="208"/>
      <c r="MU13" s="208"/>
      <c r="MV13" s="208"/>
      <c r="MW13" s="208"/>
      <c r="MX13" s="208"/>
      <c r="MY13" s="208"/>
      <c r="MZ13" s="208"/>
      <c r="NA13" s="208"/>
      <c r="NB13" s="208"/>
      <c r="NC13" s="208"/>
      <c r="ND13" s="208"/>
      <c r="NE13" s="208"/>
      <c r="NF13" s="208"/>
      <c r="NG13" s="208"/>
      <c r="NH13" s="208"/>
      <c r="NI13" s="208"/>
      <c r="NJ13" s="208"/>
      <c r="NK13" s="208"/>
      <c r="NL13" s="208"/>
      <c r="NM13" s="208"/>
      <c r="NN13" s="208"/>
      <c r="NO13" s="208"/>
      <c r="NP13" s="208"/>
      <c r="NQ13" s="208"/>
      <c r="NR13" s="208"/>
      <c r="NS13" s="208"/>
      <c r="NT13" s="208"/>
      <c r="NU13" s="208"/>
      <c r="NV13" s="208"/>
      <c r="NW13" s="208"/>
      <c r="NX13" s="208"/>
      <c r="NY13" s="208"/>
      <c r="NZ13" s="208"/>
      <c r="OA13" s="208"/>
      <c r="OB13" s="208"/>
      <c r="OC13" s="208"/>
      <c r="OD13" s="208"/>
      <c r="OE13" s="208"/>
      <c r="OF13" s="208"/>
      <c r="OG13" s="208"/>
      <c r="OH13" s="208"/>
      <c r="OI13" s="208"/>
      <c r="OJ13" s="208"/>
      <c r="OK13" s="208"/>
      <c r="OL13" s="208"/>
      <c r="OM13" s="208"/>
      <c r="ON13" s="208"/>
      <c r="OO13" s="208"/>
      <c r="OP13" s="208"/>
      <c r="OQ13" s="208"/>
      <c r="OR13" s="208"/>
      <c r="OS13" s="208"/>
      <c r="OT13" s="208"/>
      <c r="OU13" s="208"/>
      <c r="OV13" s="208"/>
      <c r="OW13" s="208"/>
      <c r="OX13" s="208"/>
      <c r="OY13" s="208"/>
      <c r="OZ13" s="208"/>
      <c r="PA13" s="208"/>
      <c r="PB13" s="208"/>
      <c r="PC13" s="208"/>
      <c r="PD13" s="208"/>
      <c r="PE13" s="208"/>
      <c r="PF13" s="208"/>
      <c r="PG13" s="208"/>
      <c r="PH13" s="208"/>
      <c r="PI13" s="208"/>
      <c r="PJ13" s="208"/>
      <c r="PK13" s="208"/>
      <c r="PL13" s="208"/>
      <c r="PM13" s="208"/>
      <c r="PN13" s="208"/>
      <c r="PO13" s="208"/>
      <c r="PP13" s="208"/>
      <c r="PQ13" s="208"/>
      <c r="PR13" s="208"/>
      <c r="PS13" s="208"/>
      <c r="PT13" s="208"/>
      <c r="PU13" s="208"/>
      <c r="PV13" s="208"/>
      <c r="PW13" s="208"/>
      <c r="PX13" s="208"/>
      <c r="PY13" s="208"/>
      <c r="PZ13" s="208"/>
      <c r="QA13" s="208"/>
      <c r="QB13" s="208"/>
      <c r="QC13" s="208"/>
      <c r="QD13" s="208"/>
      <c r="QE13" s="208"/>
      <c r="QF13" s="208"/>
      <c r="QG13" s="208"/>
      <c r="QH13" s="208"/>
      <c r="QI13" s="208"/>
      <c r="QJ13" s="208"/>
      <c r="QK13" s="208"/>
      <c r="QL13" s="208"/>
      <c r="QM13" s="208"/>
      <c r="QN13" s="208"/>
      <c r="QO13" s="208"/>
      <c r="QP13" s="208"/>
      <c r="QQ13" s="208"/>
      <c r="QR13" s="208"/>
      <c r="QS13" s="208"/>
      <c r="QT13" s="208"/>
      <c r="QU13" s="208"/>
      <c r="QV13" s="208"/>
      <c r="QW13" s="208"/>
      <c r="QX13" s="208"/>
      <c r="QY13" s="208"/>
      <c r="QZ13" s="208"/>
      <c r="RA13" s="208"/>
      <c r="RB13" s="208"/>
      <c r="RC13" s="208"/>
      <c r="RD13" s="208"/>
      <c r="RE13" s="208"/>
      <c r="RF13" s="208"/>
      <c r="RG13" s="208"/>
      <c r="RH13" s="208"/>
      <c r="RI13" s="208"/>
      <c r="RJ13" s="208"/>
      <c r="RK13" s="208"/>
      <c r="RL13" s="208"/>
      <c r="RM13" s="208"/>
      <c r="RN13" s="208"/>
      <c r="RO13" s="208"/>
      <c r="RP13" s="208"/>
      <c r="RQ13" s="208"/>
      <c r="RR13" s="208"/>
      <c r="RS13" s="208"/>
      <c r="RT13" s="208"/>
      <c r="RU13" s="208"/>
      <c r="RV13" s="208"/>
      <c r="RW13" s="208"/>
      <c r="RX13" s="208"/>
      <c r="RY13" s="208"/>
      <c r="RZ13" s="208"/>
      <c r="SA13" s="208"/>
      <c r="SB13" s="208"/>
      <c r="SC13" s="208"/>
      <c r="SD13" s="208"/>
      <c r="SE13" s="208"/>
      <c r="SF13" s="208"/>
      <c r="SG13" s="208"/>
      <c r="SH13" s="208"/>
      <c r="SI13" s="208"/>
      <c r="SJ13" s="208"/>
      <c r="SK13" s="208"/>
      <c r="SL13" s="208"/>
      <c r="SM13" s="208"/>
      <c r="SN13" s="208"/>
      <c r="SO13" s="208"/>
      <c r="SP13" s="208"/>
      <c r="SQ13" s="208"/>
      <c r="SR13" s="208"/>
      <c r="SS13" s="208"/>
      <c r="ST13" s="208"/>
      <c r="SU13" s="208"/>
      <c r="SV13" s="208"/>
      <c r="SW13" s="208"/>
      <c r="SX13" s="208"/>
      <c r="SY13" s="208"/>
      <c r="SZ13" s="208"/>
      <c r="TA13" s="208"/>
      <c r="TB13" s="208"/>
      <c r="TC13" s="208"/>
      <c r="TD13" s="208"/>
      <c r="TE13" s="208"/>
      <c r="TF13" s="208"/>
      <c r="TG13" s="208"/>
      <c r="TH13" s="208"/>
      <c r="TI13" s="208"/>
      <c r="TJ13" s="208"/>
      <c r="TK13" s="208"/>
      <c r="TL13" s="208"/>
      <c r="TM13" s="208"/>
      <c r="TN13" s="208"/>
      <c r="TO13" s="208"/>
      <c r="TP13" s="208"/>
      <c r="TQ13" s="208"/>
      <c r="TR13" s="208"/>
      <c r="TS13" s="208"/>
      <c r="TT13" s="208"/>
      <c r="TU13" s="208"/>
      <c r="TV13" s="208"/>
      <c r="TW13" s="208"/>
      <c r="TX13" s="208"/>
      <c r="TY13" s="208"/>
      <c r="TZ13" s="208"/>
      <c r="UA13" s="208"/>
      <c r="UB13" s="208"/>
      <c r="UC13" s="208"/>
      <c r="UD13" s="208"/>
      <c r="UE13" s="208"/>
      <c r="UF13" s="208"/>
      <c r="UG13" s="208"/>
      <c r="UH13" s="208"/>
      <c r="UI13" s="208"/>
      <c r="UJ13" s="208"/>
      <c r="UK13" s="208"/>
      <c r="UL13" s="208"/>
      <c r="UM13" s="208"/>
      <c r="UN13" s="208"/>
      <c r="UO13" s="208"/>
      <c r="UP13" s="208"/>
      <c r="UQ13" s="208"/>
      <c r="UR13" s="208"/>
      <c r="US13" s="208"/>
      <c r="UT13" s="208"/>
      <c r="UU13" s="208"/>
      <c r="UV13" s="208"/>
      <c r="UW13" s="208"/>
      <c r="UX13" s="208"/>
      <c r="UY13" s="208"/>
      <c r="UZ13" s="208"/>
      <c r="VA13" s="208"/>
      <c r="VB13" s="208"/>
      <c r="VC13" s="208"/>
      <c r="VD13" s="208"/>
      <c r="VE13" s="208"/>
      <c r="VF13" s="208"/>
      <c r="VG13" s="208"/>
      <c r="VH13" s="208"/>
      <c r="VI13" s="208"/>
      <c r="VJ13" s="208"/>
      <c r="VK13" s="208"/>
      <c r="VL13" s="208"/>
      <c r="VM13" s="208"/>
      <c r="VN13" s="208"/>
      <c r="VO13" s="208"/>
      <c r="VP13" s="208"/>
      <c r="VQ13" s="208"/>
      <c r="VR13" s="208"/>
      <c r="VS13" s="208"/>
      <c r="VT13" s="208"/>
      <c r="VU13" s="208"/>
      <c r="VV13" s="208"/>
      <c r="VW13" s="208"/>
      <c r="VX13" s="208"/>
      <c r="VY13" s="208"/>
      <c r="VZ13" s="208"/>
      <c r="WA13" s="208"/>
      <c r="WB13" s="208"/>
      <c r="WC13" s="208"/>
      <c r="WD13" s="208"/>
      <c r="WE13" s="208"/>
      <c r="WF13" s="208"/>
      <c r="WG13" s="208"/>
      <c r="WH13" s="208"/>
      <c r="WI13" s="208"/>
      <c r="WJ13" s="208"/>
      <c r="WK13" s="208"/>
      <c r="WL13" s="208"/>
      <c r="WM13" s="208"/>
      <c r="WN13" s="208"/>
      <c r="WO13" s="208"/>
      <c r="WP13" s="208"/>
      <c r="WQ13" s="208"/>
      <c r="WR13" s="208"/>
      <c r="WS13" s="208"/>
      <c r="WT13" s="208"/>
      <c r="WU13" s="208"/>
      <c r="WV13" s="208"/>
      <c r="WW13" s="208"/>
      <c r="WX13" s="208"/>
      <c r="WY13" s="208"/>
      <c r="WZ13" s="208"/>
      <c r="XA13" s="208"/>
      <c r="XB13" s="208"/>
      <c r="XC13" s="208"/>
      <c r="XD13" s="208"/>
      <c r="XE13" s="208"/>
      <c r="XF13" s="208"/>
      <c r="XG13" s="208"/>
      <c r="XH13" s="208"/>
      <c r="XI13" s="208"/>
      <c r="XJ13" s="208"/>
      <c r="XK13" s="208"/>
      <c r="XL13" s="208"/>
      <c r="XM13" s="208"/>
      <c r="XN13" s="208"/>
      <c r="XO13" s="208"/>
      <c r="XP13" s="208"/>
      <c r="XQ13" s="208"/>
      <c r="XR13" s="208"/>
      <c r="XS13" s="208"/>
      <c r="XT13" s="208"/>
      <c r="XU13" s="208"/>
      <c r="XV13" s="208"/>
      <c r="XW13" s="208"/>
      <c r="XX13" s="208"/>
      <c r="XY13" s="208"/>
      <c r="XZ13" s="208"/>
      <c r="YA13" s="208"/>
      <c r="YB13" s="208"/>
      <c r="YC13" s="208"/>
      <c r="YD13" s="208"/>
      <c r="YE13" s="208"/>
      <c r="YF13" s="208"/>
      <c r="YG13" s="208"/>
      <c r="YH13" s="208"/>
      <c r="YI13" s="208"/>
      <c r="YJ13" s="208"/>
      <c r="YK13" s="208"/>
      <c r="YL13" s="208"/>
      <c r="YM13" s="208"/>
      <c r="YN13" s="208"/>
      <c r="YO13" s="208"/>
      <c r="YP13" s="208"/>
      <c r="YQ13" s="208"/>
      <c r="YR13" s="208"/>
      <c r="YS13" s="208"/>
      <c r="YT13" s="208"/>
      <c r="YU13" s="208"/>
      <c r="YV13" s="208"/>
      <c r="YW13" s="208"/>
      <c r="YX13" s="208"/>
      <c r="YY13" s="208"/>
      <c r="YZ13" s="208"/>
      <c r="ZA13" s="208"/>
      <c r="ZB13" s="208"/>
      <c r="ZC13" s="208"/>
      <c r="ZD13" s="208"/>
      <c r="ZE13" s="208"/>
      <c r="ZF13" s="208"/>
      <c r="ZG13" s="208"/>
      <c r="ZH13" s="208"/>
      <c r="ZI13" s="208"/>
      <c r="ZJ13" s="208"/>
      <c r="ZK13" s="208"/>
      <c r="ZL13" s="208"/>
      <c r="ZM13" s="208"/>
      <c r="ZN13" s="208"/>
      <c r="ZO13" s="208"/>
      <c r="ZP13" s="208"/>
      <c r="ZQ13" s="208"/>
      <c r="ZR13" s="208"/>
      <c r="ZS13" s="208"/>
      <c r="ZT13" s="208"/>
      <c r="ZU13" s="208"/>
      <c r="ZV13" s="208"/>
      <c r="ZW13" s="208"/>
      <c r="ZX13" s="208"/>
      <c r="ZY13" s="208"/>
      <c r="ZZ13" s="208"/>
      <c r="AAA13" s="208"/>
      <c r="AAB13" s="208"/>
      <c r="AAC13" s="208"/>
      <c r="AAD13" s="208"/>
      <c r="AAE13" s="208"/>
      <c r="AAF13" s="208"/>
      <c r="AAG13" s="208"/>
      <c r="AAH13" s="208"/>
      <c r="AAI13" s="208"/>
      <c r="AAJ13" s="208"/>
      <c r="AAK13" s="208"/>
      <c r="AAL13" s="208"/>
      <c r="AAM13" s="208"/>
      <c r="AAN13" s="208"/>
      <c r="AAO13" s="208"/>
      <c r="AAP13" s="208"/>
      <c r="AAQ13" s="208"/>
      <c r="AAR13" s="208"/>
      <c r="AAS13" s="208"/>
      <c r="AAT13" s="208"/>
      <c r="AAU13" s="208"/>
      <c r="AAV13" s="208"/>
      <c r="AAW13" s="208"/>
      <c r="AAX13" s="208"/>
      <c r="AAY13" s="208"/>
      <c r="AAZ13" s="208"/>
      <c r="ABA13" s="208"/>
      <c r="ABB13" s="208"/>
      <c r="ABC13" s="208"/>
      <c r="ABD13" s="208"/>
      <c r="ABE13" s="208"/>
      <c r="ABF13" s="208"/>
      <c r="ABG13" s="208"/>
      <c r="ABH13" s="208"/>
      <c r="ABI13" s="208"/>
      <c r="ABJ13" s="208"/>
      <c r="ABK13" s="208"/>
      <c r="ABL13" s="208"/>
      <c r="ABM13" s="208"/>
      <c r="ABN13" s="208"/>
      <c r="ABO13" s="208"/>
      <c r="ABP13" s="208"/>
      <c r="ABQ13" s="208"/>
      <c r="ABR13" s="208"/>
      <c r="ABS13" s="208"/>
      <c r="ABT13" s="208"/>
      <c r="ABU13" s="208"/>
      <c r="ABV13" s="208"/>
      <c r="ABW13" s="208"/>
      <c r="ABX13" s="208"/>
      <c r="ABY13" s="208"/>
      <c r="ABZ13" s="208"/>
      <c r="ACA13" s="208"/>
      <c r="ACB13" s="208"/>
      <c r="ACC13" s="208"/>
      <c r="ACD13" s="208"/>
      <c r="ACE13" s="208"/>
      <c r="ACF13" s="208"/>
      <c r="ACG13" s="208"/>
      <c r="ACH13" s="208"/>
      <c r="ACI13" s="208"/>
      <c r="ACJ13" s="208"/>
      <c r="ACK13" s="208"/>
      <c r="ACL13" s="208"/>
      <c r="ACM13" s="208"/>
      <c r="ACN13" s="208"/>
      <c r="ACO13" s="208"/>
      <c r="ACP13" s="208"/>
      <c r="ACQ13" s="208"/>
      <c r="ACR13" s="208"/>
      <c r="ACS13" s="208"/>
      <c r="ACT13" s="208"/>
      <c r="ACU13" s="208"/>
      <c r="ACV13" s="208"/>
      <c r="ACW13" s="208"/>
      <c r="ACX13" s="208"/>
      <c r="ACY13" s="208"/>
      <c r="ACZ13" s="208"/>
      <c r="ADA13" s="208"/>
      <c r="ADB13" s="208"/>
      <c r="ADC13" s="208"/>
      <c r="ADD13" s="208"/>
      <c r="ADE13" s="208"/>
      <c r="ADF13" s="208"/>
      <c r="ADG13" s="208"/>
      <c r="ADH13" s="208"/>
      <c r="ADI13" s="208"/>
      <c r="ADJ13" s="208"/>
      <c r="ADK13" s="208"/>
      <c r="ADL13" s="208"/>
      <c r="ADM13" s="208"/>
      <c r="ADN13" s="208"/>
      <c r="ADO13" s="208"/>
      <c r="ADP13" s="208"/>
      <c r="ADQ13" s="208"/>
      <c r="ADR13" s="208"/>
      <c r="ADS13" s="208"/>
      <c r="ADT13" s="208"/>
      <c r="ADU13" s="208"/>
      <c r="ADV13" s="208"/>
      <c r="ADW13" s="208"/>
      <c r="ADX13" s="208"/>
      <c r="ADY13" s="208"/>
      <c r="ADZ13" s="208"/>
      <c r="AEA13" s="208"/>
      <c r="AEB13" s="208"/>
      <c r="AEC13" s="208"/>
      <c r="AED13" s="208"/>
      <c r="AEE13" s="208"/>
      <c r="AEF13" s="208"/>
      <c r="AEG13" s="208"/>
      <c r="AEH13" s="208"/>
      <c r="AEI13" s="208"/>
      <c r="AEJ13" s="208"/>
      <c r="AEK13" s="208"/>
      <c r="AEL13" s="208"/>
      <c r="AEM13" s="208"/>
      <c r="AEN13" s="208"/>
      <c r="AEO13" s="208"/>
      <c r="AEP13" s="208"/>
      <c r="AEQ13" s="208"/>
      <c r="AER13" s="208"/>
      <c r="AES13" s="208"/>
      <c r="AET13" s="208"/>
      <c r="AEU13" s="208"/>
      <c r="AEV13" s="208"/>
      <c r="AEW13" s="208"/>
      <c r="AEX13" s="208"/>
      <c r="AEY13" s="208"/>
      <c r="AEZ13" s="208"/>
      <c r="AFA13" s="208"/>
      <c r="AFB13" s="208"/>
      <c r="AFC13" s="208"/>
      <c r="AFD13" s="208"/>
      <c r="AFE13" s="208"/>
      <c r="AFF13" s="208"/>
      <c r="AFG13" s="208"/>
      <c r="AFH13" s="208"/>
      <c r="AFI13" s="208"/>
      <c r="AFJ13" s="208"/>
      <c r="AFK13" s="208"/>
      <c r="AFL13" s="208"/>
      <c r="AFM13" s="208"/>
      <c r="AFN13" s="208"/>
      <c r="AFO13" s="208"/>
      <c r="AFP13" s="208"/>
      <c r="AFQ13" s="208"/>
      <c r="AFR13" s="208"/>
      <c r="AFS13" s="208"/>
      <c r="AFT13" s="208"/>
      <c r="AFU13" s="208"/>
      <c r="AFV13" s="208"/>
      <c r="AFW13" s="208"/>
      <c r="AFX13" s="208"/>
      <c r="AFY13" s="208"/>
      <c r="AFZ13" s="208"/>
      <c r="AGA13" s="208"/>
      <c r="AGB13" s="208"/>
      <c r="AGC13" s="208"/>
      <c r="AGD13" s="208"/>
      <c r="AGE13" s="208"/>
      <c r="AGF13" s="208"/>
      <c r="AGG13" s="208"/>
      <c r="AGH13" s="208"/>
      <c r="AGI13" s="208"/>
      <c r="AGJ13" s="208"/>
      <c r="AGK13" s="208"/>
      <c r="AGL13" s="208"/>
      <c r="AGM13" s="208"/>
      <c r="AGN13" s="208"/>
      <c r="AGO13" s="208"/>
      <c r="AGP13" s="208"/>
      <c r="AGQ13" s="208"/>
      <c r="AGR13" s="208"/>
      <c r="AGS13" s="208"/>
      <c r="AGT13" s="208"/>
      <c r="AGU13" s="208"/>
      <c r="AGV13" s="208"/>
      <c r="AGW13" s="208"/>
      <c r="AGX13" s="208"/>
      <c r="AGY13" s="208"/>
      <c r="AGZ13" s="208"/>
      <c r="AHA13" s="208"/>
      <c r="AHB13" s="208"/>
      <c r="AHC13" s="208"/>
      <c r="AHD13" s="208"/>
      <c r="AHE13" s="208"/>
      <c r="AHF13" s="208"/>
      <c r="AHG13" s="208"/>
      <c r="AHH13" s="208"/>
      <c r="AHI13" s="208"/>
      <c r="AHJ13" s="208"/>
      <c r="AHK13" s="208"/>
      <c r="AHL13" s="208"/>
      <c r="AHM13" s="208"/>
      <c r="AHN13" s="208"/>
      <c r="AHO13" s="208"/>
      <c r="AHP13" s="208"/>
      <c r="AHQ13" s="208"/>
      <c r="AHR13" s="208"/>
      <c r="AHS13" s="208"/>
      <c r="AHT13" s="208"/>
      <c r="AHU13" s="208"/>
      <c r="AHV13" s="208"/>
      <c r="AHW13" s="208"/>
      <c r="AHX13" s="208"/>
      <c r="AHY13" s="208"/>
      <c r="AHZ13" s="208"/>
      <c r="AIA13" s="208"/>
      <c r="AIB13" s="208"/>
      <c r="AIC13" s="208"/>
      <c r="AID13" s="208"/>
      <c r="AIE13" s="208"/>
      <c r="AIF13" s="208"/>
      <c r="AIG13" s="208"/>
      <c r="AIH13" s="208"/>
      <c r="AII13" s="208"/>
      <c r="AIJ13" s="208"/>
      <c r="AIK13" s="208"/>
      <c r="AIL13" s="208"/>
      <c r="AIM13" s="208"/>
      <c r="AIN13" s="208"/>
      <c r="AIO13" s="208"/>
      <c r="AIP13" s="208"/>
      <c r="AIQ13" s="208"/>
      <c r="AIR13" s="208"/>
      <c r="AIS13" s="208"/>
      <c r="AIT13" s="208"/>
      <c r="AIU13" s="208"/>
      <c r="AIV13" s="208"/>
      <c r="AIW13" s="208"/>
      <c r="AIX13" s="208"/>
      <c r="AIY13" s="208"/>
      <c r="AIZ13" s="208"/>
      <c r="AJA13" s="208"/>
      <c r="AJB13" s="208"/>
      <c r="AJC13" s="208"/>
      <c r="AJD13" s="208"/>
      <c r="AJE13" s="208"/>
      <c r="AJF13" s="208"/>
      <c r="AJG13" s="208"/>
      <c r="AJH13" s="208"/>
      <c r="AJI13" s="208"/>
      <c r="AJJ13" s="208"/>
      <c r="AJK13" s="208"/>
      <c r="AJL13" s="208"/>
      <c r="AJM13" s="208"/>
      <c r="AJN13" s="208"/>
      <c r="AJO13" s="208"/>
      <c r="AJP13" s="208"/>
      <c r="AJQ13" s="208"/>
      <c r="AJR13" s="208"/>
      <c r="AJS13" s="208"/>
      <c r="AJT13" s="208"/>
      <c r="AJU13" s="208"/>
      <c r="AJV13" s="208"/>
      <c r="AJW13" s="208"/>
      <c r="AJX13" s="208"/>
      <c r="AJY13" s="208"/>
      <c r="AJZ13" s="208"/>
      <c r="AKA13" s="208"/>
      <c r="AKB13" s="208"/>
      <c r="AKC13" s="208"/>
      <c r="AKD13" s="208"/>
      <c r="AKE13" s="208"/>
      <c r="AKF13" s="208"/>
      <c r="AKG13" s="208"/>
      <c r="AKH13" s="208"/>
      <c r="AKI13" s="208"/>
      <c r="AKJ13" s="208"/>
      <c r="AKK13" s="208"/>
      <c r="AKL13" s="208"/>
      <c r="AKM13" s="208"/>
      <c r="AKN13" s="208"/>
      <c r="AKO13" s="208"/>
      <c r="AKP13" s="208"/>
      <c r="AKQ13" s="208"/>
      <c r="AKR13" s="208"/>
      <c r="AKS13" s="208"/>
      <c r="AKT13" s="208"/>
      <c r="AKU13" s="208"/>
      <c r="AKV13" s="208"/>
      <c r="AKW13" s="208"/>
      <c r="AKX13" s="208"/>
      <c r="AKY13" s="208"/>
      <c r="AKZ13" s="208"/>
      <c r="ALA13" s="208"/>
      <c r="ALB13" s="208"/>
      <c r="ALC13" s="208"/>
      <c r="ALD13" s="208"/>
      <c r="ALE13" s="208"/>
      <c r="ALF13" s="208"/>
      <c r="ALG13" s="208"/>
      <c r="ALH13" s="208"/>
      <c r="ALI13" s="208"/>
      <c r="ALJ13" s="208"/>
      <c r="ALK13" s="208"/>
      <c r="ALL13" s="208"/>
      <c r="ALM13" s="208"/>
      <c r="ALN13" s="208"/>
      <c r="ALO13" s="208"/>
      <c r="ALP13" s="208"/>
      <c r="ALQ13" s="208"/>
      <c r="ALR13" s="208"/>
      <c r="ALS13" s="208"/>
      <c r="ALT13" s="208"/>
      <c r="ALU13" s="208"/>
      <c r="ALV13" s="208"/>
      <c r="ALW13" s="208"/>
      <c r="ALX13" s="208"/>
      <c r="ALY13" s="208"/>
      <c r="ALZ13" s="208"/>
      <c r="AMA13" s="208"/>
      <c r="AMB13" s="208"/>
      <c r="AMC13" s="208"/>
      <c r="AMD13" s="208"/>
      <c r="AME13" s="208"/>
      <c r="AMF13" s="208"/>
      <c r="AMG13" s="208"/>
      <c r="AMH13" s="208"/>
      <c r="AMI13" s="208"/>
    </row>
    <row r="14" spans="1:1023" x14ac:dyDescent="0.25">
      <c r="F14" s="28"/>
      <c r="H14" s="28"/>
    </row>
    <row r="15" spans="1:1023" ht="25.5" customHeight="1" x14ac:dyDescent="0.25">
      <c r="C15" s="32"/>
      <c r="D15" s="15"/>
      <c r="F15" s="28"/>
      <c r="H15" s="28"/>
    </row>
    <row r="16" spans="1:1023" x14ac:dyDescent="0.25">
      <c r="B16" s="32"/>
      <c r="C16" s="39"/>
      <c r="D16" s="16"/>
      <c r="E16" s="32"/>
      <c r="F16" s="39"/>
    </row>
    <row r="17" spans="2:9" x14ac:dyDescent="0.25">
      <c r="B17" s="32"/>
      <c r="C17" s="40"/>
      <c r="D17" s="34"/>
      <c r="E17" s="32"/>
      <c r="F17" s="40"/>
    </row>
    <row r="18" spans="2:9" x14ac:dyDescent="0.25">
      <c r="B18" s="32"/>
      <c r="C18" s="41"/>
      <c r="E18" s="32"/>
      <c r="F18" s="41"/>
    </row>
    <row r="19" spans="2:9" x14ac:dyDescent="0.25">
      <c r="B19" s="33"/>
    </row>
    <row r="20" spans="2:9" x14ac:dyDescent="0.25">
      <c r="B20" s="33"/>
      <c r="C20" s="38"/>
      <c r="I20" s="35"/>
    </row>
    <row r="21" spans="2:9" x14ac:dyDescent="0.25">
      <c r="B21" s="33"/>
      <c r="C21" s="38"/>
    </row>
    <row r="22" spans="2:9" x14ac:dyDescent="0.25">
      <c r="B22" s="33"/>
    </row>
    <row r="23" spans="2:9" x14ac:dyDescent="0.25">
      <c r="B23" s="33"/>
    </row>
    <row r="24" spans="2:9" x14ac:dyDescent="0.25">
      <c r="B24" s="33"/>
    </row>
    <row r="25" spans="2:9" x14ac:dyDescent="0.25">
      <c r="B25" s="33"/>
    </row>
    <row r="26" spans="2:9" x14ac:dyDescent="0.25">
      <c r="B26" s="33"/>
    </row>
    <row r="27" spans="2:9" x14ac:dyDescent="0.25">
      <c r="B27" s="33"/>
    </row>
    <row r="28" spans="2:9" x14ac:dyDescent="0.25">
      <c r="B28" s="33"/>
    </row>
    <row r="29" spans="2:9" x14ac:dyDescent="0.25">
      <c r="B29" s="33"/>
    </row>
    <row r="30" spans="2:9" x14ac:dyDescent="0.25">
      <c r="B30" s="33"/>
    </row>
    <row r="31" spans="2:9" x14ac:dyDescent="0.25">
      <c r="B31" s="33"/>
    </row>
    <row r="32" spans="2:9" x14ac:dyDescent="0.25">
      <c r="B32" s="33"/>
    </row>
    <row r="33" spans="2:2" x14ac:dyDescent="0.25">
      <c r="B33" s="33"/>
    </row>
    <row r="34" spans="2:2" x14ac:dyDescent="0.25">
      <c r="B34" s="33"/>
    </row>
    <row r="35" spans="2:2" x14ac:dyDescent="0.25">
      <c r="B35" s="33"/>
    </row>
    <row r="36" spans="2:2" x14ac:dyDescent="0.25">
      <c r="B36" s="33"/>
    </row>
    <row r="37" spans="2:2" x14ac:dyDescent="0.25">
      <c r="B37" s="33"/>
    </row>
    <row r="38" spans="2:2" x14ac:dyDescent="0.25">
      <c r="B38" s="33"/>
    </row>
    <row r="39" spans="2:2" x14ac:dyDescent="0.25">
      <c r="B39" s="33"/>
    </row>
    <row r="40" spans="2:2" x14ac:dyDescent="0.25">
      <c r="B40" s="33"/>
    </row>
    <row r="41" spans="2:2" x14ac:dyDescent="0.25">
      <c r="B41" s="33"/>
    </row>
    <row r="42" spans="2:2" x14ac:dyDescent="0.25">
      <c r="B42" s="33"/>
    </row>
    <row r="43" spans="2:2" x14ac:dyDescent="0.25">
      <c r="B43" s="33"/>
    </row>
    <row r="44" spans="2:2" x14ac:dyDescent="0.25">
      <c r="B44" s="33"/>
    </row>
    <row r="45" spans="2:2" x14ac:dyDescent="0.25">
      <c r="B45" s="33"/>
    </row>
    <row r="46" spans="2:2" x14ac:dyDescent="0.25">
      <c r="B46" s="33"/>
    </row>
    <row r="47" spans="2:2" x14ac:dyDescent="0.25">
      <c r="B47" s="33"/>
    </row>
    <row r="48" spans="2:2" x14ac:dyDescent="0.25">
      <c r="B48" s="33"/>
    </row>
    <row r="49" spans="2:2" x14ac:dyDescent="0.25">
      <c r="B49" s="33"/>
    </row>
    <row r="50" spans="2:2" x14ac:dyDescent="0.25">
      <c r="B50" s="33"/>
    </row>
    <row r="51" spans="2:2" x14ac:dyDescent="0.25">
      <c r="B51" s="33"/>
    </row>
    <row r="52" spans="2:2" x14ac:dyDescent="0.25">
      <c r="B52" s="33"/>
    </row>
    <row r="53" spans="2:2" x14ac:dyDescent="0.25">
      <c r="B53" s="33"/>
    </row>
    <row r="54" spans="2:2" x14ac:dyDescent="0.25">
      <c r="B54" s="33"/>
    </row>
    <row r="55" spans="2:2" x14ac:dyDescent="0.25">
      <c r="B55" s="33"/>
    </row>
    <row r="56" spans="2:2" x14ac:dyDescent="0.25">
      <c r="B56" s="33"/>
    </row>
    <row r="57" spans="2:2" x14ac:dyDescent="0.25">
      <c r="B57" s="33"/>
    </row>
    <row r="58" spans="2:2" x14ac:dyDescent="0.25">
      <c r="B58" s="33"/>
    </row>
    <row r="59" spans="2:2" x14ac:dyDescent="0.25">
      <c r="B59" s="33"/>
    </row>
    <row r="60" spans="2:2" x14ac:dyDescent="0.25">
      <c r="B60" s="33"/>
    </row>
    <row r="61" spans="2:2" x14ac:dyDescent="0.25">
      <c r="B61" s="33"/>
    </row>
    <row r="62" spans="2:2" x14ac:dyDescent="0.25">
      <c r="B62" s="33"/>
    </row>
    <row r="63" spans="2:2" x14ac:dyDescent="0.25">
      <c r="B63" s="33"/>
    </row>
    <row r="64" spans="2:2" x14ac:dyDescent="0.25">
      <c r="B64" s="33"/>
    </row>
    <row r="65" spans="2:2" x14ac:dyDescent="0.25">
      <c r="B65" s="33"/>
    </row>
    <row r="66" spans="2:2" x14ac:dyDescent="0.25">
      <c r="B66" s="33"/>
    </row>
    <row r="67" spans="2:2" x14ac:dyDescent="0.25">
      <c r="B67" s="33"/>
    </row>
    <row r="68" spans="2:2" x14ac:dyDescent="0.25">
      <c r="B68" s="33"/>
    </row>
    <row r="69" spans="2:2" x14ac:dyDescent="0.25">
      <c r="B69" s="33"/>
    </row>
    <row r="70" spans="2:2" x14ac:dyDescent="0.25">
      <c r="B70" s="33"/>
    </row>
    <row r="71" spans="2:2" x14ac:dyDescent="0.25">
      <c r="B71" s="33"/>
    </row>
    <row r="72" spans="2:2" x14ac:dyDescent="0.25">
      <c r="B72" s="33"/>
    </row>
    <row r="73" spans="2:2" x14ac:dyDescent="0.25">
      <c r="B73" s="33"/>
    </row>
    <row r="74" spans="2:2" x14ac:dyDescent="0.25">
      <c r="B74" s="33"/>
    </row>
    <row r="75" spans="2:2" x14ac:dyDescent="0.25">
      <c r="B75" s="33"/>
    </row>
    <row r="76" spans="2:2" x14ac:dyDescent="0.25">
      <c r="B76" s="33"/>
    </row>
    <row r="77" spans="2:2" x14ac:dyDescent="0.25">
      <c r="B77" s="33"/>
    </row>
    <row r="78" spans="2:2" x14ac:dyDescent="0.25">
      <c r="B78" s="33"/>
    </row>
    <row r="79" spans="2:2" x14ac:dyDescent="0.25">
      <c r="B79" s="33"/>
    </row>
    <row r="80" spans="2:2" x14ac:dyDescent="0.25">
      <c r="B80" s="33"/>
    </row>
    <row r="81" spans="2:2" x14ac:dyDescent="0.25">
      <c r="B81" s="33"/>
    </row>
    <row r="82" spans="2:2" x14ac:dyDescent="0.25">
      <c r="B82" s="33"/>
    </row>
    <row r="83" spans="2:2" x14ac:dyDescent="0.25">
      <c r="B83" s="33"/>
    </row>
    <row r="84" spans="2:2" x14ac:dyDescent="0.25">
      <c r="B84" s="33"/>
    </row>
    <row r="85" spans="2:2" x14ac:dyDescent="0.25">
      <c r="B85" s="33"/>
    </row>
    <row r="86" spans="2:2" x14ac:dyDescent="0.25">
      <c r="B86" s="33"/>
    </row>
    <row r="87" spans="2:2" x14ac:dyDescent="0.25">
      <c r="B87" s="33"/>
    </row>
    <row r="88" spans="2:2" x14ac:dyDescent="0.25">
      <c r="B88" s="33"/>
    </row>
    <row r="89" spans="2:2" x14ac:dyDescent="0.25">
      <c r="B89" s="33"/>
    </row>
    <row r="90" spans="2:2" x14ac:dyDescent="0.25">
      <c r="B90" s="33"/>
    </row>
    <row r="91" spans="2:2" x14ac:dyDescent="0.25">
      <c r="B91" s="33"/>
    </row>
    <row r="92" spans="2:2" x14ac:dyDescent="0.25">
      <c r="B92" s="33"/>
    </row>
    <row r="93" spans="2:2" x14ac:dyDescent="0.25">
      <c r="B93" s="33"/>
    </row>
    <row r="94" spans="2:2" x14ac:dyDescent="0.25">
      <c r="B94" s="33"/>
    </row>
    <row r="95" spans="2:2" x14ac:dyDescent="0.25">
      <c r="B95" s="33"/>
    </row>
    <row r="96" spans="2:2" x14ac:dyDescent="0.25">
      <c r="B96" s="33"/>
    </row>
    <row r="97" spans="2:2" x14ac:dyDescent="0.25">
      <c r="B97" s="33"/>
    </row>
    <row r="98" spans="2:2" x14ac:dyDescent="0.25">
      <c r="B98" s="33"/>
    </row>
    <row r="99" spans="2:2" x14ac:dyDescent="0.25">
      <c r="B99" s="33"/>
    </row>
    <row r="100" spans="2:2" x14ac:dyDescent="0.25">
      <c r="B100" s="33"/>
    </row>
    <row r="101" spans="2:2" x14ac:dyDescent="0.25">
      <c r="B101" s="33"/>
    </row>
    <row r="102" spans="2:2" x14ac:dyDescent="0.25">
      <c r="B102" s="33"/>
    </row>
    <row r="103" spans="2:2" x14ac:dyDescent="0.25">
      <c r="B103" s="33"/>
    </row>
    <row r="104" spans="2:2" x14ac:dyDescent="0.25">
      <c r="B104" s="33"/>
    </row>
    <row r="105" spans="2:2" x14ac:dyDescent="0.25">
      <c r="B105" s="33"/>
    </row>
    <row r="106" spans="2:2" x14ac:dyDescent="0.25">
      <c r="B106" s="33"/>
    </row>
  </sheetData>
  <mergeCells count="3">
    <mergeCell ref="A1:E1"/>
    <mergeCell ref="B7:F7"/>
    <mergeCell ref="A13:C13"/>
  </mergeCells>
  <pageMargins left="0.31527777777777799" right="0.31527777777777799" top="0.74791666666666701" bottom="0.74791666666666701" header="0.511811023622047" footer="0.511811023622047"/>
  <pageSetup paperSize="9" orientation="landscape" horizontalDpi="300" verticalDpi="300" r:id="rId1"/>
  <customProperties>
    <customPr name="Gu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AMJ53"/>
  <sheetViews>
    <sheetView zoomScale="80" zoomScaleNormal="80" workbookViewId="0">
      <selection activeCell="B5" sqref="B5"/>
    </sheetView>
  </sheetViews>
  <sheetFormatPr defaultColWidth="8.5703125" defaultRowHeight="15" x14ac:dyDescent="0.25"/>
  <cols>
    <col min="1" max="1" width="8.5703125" style="5"/>
    <col min="2" max="2" width="33" style="5" customWidth="1"/>
    <col min="3" max="3" width="26.5703125" style="5" customWidth="1"/>
    <col min="4" max="4" width="28.42578125" style="5" customWidth="1"/>
    <col min="5" max="5" width="18.42578125" style="5" customWidth="1"/>
    <col min="6" max="1024" width="8.5703125" style="5"/>
  </cols>
  <sheetData>
    <row r="2" spans="2:5" ht="18.75" x14ac:dyDescent="0.35">
      <c r="B2" s="6" t="s">
        <v>23</v>
      </c>
    </row>
    <row r="3" spans="2:5" ht="15.75" x14ac:dyDescent="0.25">
      <c r="B3" s="6" t="s">
        <v>24</v>
      </c>
    </row>
    <row r="5" spans="2:5" ht="15.75" x14ac:dyDescent="0.25">
      <c r="B5" s="7" t="s">
        <v>25</v>
      </c>
      <c r="C5" s="8" t="s">
        <v>26</v>
      </c>
      <c r="D5" s="8" t="s">
        <v>27</v>
      </c>
      <c r="E5" s="8" t="s">
        <v>28</v>
      </c>
    </row>
    <row r="6" spans="2:5" ht="34.5" x14ac:dyDescent="0.25">
      <c r="B6" s="9" t="s">
        <v>29</v>
      </c>
      <c r="C6" s="10">
        <v>0.9</v>
      </c>
      <c r="D6" s="10">
        <v>1</v>
      </c>
      <c r="E6" s="10">
        <v>1.1499999999999999</v>
      </c>
    </row>
    <row r="8" spans="2:5" ht="18.75" x14ac:dyDescent="0.35">
      <c r="B8" s="6" t="s">
        <v>30</v>
      </c>
    </row>
    <row r="9" spans="2:5" ht="15.75" x14ac:dyDescent="0.25">
      <c r="B9" s="6" t="s">
        <v>24</v>
      </c>
    </row>
    <row r="11" spans="2:5" ht="47.25" x14ac:dyDescent="0.25">
      <c r="B11" s="7" t="s">
        <v>31</v>
      </c>
      <c r="C11" s="8" t="s">
        <v>32</v>
      </c>
      <c r="D11" s="8" t="s">
        <v>33</v>
      </c>
      <c r="E11" s="8" t="s">
        <v>34</v>
      </c>
    </row>
    <row r="12" spans="2:5" ht="34.5" x14ac:dyDescent="0.25">
      <c r="B12" s="9" t="s">
        <v>35</v>
      </c>
      <c r="C12" s="59">
        <v>0.93</v>
      </c>
      <c r="D12" s="59">
        <v>1</v>
      </c>
      <c r="E12" s="59">
        <v>1.07</v>
      </c>
    </row>
    <row r="14" spans="2:5" ht="20.25" x14ac:dyDescent="0.35">
      <c r="B14" s="6" t="s">
        <v>36</v>
      </c>
    </row>
    <row r="15" spans="2:5" ht="15.75" x14ac:dyDescent="0.25">
      <c r="B15" s="6" t="s">
        <v>24</v>
      </c>
    </row>
    <row r="17" spans="2:5" ht="14.25" customHeight="1" x14ac:dyDescent="0.25">
      <c r="B17" s="243" t="s">
        <v>37</v>
      </c>
      <c r="C17" s="243" t="s">
        <v>38</v>
      </c>
      <c r="D17" s="243" t="s">
        <v>39</v>
      </c>
      <c r="E17" s="243" t="s">
        <v>40</v>
      </c>
    </row>
    <row r="18" spans="2:5" x14ac:dyDescent="0.25">
      <c r="B18" s="243"/>
      <c r="C18" s="243"/>
      <c r="D18" s="243"/>
      <c r="E18" s="243"/>
    </row>
    <row r="19" spans="2:5" ht="34.5" x14ac:dyDescent="0.25">
      <c r="B19" s="9" t="s">
        <v>41</v>
      </c>
      <c r="C19" s="10">
        <v>0.95</v>
      </c>
      <c r="D19" s="10">
        <v>1</v>
      </c>
      <c r="E19" s="10">
        <v>1.05</v>
      </c>
    </row>
    <row r="21" spans="2:5" ht="18.75" x14ac:dyDescent="0.35">
      <c r="B21" s="6" t="s">
        <v>102</v>
      </c>
    </row>
    <row r="22" spans="2:5" ht="15.75" x14ac:dyDescent="0.25">
      <c r="B22" s="6" t="s">
        <v>42</v>
      </c>
    </row>
    <row r="24" spans="2:5" ht="47.25" x14ac:dyDescent="0.25">
      <c r="B24" s="7" t="s">
        <v>43</v>
      </c>
      <c r="C24" s="8" t="s">
        <v>44</v>
      </c>
      <c r="D24" s="8" t="s">
        <v>45</v>
      </c>
      <c r="E24" s="8" t="s">
        <v>46</v>
      </c>
    </row>
    <row r="25" spans="2:5" ht="34.5" x14ac:dyDescent="0.25">
      <c r="B25" s="9" t="s">
        <v>47</v>
      </c>
      <c r="C25" s="10">
        <v>0.85</v>
      </c>
      <c r="D25" s="10">
        <v>1</v>
      </c>
      <c r="E25" s="10">
        <v>1.1499999999999999</v>
      </c>
    </row>
    <row r="27" spans="2:5" ht="20.25" x14ac:dyDescent="0.35">
      <c r="B27" s="6" t="s">
        <v>48</v>
      </c>
    </row>
    <row r="28" spans="2:5" ht="15.75" x14ac:dyDescent="0.25">
      <c r="B28" s="6" t="s">
        <v>42</v>
      </c>
    </row>
    <row r="30" spans="2:5" ht="15" customHeight="1" x14ac:dyDescent="0.25">
      <c r="B30" s="243" t="s">
        <v>49</v>
      </c>
      <c r="C30" s="11" t="s">
        <v>50</v>
      </c>
      <c r="D30" s="243" t="s">
        <v>51</v>
      </c>
    </row>
    <row r="31" spans="2:5" ht="15.75" x14ac:dyDescent="0.25">
      <c r="B31" s="243"/>
      <c r="C31" s="10" t="s">
        <v>51</v>
      </c>
      <c r="D31" s="243"/>
    </row>
    <row r="32" spans="2:5" ht="34.5" x14ac:dyDescent="0.25">
      <c r="B32" s="9" t="s">
        <v>52</v>
      </c>
      <c r="C32" s="10">
        <v>1</v>
      </c>
      <c r="D32" s="10">
        <v>1.07</v>
      </c>
    </row>
    <row r="34" spans="2:5" ht="18.75" x14ac:dyDescent="0.35">
      <c r="B34" s="6" t="s">
        <v>53</v>
      </c>
    </row>
    <row r="35" spans="2:5" ht="15.75" x14ac:dyDescent="0.25">
      <c r="B35" s="6" t="s">
        <v>42</v>
      </c>
    </row>
    <row r="37" spans="2:5" ht="31.5" x14ac:dyDescent="0.25">
      <c r="B37" s="7" t="s">
        <v>54</v>
      </c>
      <c r="C37" s="8" t="s">
        <v>55</v>
      </c>
      <c r="D37" s="8" t="s">
        <v>56</v>
      </c>
      <c r="E37" s="8" t="s">
        <v>57</v>
      </c>
    </row>
    <row r="38" spans="2:5" ht="34.5" x14ac:dyDescent="0.25">
      <c r="B38" s="9" t="s">
        <v>58</v>
      </c>
      <c r="C38" s="10">
        <v>0.87</v>
      </c>
      <c r="D38" s="10">
        <v>1</v>
      </c>
      <c r="E38" s="10">
        <v>1.1499999999999999</v>
      </c>
    </row>
    <row r="40" spans="2:5" ht="20.25" x14ac:dyDescent="0.35">
      <c r="B40" s="6" t="s">
        <v>59</v>
      </c>
    </row>
    <row r="41" spans="2:5" ht="15.75" x14ac:dyDescent="0.25">
      <c r="B41" s="6" t="s">
        <v>42</v>
      </c>
    </row>
    <row r="43" spans="2:5" ht="47.25" x14ac:dyDescent="0.25">
      <c r="B43" s="12" t="s">
        <v>60</v>
      </c>
      <c r="C43" s="8" t="s">
        <v>61</v>
      </c>
      <c r="D43" s="8" t="s">
        <v>62</v>
      </c>
      <c r="E43" s="8" t="s">
        <v>63</v>
      </c>
    </row>
    <row r="44" spans="2:5" ht="18.75" customHeight="1" x14ac:dyDescent="0.25">
      <c r="B44" s="243" t="s">
        <v>64</v>
      </c>
      <c r="C44" s="243">
        <v>0.97</v>
      </c>
      <c r="D44" s="243">
        <v>1</v>
      </c>
      <c r="E44" s="243">
        <v>1.04</v>
      </c>
    </row>
    <row r="45" spans="2:5" ht="15.75" customHeight="1" x14ac:dyDescent="0.25">
      <c r="B45" s="243"/>
      <c r="C45" s="243"/>
      <c r="D45" s="243"/>
      <c r="E45" s="243"/>
    </row>
    <row r="47" spans="2:5" ht="18.75" x14ac:dyDescent="0.35">
      <c r="B47" s="6" t="s">
        <v>65</v>
      </c>
    </row>
    <row r="48" spans="2:5" ht="15.75" x14ac:dyDescent="0.25">
      <c r="B48" s="6" t="s">
        <v>42</v>
      </c>
    </row>
    <row r="50" spans="2:5" ht="45" x14ac:dyDescent="0.25">
      <c r="B50" s="13" t="s">
        <v>66</v>
      </c>
      <c r="C50" s="14" t="s">
        <v>67</v>
      </c>
      <c r="D50" s="14" t="s">
        <v>68</v>
      </c>
      <c r="E50" s="14" t="s">
        <v>69</v>
      </c>
    </row>
    <row r="51" spans="2:5" ht="14.25" customHeight="1" x14ac:dyDescent="0.25">
      <c r="B51" s="243" t="s">
        <v>70</v>
      </c>
      <c r="C51" s="243">
        <v>1</v>
      </c>
      <c r="D51" s="243">
        <v>1.03</v>
      </c>
      <c r="E51" s="243">
        <v>1.05</v>
      </c>
    </row>
    <row r="52" spans="2:5" ht="24.75" customHeight="1" x14ac:dyDescent="0.25">
      <c r="B52" s="243"/>
      <c r="C52" s="243"/>
      <c r="D52" s="243"/>
      <c r="E52" s="243"/>
    </row>
    <row r="53" spans="2:5" ht="15.75" customHeight="1" x14ac:dyDescent="0.25"/>
  </sheetData>
  <mergeCells count="14">
    <mergeCell ref="B17:B18"/>
    <mergeCell ref="C17:C18"/>
    <mergeCell ref="D17:D18"/>
    <mergeCell ref="E17:E18"/>
    <mergeCell ref="B30:B31"/>
    <mergeCell ref="D30:D31"/>
    <mergeCell ref="B44:B45"/>
    <mergeCell ref="C44:C45"/>
    <mergeCell ref="D44:D45"/>
    <mergeCell ref="E44:E45"/>
    <mergeCell ref="B51:B52"/>
    <mergeCell ref="C51:C52"/>
    <mergeCell ref="D51:D52"/>
    <mergeCell ref="E51:E52"/>
  </mergeCells>
  <pageMargins left="0.7" right="0.7" top="0.75" bottom="0.75" header="0.511811023622047" footer="0.511811023622047"/>
  <pageSetup paperSize="9" orientation="portrait" horizontalDpi="300" verticalDpi="300"/>
  <customProperties>
    <customPr name="Guid" r:id="rId1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07113-6F46-4D94-8AB6-8D613C989B1C}">
  <dimension ref="A1:IV176"/>
  <sheetViews>
    <sheetView workbookViewId="0"/>
  </sheetViews>
  <sheetFormatPr defaultRowHeight="12.75" x14ac:dyDescent="0.2"/>
  <sheetData>
    <row r="1" spans="1:256" x14ac:dyDescent="0.2">
      <c r="A1" t="s">
        <v>356</v>
      </c>
      <c r="F1" t="e">
        <f>'2.1 Титул'!A1+"BYw!%"</f>
        <v>#VALUE!</v>
      </c>
      <c r="G1" t="e">
        <f>'2.1 Титул'!B1+"BYw!&amp;"</f>
        <v>#VALUE!</v>
      </c>
      <c r="H1" t="e">
        <f>'2.1 Титул'!C1+"BYw!'"</f>
        <v>#VALUE!</v>
      </c>
      <c r="I1" t="e">
        <f>'2.1 Титул'!D1+"BYw!("</f>
        <v>#VALUE!</v>
      </c>
      <c r="J1" t="e">
        <f>'2.1 Титул'!E1+"BYw!)"</f>
        <v>#VALUE!</v>
      </c>
      <c r="K1" t="e">
        <f>'2.1 Титул'!F1+"BYw!."</f>
        <v>#VALUE!</v>
      </c>
      <c r="L1" t="e">
        <f>'2.1 Титул'!G1+"BYw!/"</f>
        <v>#VALUE!</v>
      </c>
      <c r="M1" t="e">
        <f>'2.1 Титул'!H1+"BYw!0"</f>
        <v>#VALUE!</v>
      </c>
      <c r="N1" t="e">
        <f>'2.1 Титул'!I1+"BYw!1"</f>
        <v>#VALUE!</v>
      </c>
      <c r="O1" t="e">
        <f>'2.1 Титул'!J1+"BYw!2"</f>
        <v>#VALUE!</v>
      </c>
      <c r="P1" t="e">
        <f>'2.1 Титул'!K1+"BYw!3"</f>
        <v>#VALUE!</v>
      </c>
      <c r="Q1" t="e">
        <f>'2.1 Титул'!L1+"BYw!4"</f>
        <v>#VALUE!</v>
      </c>
      <c r="R1" t="e">
        <f>'2.1 Титул'!A2+"BYw!5"</f>
        <v>#VALUE!</v>
      </c>
      <c r="S1" t="e">
        <f>'2.1 Титул'!B2+"BYw!6"</f>
        <v>#VALUE!</v>
      </c>
      <c r="T1" t="e">
        <f>'2.1 Титул'!C2+"BYw!7"</f>
        <v>#VALUE!</v>
      </c>
      <c r="U1" t="e">
        <f>'2.1 Титул'!D2+"BYw!8"</f>
        <v>#VALUE!</v>
      </c>
      <c r="V1" t="e">
        <f>'2.1 Титул'!E2+"BYw!9"</f>
        <v>#VALUE!</v>
      </c>
      <c r="W1" t="e">
        <f>'2.1 Титул'!F2+"BYw!:"</f>
        <v>#VALUE!</v>
      </c>
      <c r="X1" t="e">
        <f>'2.1 Титул'!G2+"BYw!;"</f>
        <v>#VALUE!</v>
      </c>
      <c r="Y1" t="e">
        <f>'2.1 Титул'!H2+"BYw!&lt;"</f>
        <v>#VALUE!</v>
      </c>
      <c r="Z1" t="e">
        <f>'2.1 Титул'!I2+"BYw!="</f>
        <v>#VALUE!</v>
      </c>
      <c r="AA1" t="e">
        <f>'2.1 Титул'!J2+"BYw!&gt;"</f>
        <v>#VALUE!</v>
      </c>
      <c r="AB1" t="e">
        <f>'2.1 Титул'!K2+"BYw!?"</f>
        <v>#VALUE!</v>
      </c>
      <c r="AC1" t="e">
        <f>'2.1 Титул'!L2+"BYw!@"</f>
        <v>#VALUE!</v>
      </c>
      <c r="AD1" t="e">
        <f>'2.1 Титул'!A3+"BYw!A"</f>
        <v>#VALUE!</v>
      </c>
      <c r="AE1" t="e">
        <f>'2.1 Титул'!B3+"BYw!B"</f>
        <v>#VALUE!</v>
      </c>
      <c r="AF1" t="e">
        <f>'2.1 Титул'!C3+"BYw!C"</f>
        <v>#VALUE!</v>
      </c>
      <c r="AG1" t="e">
        <f>'2.1 Титул'!D3+"BYw!D"</f>
        <v>#VALUE!</v>
      </c>
      <c r="AH1" t="e">
        <f>'2.1 Титул'!E3+"BYw!E"</f>
        <v>#VALUE!</v>
      </c>
      <c r="AI1" t="e">
        <f>'2.1 Титул'!F3+"BYw!F"</f>
        <v>#VALUE!</v>
      </c>
      <c r="AJ1" t="e">
        <f>'2.1 Титул'!G3+"BYw!G"</f>
        <v>#VALUE!</v>
      </c>
      <c r="AK1" t="e">
        <f>'2.1 Титул'!H3+"BYw!H"</f>
        <v>#VALUE!</v>
      </c>
      <c r="AL1" t="e">
        <f>'2.1 Титул'!I3+"BYw!I"</f>
        <v>#VALUE!</v>
      </c>
      <c r="AM1" t="e">
        <f>'2.1 Титул'!J3+"BYw!J"</f>
        <v>#VALUE!</v>
      </c>
      <c r="AN1" t="e">
        <f>'2.1 Титул'!K3+"BYw!K"</f>
        <v>#VALUE!</v>
      </c>
      <c r="AO1" t="e">
        <f>'2.1 Титул'!L3+"BYw!L"</f>
        <v>#VALUE!</v>
      </c>
      <c r="AP1" t="e">
        <f>'2.1 Титул'!A4+"BYw!M"</f>
        <v>#VALUE!</v>
      </c>
      <c r="AQ1" t="e">
        <f>'2.1 Титул'!B4+"BYw!N"</f>
        <v>#VALUE!</v>
      </c>
      <c r="AR1" t="e">
        <f>'2.1 Титул'!C4+"BYw!O"</f>
        <v>#VALUE!</v>
      </c>
      <c r="AS1" t="e">
        <f>'2.1 Титул'!D4+"BYw!P"</f>
        <v>#VALUE!</v>
      </c>
      <c r="AT1" t="e">
        <f>'2.1 Титул'!E4+"BYw!Q"</f>
        <v>#VALUE!</v>
      </c>
      <c r="AU1" t="e">
        <f>'2.1 Титул'!F4+"BYw!R"</f>
        <v>#VALUE!</v>
      </c>
      <c r="AV1" t="e">
        <f>'2.1 Титул'!G4+"BYw!S"</f>
        <v>#VALUE!</v>
      </c>
      <c r="AW1" t="e">
        <f>'2.1 Титул'!H4+"BYw!T"</f>
        <v>#VALUE!</v>
      </c>
      <c r="AX1" t="e">
        <f>'2.1 Титул'!I4+"BYw!U"</f>
        <v>#VALUE!</v>
      </c>
      <c r="AY1" t="e">
        <f>'2.1 Титул'!J4+"BYw!V"</f>
        <v>#VALUE!</v>
      </c>
      <c r="AZ1" t="e">
        <f>'2.1 Титул'!K4+"BYw!W"</f>
        <v>#VALUE!</v>
      </c>
      <c r="BA1" t="e">
        <f>'2.1 Титул'!L4+"BYw!X"</f>
        <v>#VALUE!</v>
      </c>
      <c r="BB1" t="e">
        <f>'2.1 Титул'!A5+"BYw!Y"</f>
        <v>#VALUE!</v>
      </c>
      <c r="BC1" t="e">
        <f>'2.1 Титул'!B5+"BYw!Z"</f>
        <v>#VALUE!</v>
      </c>
      <c r="BD1" t="e">
        <f>'2.1 Титул'!C5+"BYw!["</f>
        <v>#VALUE!</v>
      </c>
      <c r="BE1" t="e">
        <f>'2.1 Титул'!D5+"BYw!\"</f>
        <v>#VALUE!</v>
      </c>
      <c r="BF1" t="e">
        <f>'2.1 Титул'!E5+"BYw!]"</f>
        <v>#VALUE!</v>
      </c>
      <c r="BG1" t="e">
        <f>'2.1 Титул'!F5+"BYw!^"</f>
        <v>#VALUE!</v>
      </c>
      <c r="BH1" t="e">
        <f>'2.1 Титул'!G5+"BYw!_"</f>
        <v>#VALUE!</v>
      </c>
      <c r="BI1" t="e">
        <f>'2.1 Титул'!H5+"BYw!`"</f>
        <v>#VALUE!</v>
      </c>
      <c r="BJ1" t="e">
        <f>'2.1 Титул'!I5+"BYw!a"</f>
        <v>#VALUE!</v>
      </c>
      <c r="BK1" t="e">
        <f>'2.1 Титул'!J5+"BYw!b"</f>
        <v>#VALUE!</v>
      </c>
      <c r="BL1" t="e">
        <f>'2.1 Титул'!K5+"BYw!c"</f>
        <v>#VALUE!</v>
      </c>
      <c r="BM1" t="e">
        <f>'2.1 Титул'!L5+"BYw!d"</f>
        <v>#VALUE!</v>
      </c>
      <c r="BN1" t="e">
        <f>'2.1 Титул'!A6+"BYw!e"</f>
        <v>#VALUE!</v>
      </c>
      <c r="BO1" t="e">
        <f>'2.1 Титул'!B6+"BYw!f"</f>
        <v>#VALUE!</v>
      </c>
      <c r="BP1" t="e">
        <f>'2.1 Титул'!C6+"BYw!g"</f>
        <v>#VALUE!</v>
      </c>
      <c r="BQ1" t="e">
        <f>'2.1 Титул'!D6+"BYw!h"</f>
        <v>#VALUE!</v>
      </c>
      <c r="BR1" t="e">
        <f>'2.1 Титул'!E6+"BYw!i"</f>
        <v>#VALUE!</v>
      </c>
      <c r="BS1" t="e">
        <f>'2.1 Титул'!F6+"BYw!j"</f>
        <v>#VALUE!</v>
      </c>
      <c r="BT1" t="e">
        <f>'2.1 Титул'!G6+"BYw!k"</f>
        <v>#VALUE!</v>
      </c>
      <c r="BU1" t="e">
        <f>'2.1 Титул'!H6+"BYw!l"</f>
        <v>#VALUE!</v>
      </c>
      <c r="BV1" t="e">
        <f>'2.1 Титул'!I6+"BYw!m"</f>
        <v>#VALUE!</v>
      </c>
      <c r="BW1" t="e">
        <f>'2.1 Титул'!J6+"BYw!n"</f>
        <v>#VALUE!</v>
      </c>
      <c r="BX1" t="e">
        <f>'2.1 Титул'!K6+"BYw!o"</f>
        <v>#VALUE!</v>
      </c>
      <c r="BY1" t="e">
        <f>'2.1 Титул'!L6+"BYw!p"</f>
        <v>#VALUE!</v>
      </c>
      <c r="BZ1" t="e">
        <f>'2.1 Титул'!A12+"BYw!q"</f>
        <v>#VALUE!</v>
      </c>
      <c r="CA1" t="e">
        <f>'2.1 Титул'!B12+"BYw!r"</f>
        <v>#VALUE!</v>
      </c>
      <c r="CB1" t="e">
        <f>'2.1 Титул'!C12+"BYw!s"</f>
        <v>#VALUE!</v>
      </c>
      <c r="CC1" t="e">
        <f>'2.1 Титул'!D12+"BYw!t"</f>
        <v>#VALUE!</v>
      </c>
      <c r="CD1" t="e">
        <f>'2.1 Титул'!E12+"BYw!u"</f>
        <v>#VALUE!</v>
      </c>
      <c r="CE1" t="e">
        <f>'2.1 Титул'!F12+"BYw!v"</f>
        <v>#VALUE!</v>
      </c>
      <c r="CF1" t="e">
        <f>'2.1 Титул'!G12+"BYw!w"</f>
        <v>#VALUE!</v>
      </c>
      <c r="CG1" t="e">
        <f>'2.1 Титул'!H12+"BYw!x"</f>
        <v>#VALUE!</v>
      </c>
      <c r="CH1" t="e">
        <f>'2.1 Титул'!I12+"BYw!y"</f>
        <v>#VALUE!</v>
      </c>
      <c r="CI1" t="e">
        <f>'2.1 Титул'!J12+"BYw!z"</f>
        <v>#VALUE!</v>
      </c>
      <c r="CJ1" t="e">
        <f>'2.1 Титул'!K12+"BYw!{"</f>
        <v>#VALUE!</v>
      </c>
      <c r="CK1" t="e">
        <f>'2.1 Титул'!L12+"BYw!|"</f>
        <v>#VALUE!</v>
      </c>
      <c r="CL1" t="e">
        <f>'2.1 Титул'!A13+"BYw!}"</f>
        <v>#VALUE!</v>
      </c>
      <c r="CM1" t="e">
        <f>'2.1 Титул'!B13+"BYw!~"</f>
        <v>#VALUE!</v>
      </c>
      <c r="CN1" t="e">
        <f>'2.1 Титул'!C13+"BYw!$#"</f>
        <v>#VALUE!</v>
      </c>
      <c r="CO1" t="e">
        <f>'2.1 Титул'!D13+"BYw!$$"</f>
        <v>#VALUE!</v>
      </c>
      <c r="CP1" t="e">
        <f>'2.1 Титул'!E13+"BYw!$%"</f>
        <v>#VALUE!</v>
      </c>
      <c r="CQ1" t="e">
        <f>'2.1 Титул'!F13+"BYw!$&amp;"</f>
        <v>#VALUE!</v>
      </c>
      <c r="CR1" t="e">
        <f>'2.1 Титул'!G13+"BYw!$'"</f>
        <v>#VALUE!</v>
      </c>
      <c r="CS1" t="e">
        <f>'2.1 Титул'!H13+"BYw!$("</f>
        <v>#VALUE!</v>
      </c>
      <c r="CT1" t="e">
        <f>'2.1 Титул'!I13+"BYw!$)"</f>
        <v>#VALUE!</v>
      </c>
      <c r="CU1" t="e">
        <f>'2.1 Титул'!J13+"BYw!$."</f>
        <v>#VALUE!</v>
      </c>
      <c r="CV1" t="e">
        <f>'2.1 Титул'!K13+"BYw!$/"</f>
        <v>#VALUE!</v>
      </c>
      <c r="CW1" t="e">
        <f>'2.1 Титул'!L13+"BYw!$0"</f>
        <v>#VALUE!</v>
      </c>
      <c r="CX1" t="e">
        <f>'2.1 Титул'!A14+"BYw!$1"</f>
        <v>#VALUE!</v>
      </c>
      <c r="CY1" t="e">
        <f>'2.1 Титул'!B14+"BYw!$2"</f>
        <v>#VALUE!</v>
      </c>
      <c r="CZ1" t="e">
        <f>'2.1 Титул'!C14+"BYw!$3"</f>
        <v>#VALUE!</v>
      </c>
      <c r="DA1" t="e">
        <f>'2.1 Титул'!D14+"BYw!$4"</f>
        <v>#VALUE!</v>
      </c>
      <c r="DB1" t="e">
        <f>'2.1 Титул'!E14+"BYw!$5"</f>
        <v>#VALUE!</v>
      </c>
      <c r="DC1" t="e">
        <f>'2.1 Титул'!F14+"BYw!$6"</f>
        <v>#VALUE!</v>
      </c>
      <c r="DD1" t="e">
        <f>'2.1 Титул'!G14+"BYw!$7"</f>
        <v>#VALUE!</v>
      </c>
      <c r="DE1" t="e">
        <f>'2.1 Титул'!H14+"BYw!$8"</f>
        <v>#VALUE!</v>
      </c>
      <c r="DF1" t="e">
        <f>'2.1 Титул'!I14+"BYw!$9"</f>
        <v>#VALUE!</v>
      </c>
      <c r="DG1" t="e">
        <f>'2.1 Титул'!J14+"BYw!$:"</f>
        <v>#VALUE!</v>
      </c>
      <c r="DH1" t="e">
        <f>'2.1 Титул'!K14+"BYw!$;"</f>
        <v>#VALUE!</v>
      </c>
      <c r="DI1" t="e">
        <f>'2.1 Титул'!L14+"BYw!$&lt;"</f>
        <v>#VALUE!</v>
      </c>
      <c r="DJ1" t="e">
        <f>'2.1 Титул'!A15+"BYw!$="</f>
        <v>#VALUE!</v>
      </c>
      <c r="DK1" t="e">
        <f>'2.1 Титул'!B15+"BYw!$&gt;"</f>
        <v>#VALUE!</v>
      </c>
      <c r="DL1" t="e">
        <f>'2.1 Титул'!C15+"BYw!$?"</f>
        <v>#VALUE!</v>
      </c>
      <c r="DM1" t="e">
        <f>'2.1 Титул'!D15+"BYw!$@"</f>
        <v>#VALUE!</v>
      </c>
      <c r="DN1" t="e">
        <f>'2.1 Титул'!E15+"BYw!$A"</f>
        <v>#VALUE!</v>
      </c>
      <c r="DO1" t="e">
        <f>'2.1 Титул'!F15+"BYw!$B"</f>
        <v>#VALUE!</v>
      </c>
      <c r="DP1" t="e">
        <f>'2.1 Титул'!G15+"BYw!$C"</f>
        <v>#VALUE!</v>
      </c>
      <c r="DQ1" t="e">
        <f>'2.1 Титул'!H15+"BYw!$D"</f>
        <v>#VALUE!</v>
      </c>
      <c r="DR1" t="e">
        <f>'2.1 Титул'!I15+"BYw!$E"</f>
        <v>#VALUE!</v>
      </c>
      <c r="DS1" t="e">
        <f>'2.1 Титул'!J15+"BYw!$F"</f>
        <v>#VALUE!</v>
      </c>
      <c r="DT1" t="e">
        <f>'2.1 Титул'!K15+"BYw!$G"</f>
        <v>#VALUE!</v>
      </c>
      <c r="DU1" t="e">
        <f>'2.1 Титул'!L15+"BYw!$H"</f>
        <v>#VALUE!</v>
      </c>
      <c r="DV1" t="e">
        <f>'2.1 Титул'!A16+"BYw!$I"</f>
        <v>#VALUE!</v>
      </c>
      <c r="DW1" t="e">
        <f>'2.1 Титул'!B16+"BYw!$J"</f>
        <v>#VALUE!</v>
      </c>
      <c r="DX1" t="e">
        <f>'2.1 Титул'!C16+"BYw!$K"</f>
        <v>#VALUE!</v>
      </c>
      <c r="DY1" t="e">
        <f>'2.1 Титул'!D16+"BYw!$L"</f>
        <v>#VALUE!</v>
      </c>
      <c r="DZ1" t="e">
        <f>'2.1 Титул'!E16+"BYw!$M"</f>
        <v>#VALUE!</v>
      </c>
      <c r="EA1" t="e">
        <f>'2.1 Титул'!F16+"BYw!$N"</f>
        <v>#VALUE!</v>
      </c>
      <c r="EB1" t="e">
        <f>'2.1 Титул'!G16+"BYw!$O"</f>
        <v>#VALUE!</v>
      </c>
      <c r="EC1" t="e">
        <f>'2.1 Титул'!H16+"BYw!$P"</f>
        <v>#VALUE!</v>
      </c>
      <c r="ED1" t="e">
        <f>'2.1 Титул'!I16+"BYw!$Q"</f>
        <v>#VALUE!</v>
      </c>
      <c r="EE1" t="e">
        <f>'2.1 Титул'!J16+"BYw!$R"</f>
        <v>#VALUE!</v>
      </c>
      <c r="EF1" t="e">
        <f>'2.1 Титул'!K16+"BYw!$S"</f>
        <v>#VALUE!</v>
      </c>
      <c r="EG1" t="e">
        <f>'2.1 Титул'!L16+"BYw!$T"</f>
        <v>#VALUE!</v>
      </c>
      <c r="EH1" t="e">
        <f>'2.1 Титул'!A17+"BYw!$U"</f>
        <v>#VALUE!</v>
      </c>
      <c r="EI1" t="e">
        <f>'2.1 Титул'!B17+"BYw!$V"</f>
        <v>#VALUE!</v>
      </c>
      <c r="EJ1" t="e">
        <f>'2.1 Титул'!C17+"BYw!$W"</f>
        <v>#VALUE!</v>
      </c>
      <c r="EK1" t="e">
        <f>'2.1 Титул'!D17+"BYw!$X"</f>
        <v>#VALUE!</v>
      </c>
      <c r="EL1" t="e">
        <f>'2.1 Титул'!E17+"BYw!$Y"</f>
        <v>#VALUE!</v>
      </c>
      <c r="EM1" t="e">
        <f>'2.1 Титул'!F17+"BYw!$Z"</f>
        <v>#VALUE!</v>
      </c>
      <c r="EN1" t="e">
        <f>'2.1 Титул'!G17+"BYw!$["</f>
        <v>#VALUE!</v>
      </c>
      <c r="EO1" t="e">
        <f>'2.1 Титул'!H17+"BYw!$\"</f>
        <v>#VALUE!</v>
      </c>
      <c r="EP1" t="e">
        <f>'2.1 Титул'!I17+"BYw!$]"</f>
        <v>#VALUE!</v>
      </c>
      <c r="EQ1" t="e">
        <f>'2.1 Титул'!J17+"BYw!$^"</f>
        <v>#VALUE!</v>
      </c>
      <c r="ER1" t="e">
        <f>'2.1 Титул'!K17+"BYw!$_"</f>
        <v>#VALUE!</v>
      </c>
      <c r="ES1" t="e">
        <f>'2.1 Титул'!L17+"BYw!$`"</f>
        <v>#VALUE!</v>
      </c>
      <c r="ET1" t="e">
        <f>'2.1 Титул'!A18+"BYw!$a"</f>
        <v>#VALUE!</v>
      </c>
      <c r="EU1" t="e">
        <f>'2.1 Титул'!B18+"BYw!$b"</f>
        <v>#VALUE!</v>
      </c>
      <c r="EV1" t="e">
        <f>'2.1 Титул'!C18+"BYw!$c"</f>
        <v>#VALUE!</v>
      </c>
      <c r="EW1" t="e">
        <f>'2.1 Титул'!D18+"BYw!$d"</f>
        <v>#VALUE!</v>
      </c>
      <c r="EX1" t="e">
        <f>'2.1 Титул'!E18+"BYw!$e"</f>
        <v>#VALUE!</v>
      </c>
      <c r="EY1" t="e">
        <f>'2.1 Титул'!F18+"BYw!$f"</f>
        <v>#VALUE!</v>
      </c>
      <c r="EZ1" t="e">
        <f>'2.1 Титул'!G18+"BYw!$g"</f>
        <v>#VALUE!</v>
      </c>
      <c r="FA1" t="e">
        <f>'2.1 Титул'!H18+"BYw!$h"</f>
        <v>#VALUE!</v>
      </c>
      <c r="FB1" t="e">
        <f>'2.1 Титул'!I18+"BYw!$i"</f>
        <v>#VALUE!</v>
      </c>
      <c r="FC1" t="e">
        <f>'2.1 Титул'!J18+"BYw!$j"</f>
        <v>#VALUE!</v>
      </c>
      <c r="FD1" t="e">
        <f>'2.1 Титул'!K18+"BYw!$k"</f>
        <v>#VALUE!</v>
      </c>
      <c r="FE1" t="e">
        <f>'2.1 Титул'!L18+"BYw!$l"</f>
        <v>#VALUE!</v>
      </c>
      <c r="FF1" t="e">
        <f>'2.1 Титул'!A19+"BYw!$m"</f>
        <v>#VALUE!</v>
      </c>
      <c r="FG1" t="e">
        <f>'2.1 Титул'!B19+"BYw!$n"</f>
        <v>#VALUE!</v>
      </c>
      <c r="FH1" t="e">
        <f>'2.1 Титул'!C19+"BYw!$o"</f>
        <v>#VALUE!</v>
      </c>
      <c r="FI1" t="e">
        <f>'2.1 Титул'!D19+"BYw!$p"</f>
        <v>#VALUE!</v>
      </c>
      <c r="FJ1" t="e">
        <f>'2.1 Титул'!E19+"BYw!$q"</f>
        <v>#VALUE!</v>
      </c>
      <c r="FK1" t="e">
        <f>'2.1 Титул'!F19+"BYw!$r"</f>
        <v>#VALUE!</v>
      </c>
      <c r="FL1" t="e">
        <f>'2.1 Титул'!G19+"BYw!$s"</f>
        <v>#VALUE!</v>
      </c>
      <c r="FM1" t="e">
        <f>'2.1 Титул'!H19+"BYw!$t"</f>
        <v>#VALUE!</v>
      </c>
      <c r="FN1" t="e">
        <f>'2.1 Титул'!I19+"BYw!$u"</f>
        <v>#VALUE!</v>
      </c>
      <c r="FO1" t="e">
        <f>'2.1 Титул'!J19+"BYw!$v"</f>
        <v>#VALUE!</v>
      </c>
      <c r="FP1" t="e">
        <f>'2.1 Титул'!K19+"BYw!$w"</f>
        <v>#VALUE!</v>
      </c>
      <c r="FQ1" t="e">
        <f>'2.1 Титул'!L19+"BYw!$x"</f>
        <v>#VALUE!</v>
      </c>
      <c r="FR1" t="e">
        <f>'2.1 Титул'!A20+"BYw!$y"</f>
        <v>#VALUE!</v>
      </c>
      <c r="FS1" t="e">
        <f>'2.1 Титул'!B20+"BYw!$z"</f>
        <v>#VALUE!</v>
      </c>
      <c r="FT1" t="e">
        <f>'2.1 Титул'!C20+"BYw!${"</f>
        <v>#VALUE!</v>
      </c>
      <c r="FU1" t="e">
        <f>'2.1 Титул'!D20+"BYw!$|"</f>
        <v>#VALUE!</v>
      </c>
      <c r="FV1" t="e">
        <f>'2.1 Титул'!E20+"BYw!$}"</f>
        <v>#VALUE!</v>
      </c>
      <c r="FW1" t="e">
        <f>'2.1 Титул'!F20+"BYw!$~"</f>
        <v>#VALUE!</v>
      </c>
      <c r="FX1" t="e">
        <f>'2.1 Титул'!G20+"BYw!%#"</f>
        <v>#VALUE!</v>
      </c>
      <c r="FY1" t="e">
        <f>'2.1 Титул'!H20+"BYw!%$"</f>
        <v>#VALUE!</v>
      </c>
      <c r="FZ1" t="e">
        <f>'2.1 Титул'!I20+"BYw!%%"</f>
        <v>#VALUE!</v>
      </c>
      <c r="GA1" t="e">
        <f>'2.1 Титул'!J20+"BYw!%&amp;"</f>
        <v>#VALUE!</v>
      </c>
      <c r="GB1" t="e">
        <f>'2.1 Титул'!K20+"BYw!%'"</f>
        <v>#VALUE!</v>
      </c>
      <c r="GC1" t="e">
        <f>'2.1 Титул'!L20+"BYw!%("</f>
        <v>#VALUE!</v>
      </c>
      <c r="GD1" t="e">
        <f>'2.1 Титул'!A:A*"BYw!%)"</f>
        <v>#VALUE!</v>
      </c>
      <c r="GE1" t="e">
        <f>'2.1 Титул'!B:B*"BYw!%."</f>
        <v>#VALUE!</v>
      </c>
      <c r="GF1" t="e">
        <f>'2.1 Титул'!C:C*"BYw!%/"</f>
        <v>#VALUE!</v>
      </c>
      <c r="GG1" t="e">
        <f>'2.1 Титул'!D:D*"BYw!%0"</f>
        <v>#VALUE!</v>
      </c>
      <c r="GH1" t="e">
        <f>'2.1 Титул'!E:E*"BYw!%1"</f>
        <v>#VALUE!</v>
      </c>
      <c r="GI1" t="e">
        <f>'2.1 Титул'!F:F*"BYw!%2"</f>
        <v>#VALUE!</v>
      </c>
      <c r="GJ1" t="e">
        <f>'2.1 Титул'!G:G*"BYw!%3"</f>
        <v>#VALUE!</v>
      </c>
      <c r="GK1" t="e">
        <f>'2.1 Титул'!H:H*"BYw!%4"</f>
        <v>#VALUE!</v>
      </c>
      <c r="GL1" t="e">
        <f>'2.1 Титул'!I:I*"BYw!%5"</f>
        <v>#VALUE!</v>
      </c>
      <c r="GM1" t="e">
        <f>'2.1 Титул'!J:J*"BYw!%6"</f>
        <v>#VALUE!</v>
      </c>
      <c r="GN1" t="e">
        <f>'2.1 Титул'!K:K*"BYw!%7"</f>
        <v>#VALUE!</v>
      </c>
      <c r="GO1" t="e">
        <f>'2.1 Титул'!L:L*"BYw!%8"</f>
        <v>#VALUE!</v>
      </c>
      <c r="GP1" t="e">
        <f>'2.1 Титул'!M:M*"BYw!%9"</f>
        <v>#VALUE!</v>
      </c>
      <c r="GQ1" t="e">
        <f>'2.1 Титул'!N:N*"BYw!%:"</f>
        <v>#VALUE!</v>
      </c>
      <c r="GR1" t="e">
        <f>'2.1 Титул'!O:O*"BYw!%;"</f>
        <v>#VALUE!</v>
      </c>
      <c r="GS1" t="e">
        <f>'2.1 Титул'!P:P*"BYw!%&lt;"</f>
        <v>#VALUE!</v>
      </c>
      <c r="GT1" t="e">
        <f>'2.1 Титул'!Q:Q*"BYw!%="</f>
        <v>#VALUE!</v>
      </c>
      <c r="GU1" t="e">
        <f>'2.1 Титул'!R:R*"BYw!%&gt;"</f>
        <v>#VALUE!</v>
      </c>
      <c r="GV1" t="e">
        <f>'2.1 Титул'!S:S*"BYw!%?"</f>
        <v>#VALUE!</v>
      </c>
      <c r="GW1" t="e">
        <f>'2.1 Титул'!T:T*"BYw!%@"</f>
        <v>#VALUE!</v>
      </c>
      <c r="GX1" t="e">
        <f>'2.1 Титул'!U:U*"BYw!%A"</f>
        <v>#VALUE!</v>
      </c>
      <c r="GY1" t="e">
        <f>'2.1 Титул'!V:V*"BYw!%B"</f>
        <v>#VALUE!</v>
      </c>
      <c r="GZ1" t="e">
        <f>'2.1 Титул'!W:W*"BYw!%C"</f>
        <v>#VALUE!</v>
      </c>
      <c r="HA1" t="e">
        <f>'2.1 Титул'!X:X*"BYw!%D"</f>
        <v>#VALUE!</v>
      </c>
      <c r="HB1" t="e">
        <f>'2.1 Титул'!Y:Y*"BYw!%E"</f>
        <v>#VALUE!</v>
      </c>
      <c r="HC1" t="e">
        <f>'2.1 Титул'!Z:Z*"BYw!%F"</f>
        <v>#VALUE!</v>
      </c>
      <c r="HD1" t="e">
        <f>'2.1 Титул'!AA:AA*"BYw!%G"</f>
        <v>#VALUE!</v>
      </c>
      <c r="HE1" t="e">
        <f>'2.1 Титул'!AB:AB*"BYw!%H"</f>
        <v>#VALUE!</v>
      </c>
      <c r="HF1" t="e">
        <f>'2.1 Титул'!AC:AC*"BYw!%I"</f>
        <v>#VALUE!</v>
      </c>
      <c r="HG1" t="e">
        <f>'2.1 Титул'!AD:AD*"BYw!%J"</f>
        <v>#VALUE!</v>
      </c>
      <c r="HH1" t="e">
        <f>'2.1 Титул'!AE:AE*"BYw!%K"</f>
        <v>#VALUE!</v>
      </c>
      <c r="HI1" t="e">
        <f>'2.1 Титул'!AF:AF*"BYw!%L"</f>
        <v>#VALUE!</v>
      </c>
      <c r="HJ1" t="e">
        <f>'2.1 Титул'!AG:AG*"BYw!%M"</f>
        <v>#VALUE!</v>
      </c>
      <c r="HK1" t="e">
        <f>'2.1 Титул'!AH:AH*"BYw!%N"</f>
        <v>#VALUE!</v>
      </c>
      <c r="HL1" t="e">
        <f>'2.1 Титул'!AI:AI*"BYw!%O"</f>
        <v>#VALUE!</v>
      </c>
      <c r="HM1" t="e">
        <f>'2.1 Титул'!AJ:AJ*"BYw!%P"</f>
        <v>#VALUE!</v>
      </c>
      <c r="HN1" t="e">
        <f>'2.1 Титул'!AK:AK*"BYw!%Q"</f>
        <v>#VALUE!</v>
      </c>
      <c r="HO1" t="e">
        <f>'2.1 Титул'!AL:AL*"BYw!%R"</f>
        <v>#VALUE!</v>
      </c>
      <c r="HP1" t="e">
        <f>'2.1 Титул'!AM:AM*"BYw!%S"</f>
        <v>#VALUE!</v>
      </c>
      <c r="HQ1" t="e">
        <f>'2.1 Титул'!AN:AN*"BYw!%T"</f>
        <v>#VALUE!</v>
      </c>
      <c r="HR1" t="e">
        <f>'2.1 Титул'!AO:AO*"BYw!%U"</f>
        <v>#VALUE!</v>
      </c>
      <c r="HS1" t="e">
        <f>'2.1 Титул'!AP:AP*"BYw!%V"</f>
        <v>#VALUE!</v>
      </c>
      <c r="HT1" t="e">
        <f>'2.1 Титул'!AQ:AQ*"BYw!%W"</f>
        <v>#VALUE!</v>
      </c>
      <c r="HU1" t="e">
        <f>'2.1 Титул'!AR:AR*"BYw!%X"</f>
        <v>#VALUE!</v>
      </c>
      <c r="HV1" t="e">
        <f>'2.1 Титул'!AS:AS*"BYw!%Y"</f>
        <v>#VALUE!</v>
      </c>
      <c r="HW1" t="e">
        <f>'2.1 Титул'!AT:AT*"BYw!%Z"</f>
        <v>#VALUE!</v>
      </c>
      <c r="HX1" t="e">
        <f>'2.1 Титул'!AU:AU*"BYw!%["</f>
        <v>#VALUE!</v>
      </c>
      <c r="HY1" t="e">
        <f>'2.1 Титул'!AV:AV*"BYw!%\"</f>
        <v>#VALUE!</v>
      </c>
      <c r="HZ1" t="e">
        <f>'2.1 Титул'!AW:AW*"BYw!%]"</f>
        <v>#VALUE!</v>
      </c>
      <c r="IA1" t="e">
        <f>'2.1 Титул'!AX:AX*"BYw!%^"</f>
        <v>#VALUE!</v>
      </c>
      <c r="IB1" t="e">
        <f>'2.1 Титул'!AY:AY*"BYw!%_"</f>
        <v>#VALUE!</v>
      </c>
      <c r="IC1" t="e">
        <f>'2.1 Титул'!AZ:AZ*"BYw!%`"</f>
        <v>#VALUE!</v>
      </c>
      <c r="ID1" t="e">
        <f>'2.1 Титул'!BA:BA*"BYw!%a"</f>
        <v>#VALUE!</v>
      </c>
      <c r="IE1" t="e">
        <f>'2.1 Титул'!BB:BB*"BYw!%b"</f>
        <v>#VALUE!</v>
      </c>
      <c r="IF1" t="e">
        <f>'2.1 Титул'!BC:BC*"BYw!%c"</f>
        <v>#VALUE!</v>
      </c>
      <c r="IG1" t="e">
        <f>'2.1 Титул'!BD:BD*"BYw!%d"</f>
        <v>#VALUE!</v>
      </c>
      <c r="IH1" t="e">
        <f>'2.1 Титул'!BE:BE*"BYw!%e"</f>
        <v>#VALUE!</v>
      </c>
      <c r="II1" t="e">
        <f>'2.1 Титул'!BF:BF*"BYw!%f"</f>
        <v>#VALUE!</v>
      </c>
      <c r="IJ1" t="e">
        <f>'2.1 Титул'!BG:BG*"BYw!%g"</f>
        <v>#VALUE!</v>
      </c>
      <c r="IK1" t="e">
        <f>'2.1 Титул'!BH:BH*"BYw!%h"</f>
        <v>#VALUE!</v>
      </c>
      <c r="IL1" t="e">
        <f>'2.1 Титул'!BI:BI*"BYw!%i"</f>
        <v>#VALUE!</v>
      </c>
      <c r="IM1" t="e">
        <f>'2.1 Титул'!BJ:BJ*"BYw!%j"</f>
        <v>#VALUE!</v>
      </c>
      <c r="IN1" t="e">
        <f>'2.1 Титул'!1:1-"BYw!%k"</f>
        <v>#VALUE!</v>
      </c>
      <c r="IO1" t="e">
        <f>'2.1 Титул'!2:2-"BYw!%l"</f>
        <v>#VALUE!</v>
      </c>
      <c r="IP1" t="e">
        <f>'2.1 Титул'!3:3-"BYw!%m"</f>
        <v>#VALUE!</v>
      </c>
      <c r="IQ1" t="e">
        <f>'2.1 Титул'!4:4-"BYw!%n"</f>
        <v>#VALUE!</v>
      </c>
      <c r="IR1" t="e">
        <f>'2.1 Титул'!5:5-"BYw!%o"</f>
        <v>#VALUE!</v>
      </c>
      <c r="IS1" t="e">
        <f>'2.1 Титул'!6:6-"BYw!%p"</f>
        <v>#VALUE!</v>
      </c>
      <c r="IT1" t="e">
        <f>'2.1 Титул'!12:12-"BYw!%q"</f>
        <v>#VALUE!</v>
      </c>
      <c r="IU1" t="e">
        <f>'2.1 Титул'!13:13-"BYw!%r"</f>
        <v>#VALUE!</v>
      </c>
      <c r="IV1" t="e">
        <f>'2.1 Титул'!14:14-"BYw!%s"</f>
        <v>#VALUE!</v>
      </c>
    </row>
    <row r="2" spans="1:256" x14ac:dyDescent="0.2">
      <c r="A2" t="s">
        <v>357</v>
      </c>
      <c r="F2" t="e">
        <f>'2.1 Титул'!15:15-"BYw!%t"</f>
        <v>#VALUE!</v>
      </c>
      <c r="G2" t="e">
        <f>'2.1 Титул'!16:16-"BYw!%u"</f>
        <v>#VALUE!</v>
      </c>
      <c r="H2" t="e">
        <f>'2.1 Титул'!17:17-"BYw!%v"</f>
        <v>#VALUE!</v>
      </c>
      <c r="I2" t="e">
        <f>'2.1 Титул'!18:18-"BYw!%w"</f>
        <v>#VALUE!</v>
      </c>
      <c r="J2" t="e">
        <f>'2.1 Титул'!19:19-"BYw!%x"</f>
        <v>#VALUE!</v>
      </c>
      <c r="K2" t="e">
        <f>'2.1 Титул'!20:20-"BYw!%y"</f>
        <v>#VALUE!</v>
      </c>
      <c r="L2" t="e">
        <f>'2.1 Титул'!21:21-"BYw!%z"</f>
        <v>#VALUE!</v>
      </c>
      <c r="M2" t="e">
        <f>'2.1 Титул'!22:22-"BYw!%{"</f>
        <v>#VALUE!</v>
      </c>
      <c r="N2" t="e">
        <f>'2.1 Титул'!23:23-"BYw!%|"</f>
        <v>#VALUE!</v>
      </c>
      <c r="O2" t="e">
        <f>'2.1 Титул'!24:24-"BYw!%}"</f>
        <v>#VALUE!</v>
      </c>
      <c r="P2" t="e">
        <f>'2.1 Титул'!25:25-"BYw!%~"</f>
        <v>#VALUE!</v>
      </c>
      <c r="Q2" t="e">
        <f>'2.1 Титул'!26:26-"BYw!&amp;#"</f>
        <v>#VALUE!</v>
      </c>
      <c r="R2" t="e">
        <f>'2.1 Титул'!27:27-"BYw!&amp;$"</f>
        <v>#VALUE!</v>
      </c>
      <c r="S2" t="e">
        <f>'2.1 Титул'!28:28-"BYw!&amp;%"</f>
        <v>#VALUE!</v>
      </c>
      <c r="T2" t="e">
        <f>'2.1 Титул'!29:29-"BYw!&amp;&amp;"</f>
        <v>#VALUE!</v>
      </c>
      <c r="U2" t="e">
        <f>'2.1 Титул'!30:30-"BYw!&amp;'"</f>
        <v>#VALUE!</v>
      </c>
      <c r="V2" t="e">
        <f>'2.1 Титул'!31:31-"BYw!&amp;("</f>
        <v>#VALUE!</v>
      </c>
      <c r="W2" t="e">
        <f>'2.1 Титул'!32:32-"BYw!&amp;)"</f>
        <v>#VALUE!</v>
      </c>
      <c r="X2" t="e">
        <f>'2.1 Титул'!33:33-"BYw!&amp;."</f>
        <v>#VALUE!</v>
      </c>
      <c r="Y2" t="e">
        <f>'2.1 Титул'!34:34-"BYw!&amp;/"</f>
        <v>#VALUE!</v>
      </c>
      <c r="Z2" t="e">
        <f>'2.1 Титул'!35:35-"BYw!&amp;0"</f>
        <v>#VALUE!</v>
      </c>
      <c r="AA2" t="e">
        <f>'2.1 Титул'!36:36-"BYw!&amp;1"</f>
        <v>#VALUE!</v>
      </c>
      <c r="AB2" t="e">
        <f>'2.1 Титул'!37:37-"BYw!&amp;2"</f>
        <v>#VALUE!</v>
      </c>
      <c r="AC2" t="e">
        <f>'2.1 Титул'!38:38-"BYw!&amp;3"</f>
        <v>#VALUE!</v>
      </c>
      <c r="AD2" t="e">
        <f>'2.1 Титул'!39:39-"BYw!&amp;4"</f>
        <v>#VALUE!</v>
      </c>
      <c r="AE2" t="e">
        <f>'2.1 Титул'!40:40-"BYw!&amp;5"</f>
        <v>#VALUE!</v>
      </c>
      <c r="AF2" t="e">
        <f>'2.1 Титул'!41:41-"BYw!&amp;6"</f>
        <v>#VALUE!</v>
      </c>
      <c r="AG2" t="e">
        <f>'2.1 Титул'!42:42-"BYw!&amp;7"</f>
        <v>#VALUE!</v>
      </c>
      <c r="AH2" t="e">
        <f>'2.1 Титул'!43:43-"BYw!&amp;8"</f>
        <v>#VALUE!</v>
      </c>
      <c r="AI2" t="e">
        <f>'2.1 Титул'!44:44-"BYw!&amp;9"</f>
        <v>#VALUE!</v>
      </c>
      <c r="AJ2" t="e">
        <f>'2.1 Титул'!45:45-"BYw!&amp;:"</f>
        <v>#VALUE!</v>
      </c>
      <c r="AK2" t="e">
        <f>'2.1 Титул'!46:46-"BYw!&amp;;"</f>
        <v>#VALUE!</v>
      </c>
      <c r="AL2" t="e">
        <f>'2.1 Титул'!47:47-"BYw!&amp;&lt;"</f>
        <v>#VALUE!</v>
      </c>
      <c r="AM2" t="e">
        <f>'2.1 Титул'!48:48-"BYw!&amp;="</f>
        <v>#VALUE!</v>
      </c>
      <c r="AN2" t="e">
        <f>'2.1 Титул'!49:49-"BYw!&amp;&gt;"</f>
        <v>#VALUE!</v>
      </c>
      <c r="AO2" t="e">
        <f>'2.1 Титул'!50:50-"BYw!&amp;?"</f>
        <v>#VALUE!</v>
      </c>
      <c r="AP2" t="e">
        <f>'2.1 Титул'!51:51-"BYw!&amp;@"</f>
        <v>#VALUE!</v>
      </c>
      <c r="AQ2" t="e">
        <f>'2.1 Титул'!52:52-"BYw!&amp;A"</f>
        <v>#VALUE!</v>
      </c>
      <c r="AR2" t="e">
        <f>'2.1 Титул'!53:53-"BYw!&amp;B"</f>
        <v>#VALUE!</v>
      </c>
      <c r="AS2" t="e">
        <f>'2.1 Титул'!54:54-"BYw!&amp;C"</f>
        <v>#VALUE!</v>
      </c>
      <c r="AT2" t="e">
        <f>'2.1 Титул'!55:55-"BYw!&amp;D"</f>
        <v>#VALUE!</v>
      </c>
      <c r="AU2" t="e">
        <f>'2.1 Титул'!56:56-"BYw!&amp;E"</f>
        <v>#VALUE!</v>
      </c>
      <c r="AV2" t="e">
        <f>'2.1 Титул'!57:57-"BYw!&amp;F"</f>
        <v>#VALUE!</v>
      </c>
      <c r="AW2" t="e">
        <f>'2.1 Титул'!58:58-"BYw!&amp;G"</f>
        <v>#VALUE!</v>
      </c>
      <c r="AX2" t="e">
        <f>'2.1 Титул'!59:59-"BYw!&amp;H"</f>
        <v>#VALUE!</v>
      </c>
      <c r="AY2" t="e">
        <f>'2.1 Титул'!60:60-"BYw!&amp;I"</f>
        <v>#VALUE!</v>
      </c>
      <c r="AZ2" t="e">
        <f>'2.1 Титул'!61:61-"BYw!&amp;J"</f>
        <v>#VALUE!</v>
      </c>
      <c r="BA2" t="e">
        <f>'2.1 Титул'!62:62-"BYw!&amp;K"</f>
        <v>#VALUE!</v>
      </c>
      <c r="BB2" t="e">
        <f>'2.1 Титул'!63:63-"BYw!&amp;L"</f>
        <v>#VALUE!</v>
      </c>
      <c r="BC2" t="e">
        <f>'2.1 Титул'!64:64-"BYw!&amp;M"</f>
        <v>#VALUE!</v>
      </c>
      <c r="BD2" t="e">
        <f>'2.1 Титул'!65:65-"BYw!&amp;N"</f>
        <v>#VALUE!</v>
      </c>
      <c r="BE2" t="e">
        <f>'2.1 Титул'!66:66-"BYw!&amp;O"</f>
        <v>#VALUE!</v>
      </c>
      <c r="BF2" t="e">
        <f>'2.1 Титул'!67:67-"BYw!&amp;P"</f>
        <v>#VALUE!</v>
      </c>
      <c r="BG2" t="e">
        <f>'2.1 Титул'!68:68-"BYw!&amp;Q"</f>
        <v>#VALUE!</v>
      </c>
      <c r="BH2" t="e">
        <f>'2.1 Титул'!69:69-"BYw!&amp;R"</f>
        <v>#VALUE!</v>
      </c>
      <c r="BI2" t="e">
        <f>'2.1 Титул'!70:70-"BYw!&amp;S"</f>
        <v>#VALUE!</v>
      </c>
      <c r="BJ2" t="e">
        <f>'2.1 Титул'!71:71-"BYw!&amp;T"</f>
        <v>#VALUE!</v>
      </c>
      <c r="BK2" t="e">
        <f>'2.1 Титул'!72:72-"BYw!&amp;U"</f>
        <v>#VALUE!</v>
      </c>
      <c r="BL2" t="e">
        <f>'2.1 Титул'!73:73-"BYw!&amp;V"</f>
        <v>#VALUE!</v>
      </c>
      <c r="BM2" t="e">
        <f>'2.1 Титул'!74:74-"BYw!&amp;W"</f>
        <v>#VALUE!</v>
      </c>
      <c r="BN2" t="e">
        <f>'2.1 Титул'!75:75-"BYw!&amp;X"</f>
        <v>#VALUE!</v>
      </c>
      <c r="BO2" t="e">
        <f>'2.1 Титул'!76:76-"BYw!&amp;Y"</f>
        <v>#VALUE!</v>
      </c>
      <c r="BP2" t="e">
        <f>'2.1 Титул'!77:77-"BYw!&amp;Z"</f>
        <v>#VALUE!</v>
      </c>
      <c r="BQ2" t="e">
        <f>'2.1 Титул'!78:78-"BYw!&amp;["</f>
        <v>#VALUE!</v>
      </c>
      <c r="BR2" t="e">
        <f>'2.1 Титул'!79:79-"BYw!&amp;\"</f>
        <v>#VALUE!</v>
      </c>
      <c r="BS2" t="e">
        <f>'2.1 Титул'!80:80-"BYw!&amp;]"</f>
        <v>#VALUE!</v>
      </c>
      <c r="BT2" t="e">
        <f>'2.1 Титул'!81:81-"BYw!&amp;^"</f>
        <v>#VALUE!</v>
      </c>
      <c r="BU2" t="e">
        <f>'2.1 Титул'!82:82-"BYw!&amp;_"</f>
        <v>#VALUE!</v>
      </c>
      <c r="BV2" t="e">
        <f>'2.1 Титул'!83:83-"BYw!&amp;`"</f>
        <v>#VALUE!</v>
      </c>
      <c r="BW2" t="e">
        <f>'2.1 Титул'!84:84-"BYw!&amp;a"</f>
        <v>#VALUE!</v>
      </c>
      <c r="BX2" t="e">
        <f>'2.1 Титул'!85:85-"BYw!&amp;b"</f>
        <v>#VALUE!</v>
      </c>
      <c r="BY2" t="e">
        <f>'2.1 Титул'!86:86-"BYw!&amp;c"</f>
        <v>#VALUE!</v>
      </c>
      <c r="BZ2" t="e">
        <f>'2.1 Титул'!87:87-"BYw!&amp;d"</f>
        <v>#VALUE!</v>
      </c>
      <c r="CA2" t="e">
        <f>'2.1 Титул'!88:88-"BYw!&amp;e"</f>
        <v>#VALUE!</v>
      </c>
      <c r="CB2" t="e">
        <f>'2.1 Титул'!89:89-"BYw!&amp;f"</f>
        <v>#VALUE!</v>
      </c>
      <c r="CC2" t="e">
        <f>'2.1 Титул'!90:90-"BYw!&amp;g"</f>
        <v>#VALUE!</v>
      </c>
      <c r="CD2" t="e">
        <f>'2.1 Титул'!91:91-"BYw!&amp;h"</f>
        <v>#VALUE!</v>
      </c>
      <c r="CE2" t="e">
        <f>'2.1 Титул'!92:92-"BYw!&amp;i"</f>
        <v>#VALUE!</v>
      </c>
      <c r="CF2" t="e">
        <f>'2.1 Титул'!93:93-"BYw!&amp;j"</f>
        <v>#VALUE!</v>
      </c>
      <c r="CG2" t="e">
        <f>'2.1 Титул'!94:94-"BYw!&amp;k"</f>
        <v>#VALUE!</v>
      </c>
      <c r="CH2" t="e">
        <f>'2.1 Титул'!95:95-"BYw!&amp;l"</f>
        <v>#VALUE!</v>
      </c>
      <c r="CI2" t="e">
        <f>'2.1 Титул'!96:96-"BYw!&amp;m"</f>
        <v>#VALUE!</v>
      </c>
      <c r="CJ2" t="e">
        <f>'2.1 Титул'!97:97-"BYw!&amp;n"</f>
        <v>#VALUE!</v>
      </c>
      <c r="CK2" t="e">
        <f>'2.1 Титул'!98:98-"BYw!&amp;o"</f>
        <v>#VALUE!</v>
      </c>
      <c r="CL2" t="e">
        <f>'2.1 Титул'!99:99-"BYw!&amp;p"</f>
        <v>#VALUE!</v>
      </c>
      <c r="CM2" t="e">
        <f>'2.1 Титул'!100:100-"BYw!&amp;q"</f>
        <v>#VALUE!</v>
      </c>
      <c r="CN2" t="e">
        <f>'2.1 Титул'!101:101-"BYw!&amp;r"</f>
        <v>#VALUE!</v>
      </c>
      <c r="CO2" t="e">
        <f>'2.1 Титул'!102:102-"BYw!&amp;s"</f>
        <v>#VALUE!</v>
      </c>
      <c r="CP2" t="e">
        <f>'2.1 Титул'!103:103-"BYw!&amp;t"</f>
        <v>#VALUE!</v>
      </c>
      <c r="CQ2" t="e">
        <f>'2.1 Титул'!104:104-"BYw!&amp;u"</f>
        <v>#VALUE!</v>
      </c>
      <c r="CR2" t="e">
        <f>'2.1 Титул'!105:105-"BYw!&amp;v"</f>
        <v>#VALUE!</v>
      </c>
      <c r="CS2" t="e">
        <f>'2.1 Титул'!106:106-"BYw!&amp;w"</f>
        <v>#VALUE!</v>
      </c>
      <c r="CT2" t="e">
        <f>'2.1 Титул'!107:107-"BYw!&amp;x"</f>
        <v>#VALUE!</v>
      </c>
      <c r="CU2" t="e">
        <f>'2.1 Титул'!108:108-"BYw!&amp;y"</f>
        <v>#VALUE!</v>
      </c>
      <c r="CV2" t="e">
        <f>'2.1 Титул'!109:109-"BYw!&amp;z"</f>
        <v>#VALUE!</v>
      </c>
      <c r="CW2" t="e">
        <f>'2.1 Титул'!110:110-"BYw!&amp;{"</f>
        <v>#VALUE!</v>
      </c>
      <c r="CX2" t="e">
        <f>'2.1 Титул'!111:111-"BYw!&amp;|"</f>
        <v>#VALUE!</v>
      </c>
      <c r="CY2" t="e">
        <f>'2.1 Титул'!112:112-"BYw!&amp;}"</f>
        <v>#VALUE!</v>
      </c>
      <c r="CZ2" t="e">
        <f>'2.1 Титул'!113:113-"BYw!&amp;~"</f>
        <v>#VALUE!</v>
      </c>
      <c r="DA2" t="e">
        <f>'2.1 Титул'!114:114-"BYw!'#"</f>
        <v>#VALUE!</v>
      </c>
      <c r="DB2" t="e">
        <f>'2.1 Титул'!115:115-"BYw!'$"</f>
        <v>#VALUE!</v>
      </c>
      <c r="DC2" t="e">
        <f>'2.1 Титул'!116:116-"BYw!'%"</f>
        <v>#VALUE!</v>
      </c>
      <c r="DD2" t="e">
        <f>'2.1 Титул'!117:117-"BYw!'&amp;"</f>
        <v>#VALUE!</v>
      </c>
      <c r="DE2" t="e">
        <f>'2.1 Титул'!118:118-"BYw!''"</f>
        <v>#VALUE!</v>
      </c>
      <c r="DF2" t="e">
        <f>'2.1 Титул'!119:119-"BYw!'("</f>
        <v>#VALUE!</v>
      </c>
      <c r="DG2" t="e">
        <f>'2.1 Титул'!120:120-"BYw!')"</f>
        <v>#VALUE!</v>
      </c>
      <c r="DH2" t="e">
        <f>'2.1 Титул'!121:121-"BYw!'."</f>
        <v>#VALUE!</v>
      </c>
      <c r="DI2" t="e">
        <f>'2.1 Титул'!122:122-"BYw!'/"</f>
        <v>#VALUE!</v>
      </c>
      <c r="DJ2" t="e">
        <f>'2.1 Титул'!123:123-"BYw!'0"</f>
        <v>#VALUE!</v>
      </c>
      <c r="DK2" t="e">
        <f>'2.1 Титул'!124:124-"BYw!'1"</f>
        <v>#VALUE!</v>
      </c>
      <c r="DL2" t="e">
        <f>'2.1 Титул'!125:125-"BYw!'2"</f>
        <v>#VALUE!</v>
      </c>
      <c r="DM2" t="e">
        <f>'2.1 Титул'!126:126-"BYw!'3"</f>
        <v>#VALUE!</v>
      </c>
      <c r="DN2" t="e">
        <f>'2.1 Титул'!127:127-"BYw!'4"</f>
        <v>#VALUE!</v>
      </c>
      <c r="DO2" t="e">
        <f>'2.1 Титул'!128:128-"BYw!'5"</f>
        <v>#VALUE!</v>
      </c>
      <c r="DP2" t="e">
        <f>'2.1 Титул'!129:129-"BYw!'6"</f>
        <v>#VALUE!</v>
      </c>
      <c r="DQ2" t="e">
        <f>'2.1 Титул'!130:130-"BYw!'7"</f>
        <v>#VALUE!</v>
      </c>
      <c r="DR2" t="e">
        <f>'2.1 Титул'!131:131-"BYw!'8"</f>
        <v>#VALUE!</v>
      </c>
      <c r="DS2" t="e">
        <f>'2.1 Титул'!132:132-"BYw!'9"</f>
        <v>#VALUE!</v>
      </c>
      <c r="DT2" t="e">
        <f>'2.1 Титул'!133:133-"BYw!':"</f>
        <v>#VALUE!</v>
      </c>
      <c r="DU2" t="e">
        <f>'2.1 Титул'!134:134-"BYw!';"</f>
        <v>#VALUE!</v>
      </c>
      <c r="DV2" t="e">
        <f>'2.1 Титул'!135:135-"BYw!'&lt;"</f>
        <v>#VALUE!</v>
      </c>
      <c r="DW2" t="e">
        <f>'2.1 Титул'!136:136-"BYw!'="</f>
        <v>#VALUE!</v>
      </c>
      <c r="DX2" t="e">
        <f>'2.1 Титул'!137:137-"BYw!'&gt;"</f>
        <v>#VALUE!</v>
      </c>
      <c r="DY2" t="e">
        <f>'2.1 Титул'!138:138-"BYw!'?"</f>
        <v>#VALUE!</v>
      </c>
      <c r="DZ2" t="e">
        <f>'2.1 Титул'!139:139-"BYw!'@"</f>
        <v>#VALUE!</v>
      </c>
      <c r="EA2" t="e">
        <f>'2.1 Титул'!140:140-"BYw!'A"</f>
        <v>#VALUE!</v>
      </c>
      <c r="EB2" t="e">
        <f>'2.1 Титул'!141:141-"BYw!'B"</f>
        <v>#VALUE!</v>
      </c>
      <c r="EC2" t="e">
        <f>'2.1 Титул'!142:142-"BYw!'C"</f>
        <v>#VALUE!</v>
      </c>
      <c r="ED2" t="e">
        <f>'2.1 Титул'!143:143-"BYw!'D"</f>
        <v>#VALUE!</v>
      </c>
      <c r="EE2" t="e">
        <f>'2.1 Титул'!144:144-"BYw!'E"</f>
        <v>#VALUE!</v>
      </c>
      <c r="EF2" t="e">
        <f>'2.1 Титул'!145:145-"BYw!'F"</f>
        <v>#VALUE!</v>
      </c>
      <c r="EG2" t="e">
        <f>'2.1 Титул'!146:146-"BYw!'G"</f>
        <v>#VALUE!</v>
      </c>
      <c r="EH2" t="e">
        <f>'2.1 Титул'!147:147-"BYw!'H"</f>
        <v>#VALUE!</v>
      </c>
      <c r="EI2" t="e">
        <f>'2.1 Титул'!148:148-"BYw!'I"</f>
        <v>#VALUE!</v>
      </c>
      <c r="EJ2" t="e">
        <f>'2.1 Титул'!149:149-"BYw!'J"</f>
        <v>#VALUE!</v>
      </c>
      <c r="EK2" t="e">
        <f>'2.1 Титул'!150:150-"BYw!'K"</f>
        <v>#VALUE!</v>
      </c>
      <c r="EL2" t="e">
        <f>'2.1 Титул'!151:151-"BYw!'L"</f>
        <v>#VALUE!</v>
      </c>
      <c r="EM2" t="e">
        <f>'2.1 Титул'!152:152-"BYw!'M"</f>
        <v>#VALUE!</v>
      </c>
      <c r="EN2" t="e">
        <f>'2.1 Титул'!153:153-"BYw!'N"</f>
        <v>#VALUE!</v>
      </c>
      <c r="EO2" t="e">
        <f>'2.1 Титул'!154:154-"BYw!'O"</f>
        <v>#VALUE!</v>
      </c>
      <c r="EP2" t="e">
        <f>'2.1 Титул'!155:155-"BYw!'P"</f>
        <v>#VALUE!</v>
      </c>
      <c r="EQ2" t="e">
        <f>'2.1 Титул'!156:156-"BYw!'Q"</f>
        <v>#VALUE!</v>
      </c>
      <c r="ER2" t="e">
        <f>'2.1 Титул'!157:157-"BYw!'R"</f>
        <v>#VALUE!</v>
      </c>
      <c r="ES2" t="e">
        <f>'2.1 Титул'!158:158-"BYw!'S"</f>
        <v>#VALUE!</v>
      </c>
      <c r="ET2" t="e">
        <f>'2.1 Титул'!159:159-"BYw!'T"</f>
        <v>#VALUE!</v>
      </c>
      <c r="EU2" t="e">
        <f>'2.1 Титул'!160:160-"BYw!'U"</f>
        <v>#VALUE!</v>
      </c>
      <c r="EV2" t="e">
        <f>'2.1 Титул'!161:161-"BYw!'V"</f>
        <v>#VALUE!</v>
      </c>
      <c r="EW2" t="e">
        <f>'2.1 Титул'!162:162-"BYw!'W"</f>
        <v>#VALUE!</v>
      </c>
      <c r="EX2" t="e">
        <f>'2.1 Титул'!163:163-"BYw!'X"</f>
        <v>#VALUE!</v>
      </c>
      <c r="EY2" t="e">
        <f>'2.1 Титул'!164:164-"BYw!'Y"</f>
        <v>#VALUE!</v>
      </c>
      <c r="EZ2" t="e">
        <f>'2.1 Титул'!165:165-"BYw!'Z"</f>
        <v>#VALUE!</v>
      </c>
      <c r="FA2" t="e">
        <f>'2.1 Титул'!166:166-"BYw!'["</f>
        <v>#VALUE!</v>
      </c>
      <c r="FB2" t="e">
        <f>'2.1 Титул'!167:167-"BYw!'\"</f>
        <v>#VALUE!</v>
      </c>
      <c r="FC2" t="e">
        <f>'2.1 Титул'!168:168-"BYw!']"</f>
        <v>#VALUE!</v>
      </c>
      <c r="FD2" t="e">
        <f>'2.1 Титул'!169:169-"BYw!'^"</f>
        <v>#VALUE!</v>
      </c>
      <c r="FE2" t="e">
        <f>'2.1 Титул'!170:170-"BYw!'_"</f>
        <v>#VALUE!</v>
      </c>
      <c r="FF2" t="e">
        <f>'2.1 Титул'!171:171-"BYw!'`"</f>
        <v>#VALUE!</v>
      </c>
      <c r="FG2" t="e">
        <f>'2.1 Титул'!172:172-"BYw!'a"</f>
        <v>#VALUE!</v>
      </c>
      <c r="FH2" t="e">
        <f>'2.1 Титул'!173:173-"BYw!'b"</f>
        <v>#VALUE!</v>
      </c>
      <c r="FI2" t="e">
        <f>'2.1 Титул'!174:174-"BYw!'c"</f>
        <v>#VALUE!</v>
      </c>
      <c r="FJ2" t="e">
        <f>'2.1 Титул'!175:175-"BYw!'d"</f>
        <v>#VALUE!</v>
      </c>
      <c r="FK2" t="e">
        <f>'2.1 Титул'!176:176-"BYw!'e"</f>
        <v>#VALUE!</v>
      </c>
      <c r="FL2" t="e">
        <f>'2.1 Титул'!177:177-"BYw!'f"</f>
        <v>#VALUE!</v>
      </c>
      <c r="FM2" t="e">
        <f>'2.1 Титул'!178:178-"BYw!'g"</f>
        <v>#VALUE!</v>
      </c>
      <c r="FN2" t="e">
        <f>'2.1 Титул'!179:179-"BYw!'h"</f>
        <v>#VALUE!</v>
      </c>
      <c r="FO2" t="e">
        <f>'2.1 Титул'!180:180-"BYw!'i"</f>
        <v>#VALUE!</v>
      </c>
      <c r="FP2" t="e">
        <f>'2.1 Титул'!181:181-"BYw!'j"</f>
        <v>#VALUE!</v>
      </c>
      <c r="FQ2" t="e">
        <f>'2.1 Титул'!182:182-"BYw!'k"</f>
        <v>#VALUE!</v>
      </c>
      <c r="FR2" t="e">
        <f>'2.1 Титул'!183:183-"BYw!'l"</f>
        <v>#VALUE!</v>
      </c>
      <c r="FS2" t="e">
        <f>'2.1 Титул'!184:184-"BYw!'m"</f>
        <v>#VALUE!</v>
      </c>
      <c r="FT2" t="e">
        <f>'2.1 Титул'!185:185-"BYw!'n"</f>
        <v>#VALUE!</v>
      </c>
      <c r="FU2" t="e">
        <f>'2.1 Титул'!186:186-"BYw!'o"</f>
        <v>#VALUE!</v>
      </c>
      <c r="FV2" t="e">
        <f>'2.1 Титул'!187:187-"BYw!'p"</f>
        <v>#VALUE!</v>
      </c>
      <c r="FW2" t="e">
        <f>'2.1 Титул'!188:188-"BYw!'q"</f>
        <v>#VALUE!</v>
      </c>
      <c r="FX2" t="e">
        <f>'2.1 Титул'!189:189-"BYw!'r"</f>
        <v>#VALUE!</v>
      </c>
      <c r="FY2" t="e">
        <f>'2.1 Титул'!190:190-"BYw!'s"</f>
        <v>#VALUE!</v>
      </c>
      <c r="FZ2" t="e">
        <f>'2.1 Титул'!191:191-"BYw!'t"</f>
        <v>#VALUE!</v>
      </c>
      <c r="GA2" t="e">
        <f>'2.1 Титул'!192:192-"BYw!'u"</f>
        <v>#VALUE!</v>
      </c>
      <c r="GB2" t="e">
        <f>'2.1 Титул'!193:193-"BYw!'v"</f>
        <v>#VALUE!</v>
      </c>
      <c r="GC2" t="e">
        <f>'2.1 Титул'!194:194-"BYw!'w"</f>
        <v>#VALUE!</v>
      </c>
      <c r="GD2" t="e">
        <f>'2.1 Титул'!195:195-"BYw!'x"</f>
        <v>#VALUE!</v>
      </c>
      <c r="GE2" t="e">
        <f>'2.1 Титул'!196:196-"BYw!'y"</f>
        <v>#VALUE!</v>
      </c>
      <c r="GF2" t="e">
        <f>'2.1 Титул'!197:197-"BYw!'z"</f>
        <v>#VALUE!</v>
      </c>
      <c r="GG2" t="e">
        <f>'2.1 Титул'!198:198-"BYw!'{"</f>
        <v>#VALUE!</v>
      </c>
      <c r="GH2" t="e">
        <f>'2.1 Титул'!199:199-"BYw!'|"</f>
        <v>#VALUE!</v>
      </c>
      <c r="GI2" t="e">
        <f>'2.1 Титул'!200:200-"BYw!'}"</f>
        <v>#VALUE!</v>
      </c>
      <c r="GJ2" t="e">
        <f>'2.1 Титул'!201:201-"BYw!'~"</f>
        <v>#VALUE!</v>
      </c>
      <c r="GK2" t="e">
        <f>'2.1 Титул'!202:202-"BYw!(#"</f>
        <v>#VALUE!</v>
      </c>
      <c r="GL2" t="e">
        <f>'2.1 Титул'!203:203-"BYw!($"</f>
        <v>#VALUE!</v>
      </c>
      <c r="GM2" t="e">
        <f>'2.1 Титул'!204:204-"BYw!(%"</f>
        <v>#VALUE!</v>
      </c>
      <c r="GN2" t="e">
        <f>'2.1 Титул'!205:205-"BYw!(&amp;"</f>
        <v>#VALUE!</v>
      </c>
      <c r="GO2" t="e">
        <f>'2.1 Титул'!206:206-"BYw!('"</f>
        <v>#VALUE!</v>
      </c>
      <c r="GP2" t="e">
        <f>'2.1 Титул'!207:207-"BYw!(("</f>
        <v>#VALUE!</v>
      </c>
      <c r="GQ2" t="e">
        <f>'2.1 Титул'!208:208-"BYw!()"</f>
        <v>#VALUE!</v>
      </c>
      <c r="GR2" t="e">
        <f>'2.1 Титул'!209:209-"BYw!(."</f>
        <v>#VALUE!</v>
      </c>
      <c r="GS2" t="e">
        <f>'2.1 Титул'!210:210-"BYw!(/"</f>
        <v>#VALUE!</v>
      </c>
      <c r="GT2" t="e">
        <f>'2.1 Титул'!211:211-"BYw!(0"</f>
        <v>#VALUE!</v>
      </c>
      <c r="GU2" t="e">
        <f>'2.1 Титул'!212:212-"BYw!(1"</f>
        <v>#VALUE!</v>
      </c>
      <c r="GV2" t="e">
        <f>'2.1 Титул'!213:213-"BYw!(2"</f>
        <v>#VALUE!</v>
      </c>
      <c r="GW2" t="e">
        <f>'2.1 Титул'!214:214-"BYw!(3"</f>
        <v>#VALUE!</v>
      </c>
      <c r="GX2" t="e">
        <f>'2.1 Титул'!215:215-"BYw!(4"</f>
        <v>#VALUE!</v>
      </c>
      <c r="GY2" t="e">
        <f>'2.1 Титул'!216:216-"BYw!(5"</f>
        <v>#VALUE!</v>
      </c>
      <c r="GZ2" t="e">
        <f>'2.1 Титул'!217:217-"BYw!(6"</f>
        <v>#VALUE!</v>
      </c>
      <c r="HA2" t="e">
        <f>'2.1 Титул'!218:218-"BYw!(7"</f>
        <v>#VALUE!</v>
      </c>
      <c r="HB2" t="e">
        <f>'2.1 Титул'!219:219-"BYw!(8"</f>
        <v>#VALUE!</v>
      </c>
      <c r="HC2" t="e">
        <f>'2.1 Титул'!220:220-"BYw!(9"</f>
        <v>#VALUE!</v>
      </c>
      <c r="HD2" s="116" t="e">
        <f>'2.2 Свод по годам'!#REF!+"BYw!(:"</f>
        <v>#REF!</v>
      </c>
      <c r="HE2" s="116" t="e">
        <f>'2.2 Свод по годам'!B1+"BYw!(;"</f>
        <v>#VALUE!</v>
      </c>
      <c r="HF2" s="116" t="e">
        <f>'2.2 Свод по годам'!C1+"BYw!(&lt;"</f>
        <v>#VALUE!</v>
      </c>
      <c r="HG2" s="116" t="e">
        <f>'2.2 Свод по годам'!D1+"BYw!(="</f>
        <v>#VALUE!</v>
      </c>
      <c r="HH2" s="116" t="e">
        <f>'2.2 Свод по годам'!E1+"BYw!(&gt;"</f>
        <v>#VALUE!</v>
      </c>
      <c r="HI2" t="e">
        <f>'2.2 Свод по годам'!#REF!+"BYw!(?"</f>
        <v>#REF!</v>
      </c>
      <c r="HJ2" s="116" t="e">
        <f>'2.2 Свод по годам'!B2+"BYw!(@"</f>
        <v>#VALUE!</v>
      </c>
      <c r="HK2" s="117" t="e">
        <f>'2.2 Свод по годам'!C2+"BYw!(A"</f>
        <v>#VALUE!</v>
      </c>
      <c r="HL2" s="117" t="e">
        <f>'2.2 Свод по годам'!D2+"BYw!(B"</f>
        <v>#VALUE!</v>
      </c>
      <c r="HM2" t="e">
        <f>'2.2 Свод по годам'!E2+"BYw!(C"</f>
        <v>#VALUE!</v>
      </c>
      <c r="HN2" t="e">
        <f>'2.2 Свод по годам'!#REF!+"BYw!(D"</f>
        <v>#REF!</v>
      </c>
      <c r="HO2" t="e">
        <f>'2.2 Свод по годам'!B3+"BYw!(E"</f>
        <v>#VALUE!</v>
      </c>
      <c r="HP2" s="117" t="e">
        <f>'2.2 Свод по годам'!C3+"BYw!(F"</f>
        <v>#VALUE!</v>
      </c>
      <c r="HQ2" s="117" t="e">
        <f>'2.2 Свод по годам'!D3+"BYw!(G"</f>
        <v>#VALUE!</v>
      </c>
      <c r="HR2" t="e">
        <f>'2.2 Свод по годам'!E3+"BYw!(H"</f>
        <v>#VALUE!</v>
      </c>
      <c r="HS2" t="e">
        <f>'2.2 Свод по годам'!#REF!+"BYw!(I"</f>
        <v>#REF!</v>
      </c>
      <c r="HT2" t="e">
        <f>'2.2 Свод по годам'!B4+"BYw!(J"</f>
        <v>#VALUE!</v>
      </c>
      <c r="HU2" s="117" t="e">
        <f>'2.2 Свод по годам'!C4+"BYw!(K"</f>
        <v>#VALUE!</v>
      </c>
      <c r="HV2" s="117" t="e">
        <f>'2.2 Свод по годам'!D4+"BYw!(L"</f>
        <v>#VALUE!</v>
      </c>
      <c r="HW2" t="e">
        <f>'2.2 Свод по годам'!E4+"BYw!(M"</f>
        <v>#VALUE!</v>
      </c>
      <c r="HX2" s="117" t="e">
        <f>'2.2 Свод по годам'!D5+"BYw!(N"</f>
        <v>#VALUE!</v>
      </c>
      <c r="HY2" s="117" t="e">
        <f>'2.2 Свод по годам'!C9+"BYw!(O"</f>
        <v>#VALUE!</v>
      </c>
      <c r="HZ2" s="117" t="e">
        <f>'2.2 Свод по годам'!C10+"BYw!(P"</f>
        <v>#VALUE!</v>
      </c>
      <c r="IA2" s="117" t="e">
        <f>'2.2 Свод по годам'!C11+"BYw!(Q"</f>
        <v>#VALUE!</v>
      </c>
      <c r="IB2" s="117" t="e">
        <f>'2.2 Свод по годам'!C12+"BYw!(R"</f>
        <v>#VALUE!</v>
      </c>
      <c r="IC2" s="117" t="e">
        <f>'2.2 Свод по годам'!C13+"BYw!(S"</f>
        <v>#VALUE!</v>
      </c>
      <c r="ID2" t="e">
        <f>'2.2 Свод по годам'!#REF!*"BYw!(T"</f>
        <v>#REF!</v>
      </c>
      <c r="IE2" t="e">
        <f>'2.2 Свод по годам'!B:B*"BYw!(U"</f>
        <v>#VALUE!</v>
      </c>
      <c r="IF2" t="e">
        <f>'2.2 Свод по годам'!C:C*"BYw!(V"</f>
        <v>#VALUE!</v>
      </c>
      <c r="IG2" t="e">
        <f>'2.2 Свод по годам'!D:D*"BYw!(W"</f>
        <v>#VALUE!</v>
      </c>
      <c r="IH2" t="e">
        <f>'2.2 Свод по годам'!E:E*"BYw!(X"</f>
        <v>#VALUE!</v>
      </c>
      <c r="II2" t="e">
        <f>'2.2 Свод по годам'!F:F*"BYw!(Y"</f>
        <v>#VALUE!</v>
      </c>
      <c r="IJ2" t="e">
        <f>'2.2 Свод по годам'!G:G*"BYw!(Z"</f>
        <v>#VALUE!</v>
      </c>
      <c r="IK2" t="e">
        <f>'2.2 Свод по годам'!H:H*"BYw!(["</f>
        <v>#VALUE!</v>
      </c>
      <c r="IL2" t="e">
        <f>'2.2 Свод по годам'!I:I*"BYw!(\"</f>
        <v>#VALUE!</v>
      </c>
      <c r="IM2" t="e">
        <f>'2.2 Свод по годам'!J:J*"BYw!(]"</f>
        <v>#VALUE!</v>
      </c>
      <c r="IN2" t="e">
        <f>'2.2 Свод по годам'!K:K*"BYw!(^"</f>
        <v>#VALUE!</v>
      </c>
      <c r="IO2" t="e">
        <f>'2.2 Свод по годам'!L:L*"BYw!(_"</f>
        <v>#VALUE!</v>
      </c>
      <c r="IP2" t="e">
        <f>'2.2 Свод по годам'!M:M*"BYw!(`"</f>
        <v>#VALUE!</v>
      </c>
      <c r="IQ2" t="e">
        <f>'2.2 Свод по годам'!N:N*"BYw!(a"</f>
        <v>#VALUE!</v>
      </c>
      <c r="IR2" t="e">
        <f>'2.2 Свод по годам'!O:O*"BYw!(b"</f>
        <v>#VALUE!</v>
      </c>
      <c r="IS2" t="e">
        <f>'2.2 Свод по годам'!P:P*"BYw!(c"</f>
        <v>#VALUE!</v>
      </c>
      <c r="IT2" t="e">
        <f>'2.2 Свод по годам'!Q:Q*"BYw!(d"</f>
        <v>#VALUE!</v>
      </c>
      <c r="IU2" t="e">
        <f>'2.2 Свод по годам'!R:R*"BYw!(e"</f>
        <v>#VALUE!</v>
      </c>
      <c r="IV2" t="e">
        <f>'2.2 Свод по годам'!S:S*"BYw!(f"</f>
        <v>#VALUE!</v>
      </c>
    </row>
    <row r="3" spans="1:256" x14ac:dyDescent="0.2">
      <c r="A3" t="s">
        <v>358</v>
      </c>
      <c r="F3" t="e">
        <f>'2.2 Свод по годам'!T:T*"BYw!(g"</f>
        <v>#VALUE!</v>
      </c>
      <c r="G3" t="e">
        <f>'2.2 Свод по годам'!U:U*"BYw!(h"</f>
        <v>#VALUE!</v>
      </c>
      <c r="H3" t="e">
        <f>'2.2 Свод по годам'!V:V*"BYw!(i"</f>
        <v>#VALUE!</v>
      </c>
      <c r="I3" t="e">
        <f>'2.2 Свод по годам'!W:W*"BYw!(j"</f>
        <v>#VALUE!</v>
      </c>
      <c r="J3" t="e">
        <f>'2.2 Свод по годам'!X:X*"BYw!(k"</f>
        <v>#VALUE!</v>
      </c>
      <c r="K3" t="e">
        <f>'2.2 Свод по годам'!Y:Y*"BYw!(l"</f>
        <v>#VALUE!</v>
      </c>
      <c r="L3" t="e">
        <f>'2.2 Свод по годам'!Z:Z*"BYw!(m"</f>
        <v>#VALUE!</v>
      </c>
      <c r="M3" t="e">
        <f>'2.2 Свод по годам'!AA:AA*"BYw!(n"</f>
        <v>#VALUE!</v>
      </c>
      <c r="N3" t="e">
        <f>'2.2 Свод по годам'!AB:AB*"BYw!(o"</f>
        <v>#VALUE!</v>
      </c>
      <c r="O3" t="e">
        <f>'2.2 Свод по годам'!AC:AC*"BYw!(p"</f>
        <v>#VALUE!</v>
      </c>
      <c r="P3" t="e">
        <f>'2.2 Свод по годам'!AD:AD*"BYw!(q"</f>
        <v>#VALUE!</v>
      </c>
      <c r="Q3" t="e">
        <f>'2.2 Свод по годам'!AE:AE*"BYw!(r"</f>
        <v>#VALUE!</v>
      </c>
      <c r="R3" t="e">
        <f>'2.2 Свод по годам'!AF:AF*"BYw!(s"</f>
        <v>#VALUE!</v>
      </c>
      <c r="S3" t="e">
        <f>'2.2 Свод по годам'!AG:AG*"BYw!(t"</f>
        <v>#VALUE!</v>
      </c>
      <c r="T3" t="e">
        <f>'2.2 Свод по годам'!AH:AH*"BYw!(u"</f>
        <v>#VALUE!</v>
      </c>
      <c r="U3" t="e">
        <f>'2.2 Свод по годам'!AI:AI*"BYw!(v"</f>
        <v>#VALUE!</v>
      </c>
      <c r="V3" t="e">
        <f>'2.2 Свод по годам'!AJ:AJ*"BYw!(w"</f>
        <v>#VALUE!</v>
      </c>
      <c r="W3" t="e">
        <f>'2.2 Свод по годам'!AK:AK*"BYw!(x"</f>
        <v>#VALUE!</v>
      </c>
      <c r="X3" t="e">
        <f>'2.2 Свод по годам'!AL:AL*"BYw!(y"</f>
        <v>#VALUE!</v>
      </c>
      <c r="Y3" t="e">
        <f>'2.2 Свод по годам'!AM:AM*"BYw!(z"</f>
        <v>#VALUE!</v>
      </c>
      <c r="Z3" t="e">
        <f>'2.2 Свод по годам'!AN:AN*"BYw!({"</f>
        <v>#VALUE!</v>
      </c>
      <c r="AA3" t="e">
        <f>'2.2 Свод по годам'!AO:AO*"BYw!(|"</f>
        <v>#VALUE!</v>
      </c>
      <c r="AB3" t="e">
        <f>'2.2 Свод по годам'!AP:AP*"BYw!(}"</f>
        <v>#VALUE!</v>
      </c>
      <c r="AC3" t="e">
        <f>'2.2 Свод по годам'!AQ:AQ*"BYw!(~"</f>
        <v>#VALUE!</v>
      </c>
      <c r="AD3" t="e">
        <f>'2.2 Свод по годам'!AR:AR*"BYw!)#"</f>
        <v>#VALUE!</v>
      </c>
      <c r="AE3" t="e">
        <f>'2.2 Свод по годам'!AS:AS*"BYw!)$"</f>
        <v>#VALUE!</v>
      </c>
      <c r="AF3" t="e">
        <f>'2.2 Свод по годам'!AT:AT*"BYw!)%"</f>
        <v>#VALUE!</v>
      </c>
      <c r="AG3" t="e">
        <f>'2.2 Свод по годам'!AU:AU*"BYw!)&amp;"</f>
        <v>#VALUE!</v>
      </c>
      <c r="AH3" t="e">
        <f>'2.2 Свод по годам'!AV:AV*"BYw!)'"</f>
        <v>#VALUE!</v>
      </c>
      <c r="AI3" t="e">
        <f>'2.2 Свод по годам'!AW:AW*"BYw!)("</f>
        <v>#VALUE!</v>
      </c>
      <c r="AJ3" t="e">
        <f>'2.2 Свод по годам'!AX:AX*"BYw!))"</f>
        <v>#VALUE!</v>
      </c>
      <c r="AK3" t="e">
        <f>'2.2 Свод по годам'!AY:AY*"BYw!)."</f>
        <v>#VALUE!</v>
      </c>
      <c r="AL3" t="e">
        <f>'2.2 Свод по годам'!AZ:AZ*"BYw!)/"</f>
        <v>#VALUE!</v>
      </c>
      <c r="AM3" t="e">
        <f>'2.2 Свод по годам'!BA:BA*"BYw!)0"</f>
        <v>#VALUE!</v>
      </c>
      <c r="AN3" t="e">
        <f>'2.2 Свод по годам'!BB:BB*"BYw!)1"</f>
        <v>#VALUE!</v>
      </c>
      <c r="AO3" t="e">
        <f>'2.2 Свод по годам'!BC:BC*"BYw!)2"</f>
        <v>#VALUE!</v>
      </c>
      <c r="AP3" s="116" t="e">
        <f>'2.2 Свод по годам'!1:1-"BYw!)3"</f>
        <v>#VALUE!</v>
      </c>
      <c r="AQ3" t="e">
        <f>'2.2 Свод по годам'!2:2-"BYw!)4"</f>
        <v>#VALUE!</v>
      </c>
      <c r="AR3" t="e">
        <f>'2.2 Свод по годам'!3:3-"BYw!)5"</f>
        <v>#VALUE!</v>
      </c>
      <c r="AS3" t="e">
        <f>'2.2 Свод по годам'!4:4-"BYw!)6"</f>
        <v>#VALUE!</v>
      </c>
      <c r="AT3" t="e">
        <f>'2.2 Свод по годам'!5:5-"BYw!)7"</f>
        <v>#VALUE!</v>
      </c>
      <c r="AU3" t="e">
        <f>'2.2 Свод по годам'!6:6-"BYw!)8"</f>
        <v>#VALUE!</v>
      </c>
      <c r="AV3" t="e">
        <f>'2.2 Свод по годам'!7:7-"BYw!)9"</f>
        <v>#VALUE!</v>
      </c>
      <c r="AW3" t="e">
        <f>'2.2 Свод по годам'!8:8-"BYw!):"</f>
        <v>#VALUE!</v>
      </c>
      <c r="AX3" t="e">
        <f>'2.2 Свод по годам'!9:9-"BYw!);"</f>
        <v>#VALUE!</v>
      </c>
      <c r="AY3" t="e">
        <f>'2.2 Свод по годам'!10:10-"BYw!)&lt;"</f>
        <v>#VALUE!</v>
      </c>
      <c r="AZ3" t="e">
        <f>'2.2 Свод по годам'!11:11-"BYw!)="</f>
        <v>#VALUE!</v>
      </c>
      <c r="BA3" t="e">
        <f>'2.2 Свод по годам'!12:12-"BYw!)&gt;"</f>
        <v>#VALUE!</v>
      </c>
      <c r="BB3" t="e">
        <f>'2.2 Свод по годам'!13:13-"BYw!)?"</f>
        <v>#VALUE!</v>
      </c>
      <c r="BC3" t="e">
        <f>'2.2 Свод по годам'!14:14-"BYw!)@"</f>
        <v>#VALUE!</v>
      </c>
      <c r="BD3" t="e">
        <f>'2.2 Свод по годам'!15:15-"BYw!)A"</f>
        <v>#VALUE!</v>
      </c>
      <c r="BE3" t="e">
        <f>'2.2 Свод по годам'!16:16-"BYw!)B"</f>
        <v>#VALUE!</v>
      </c>
      <c r="BF3" t="e">
        <f>'2.2 Свод по годам'!17:17-"BYw!)C"</f>
        <v>#VALUE!</v>
      </c>
      <c r="BG3" t="e">
        <f>'2.2 Свод по годам'!18:18-"BYw!)D"</f>
        <v>#VALUE!</v>
      </c>
      <c r="BH3" t="e">
        <f>'2.2 Свод по годам'!19:19-"BYw!)E"</f>
        <v>#VALUE!</v>
      </c>
      <c r="BI3" t="e">
        <f>'2.2 Свод по годам'!20:20-"BYw!)F"</f>
        <v>#VALUE!</v>
      </c>
      <c r="BJ3" t="e">
        <f>'2.2 Свод по годам'!21:21-"BYw!)G"</f>
        <v>#VALUE!</v>
      </c>
      <c r="BK3" t="e">
        <f>'2.2 Свод по годам'!22:22-"BYw!)H"</f>
        <v>#VALUE!</v>
      </c>
      <c r="BL3" t="e">
        <f>'2.2 Свод по годам'!23:23-"BYw!)I"</f>
        <v>#VALUE!</v>
      </c>
      <c r="BM3" t="e">
        <f>'2.2 Свод по годам'!24:24-"BYw!)J"</f>
        <v>#VALUE!</v>
      </c>
      <c r="BN3" t="e">
        <f>'2.2 Свод по годам'!25:25-"BYw!)K"</f>
        <v>#VALUE!</v>
      </c>
      <c r="BO3" t="e">
        <f>'2.2 Свод по годам'!26:26-"BYw!)L"</f>
        <v>#VALUE!</v>
      </c>
      <c r="BP3" t="e">
        <f>'2.2 Свод по годам'!27:27-"BYw!)M"</f>
        <v>#VALUE!</v>
      </c>
      <c r="BQ3" t="e">
        <f>'2.2 Свод по годам'!28:28-"BYw!)N"</f>
        <v>#VALUE!</v>
      </c>
      <c r="BR3" t="e">
        <f>'2.2 Свод по годам'!29:29-"BYw!)O"</f>
        <v>#VALUE!</v>
      </c>
      <c r="BS3" t="e">
        <f>'2.2 Свод по годам'!30:30-"BYw!)P"</f>
        <v>#VALUE!</v>
      </c>
      <c r="BT3" t="e">
        <f>'2.2 Свод по годам'!31:31-"BYw!)Q"</f>
        <v>#VALUE!</v>
      </c>
      <c r="BU3" t="e">
        <f>'2.2 Свод по годам'!32:32-"BYw!)R"</f>
        <v>#VALUE!</v>
      </c>
      <c r="BV3" t="e">
        <f>'2.2 Свод по годам'!33:33-"BYw!)S"</f>
        <v>#VALUE!</v>
      </c>
      <c r="BW3" t="e">
        <f>'2.2 Свод по годам'!34:34-"BYw!)T"</f>
        <v>#VALUE!</v>
      </c>
      <c r="BX3" t="e">
        <f>'2.2 Свод по годам'!35:35-"BYw!)U"</f>
        <v>#VALUE!</v>
      </c>
      <c r="BY3" t="e">
        <f>'2.2 Свод по годам'!36:36-"BYw!)V"</f>
        <v>#VALUE!</v>
      </c>
      <c r="BZ3" t="e">
        <f>'2.2 Свод по годам'!37:37-"BYw!)W"</f>
        <v>#VALUE!</v>
      </c>
      <c r="CA3" t="e">
        <f>'2.2 Свод по годам'!38:38-"BYw!)X"</f>
        <v>#VALUE!</v>
      </c>
      <c r="CB3" t="e">
        <f>'2.2 Свод по годам'!39:39-"BYw!)Y"</f>
        <v>#VALUE!</v>
      </c>
      <c r="CC3" t="e">
        <f>'2.2 Свод по годам'!40:40-"BYw!)Z"</f>
        <v>#VALUE!</v>
      </c>
      <c r="CD3" t="e">
        <f>'2.2 Свод по годам'!41:41-"BYw!)["</f>
        <v>#VALUE!</v>
      </c>
      <c r="CE3" t="e">
        <f>'2.2 Свод по годам'!42:42-"BYw!)\"</f>
        <v>#VALUE!</v>
      </c>
      <c r="CF3" t="e">
        <f>'2.2 Свод по годам'!43:43-"BYw!)]"</f>
        <v>#VALUE!</v>
      </c>
      <c r="CG3" t="e">
        <f>'2.2 Свод по годам'!44:44-"BYw!)^"</f>
        <v>#VALUE!</v>
      </c>
      <c r="CH3" t="e">
        <f>'2.2 Свод по годам'!45:45-"BYw!)_"</f>
        <v>#VALUE!</v>
      </c>
      <c r="CI3" t="e">
        <f>'2.2 Свод по годам'!46:46-"BYw!)`"</f>
        <v>#VALUE!</v>
      </c>
      <c r="CJ3" t="e">
        <f>'2.2 Свод по годам'!47:47-"BYw!)a"</f>
        <v>#VALUE!</v>
      </c>
      <c r="CK3" t="e">
        <f>'2.2 Свод по годам'!48:48-"BYw!)b"</f>
        <v>#VALUE!</v>
      </c>
      <c r="CL3" t="e">
        <f>'2.2 Свод по годам'!49:49-"BYw!)c"</f>
        <v>#VALUE!</v>
      </c>
      <c r="CM3" t="e">
        <f>'2.2 Свод по годам'!50:50-"BYw!)d"</f>
        <v>#VALUE!</v>
      </c>
      <c r="CN3" t="e">
        <f>'2.2 Свод по годам'!51:51-"BYw!)e"</f>
        <v>#VALUE!</v>
      </c>
      <c r="CO3" t="e">
        <f>'2.2 Свод по годам'!52:52-"BYw!)f"</f>
        <v>#VALUE!</v>
      </c>
      <c r="CP3" t="e">
        <f>'2.2 Свод по годам'!53:53-"BYw!)g"</f>
        <v>#VALUE!</v>
      </c>
      <c r="CQ3" t="e">
        <f>'2.2 Свод по годам'!54:54-"BYw!)h"</f>
        <v>#VALUE!</v>
      </c>
      <c r="CR3" t="e">
        <f>'2.2 Свод по годам'!55:55-"BYw!)i"</f>
        <v>#VALUE!</v>
      </c>
      <c r="CS3" t="e">
        <f>'2.2 Свод по годам'!56:56-"BYw!)j"</f>
        <v>#VALUE!</v>
      </c>
      <c r="CT3" t="e">
        <f>'2.2 Свод по годам'!57:57-"BYw!)k"</f>
        <v>#VALUE!</v>
      </c>
      <c r="CU3" t="e">
        <f>'2.2 Свод по годам'!58:58-"BYw!)l"</f>
        <v>#VALUE!</v>
      </c>
      <c r="CV3" t="e">
        <f>'2.2 Свод по годам'!59:59-"BYw!)m"</f>
        <v>#VALUE!</v>
      </c>
      <c r="CW3" t="e">
        <f>'2.2 Свод по годам'!60:60-"BYw!)n"</f>
        <v>#VALUE!</v>
      </c>
      <c r="CX3" t="e">
        <f>'2.2 Свод по годам'!61:61-"BYw!)o"</f>
        <v>#VALUE!</v>
      </c>
      <c r="CY3" t="e">
        <f>'2.2 Свод по годам'!62:62-"BYw!)p"</f>
        <v>#VALUE!</v>
      </c>
      <c r="CZ3" t="e">
        <f>'2.2 Свод по годам'!63:63-"BYw!)q"</f>
        <v>#VALUE!</v>
      </c>
      <c r="DA3" t="e">
        <f>'2.2 Свод по годам'!64:64-"BYw!)r"</f>
        <v>#VALUE!</v>
      </c>
      <c r="DB3" t="e">
        <f>'2.2 Свод по годам'!65:65-"BYw!)s"</f>
        <v>#VALUE!</v>
      </c>
      <c r="DC3" t="e">
        <f>'2.2 Свод по годам'!66:66-"BYw!)t"</f>
        <v>#VALUE!</v>
      </c>
      <c r="DD3" t="e">
        <f>'2.2 Свод по годам'!67:67-"BYw!)u"</f>
        <v>#VALUE!</v>
      </c>
      <c r="DE3" t="e">
        <f>'2.2 Свод по годам'!68:68-"BYw!)v"</f>
        <v>#VALUE!</v>
      </c>
      <c r="DF3" t="e">
        <f>'2.2 Свод по годам'!69:69-"BYw!)w"</f>
        <v>#VALUE!</v>
      </c>
      <c r="DG3" t="e">
        <f>'2.2 Свод по годам'!70:70-"BYw!)x"</f>
        <v>#VALUE!</v>
      </c>
      <c r="DH3" t="e">
        <f>'2.2 Свод по годам'!71:71-"BYw!)y"</f>
        <v>#VALUE!</v>
      </c>
      <c r="DI3" t="e">
        <f>'2.2 Свод по годам'!72:72-"BYw!)z"</f>
        <v>#VALUE!</v>
      </c>
      <c r="DJ3" t="e">
        <f>'2.2 Свод по годам'!73:73-"BYw!){"</f>
        <v>#VALUE!</v>
      </c>
      <c r="DK3" t="e">
        <f>'2.2 Свод по годам'!74:74-"BYw!)|"</f>
        <v>#VALUE!</v>
      </c>
      <c r="DL3" t="e">
        <f>'2.2 Свод по годам'!75:75-"BYw!)}"</f>
        <v>#VALUE!</v>
      </c>
      <c r="DM3" t="e">
        <f>'2.2 Свод по годам'!76:76-"BYw!)~"</f>
        <v>#VALUE!</v>
      </c>
      <c r="DN3" t="e">
        <f>'2.2 Свод по годам'!77:77-"BYw!.#"</f>
        <v>#VALUE!</v>
      </c>
      <c r="DO3" t="e">
        <f>'2.2 Свод по годам'!78:78-"BYw!.$"</f>
        <v>#VALUE!</v>
      </c>
      <c r="DP3" t="e">
        <f>'2.2 Свод по годам'!79:79-"BYw!.%"</f>
        <v>#VALUE!</v>
      </c>
      <c r="DQ3" t="e">
        <f>'2.2 Свод по годам'!80:80-"BYw!.&amp;"</f>
        <v>#VALUE!</v>
      </c>
      <c r="DR3" t="e">
        <f>'2.2 Свод по годам'!81:81-"BYw!.'"</f>
        <v>#VALUE!</v>
      </c>
      <c r="DS3" t="e">
        <f>'2.2 Свод по годам'!82:82-"BYw!.("</f>
        <v>#VALUE!</v>
      </c>
      <c r="DT3" t="e">
        <f>'2.2 Свод по годам'!83:83-"BYw!.)"</f>
        <v>#VALUE!</v>
      </c>
      <c r="DU3" t="e">
        <f>'2.2 Свод по годам'!84:84-"BYw!.."</f>
        <v>#VALUE!</v>
      </c>
      <c r="DV3" t="e">
        <f>'2.2 Свод по годам'!85:85-"BYw!./"</f>
        <v>#VALUE!</v>
      </c>
      <c r="DW3" t="e">
        <f>'2.2 Свод по годам'!86:86-"BYw!.0"</f>
        <v>#VALUE!</v>
      </c>
      <c r="DX3" t="e">
        <f>'2.2 Свод по годам'!87:87-"BYw!.1"</f>
        <v>#VALUE!</v>
      </c>
      <c r="DY3" t="e">
        <f>'2.2 Свод по годам'!88:88-"BYw!.2"</f>
        <v>#VALUE!</v>
      </c>
      <c r="DZ3" t="e">
        <f>'2.2 Свод по годам'!89:89-"BYw!.3"</f>
        <v>#VALUE!</v>
      </c>
      <c r="EA3" t="e">
        <f>'2.2 Свод по годам'!90:90-"BYw!.4"</f>
        <v>#VALUE!</v>
      </c>
      <c r="EB3" t="e">
        <f>'2.2 Свод по годам'!91:91-"BYw!.5"</f>
        <v>#VALUE!</v>
      </c>
      <c r="EC3" t="e">
        <f>'2.2 Свод по годам'!92:92-"BYw!.6"</f>
        <v>#VALUE!</v>
      </c>
      <c r="ED3" t="e">
        <f>'2.2 Свод по годам'!93:93-"BYw!.7"</f>
        <v>#VALUE!</v>
      </c>
      <c r="EE3" t="e">
        <f>'2.2 Свод по годам'!94:94-"BYw!.8"</f>
        <v>#VALUE!</v>
      </c>
      <c r="EF3" t="e">
        <f>'2.2 Свод по годам'!95:95-"BYw!.9"</f>
        <v>#VALUE!</v>
      </c>
      <c r="EG3" t="e">
        <f>'2.2 Свод по годам'!96:96-"BYw!.:"</f>
        <v>#VALUE!</v>
      </c>
      <c r="EH3" t="e">
        <f>'2.2 Свод по годам'!97:97-"BYw!.;"</f>
        <v>#VALUE!</v>
      </c>
      <c r="EI3" t="e">
        <f>'2.2 Свод по годам'!98:98-"BYw!.&lt;"</f>
        <v>#VALUE!</v>
      </c>
      <c r="EJ3" t="e">
        <f>'2.2 Свод по годам'!99:99-"BYw!.="</f>
        <v>#VALUE!</v>
      </c>
      <c r="EK3" t="e">
        <f>'2.2 Свод по годам'!100:100-"BYw!.&gt;"</f>
        <v>#VALUE!</v>
      </c>
      <c r="EL3" t="e">
        <f>'2.2 Свод по годам'!101:101-"BYw!.?"</f>
        <v>#VALUE!</v>
      </c>
      <c r="EM3" t="e">
        <f>'2.2 Свод по годам'!102:102-"BYw!.@"</f>
        <v>#VALUE!</v>
      </c>
      <c r="EN3" t="e">
        <f>'2.2 Свод по годам'!103:103-"BYw!.A"</f>
        <v>#VALUE!</v>
      </c>
      <c r="EO3" t="e">
        <f>'2.2 Свод по годам'!104:104-"BYw!.B"</f>
        <v>#VALUE!</v>
      </c>
      <c r="EP3" t="e">
        <f>'2.2 Свод по годам'!105:105-"BYw!.C"</f>
        <v>#VALUE!</v>
      </c>
      <c r="EQ3" t="e">
        <f>'2.2 Свод по годам'!106:106-"BYw!.D"</f>
        <v>#VALUE!</v>
      </c>
      <c r="ER3" t="e">
        <f>'2.2 Свод по годам'!107:107-"BYw!.E"</f>
        <v>#VALUE!</v>
      </c>
      <c r="ES3" t="e">
        <f>'2.2 Свод по годам'!108:108-"BYw!.F"</f>
        <v>#VALUE!</v>
      </c>
      <c r="ET3" t="e">
        <f>'2.2 Свод по годам'!109:109-"BYw!.G"</f>
        <v>#VALUE!</v>
      </c>
      <c r="EU3" t="e">
        <f>'2.2 Свод по годам'!110:110-"BYw!.H"</f>
        <v>#VALUE!</v>
      </c>
      <c r="EV3" t="e">
        <f>'2.2 Свод по годам'!111:111-"BYw!.I"</f>
        <v>#VALUE!</v>
      </c>
      <c r="EW3" t="e">
        <f>'2.2 Свод по годам'!112:112-"BYw!.J"</f>
        <v>#VALUE!</v>
      </c>
      <c r="EX3" t="e">
        <f>'2.2 Свод по годам'!113:113-"BYw!.K"</f>
        <v>#VALUE!</v>
      </c>
      <c r="EY3" t="e">
        <f>'2.2 Свод по годам'!114:114-"BYw!.L"</f>
        <v>#VALUE!</v>
      </c>
      <c r="EZ3" t="e">
        <f>'2.2 Свод по годам'!115:115-"BYw!.M"</f>
        <v>#VALUE!</v>
      </c>
      <c r="FA3" t="e">
        <f>'2.2 Свод по годам'!116:116-"BYw!.N"</f>
        <v>#VALUE!</v>
      </c>
      <c r="FB3" t="e">
        <f>'2.2 Свод по годам'!117:117-"BYw!.O"</f>
        <v>#VALUE!</v>
      </c>
      <c r="FC3" t="e">
        <f>'2.2 Свод по годам'!118:118-"BYw!.P"</f>
        <v>#VALUE!</v>
      </c>
      <c r="FD3" t="e">
        <f>'2.2 Свод по годам'!119:119-"BYw!.Q"</f>
        <v>#VALUE!</v>
      </c>
      <c r="FE3" t="e">
        <f>'2.2 Свод по годам'!120:120-"BYw!.R"</f>
        <v>#VALUE!</v>
      </c>
      <c r="FF3" t="e">
        <f>'2.2 Свод по годам'!121:121-"BYw!.S"</f>
        <v>#VALUE!</v>
      </c>
      <c r="FG3" t="e">
        <f>'2.2 Свод по годам'!122:122-"BYw!.T"</f>
        <v>#VALUE!</v>
      </c>
      <c r="FH3" t="e">
        <f>'2.2 Свод по годам'!123:123-"BYw!.U"</f>
        <v>#VALUE!</v>
      </c>
      <c r="FI3" t="e">
        <f>'2.2 Свод по годам'!124:124-"BYw!.V"</f>
        <v>#VALUE!</v>
      </c>
      <c r="FJ3" t="e">
        <f>'2.2 Свод по годам'!125:125-"BYw!.W"</f>
        <v>#VALUE!</v>
      </c>
      <c r="FK3" t="e">
        <f>'2.2 Свод по годам'!126:126-"BYw!.X"</f>
        <v>#VALUE!</v>
      </c>
      <c r="FL3" t="e">
        <f>'2.2 Свод по годам'!127:127-"BYw!.Y"</f>
        <v>#VALUE!</v>
      </c>
      <c r="FM3" t="e">
        <f>'2.2 Свод по годам'!128:128-"BYw!.Z"</f>
        <v>#VALUE!</v>
      </c>
      <c r="FN3" t="e">
        <f>'2.2 Свод по годам'!129:129-"BYw!.["</f>
        <v>#VALUE!</v>
      </c>
      <c r="FO3" t="e">
        <f>'2.2 Свод по годам'!130:130-"BYw!.\"</f>
        <v>#VALUE!</v>
      </c>
      <c r="FP3" t="e">
        <f>'2.2 Свод по годам'!131:131-"BYw!.]"</f>
        <v>#VALUE!</v>
      </c>
      <c r="FQ3" t="e">
        <f>'2.2 Свод по годам'!132:132-"BYw!.^"</f>
        <v>#VALUE!</v>
      </c>
      <c r="FR3" t="e">
        <f>'2.2 Свод по годам'!133:133-"BYw!._"</f>
        <v>#VALUE!</v>
      </c>
      <c r="FS3" t="e">
        <f>'2.2 Свод по годам'!134:134-"BYw!.`"</f>
        <v>#VALUE!</v>
      </c>
      <c r="FT3" t="e">
        <f>'2.2 Свод по годам'!135:135-"BYw!.a"</f>
        <v>#VALUE!</v>
      </c>
      <c r="FU3" t="e">
        <f>'2.2 Свод по годам'!136:136-"BYw!.b"</f>
        <v>#VALUE!</v>
      </c>
      <c r="FV3" t="e">
        <f>'2.2 Свод по годам'!137:137-"BYw!.c"</f>
        <v>#VALUE!</v>
      </c>
      <c r="FW3" t="e">
        <f>'2.2 Свод по годам'!138:138-"BYw!.d"</f>
        <v>#VALUE!</v>
      </c>
      <c r="FX3" t="e">
        <f>'2.2 Свод по годам'!139:139-"BYw!.e"</f>
        <v>#VALUE!</v>
      </c>
      <c r="FY3" t="e">
        <f>'2.2 Свод по годам'!140:140-"BYw!.f"</f>
        <v>#VALUE!</v>
      </c>
      <c r="FZ3" t="e">
        <f>'2.2 Свод по годам'!141:141-"BYw!.g"</f>
        <v>#VALUE!</v>
      </c>
      <c r="GA3" t="e">
        <f>'2.2 Свод по годам'!142:142-"BYw!.h"</f>
        <v>#VALUE!</v>
      </c>
      <c r="GB3" t="e">
        <f>'2.2 Свод по годам'!143:143-"BYw!.i"</f>
        <v>#VALUE!</v>
      </c>
      <c r="GC3" t="e">
        <f>'2.2 Свод по годам'!144:144-"BYw!.j"</f>
        <v>#VALUE!</v>
      </c>
      <c r="GD3" t="e">
        <f>'2.2 Свод по годам'!145:145-"BYw!.k"</f>
        <v>#VALUE!</v>
      </c>
      <c r="GE3" t="e">
        <f>'2.2 Свод по годам'!146:146-"BYw!.l"</f>
        <v>#VALUE!</v>
      </c>
      <c r="GF3" t="e">
        <f>'2.2 Свод по годам'!147:147-"BYw!.m"</f>
        <v>#VALUE!</v>
      </c>
      <c r="GG3" t="e">
        <f>'2.2 Свод по годам'!148:148-"BYw!.n"</f>
        <v>#VALUE!</v>
      </c>
      <c r="GH3" t="e">
        <f>'2.2 Свод по годам'!149:149-"BYw!.o"</f>
        <v>#VALUE!</v>
      </c>
      <c r="GI3" t="e">
        <f>'2.2 Свод по годам'!150:150-"BYw!.p"</f>
        <v>#VALUE!</v>
      </c>
      <c r="GJ3" t="e">
        <f>'2.2 Свод по годам'!151:151-"BYw!.q"</f>
        <v>#VALUE!</v>
      </c>
      <c r="GK3" t="e">
        <f>'2.2 Свод по годам'!152:152-"BYw!.r"</f>
        <v>#VALUE!</v>
      </c>
      <c r="GL3" t="e">
        <f>'2.2 Свод по годам'!153:153-"BYw!.s"</f>
        <v>#VALUE!</v>
      </c>
      <c r="GM3" t="e">
        <f>'2.2 Свод по годам'!154:154-"BYw!.t"</f>
        <v>#VALUE!</v>
      </c>
      <c r="GN3" t="e">
        <f>'2.2 Свод по годам'!155:155-"BYw!.u"</f>
        <v>#VALUE!</v>
      </c>
      <c r="GO3" t="e">
        <f>'2.2 Свод по годам'!156:156-"BYw!.v"</f>
        <v>#VALUE!</v>
      </c>
      <c r="GP3" t="e">
        <f>'2.2 Свод по годам'!157:157-"BYw!.w"</f>
        <v>#VALUE!</v>
      </c>
      <c r="GQ3" t="e">
        <f>'2.2 Свод по годам'!158:158-"BYw!.x"</f>
        <v>#VALUE!</v>
      </c>
      <c r="GR3" t="e">
        <f>'2.2 Свод по годам'!159:159-"BYw!.y"</f>
        <v>#VALUE!</v>
      </c>
      <c r="GS3" t="e">
        <f>'2.2 Свод по годам'!160:160-"BYw!.z"</f>
        <v>#VALUE!</v>
      </c>
      <c r="GT3" t="e">
        <f>'2.2 Свод по годам'!161:161-"BYw!.{"</f>
        <v>#VALUE!</v>
      </c>
      <c r="GU3" t="e">
        <f>'2.2 Свод по годам'!162:162-"BYw!.|"</f>
        <v>#VALUE!</v>
      </c>
      <c r="GV3" t="e">
        <f>'2.2 Свод по годам'!163:163-"BYw!.}"</f>
        <v>#VALUE!</v>
      </c>
      <c r="GW3" t="e">
        <f>'2.2 Свод по годам'!164:164-"BYw!.~"</f>
        <v>#VALUE!</v>
      </c>
      <c r="GX3" t="e">
        <f>'2.2 Свод по годам'!165:165-"BYw!/#"</f>
        <v>#VALUE!</v>
      </c>
      <c r="GY3" t="e">
        <f>'2.2 Свод по годам'!166:166-"BYw!/$"</f>
        <v>#VALUE!</v>
      </c>
      <c r="GZ3" t="e">
        <f>'2.2 Свод по годам'!167:167-"BYw!/%"</f>
        <v>#VALUE!</v>
      </c>
      <c r="HA3" t="e">
        <f>'2.2 Свод по годам'!168:168-"BYw!/&amp;"</f>
        <v>#VALUE!</v>
      </c>
      <c r="HB3" t="e">
        <f>'2.2 Свод по годам'!169:169-"BYw!/'"</f>
        <v>#VALUE!</v>
      </c>
      <c r="HC3" t="e">
        <f>'2.2 Свод по годам'!170:170-"BYw!/("</f>
        <v>#VALUE!</v>
      </c>
      <c r="HD3" t="e">
        <f>'2.2 Свод по годам'!171:171-"BYw!/)"</f>
        <v>#VALUE!</v>
      </c>
      <c r="HE3" t="e">
        <f>'2.2 Свод по годам'!172:172-"BYw!/."</f>
        <v>#VALUE!</v>
      </c>
      <c r="HF3" t="e">
        <f>'2.2 Свод по годам'!173:173-"BYw!//"</f>
        <v>#VALUE!</v>
      </c>
      <c r="HG3" t="e">
        <f>'2.2 Свод по годам'!174:174-"BYw!/0"</f>
        <v>#VALUE!</v>
      </c>
      <c r="HH3" t="e">
        <f>'2.2 Свод по годам'!175:175-"BYw!/1"</f>
        <v>#VALUE!</v>
      </c>
      <c r="HI3" t="e">
        <f>'2.2 Свод по годам'!176:176-"BYw!/2"</f>
        <v>#VALUE!</v>
      </c>
      <c r="HJ3" t="e">
        <f>'2.2 Свод по годам'!177:177-"BYw!/3"</f>
        <v>#VALUE!</v>
      </c>
      <c r="HK3" t="e">
        <f>'2.2 Свод по годам'!178:178-"BYw!/4"</f>
        <v>#VALUE!</v>
      </c>
      <c r="HL3" t="e">
        <f>'2.2 Свод по годам'!179:179-"BYw!/5"</f>
        <v>#VALUE!</v>
      </c>
      <c r="HM3" t="e">
        <f>'2.2 Свод по годам'!180:180-"BYw!/6"</f>
        <v>#VALUE!</v>
      </c>
      <c r="HN3" t="e">
        <f>'2.2 Свод по годам'!181:181-"BYw!/7"</f>
        <v>#VALUE!</v>
      </c>
      <c r="HO3" t="e">
        <f>'2.2 Свод по годам'!182:182-"BYw!/8"</f>
        <v>#VALUE!</v>
      </c>
      <c r="HP3" t="e">
        <f>'2.2 Свод по годам'!183:183-"BYw!/9"</f>
        <v>#VALUE!</v>
      </c>
      <c r="HQ3" t="e">
        <f>'2.2 Свод по годам'!184:184-"BYw!/:"</f>
        <v>#VALUE!</v>
      </c>
      <c r="HR3" t="e">
        <f>'2.2 Свод по годам'!185:185-"BYw!/;"</f>
        <v>#VALUE!</v>
      </c>
      <c r="HS3" t="e">
        <f>'2.2 Свод по годам'!186:186-"BYw!/&lt;"</f>
        <v>#VALUE!</v>
      </c>
      <c r="HT3" t="e">
        <f>'2.2 Свод по годам'!187:187-"BYw!/="</f>
        <v>#VALUE!</v>
      </c>
      <c r="HU3" t="e">
        <f>'2.2 Свод по годам'!188:188-"BYw!/&gt;"</f>
        <v>#VALUE!</v>
      </c>
      <c r="HV3" t="e">
        <f>'2.2 Свод по годам'!189:189-"BYw!/?"</f>
        <v>#VALUE!</v>
      </c>
      <c r="HW3" t="e">
        <f>'2.2 Свод по годам'!190:190-"BYw!/@"</f>
        <v>#VALUE!</v>
      </c>
      <c r="HX3" t="e">
        <f>'2.2 Свод по годам'!191:191-"BYw!/A"</f>
        <v>#VALUE!</v>
      </c>
      <c r="HY3" t="e">
        <f>'2.2 Свод по годам'!192:192-"BYw!/B"</f>
        <v>#VALUE!</v>
      </c>
      <c r="HZ3" t="e">
        <f>'2.2 Свод по годам'!193:193-"BYw!/C"</f>
        <v>#VALUE!</v>
      </c>
      <c r="IA3" t="e">
        <f>'2.2 Свод по годам'!194:194-"BYw!/D"</f>
        <v>#VALUE!</v>
      </c>
      <c r="IB3" t="e">
        <f>'2.2 Свод по годам'!195:195-"BYw!/E"</f>
        <v>#VALUE!</v>
      </c>
      <c r="IC3" t="e">
        <f>'2.2 Свод по годам'!196:196-"BYw!/F"</f>
        <v>#VALUE!</v>
      </c>
      <c r="ID3" t="e">
        <f>'2.2 Свод по годам'!197:197-"BYw!/G"</f>
        <v>#VALUE!</v>
      </c>
      <c r="IE3" t="e">
        <f>'2.2 Свод по годам'!198:198-"BYw!/H"</f>
        <v>#VALUE!</v>
      </c>
      <c r="IF3" t="e">
        <f>'2.2 Свод по годам'!199:199-"BYw!/I"</f>
        <v>#VALUE!</v>
      </c>
      <c r="IG3" t="e">
        <f>'2.2 Свод по годам'!200:200-"BYw!/J"</f>
        <v>#VALUE!</v>
      </c>
      <c r="IH3" t="e">
        <f>'2.2 Свод по годам'!201:201-"BYw!/K"</f>
        <v>#VALUE!</v>
      </c>
      <c r="II3" t="e">
        <f>'2.2 Свод по годам'!202:202-"BYw!/L"</f>
        <v>#VALUE!</v>
      </c>
      <c r="IJ3" t="e">
        <f>'2.2 Свод по годам'!203:203-"BYw!/M"</f>
        <v>#VALUE!</v>
      </c>
      <c r="IK3" t="e">
        <f>'2.2 Свод по годам'!204:204-"BYw!/N"</f>
        <v>#VALUE!</v>
      </c>
      <c r="IL3" t="e">
        <f>'2.2 Свод по годам'!205:205-"BYw!/O"</f>
        <v>#VALUE!</v>
      </c>
      <c r="IM3" t="e">
        <f>'2.2 Свод по годам'!206:206-"BYw!/P"</f>
        <v>#VALUE!</v>
      </c>
      <c r="IN3" t="e">
        <f>'2.2 Свод по годам'!207:207-"BYw!/Q"</f>
        <v>#VALUE!</v>
      </c>
      <c r="IO3" t="e">
        <f>'2.2 Свод по годам'!208:208-"BYw!/R"</f>
        <v>#VALUE!</v>
      </c>
      <c r="IP3" t="e">
        <f>'2.2 Свод по годам'!209:209-"BYw!/S"</f>
        <v>#VALUE!</v>
      </c>
      <c r="IQ3" t="e">
        <f>'2.2 Свод по годам'!210:210-"BYw!/T"</f>
        <v>#VALUE!</v>
      </c>
      <c r="IR3" t="e">
        <f>'2.2 Свод по годам'!211:211-"BYw!/U"</f>
        <v>#VALUE!</v>
      </c>
      <c r="IS3" t="e">
        <f>'2.2 Свод по годам'!212:212-"BYw!/V"</f>
        <v>#VALUE!</v>
      </c>
      <c r="IT3" t="e">
        <f>'2.2 Свод по годам'!213:213-"BYw!/W"</f>
        <v>#VALUE!</v>
      </c>
      <c r="IU3" t="e">
        <f>'2.3 Сводная ИТОГО'!B1+"BYw!/X"</f>
        <v>#VALUE!</v>
      </c>
      <c r="IV3" t="e">
        <f>'2.3 Сводная ИТОГО'!C1+"BYw!/Y"</f>
        <v>#VALUE!</v>
      </c>
    </row>
    <row r="4" spans="1:256" x14ac:dyDescent="0.2">
      <c r="A4" t="s">
        <v>362</v>
      </c>
      <c r="F4" t="e">
        <f>'2.3 Сводная ИТОГО'!D1+"BYw!/Z"</f>
        <v>#VALUE!</v>
      </c>
      <c r="G4" t="e">
        <f>'2.3 Сводная ИТОГО'!E1+"BYw!/["</f>
        <v>#VALUE!</v>
      </c>
      <c r="H4" t="e">
        <f>'2.3 Сводная ИТОГО'!F1+"BYw!/\"</f>
        <v>#VALUE!</v>
      </c>
      <c r="I4" t="e">
        <f>'2.3 Сводная ИТОГО'!G1+"BYw!/]"</f>
        <v>#VALUE!</v>
      </c>
      <c r="J4" t="e">
        <f>'2.3 Сводная ИТОГО'!B2+"BYw!/^"</f>
        <v>#VALUE!</v>
      </c>
      <c r="K4" t="e">
        <f>'2.3 Сводная ИТОГО'!C2+"BYw!/_"</f>
        <v>#VALUE!</v>
      </c>
      <c r="L4" t="e">
        <f>'2.3 Сводная ИТОГО'!D2+"BYw!/`"</f>
        <v>#VALUE!</v>
      </c>
      <c r="M4" t="e">
        <f>'2.3 Сводная ИТОГО'!E2+"BYw!/a"</f>
        <v>#VALUE!</v>
      </c>
      <c r="N4" t="e">
        <f>'2.3 Сводная ИТОГО'!F2+"BYw!/b"</f>
        <v>#VALUE!</v>
      </c>
      <c r="O4" t="e">
        <f>'2.3 Сводная ИТОГО'!B3+"BYw!/c"</f>
        <v>#VALUE!</v>
      </c>
      <c r="P4" t="e">
        <f>'2.3 Сводная ИТОГО'!C3+"BYw!/d"</f>
        <v>#VALUE!</v>
      </c>
      <c r="Q4" s="117" t="e">
        <f>'2.3 Сводная ИТОГО'!D3+"BYw!/e"</f>
        <v>#VALUE!</v>
      </c>
      <c r="R4" s="117" t="e">
        <f>'2.3 Сводная ИТОГО'!E3+"BYw!/f"</f>
        <v>#VALUE!</v>
      </c>
      <c r="S4" s="117" t="e">
        <f>'2.3 Сводная ИТОГО'!F3+"BYw!/g"</f>
        <v>#VALUE!</v>
      </c>
      <c r="T4" t="e">
        <f>'2.3 Сводная ИТОГО'!B4+"BYw!/h"</f>
        <v>#VALUE!</v>
      </c>
      <c r="U4" t="e">
        <f>'2.3 Сводная ИТОГО'!C4+"BYw!/i"</f>
        <v>#VALUE!</v>
      </c>
      <c r="V4" t="e">
        <f>'2.3 Сводная ИТОГО'!D4+"BYw!/j"</f>
        <v>#VALUE!</v>
      </c>
      <c r="W4" t="e">
        <f>'2.3 Сводная ИТОГО'!E4+"BYw!/k"</f>
        <v>#VALUE!</v>
      </c>
      <c r="X4" t="e">
        <f>'2.3 Сводная ИТОГО'!F4+"BYw!/l"</f>
        <v>#VALUE!</v>
      </c>
      <c r="Y4" t="e">
        <f>'2.3 Сводная ИТОГО'!G4+"BYw!/m"</f>
        <v>#VALUE!</v>
      </c>
      <c r="Z4" t="e">
        <f>'2.3 Сводная ИТОГО'!B5+"BYw!/n"</f>
        <v>#VALUE!</v>
      </c>
      <c r="AA4" t="e">
        <f>'2.3 Сводная ИТОГО'!C5+"BYw!/o"</f>
        <v>#VALUE!</v>
      </c>
      <c r="AB4" t="e">
        <f>'2.3 Сводная ИТОГО'!D5+"BYw!/p"</f>
        <v>#VALUE!</v>
      </c>
      <c r="AC4" t="e">
        <f>'2.3 Сводная ИТОГО'!E5+"BYw!/q"</f>
        <v>#VALUE!</v>
      </c>
      <c r="AD4" t="e">
        <f>'2.3 Сводная ИТОГО'!F5+"BYw!/r"</f>
        <v>#VALUE!</v>
      </c>
      <c r="AE4" t="e">
        <f>'2.3 Сводная ИТОГО'!G5+"BYw!/s"</f>
        <v>#VALUE!</v>
      </c>
      <c r="AF4" t="e">
        <f>'2.3 Сводная ИТОГО'!#REF!+"BYw!/t"</f>
        <v>#REF!</v>
      </c>
      <c r="AG4" t="e">
        <f>'2.3 Сводная ИТОГО'!#REF!+"BYw!/u"</f>
        <v>#REF!</v>
      </c>
      <c r="AH4" t="e">
        <f>'2.3 Сводная ИТОГО'!#REF!+"BYw!/v"</f>
        <v>#REF!</v>
      </c>
      <c r="AI4" t="e">
        <f>'2.3 Сводная ИТОГО'!#REF!+"BYw!/w"</f>
        <v>#REF!</v>
      </c>
      <c r="AJ4" t="e">
        <f>'2.3 Сводная ИТОГО'!#REF!+"BYw!/x"</f>
        <v>#REF!</v>
      </c>
      <c r="AK4" t="e">
        <f>'2.3 Сводная ИТОГО'!#REF!+"BYw!/y"</f>
        <v>#REF!</v>
      </c>
      <c r="AL4" t="e">
        <f>'2.3 Сводная ИТОГО'!#REF!+"BYw!/z"</f>
        <v>#REF!</v>
      </c>
      <c r="AM4" t="e">
        <f>'2.3 Сводная ИТОГО'!B6+"BYw!/{"</f>
        <v>#VALUE!</v>
      </c>
      <c r="AN4" t="e">
        <f>'2.3 Сводная ИТОГО'!D6+"BYw!/|"</f>
        <v>#VALUE!</v>
      </c>
      <c r="AO4" t="e">
        <f>'2.3 Сводная ИТОГО'!E6+"BYw!/}"</f>
        <v>#VALUE!</v>
      </c>
      <c r="AP4" t="e">
        <f>'2.3 Сводная ИТОГО'!F6+"BYw!/~"</f>
        <v>#VALUE!</v>
      </c>
      <c r="AQ4" t="e">
        <f>'2.3 Сводная ИТОГО'!G6+"BYw!0#"</f>
        <v>#VALUE!</v>
      </c>
      <c r="AR4" t="e">
        <f>'2.3 Сводная ИТОГО'!#REF!+"BYw!0$"</f>
        <v>#REF!</v>
      </c>
      <c r="AS4" t="e">
        <f>'2.3 Сводная ИТОГО'!B7+"BYw!0%"</f>
        <v>#VALUE!</v>
      </c>
      <c r="AT4" t="e">
        <f>'2.3 Сводная ИТОГО'!D7+"BYw!0&amp;"</f>
        <v>#VALUE!</v>
      </c>
      <c r="AU4" t="e">
        <f>'2.3 Сводная ИТОГО'!E7+"BYw!0'"</f>
        <v>#VALUE!</v>
      </c>
      <c r="AV4" t="e">
        <f>'2.3 Сводная ИТОГО'!F7+"BYw!0("</f>
        <v>#VALUE!</v>
      </c>
      <c r="AW4" t="e">
        <f>'2.3 Сводная ИТОГО'!G7+"BYw!0)"</f>
        <v>#VALUE!</v>
      </c>
      <c r="AX4" t="e">
        <f>'2.3 Сводная ИТОГО'!B8+"BYw!0."</f>
        <v>#VALUE!</v>
      </c>
      <c r="AY4" t="e">
        <f>'2.3 Сводная ИТОГО'!C8+"BYw!0/"</f>
        <v>#VALUE!</v>
      </c>
      <c r="AZ4" t="e">
        <f>'2.3 Сводная ИТОГО'!D8+"BYw!00"</f>
        <v>#VALUE!</v>
      </c>
      <c r="BA4" t="e">
        <f>'2.3 Сводная ИТОГО'!E8+"BYw!01"</f>
        <v>#VALUE!</v>
      </c>
      <c r="BB4" t="e">
        <f>'2.3 Сводная ИТОГО'!F8+"BYw!02"</f>
        <v>#VALUE!</v>
      </c>
      <c r="BC4" t="e">
        <f>'2.3 Сводная ИТОГО'!G8+"BYw!03"</f>
        <v>#VALUE!</v>
      </c>
      <c r="BD4" t="e">
        <f>'2.3 Сводная ИТОГО'!B9+"BYw!04"</f>
        <v>#VALUE!</v>
      </c>
      <c r="BE4" t="e">
        <f>'2.3 Сводная ИТОГО'!C9+"BYw!05"</f>
        <v>#VALUE!</v>
      </c>
      <c r="BF4" t="e">
        <f>'2.3 Сводная ИТОГО'!D9+"BYw!06"</f>
        <v>#VALUE!</v>
      </c>
      <c r="BG4" t="e">
        <f>'2.3 Сводная ИТОГО'!E9+"BYw!07"</f>
        <v>#VALUE!</v>
      </c>
      <c r="BH4" t="e">
        <f>'2.3 Сводная ИТОГО'!F9+"BYw!08"</f>
        <v>#VALUE!</v>
      </c>
      <c r="BI4" t="e">
        <f>'2.3 Сводная ИТОГО'!G9+"BYw!09"</f>
        <v>#VALUE!</v>
      </c>
      <c r="BJ4" t="e">
        <f>'2.3 Сводная ИТОГО'!B10+"BYw!0:"</f>
        <v>#VALUE!</v>
      </c>
      <c r="BK4" t="e">
        <f>'2.3 Сводная ИТОГО'!C10+"BYw!0;"</f>
        <v>#VALUE!</v>
      </c>
      <c r="BL4" t="e">
        <f>'2.3 Сводная ИТОГО'!D10+"BYw!0&lt;"</f>
        <v>#VALUE!</v>
      </c>
      <c r="BM4" t="e">
        <f>'2.3 Сводная ИТОГО'!E10+"BYw!0="</f>
        <v>#VALUE!</v>
      </c>
      <c r="BN4" t="e">
        <f>'2.3 Сводная ИТОГО'!F10+"BYw!0&gt;"</f>
        <v>#VALUE!</v>
      </c>
      <c r="BO4" t="e">
        <f>'2.3 Сводная ИТОГО'!G10+"BYw!0?"</f>
        <v>#VALUE!</v>
      </c>
      <c r="BP4" t="e">
        <f>'2.3 Сводная ИТОГО'!B11+"BYw!0@"</f>
        <v>#VALUE!</v>
      </c>
      <c r="BQ4" t="e">
        <f>'2.3 Сводная ИТОГО'!C11+"BYw!0A"</f>
        <v>#VALUE!</v>
      </c>
      <c r="BR4" t="e">
        <f>'2.3 Сводная ИТОГО'!D11+"BYw!0B"</f>
        <v>#VALUE!</v>
      </c>
      <c r="BS4" t="e">
        <f>'2.3 Сводная ИТОГО'!E11+"BYw!0C"</f>
        <v>#VALUE!</v>
      </c>
      <c r="BT4" t="e">
        <f>'2.3 Сводная ИТОГО'!F11+"BYw!0D"</f>
        <v>#VALUE!</v>
      </c>
      <c r="BU4" t="e">
        <f>'2.3 Сводная ИТОГО'!G11+"BYw!0E"</f>
        <v>#VALUE!</v>
      </c>
      <c r="BV4" t="e">
        <f>'2.3 Сводная ИТОГО'!B12+"BYw!0F"</f>
        <v>#VALUE!</v>
      </c>
      <c r="BW4" t="e">
        <f>'2.3 Сводная ИТОГО'!B13+"BYw!0G"</f>
        <v>#VALUE!</v>
      </c>
      <c r="BX4" t="e">
        <f>'2.3 Сводная ИТОГО'!B14+"BYw!0H"</f>
        <v>#VALUE!</v>
      </c>
      <c r="BY4" t="e">
        <f>'2.3 Сводная ИТОГО'!B15+"BYw!0I"</f>
        <v>#VALUE!</v>
      </c>
      <c r="BZ4" t="e">
        <f>'2.3 Сводная ИТОГО'!B16+"BYw!0J"</f>
        <v>#VALUE!</v>
      </c>
      <c r="CA4" t="e">
        <f>'2.3 Сводная ИТОГО'!B:B*"BYw!0K"</f>
        <v>#VALUE!</v>
      </c>
      <c r="CB4" t="e">
        <f>'2.3 Сводная ИТОГО'!C:C*"BYw!0L"</f>
        <v>#VALUE!</v>
      </c>
      <c r="CC4" t="e">
        <f>'2.3 Сводная ИТОГО'!D:D*"BYw!0M"</f>
        <v>#VALUE!</v>
      </c>
      <c r="CD4" t="e">
        <f>'2.3 Сводная ИТОГО'!E:E*"BYw!0N"</f>
        <v>#VALUE!</v>
      </c>
      <c r="CE4" t="e">
        <f>'2.3 Сводная ИТОГО'!F:F*"BYw!0O"</f>
        <v>#VALUE!</v>
      </c>
      <c r="CF4" t="e">
        <f>'2.3 Сводная ИТОГО'!G:G*"BYw!0P"</f>
        <v>#VALUE!</v>
      </c>
      <c r="CG4" t="e">
        <f>'2.3 Сводная ИТОГО'!H:H*"BYw!0Q"</f>
        <v>#VALUE!</v>
      </c>
      <c r="CH4" t="e">
        <f>'2.3 Сводная ИТОГО'!I:I*"BYw!0R"</f>
        <v>#VALUE!</v>
      </c>
      <c r="CI4" t="e">
        <f>'2.3 Сводная ИТОГО'!J:J*"BYw!0S"</f>
        <v>#VALUE!</v>
      </c>
      <c r="CJ4" t="e">
        <f>'2.3 Сводная ИТОГО'!K:K*"BYw!0T"</f>
        <v>#VALUE!</v>
      </c>
      <c r="CK4" t="e">
        <f>'2.3 Сводная ИТОГО'!L:L*"BYw!0U"</f>
        <v>#VALUE!</v>
      </c>
      <c r="CL4" t="e">
        <f>'2.3 Сводная ИТОГО'!M:M*"BYw!0V"</f>
        <v>#VALUE!</v>
      </c>
      <c r="CM4" t="e">
        <f>'2.3 Сводная ИТОГО'!N:N*"BYw!0W"</f>
        <v>#VALUE!</v>
      </c>
      <c r="CN4" t="e">
        <f>'2.3 Сводная ИТОГО'!O:O*"BYw!0X"</f>
        <v>#VALUE!</v>
      </c>
      <c r="CO4" t="e">
        <f>'2.3 Сводная ИТОГО'!P:P*"BYw!0Y"</f>
        <v>#VALUE!</v>
      </c>
      <c r="CP4" t="e">
        <f>'2.3 Сводная ИТОГО'!Q:Q*"BYw!0Z"</f>
        <v>#VALUE!</v>
      </c>
      <c r="CQ4" t="e">
        <f>'2.3 Сводная ИТОГО'!R:R*"BYw!0["</f>
        <v>#VALUE!</v>
      </c>
      <c r="CR4" t="e">
        <f>'2.3 Сводная ИТОГО'!S:S*"BYw!0\"</f>
        <v>#VALUE!</v>
      </c>
      <c r="CS4" t="e">
        <f>'2.3 Сводная ИТОГО'!T:T*"BYw!0]"</f>
        <v>#VALUE!</v>
      </c>
      <c r="CT4" t="e">
        <f>'2.3 Сводная ИТОГО'!U:U*"BYw!0^"</f>
        <v>#VALUE!</v>
      </c>
      <c r="CU4" t="e">
        <f>'2.3 Сводная ИТОГО'!V:V*"BYw!0_"</f>
        <v>#VALUE!</v>
      </c>
      <c r="CV4" t="e">
        <f>'2.3 Сводная ИТОГО'!W:W*"BYw!0`"</f>
        <v>#VALUE!</v>
      </c>
      <c r="CW4" t="e">
        <f>'2.3 Сводная ИТОГО'!X:X*"BYw!0a"</f>
        <v>#VALUE!</v>
      </c>
      <c r="CX4" t="e">
        <f>'2.3 Сводная ИТОГО'!Y:Y*"BYw!0b"</f>
        <v>#VALUE!</v>
      </c>
      <c r="CY4" t="e">
        <f>'2.3 Сводная ИТОГО'!Z:Z*"BYw!0c"</f>
        <v>#VALUE!</v>
      </c>
      <c r="CZ4" t="e">
        <f>'2.3 Сводная ИТОГО'!AA:AA*"BYw!0d"</f>
        <v>#VALUE!</v>
      </c>
      <c r="DA4" t="e">
        <f>'2.3 Сводная ИТОГО'!AB:AB*"BYw!0e"</f>
        <v>#VALUE!</v>
      </c>
      <c r="DB4" t="e">
        <f>'2.3 Сводная ИТОГО'!AC:AC*"BYw!0f"</f>
        <v>#VALUE!</v>
      </c>
      <c r="DC4" t="e">
        <f>'2.3 Сводная ИТОГО'!AD:AD*"BYw!0g"</f>
        <v>#VALUE!</v>
      </c>
      <c r="DD4" t="e">
        <f>'2.3 Сводная ИТОГО'!AE:AE*"BYw!0h"</f>
        <v>#VALUE!</v>
      </c>
      <c r="DE4" t="e">
        <f>'2.3 Сводная ИТОГО'!AF:AF*"BYw!0i"</f>
        <v>#VALUE!</v>
      </c>
      <c r="DF4" t="e">
        <f>'2.3 Сводная ИТОГО'!AG:AG*"BYw!0j"</f>
        <v>#VALUE!</v>
      </c>
      <c r="DG4" t="e">
        <f>'2.3 Сводная ИТОГО'!AH:AH*"BYw!0k"</f>
        <v>#VALUE!</v>
      </c>
      <c r="DH4" t="e">
        <f>'2.3 Сводная ИТОГО'!AI:AI*"BYw!0l"</f>
        <v>#VALUE!</v>
      </c>
      <c r="DI4" t="e">
        <f>'2.3 Сводная ИТОГО'!AJ:AJ*"BYw!0m"</f>
        <v>#VALUE!</v>
      </c>
      <c r="DJ4" t="e">
        <f>'2.3 Сводная ИТОГО'!AK:AK*"BYw!0n"</f>
        <v>#VALUE!</v>
      </c>
      <c r="DK4" t="e">
        <f>'2.3 Сводная ИТОГО'!AL:AL*"BYw!0o"</f>
        <v>#VALUE!</v>
      </c>
      <c r="DL4" t="e">
        <f>'2.3 Сводная ИТОГО'!AM:AM*"BYw!0p"</f>
        <v>#VALUE!</v>
      </c>
      <c r="DM4" t="e">
        <f>'2.3 Сводная ИТОГО'!AN:AN*"BYw!0q"</f>
        <v>#VALUE!</v>
      </c>
      <c r="DN4" t="e">
        <f>'2.3 Сводная ИТОГО'!AO:AO*"BYw!0r"</f>
        <v>#VALUE!</v>
      </c>
      <c r="DO4" t="e">
        <f>'2.3 Сводная ИТОГО'!AP:AP*"BYw!0s"</f>
        <v>#VALUE!</v>
      </c>
      <c r="DP4" t="e">
        <f>'2.3 Сводная ИТОГО'!AQ:AQ*"BYw!0t"</f>
        <v>#VALUE!</v>
      </c>
      <c r="DQ4" t="e">
        <f>'2.3 Сводная ИТОГО'!AR:AR*"BYw!0u"</f>
        <v>#VALUE!</v>
      </c>
      <c r="DR4" t="e">
        <f>'2.3 Сводная ИТОГО'!AS:AS*"BYw!0v"</f>
        <v>#VALUE!</v>
      </c>
      <c r="DS4" t="e">
        <f>'2.3 Сводная ИТОГО'!AT:AT*"BYw!0w"</f>
        <v>#VALUE!</v>
      </c>
      <c r="DT4" t="e">
        <f>'2.3 Сводная ИТОГО'!AU:AU*"BYw!0x"</f>
        <v>#VALUE!</v>
      </c>
      <c r="DU4" t="e">
        <f>'2.3 Сводная ИТОГО'!AV:AV*"BYw!0y"</f>
        <v>#VALUE!</v>
      </c>
      <c r="DV4" t="e">
        <f>'2.3 Сводная ИТОГО'!AW:AW*"BYw!0z"</f>
        <v>#VALUE!</v>
      </c>
      <c r="DW4" t="e">
        <f>'2.3 Сводная ИТОГО'!AX:AX*"BYw!0{"</f>
        <v>#VALUE!</v>
      </c>
      <c r="DX4" t="e">
        <f>'2.3 Сводная ИТОГО'!AY:AY*"BYw!0|"</f>
        <v>#VALUE!</v>
      </c>
      <c r="DY4" t="e">
        <f>'2.3 Сводная ИТОГО'!AZ:AZ*"BYw!0}"</f>
        <v>#VALUE!</v>
      </c>
      <c r="DZ4" t="e">
        <f>'2.3 Сводная ИТОГО'!BA:BA*"BYw!0~"</f>
        <v>#VALUE!</v>
      </c>
      <c r="EA4" t="e">
        <f>'2.3 Сводная ИТОГО'!BB:BB*"BYw!1#"</f>
        <v>#VALUE!</v>
      </c>
      <c r="EB4" t="e">
        <f>'2.3 Сводная ИТОГО'!BC:BC*"BYw!1$"</f>
        <v>#VALUE!</v>
      </c>
      <c r="EC4" t="e">
        <f>'2.3 Сводная ИТОГО'!BD:BD*"BYw!1%"</f>
        <v>#VALUE!</v>
      </c>
      <c r="ED4" t="e">
        <f>'2.3 Сводная ИТОГО'!BE:BE*"BYw!1&amp;"</f>
        <v>#VALUE!</v>
      </c>
      <c r="EE4" t="e">
        <f>'2.3 Сводная ИТОГО'!1:1-"BYw!1'"</f>
        <v>#VALUE!</v>
      </c>
      <c r="EF4" t="e">
        <f>'2.3 Сводная ИТОГО'!2:2-"BYw!1("</f>
        <v>#VALUE!</v>
      </c>
      <c r="EG4" t="e">
        <f>'2.3 Сводная ИТОГО'!3:3-"BYw!1)"</f>
        <v>#VALUE!</v>
      </c>
      <c r="EH4" t="e">
        <f>'2.3 Сводная ИТОГО'!4:4-"BYw!1."</f>
        <v>#VALUE!</v>
      </c>
      <c r="EI4" t="e">
        <f>'2.3 Сводная ИТОГО'!5:5-"BYw!1/"</f>
        <v>#VALUE!</v>
      </c>
      <c r="EJ4" t="e">
        <f>'2.3 Сводная ИТОГО'!#REF!-"BYw!10"</f>
        <v>#REF!</v>
      </c>
      <c r="EK4" t="e">
        <f>'2.3 Сводная ИТОГО'!6:6-"BYw!11"</f>
        <v>#VALUE!</v>
      </c>
      <c r="EL4" t="e">
        <f>'2.3 Сводная ИТОГО'!7:7-"BYw!12"</f>
        <v>#VALUE!</v>
      </c>
      <c r="EM4" t="e">
        <f>'2.3 Сводная ИТОГО'!8:8-"BYw!13"</f>
        <v>#VALUE!</v>
      </c>
      <c r="EN4" t="e">
        <f>'2.3 Сводная ИТОГО'!9:9-"BYw!14"</f>
        <v>#VALUE!</v>
      </c>
      <c r="EO4" t="e">
        <f>'2.3 Сводная ИТОГО'!10:10-"BYw!15"</f>
        <v>#VALUE!</v>
      </c>
      <c r="EP4" t="e">
        <f>'2.3 Сводная ИТОГО'!11:11-"BYw!16"</f>
        <v>#VALUE!</v>
      </c>
      <c r="EQ4" t="e">
        <f>'2.3 Сводная ИТОГО'!12:12-"BYw!17"</f>
        <v>#VALUE!</v>
      </c>
      <c r="ER4" t="e">
        <f>'2.3 Сводная ИТОГО'!13:13-"BYw!18"</f>
        <v>#VALUE!</v>
      </c>
      <c r="ES4" t="e">
        <f>'2.3 Сводная ИТОГО'!14:14-"BYw!19"</f>
        <v>#VALUE!</v>
      </c>
      <c r="ET4" t="e">
        <f>'2.3 Сводная ИТОГО'!15:15-"BYw!1:"</f>
        <v>#VALUE!</v>
      </c>
      <c r="EU4" t="e">
        <f>'2.3 Сводная ИТОГО'!16:16-"BYw!1;"</f>
        <v>#VALUE!</v>
      </c>
      <c r="EV4" t="e">
        <f>'2.3 Сводная ИТОГО'!17:17-"BYw!1&lt;"</f>
        <v>#VALUE!</v>
      </c>
      <c r="EW4" t="e">
        <f>'2.3 Сводная ИТОГО'!18:18-"BYw!1="</f>
        <v>#VALUE!</v>
      </c>
      <c r="EX4" t="e">
        <f>'2.3 Сводная ИТОГО'!19:19-"BYw!1&gt;"</f>
        <v>#VALUE!</v>
      </c>
      <c r="EY4" t="e">
        <f>'2.3 Сводная ИТОГО'!20:20-"BYw!1?"</f>
        <v>#VALUE!</v>
      </c>
      <c r="EZ4" t="e">
        <f>'2.3 Сводная ИТОГО'!21:21-"BYw!1@"</f>
        <v>#VALUE!</v>
      </c>
      <c r="FA4" t="e">
        <f>'2.3 Сводная ИТОГО'!22:22-"BYw!1A"</f>
        <v>#VALUE!</v>
      </c>
      <c r="FB4" t="e">
        <f>'2.3 Сводная ИТОГО'!23:23-"BYw!1B"</f>
        <v>#VALUE!</v>
      </c>
      <c r="FC4" t="e">
        <f>'2.3 Сводная ИТОГО'!24:24-"BYw!1C"</f>
        <v>#VALUE!</v>
      </c>
      <c r="FD4" t="e">
        <f>'2.3 Сводная ИТОГО'!25:25-"BYw!1D"</f>
        <v>#VALUE!</v>
      </c>
      <c r="FE4" t="e">
        <f>'2.3 Сводная ИТОГО'!26:26-"BYw!1E"</f>
        <v>#VALUE!</v>
      </c>
      <c r="FF4" t="e">
        <f>'2.3 Сводная ИТОГО'!27:27-"BYw!1F"</f>
        <v>#VALUE!</v>
      </c>
      <c r="FG4" t="e">
        <f>'2.3 Сводная ИТОГО'!28:28-"BYw!1G"</f>
        <v>#VALUE!</v>
      </c>
      <c r="FH4" t="e">
        <f>'2.3 Сводная ИТОГО'!29:29-"BYw!1H"</f>
        <v>#VALUE!</v>
      </c>
      <c r="FI4" t="e">
        <f>'2.3 Сводная ИТОГО'!30:30-"BYw!1I"</f>
        <v>#VALUE!</v>
      </c>
      <c r="FJ4" t="e">
        <f>'2.3 Сводная ИТОГО'!31:31-"BYw!1J"</f>
        <v>#VALUE!</v>
      </c>
      <c r="FK4" t="e">
        <f>'2.3 Сводная ИТОГО'!32:32-"BYw!1K"</f>
        <v>#VALUE!</v>
      </c>
      <c r="FL4" t="e">
        <f>'2.3 Сводная ИТОГО'!33:33-"BYw!1L"</f>
        <v>#VALUE!</v>
      </c>
      <c r="FM4" t="e">
        <f>'2.3 Сводная ИТОГО'!34:34-"BYw!1M"</f>
        <v>#VALUE!</v>
      </c>
      <c r="FN4" t="e">
        <f>'2.3 Сводная ИТОГО'!35:35-"BYw!1N"</f>
        <v>#VALUE!</v>
      </c>
      <c r="FO4" t="e">
        <f>'2.3 Сводная ИТОГО'!36:36-"BYw!1O"</f>
        <v>#VALUE!</v>
      </c>
      <c r="FP4" t="e">
        <f>'2.3 Сводная ИТОГО'!37:37-"BYw!1P"</f>
        <v>#VALUE!</v>
      </c>
      <c r="FQ4" t="e">
        <f>'2.3 Сводная ИТОГО'!38:38-"BYw!1Q"</f>
        <v>#VALUE!</v>
      </c>
      <c r="FR4" t="e">
        <f>'2.3 Сводная ИТОГО'!39:39-"BYw!1R"</f>
        <v>#VALUE!</v>
      </c>
      <c r="FS4" t="e">
        <f>'2.3 Сводная ИТОГО'!40:40-"BYw!1S"</f>
        <v>#VALUE!</v>
      </c>
      <c r="FT4" t="e">
        <f>'2.3 Сводная ИТОГО'!41:41-"BYw!1T"</f>
        <v>#VALUE!</v>
      </c>
      <c r="FU4" t="e">
        <f>'2.3 Сводная ИТОГО'!42:42-"BYw!1U"</f>
        <v>#VALUE!</v>
      </c>
      <c r="FV4" t="e">
        <f>'2.3 Сводная ИТОГО'!43:43-"BYw!1V"</f>
        <v>#VALUE!</v>
      </c>
      <c r="FW4" t="e">
        <f>'2.3 Сводная ИТОГО'!44:44-"BYw!1W"</f>
        <v>#VALUE!</v>
      </c>
      <c r="FX4" t="e">
        <f>'2.3 Сводная ИТОГО'!45:45-"BYw!1X"</f>
        <v>#VALUE!</v>
      </c>
      <c r="FY4" t="e">
        <f>'2.3 Сводная ИТОГО'!46:46-"BYw!1Y"</f>
        <v>#VALUE!</v>
      </c>
      <c r="FZ4" t="e">
        <f>'2.3 Сводная ИТОГО'!47:47-"BYw!1Z"</f>
        <v>#VALUE!</v>
      </c>
      <c r="GA4" t="e">
        <f>'2.3 Сводная ИТОГО'!48:48-"BYw!1["</f>
        <v>#VALUE!</v>
      </c>
      <c r="GB4" t="e">
        <f>'2.3 Сводная ИТОГО'!49:49-"BYw!1\"</f>
        <v>#VALUE!</v>
      </c>
      <c r="GC4" t="e">
        <f>'2.3 Сводная ИТОГО'!50:50-"BYw!1]"</f>
        <v>#VALUE!</v>
      </c>
      <c r="GD4" t="e">
        <f>'2.3 Сводная ИТОГО'!51:51-"BYw!1^"</f>
        <v>#VALUE!</v>
      </c>
      <c r="GE4" t="e">
        <f>'2.3 Сводная ИТОГО'!52:52-"BYw!1_"</f>
        <v>#VALUE!</v>
      </c>
      <c r="GF4" t="e">
        <f>'2.3 Сводная ИТОГО'!53:53-"BYw!1`"</f>
        <v>#VALUE!</v>
      </c>
      <c r="GG4" t="e">
        <f>'2.3 Сводная ИТОГО'!54:54-"BYw!1a"</f>
        <v>#VALUE!</v>
      </c>
      <c r="GH4" t="e">
        <f>'2.3 Сводная ИТОГО'!55:55-"BYw!1b"</f>
        <v>#VALUE!</v>
      </c>
      <c r="GI4" t="e">
        <f>'2.3 Сводная ИТОГО'!56:56-"BYw!1c"</f>
        <v>#VALUE!</v>
      </c>
      <c r="GJ4" t="e">
        <f>'2.3 Сводная ИТОГО'!57:57-"BYw!1d"</f>
        <v>#VALUE!</v>
      </c>
      <c r="GK4" t="e">
        <f>'2.3 Сводная ИТОГО'!58:58-"BYw!1e"</f>
        <v>#VALUE!</v>
      </c>
      <c r="GL4" t="e">
        <f>'2.3 Сводная ИТОГО'!59:59-"BYw!1f"</f>
        <v>#VALUE!</v>
      </c>
      <c r="GM4" t="e">
        <f>'2.3 Сводная ИТОГО'!60:60-"BYw!1g"</f>
        <v>#VALUE!</v>
      </c>
      <c r="GN4" t="e">
        <f>'2.3 Сводная ИТОГО'!61:61-"BYw!1h"</f>
        <v>#VALUE!</v>
      </c>
      <c r="GO4" t="e">
        <f>'2.3 Сводная ИТОГО'!62:62-"BYw!1i"</f>
        <v>#VALUE!</v>
      </c>
      <c r="GP4" t="e">
        <f>'2.3 Сводная ИТОГО'!63:63-"BYw!1j"</f>
        <v>#VALUE!</v>
      </c>
      <c r="GQ4" t="e">
        <f>'2.3 Сводная ИТОГО'!64:64-"BYw!1k"</f>
        <v>#VALUE!</v>
      </c>
      <c r="GR4" t="e">
        <f>'2.3 Сводная ИТОГО'!65:65-"BYw!1l"</f>
        <v>#VALUE!</v>
      </c>
      <c r="GS4" t="e">
        <f>'2.3 Сводная ИТОГО'!66:66-"BYw!1m"</f>
        <v>#VALUE!</v>
      </c>
      <c r="GT4" t="e">
        <f>'2.3 Сводная ИТОГО'!67:67-"BYw!1n"</f>
        <v>#VALUE!</v>
      </c>
      <c r="GU4" t="e">
        <f>'2.3 Сводная ИТОГО'!68:68-"BYw!1o"</f>
        <v>#VALUE!</v>
      </c>
      <c r="GV4" t="e">
        <f>'2.3 Сводная ИТОГО'!69:69-"BYw!1p"</f>
        <v>#VALUE!</v>
      </c>
      <c r="GW4" t="e">
        <f>'2.3 Сводная ИТОГО'!70:70-"BYw!1q"</f>
        <v>#VALUE!</v>
      </c>
      <c r="GX4" t="e">
        <f>'2.3 Сводная ИТОГО'!71:71-"BYw!1r"</f>
        <v>#VALUE!</v>
      </c>
      <c r="GY4" t="e">
        <f>'2.3 Сводная ИТОГО'!72:72-"BYw!1s"</f>
        <v>#VALUE!</v>
      </c>
      <c r="GZ4" t="e">
        <f>'2.3 Сводная ИТОГО'!73:73-"BYw!1t"</f>
        <v>#VALUE!</v>
      </c>
      <c r="HA4" t="e">
        <f>'2.3 Сводная ИТОГО'!74:74-"BYw!1u"</f>
        <v>#VALUE!</v>
      </c>
      <c r="HB4" t="e">
        <f>'2.3 Сводная ИТОГО'!75:75-"BYw!1v"</f>
        <v>#VALUE!</v>
      </c>
      <c r="HC4" t="e">
        <f>'2.3 Сводная ИТОГО'!76:76-"BYw!1w"</f>
        <v>#VALUE!</v>
      </c>
      <c r="HD4" t="e">
        <f>'2.3 Сводная ИТОГО'!77:77-"BYw!1x"</f>
        <v>#VALUE!</v>
      </c>
      <c r="HE4" t="e">
        <f>'2.3 Сводная ИТОГО'!78:78-"BYw!1y"</f>
        <v>#VALUE!</v>
      </c>
      <c r="HF4" t="e">
        <f>'2.3 Сводная ИТОГО'!79:79-"BYw!1z"</f>
        <v>#VALUE!</v>
      </c>
      <c r="HG4" t="e">
        <f>'2.3 Сводная ИТОГО'!80:80-"BYw!1{"</f>
        <v>#VALUE!</v>
      </c>
      <c r="HH4" t="e">
        <f>'2.3 Сводная ИТОГО'!81:81-"BYw!1|"</f>
        <v>#VALUE!</v>
      </c>
      <c r="HI4" t="e">
        <f>'2.3 Сводная ИТОГО'!82:82-"BYw!1}"</f>
        <v>#VALUE!</v>
      </c>
      <c r="HJ4" t="e">
        <f>'2.3 Сводная ИТОГО'!83:83-"BYw!1~"</f>
        <v>#VALUE!</v>
      </c>
      <c r="HK4" t="e">
        <f>'2.3 Сводная ИТОГО'!84:84-"BYw!2#"</f>
        <v>#VALUE!</v>
      </c>
      <c r="HL4" t="e">
        <f>'2.3 Сводная ИТОГО'!85:85-"BYw!2$"</f>
        <v>#VALUE!</v>
      </c>
      <c r="HM4" t="e">
        <f>'2.3 Сводная ИТОГО'!86:86-"BYw!2%"</f>
        <v>#VALUE!</v>
      </c>
      <c r="HN4" t="e">
        <f>'2.3 Сводная ИТОГО'!87:87-"BYw!2&amp;"</f>
        <v>#VALUE!</v>
      </c>
      <c r="HO4" t="e">
        <f>'2.3 Сводная ИТОГО'!88:88-"BYw!2'"</f>
        <v>#VALUE!</v>
      </c>
      <c r="HP4" t="e">
        <f>'2.3 Сводная ИТОГО'!89:89-"BYw!2("</f>
        <v>#VALUE!</v>
      </c>
      <c r="HQ4" t="e">
        <f>'2.3 Сводная ИТОГО'!90:90-"BYw!2)"</f>
        <v>#VALUE!</v>
      </c>
      <c r="HR4" t="e">
        <f>'2.3 Сводная ИТОГО'!91:91-"BYw!2."</f>
        <v>#VALUE!</v>
      </c>
      <c r="HS4" t="e">
        <f>'2.3 Сводная ИТОГО'!92:92-"BYw!2/"</f>
        <v>#VALUE!</v>
      </c>
      <c r="HT4" t="e">
        <f>'2.3 Сводная ИТОГО'!93:93-"BYw!20"</f>
        <v>#VALUE!</v>
      </c>
      <c r="HU4" t="e">
        <f>'2.3 Сводная ИТОГО'!94:94-"BYw!21"</f>
        <v>#VALUE!</v>
      </c>
      <c r="HV4" t="e">
        <f>'2.3 Сводная ИТОГО'!95:95-"BYw!22"</f>
        <v>#VALUE!</v>
      </c>
      <c r="HW4" t="e">
        <f>'2.3 Сводная ИТОГО'!96:96-"BYw!23"</f>
        <v>#VALUE!</v>
      </c>
      <c r="HX4" t="e">
        <f>'2.3 Сводная ИТОГО'!97:97-"BYw!24"</f>
        <v>#VALUE!</v>
      </c>
      <c r="HY4" t="e">
        <f>'2.3 Сводная ИТОГО'!98:98-"BYw!25"</f>
        <v>#VALUE!</v>
      </c>
      <c r="HZ4" t="e">
        <f>'2.3 Сводная ИТОГО'!99:99-"BYw!26"</f>
        <v>#VALUE!</v>
      </c>
      <c r="IA4" t="e">
        <f>'2.3 Сводная ИТОГО'!100:100-"BYw!27"</f>
        <v>#VALUE!</v>
      </c>
      <c r="IB4" t="e">
        <f>'2.3 Сводная ИТОГО'!101:101-"BYw!28"</f>
        <v>#VALUE!</v>
      </c>
      <c r="IC4" t="e">
        <f>'2.3 Сводная ИТОГО'!102:102-"BYw!29"</f>
        <v>#VALUE!</v>
      </c>
      <c r="ID4" t="e">
        <f>'2.3 Сводная ИТОГО'!103:103-"BYw!2:"</f>
        <v>#VALUE!</v>
      </c>
      <c r="IE4" t="e">
        <f>'2.3 Сводная ИТОГО'!104:104-"BYw!2;"</f>
        <v>#VALUE!</v>
      </c>
      <c r="IF4" t="e">
        <f>'2.3 Сводная ИТОГО'!105:105-"BYw!2&lt;"</f>
        <v>#VALUE!</v>
      </c>
      <c r="IG4" t="e">
        <f>'2.3 Сводная ИТОГО'!106:106-"BYw!2="</f>
        <v>#VALUE!</v>
      </c>
      <c r="IH4" t="e">
        <f>'2.3 Сводная ИТОГО'!107:107-"BYw!2&gt;"</f>
        <v>#VALUE!</v>
      </c>
      <c r="II4" t="e">
        <f>'2.3 Сводная ИТОГО'!108:108-"BYw!2?"</f>
        <v>#VALUE!</v>
      </c>
      <c r="IJ4" t="e">
        <f>'2.3 Сводная ИТОГО'!109:109-"BYw!2@"</f>
        <v>#VALUE!</v>
      </c>
      <c r="IK4" t="e">
        <f>'2.3 Сводная ИТОГО'!110:110-"BYw!2A"</f>
        <v>#VALUE!</v>
      </c>
      <c r="IL4" t="e">
        <f>'2.3 Сводная ИТОГО'!111:111-"BYw!2B"</f>
        <v>#VALUE!</v>
      </c>
      <c r="IM4" t="e">
        <f>'2.3 Сводная ИТОГО'!112:112-"BYw!2C"</f>
        <v>#VALUE!</v>
      </c>
      <c r="IN4" t="e">
        <f>'2.3 Сводная ИТОГО'!113:113-"BYw!2D"</f>
        <v>#VALUE!</v>
      </c>
      <c r="IO4" t="e">
        <f>'2.3 Сводная ИТОГО'!114:114-"BYw!2E"</f>
        <v>#VALUE!</v>
      </c>
      <c r="IP4" t="e">
        <f>'2.3 Сводная ИТОГО'!115:115-"BYw!2F"</f>
        <v>#VALUE!</v>
      </c>
      <c r="IQ4" t="e">
        <f>'2.3 Сводная ИТОГО'!116:116-"BYw!2G"</f>
        <v>#VALUE!</v>
      </c>
      <c r="IR4" t="e">
        <f>'2.3 Сводная ИТОГО'!117:117-"BYw!2H"</f>
        <v>#VALUE!</v>
      </c>
      <c r="IS4" t="e">
        <f>'2.3 Сводная ИТОГО'!118:118-"BYw!2I"</f>
        <v>#VALUE!</v>
      </c>
      <c r="IT4" t="e">
        <f>'2.3 Сводная ИТОГО'!119:119-"BYw!2J"</f>
        <v>#VALUE!</v>
      </c>
      <c r="IU4" t="e">
        <f>'2.3 Сводная ИТОГО'!120:120-"BYw!2K"</f>
        <v>#VALUE!</v>
      </c>
      <c r="IV4" t="e">
        <f>'2.3 Сводная ИТОГО'!121:121-"BYw!2L"</f>
        <v>#VALUE!</v>
      </c>
    </row>
    <row r="5" spans="1:256" x14ac:dyDescent="0.2">
      <c r="A5" t="s">
        <v>363</v>
      </c>
      <c r="F5" t="e">
        <f>'2.3 Сводная ИТОГО'!122:122-"BYw!2M"</f>
        <v>#VALUE!</v>
      </c>
      <c r="G5" t="e">
        <f>'2.3 Сводная ИТОГО'!123:123-"BYw!2N"</f>
        <v>#VALUE!</v>
      </c>
      <c r="H5" t="e">
        <f>'2.3 Сводная ИТОГО'!124:124-"BYw!2O"</f>
        <v>#VALUE!</v>
      </c>
      <c r="I5" t="e">
        <f>'2.3 Сводная ИТОГО'!125:125-"BYw!2P"</f>
        <v>#VALUE!</v>
      </c>
      <c r="J5" t="e">
        <f>'2.3 Сводная ИТОГО'!126:126-"BYw!2Q"</f>
        <v>#VALUE!</v>
      </c>
      <c r="K5" t="e">
        <f>'2.3 Сводная ИТОГО'!127:127-"BYw!2R"</f>
        <v>#VALUE!</v>
      </c>
      <c r="L5" t="e">
        <f>'2.3 Сводная ИТОГО'!128:128-"BYw!2S"</f>
        <v>#VALUE!</v>
      </c>
      <c r="M5" t="e">
        <f>'2.3 Сводная ИТОГО'!129:129-"BYw!2T"</f>
        <v>#VALUE!</v>
      </c>
      <c r="N5" t="e">
        <f>'2.3 Сводная ИТОГО'!130:130-"BYw!2U"</f>
        <v>#VALUE!</v>
      </c>
      <c r="O5" t="e">
        <f>'2.3 Сводная ИТОГО'!131:131-"BYw!2V"</f>
        <v>#VALUE!</v>
      </c>
      <c r="P5" t="e">
        <f>'2.3 Сводная ИТОГО'!132:132-"BYw!2W"</f>
        <v>#VALUE!</v>
      </c>
      <c r="Q5" t="e">
        <f>'2.3 Сводная ИТОГО'!133:133-"BYw!2X"</f>
        <v>#VALUE!</v>
      </c>
      <c r="R5" t="e">
        <f>'2.3 Сводная ИТОГО'!134:134-"BYw!2Y"</f>
        <v>#VALUE!</v>
      </c>
      <c r="S5" t="e">
        <f>'2.3 Сводная ИТОГО'!135:135-"BYw!2Z"</f>
        <v>#VALUE!</v>
      </c>
      <c r="T5" t="e">
        <f>'2.3 Сводная ИТОГО'!136:136-"BYw!2["</f>
        <v>#VALUE!</v>
      </c>
      <c r="U5" t="e">
        <f>'2.3 Сводная ИТОГО'!137:137-"BYw!2\"</f>
        <v>#VALUE!</v>
      </c>
      <c r="V5" t="e">
        <f>'2.3 Сводная ИТОГО'!138:138-"BYw!2]"</f>
        <v>#VALUE!</v>
      </c>
      <c r="W5" t="e">
        <f>'2.3 Сводная ИТОГО'!139:139-"BYw!2^"</f>
        <v>#VALUE!</v>
      </c>
      <c r="X5" t="e">
        <f>'2.3 Сводная ИТОГО'!140:140-"BYw!2_"</f>
        <v>#VALUE!</v>
      </c>
      <c r="Y5" t="e">
        <f>'2.3 Сводная ИТОГО'!141:141-"BYw!2`"</f>
        <v>#VALUE!</v>
      </c>
      <c r="Z5" t="e">
        <f>'2.3 Сводная ИТОГО'!142:142-"BYw!2a"</f>
        <v>#VALUE!</v>
      </c>
      <c r="AA5" t="e">
        <f>'2.3 Сводная ИТОГО'!143:143-"BYw!2b"</f>
        <v>#VALUE!</v>
      </c>
      <c r="AB5" t="e">
        <f>'2.3 Сводная ИТОГО'!144:144-"BYw!2c"</f>
        <v>#VALUE!</v>
      </c>
      <c r="AC5" t="e">
        <f>'2.3 Сводная ИТОГО'!145:145-"BYw!2d"</f>
        <v>#VALUE!</v>
      </c>
      <c r="AD5" t="e">
        <f>'2.3 Сводная ИТОГО'!146:146-"BYw!2e"</f>
        <v>#VALUE!</v>
      </c>
      <c r="AE5" t="e">
        <f>'2.3 Сводная ИТОГО'!147:147-"BYw!2f"</f>
        <v>#VALUE!</v>
      </c>
      <c r="AF5" t="e">
        <f>'2.3 Сводная ИТОГО'!148:148-"BYw!2g"</f>
        <v>#VALUE!</v>
      </c>
      <c r="AG5" t="e">
        <f>'2.3 Сводная ИТОГО'!149:149-"BYw!2h"</f>
        <v>#VALUE!</v>
      </c>
      <c r="AH5" t="e">
        <f>'2.3 Сводная ИТОГО'!150:150-"BYw!2i"</f>
        <v>#VALUE!</v>
      </c>
      <c r="AI5" t="e">
        <f>'2.3 Сводная ИТОГО'!151:151-"BYw!2j"</f>
        <v>#VALUE!</v>
      </c>
      <c r="AJ5" t="e">
        <f>'2.3 Сводная ИТОГО'!152:152-"BYw!2k"</f>
        <v>#VALUE!</v>
      </c>
      <c r="AK5" t="e">
        <f>'2.3 Сводная ИТОГО'!153:153-"BYw!2l"</f>
        <v>#VALUE!</v>
      </c>
      <c r="AL5" t="e">
        <f>'2.3 Сводная ИТОГО'!154:154-"BYw!2m"</f>
        <v>#VALUE!</v>
      </c>
      <c r="AM5" t="e">
        <f>'2.3 Сводная ИТОГО'!155:155-"BYw!2n"</f>
        <v>#VALUE!</v>
      </c>
      <c r="AN5" t="e">
        <f>'2.3 Сводная ИТОГО'!156:156-"BYw!2o"</f>
        <v>#VALUE!</v>
      </c>
      <c r="AO5" t="e">
        <f>'2.3 Сводная ИТОГО'!157:157-"BYw!2p"</f>
        <v>#VALUE!</v>
      </c>
      <c r="AP5" t="e">
        <f>'2.3 Сводная ИТОГО'!158:158-"BYw!2q"</f>
        <v>#VALUE!</v>
      </c>
      <c r="AQ5" t="e">
        <f>'2.3 Сводная ИТОГО'!159:159-"BYw!2r"</f>
        <v>#VALUE!</v>
      </c>
      <c r="AR5" t="e">
        <f>'2.3 Сводная ИТОГО'!160:160-"BYw!2s"</f>
        <v>#VALUE!</v>
      </c>
      <c r="AS5" t="e">
        <f>'2.3 Сводная ИТОГО'!161:161-"BYw!2t"</f>
        <v>#VALUE!</v>
      </c>
      <c r="AT5" t="e">
        <f>'2.3 Сводная ИТОГО'!162:162-"BYw!2u"</f>
        <v>#VALUE!</v>
      </c>
      <c r="AU5" t="e">
        <f>'2.3 Сводная ИТОГО'!163:163-"BYw!2v"</f>
        <v>#VALUE!</v>
      </c>
      <c r="AV5" t="e">
        <f>'2.3 Сводная ИТОГО'!164:164-"BYw!2w"</f>
        <v>#VALUE!</v>
      </c>
      <c r="AW5" t="e">
        <f>'2.3 Сводная ИТОГО'!165:165-"BYw!2x"</f>
        <v>#VALUE!</v>
      </c>
      <c r="AX5" t="e">
        <f>'2.3 Сводная ИТОГО'!166:166-"BYw!2y"</f>
        <v>#VALUE!</v>
      </c>
      <c r="AY5" t="e">
        <f>'2.3 Сводная ИТОГО'!167:167-"BYw!2z"</f>
        <v>#VALUE!</v>
      </c>
      <c r="AZ5" t="e">
        <f>'2.3 Сводная ИТОГО'!168:168-"BYw!2{"</f>
        <v>#VALUE!</v>
      </c>
      <c r="BA5" t="e">
        <f>'2.3 Сводная ИТОГО'!169:169-"BYw!2|"</f>
        <v>#VALUE!</v>
      </c>
      <c r="BB5" t="e">
        <f>'2.3 Сводная ИТОГО'!170:170-"BYw!2}"</f>
        <v>#VALUE!</v>
      </c>
      <c r="BC5" t="e">
        <f>'2.3 Сводная ИТОГО'!171:171-"BYw!2~"</f>
        <v>#VALUE!</v>
      </c>
      <c r="BD5" t="e">
        <f>'2.3 Сводная ИТОГО'!172:172-"BYw!3#"</f>
        <v>#VALUE!</v>
      </c>
      <c r="BE5" t="e">
        <f>'2.3 Сводная ИТОГО'!173:173-"BYw!3$"</f>
        <v>#VALUE!</v>
      </c>
      <c r="BF5" t="e">
        <f>'2.3 Сводная ИТОГО'!174:174-"BYw!3%"</f>
        <v>#VALUE!</v>
      </c>
      <c r="BG5" t="e">
        <f>'2.3 Сводная ИТОГО'!175:175-"BYw!3&amp;"</f>
        <v>#VALUE!</v>
      </c>
      <c r="BH5" t="e">
        <f>'2.3 Сводная ИТОГО'!176:176-"BYw!3'"</f>
        <v>#VALUE!</v>
      </c>
      <c r="BI5" t="e">
        <f>'2.3 Сводная ИТОГО'!177:177-"BYw!3("</f>
        <v>#VALUE!</v>
      </c>
      <c r="BJ5" t="e">
        <f>'2.3 Сводная ИТОГО'!178:178-"BYw!3)"</f>
        <v>#VALUE!</v>
      </c>
      <c r="BK5" t="e">
        <f>'2.3 Сводная ИТОГО'!179:179-"BYw!3."</f>
        <v>#VALUE!</v>
      </c>
      <c r="BL5" t="e">
        <f>'2.3 Сводная ИТОГО'!180:180-"BYw!3/"</f>
        <v>#VALUE!</v>
      </c>
      <c r="BM5" t="e">
        <f>'2.3 Сводная ИТОГО'!181:181-"BYw!30"</f>
        <v>#VALUE!</v>
      </c>
      <c r="BN5" t="e">
        <f>'2.3 Сводная ИТОГО'!182:182-"BYw!31"</f>
        <v>#VALUE!</v>
      </c>
      <c r="BO5" t="e">
        <f>'2.3 Сводная ИТОГО'!183:183-"BYw!32"</f>
        <v>#VALUE!</v>
      </c>
      <c r="BP5" t="e">
        <f>'2.3 Сводная ИТОГО'!184:184-"BYw!33"</f>
        <v>#VALUE!</v>
      </c>
      <c r="BQ5" t="e">
        <f>'2.3 Сводная ИТОГО'!185:185-"BYw!34"</f>
        <v>#VALUE!</v>
      </c>
      <c r="BR5" t="e">
        <f>'2.3 Сводная ИТОГО'!186:186-"BYw!35"</f>
        <v>#VALUE!</v>
      </c>
      <c r="BS5" t="e">
        <f>'2.3 Сводная ИТОГО'!187:187-"BYw!36"</f>
        <v>#VALUE!</v>
      </c>
      <c r="BT5" t="e">
        <f>'2.3 Сводная ИТОГО'!188:188-"BYw!37"</f>
        <v>#VALUE!</v>
      </c>
      <c r="BU5" t="e">
        <f>'2.3 Сводная ИТОГО'!189:189-"BYw!38"</f>
        <v>#VALUE!</v>
      </c>
      <c r="BV5" t="e">
        <f>'2.3 Сводная ИТОГО'!190:190-"BYw!39"</f>
        <v>#VALUE!</v>
      </c>
      <c r="BW5" t="e">
        <f>'2.3 Сводная ИТОГО'!191:191-"BYw!3:"</f>
        <v>#VALUE!</v>
      </c>
      <c r="BX5" t="e">
        <f>'2.3 Сводная ИТОГО'!192:192-"BYw!3;"</f>
        <v>#VALUE!</v>
      </c>
      <c r="BY5" t="e">
        <f>'2.3 Сводная ИТОГО'!193:193-"BYw!3&lt;"</f>
        <v>#VALUE!</v>
      </c>
      <c r="BZ5" t="e">
        <f>'2.3 Сводная ИТОГО'!194:194-"BYw!3="</f>
        <v>#VALUE!</v>
      </c>
      <c r="CA5" t="e">
        <f>'2.3 Сводная ИТОГО'!195:195-"BYw!3&gt;"</f>
        <v>#VALUE!</v>
      </c>
      <c r="CB5" t="e">
        <f>'2.3 Сводная ИТОГО'!196:196-"BYw!3?"</f>
        <v>#VALUE!</v>
      </c>
      <c r="CC5" t="e">
        <f>'2.3 Сводная ИТОГО'!197:197-"BYw!3@"</f>
        <v>#VALUE!</v>
      </c>
      <c r="CD5" t="e">
        <f>'2.3 Сводная ИТОГО'!198:198-"BYw!3A"</f>
        <v>#VALUE!</v>
      </c>
      <c r="CE5" t="e">
        <f>'2.3 Сводная ИТОГО'!199:199-"BYw!3B"</f>
        <v>#VALUE!</v>
      </c>
      <c r="CF5" t="e">
        <f>'2.3 Сводная ИТОГО'!200:200-"BYw!3C"</f>
        <v>#VALUE!</v>
      </c>
      <c r="CG5" t="e">
        <f>'2.3 Сводная ИТОГО'!201:201-"BYw!3D"</f>
        <v>#VALUE!</v>
      </c>
      <c r="CH5" t="e">
        <f>'2.3 Сводная ИТОГО'!202:202-"BYw!3E"</f>
        <v>#VALUE!</v>
      </c>
      <c r="CI5" t="e">
        <f>'2.3 Сводная ИТОГО'!203:203-"BYw!3F"</f>
        <v>#VALUE!</v>
      </c>
      <c r="CJ5" t="e">
        <f>'2.3 Сводная ИТОГО'!204:204-"BYw!3G"</f>
        <v>#VALUE!</v>
      </c>
      <c r="CK5" t="e">
        <f>'2.3 Сводная ИТОГО'!205:205-"BYw!3H"</f>
        <v>#VALUE!</v>
      </c>
      <c r="CL5" t="e">
        <f>'2.3 Сводная ИТОГО'!206:206-"BYw!3I"</f>
        <v>#VALUE!</v>
      </c>
      <c r="CM5" t="e">
        <f>'2.3 Сводная ИТОГО'!207:207-"BYw!3J"</f>
        <v>#VALUE!</v>
      </c>
      <c r="CN5" t="e">
        <f>'2.3 Сводная ИТОГО'!208:208-"BYw!3K"</f>
        <v>#VALUE!</v>
      </c>
      <c r="CO5" t="e">
        <f>'2.3 Сводная ИТОГО'!209:209-"BYw!3L"</f>
        <v>#VALUE!</v>
      </c>
      <c r="CP5" t="e">
        <f>'2.3 Сводная ИТОГО'!210:210-"BYw!3M"</f>
        <v>#VALUE!</v>
      </c>
      <c r="CQ5" t="e">
        <f>'2.3 Сводная ИТОГО'!211:211-"BYw!3N"</f>
        <v>#VALUE!</v>
      </c>
      <c r="CR5" t="e">
        <f>'2.3 Сводная ИТОГО'!212:212-"BYw!3O"</f>
        <v>#VALUE!</v>
      </c>
      <c r="CS5" t="e">
        <f>'2.3 Сводная ИТОГО'!213:213-"BYw!3P"</f>
        <v>#VALUE!</v>
      </c>
      <c r="CT5" t="e">
        <f>'2.3 Сводная ИТОГО'!214:214-"BYw!3Q"</f>
        <v>#VALUE!</v>
      </c>
      <c r="CU5" t="e">
        <f>'2.3 Сводная ИТОГО'!215:215-"BYw!3R"</f>
        <v>#VALUE!</v>
      </c>
      <c r="CV5" t="e">
        <f>'2.3 Сводная ИТОГО'!216:216-"BYw!3S"</f>
        <v>#VALUE!</v>
      </c>
      <c r="CW5" t="e">
        <f>'2.4.Функции'!L1+"BYw!3T"</f>
        <v>#VALUE!</v>
      </c>
      <c r="CX5" t="e">
        <f>'2.4.Функции'!M1+"BYw!3U"</f>
        <v>#VALUE!</v>
      </c>
      <c r="CY5" t="e">
        <f>'2.4.Функции'!N1+"BYw!3V"</f>
        <v>#VALUE!</v>
      </c>
      <c r="CZ5" t="e">
        <f>'2.4.Функции'!O1+"BYw!3W"</f>
        <v>#VALUE!</v>
      </c>
      <c r="DA5" t="e">
        <f>'2.4.Функции'!P1+"BYw!3X"</f>
        <v>#VALUE!</v>
      </c>
      <c r="DB5" t="e">
        <f>'2.4.Функции'!Q1+"BYw!3Y"</f>
        <v>#VALUE!</v>
      </c>
      <c r="DC5" t="e">
        <f>'2.4.Функции'!R1+"BYw!3Z"</f>
        <v>#VALUE!</v>
      </c>
      <c r="DD5" t="e">
        <f>'2.4.Функции'!S1+"BYw!3["</f>
        <v>#VALUE!</v>
      </c>
      <c r="DE5" t="e">
        <f>'2.4.Функции'!T1+"BYw!3\"</f>
        <v>#VALUE!</v>
      </c>
      <c r="DF5" t="e">
        <f>'2.4.Функции'!U1+"BYw!3]"</f>
        <v>#VALUE!</v>
      </c>
      <c r="DG5" t="e">
        <f>'2.4.Функции'!V1+"BYw!3^"</f>
        <v>#VALUE!</v>
      </c>
      <c r="DH5" t="e">
        <f>'2.4.Функции'!W1+"BYw!3_"</f>
        <v>#VALUE!</v>
      </c>
      <c r="DI5" t="e">
        <f>'2.4.Функции'!X1+"BYw!3`"</f>
        <v>#VALUE!</v>
      </c>
      <c r="DJ5" t="e">
        <f>'2.4.Функции'!Y1+"BYw!3a"</f>
        <v>#VALUE!</v>
      </c>
      <c r="DK5" t="e">
        <f>'2.4.Функции'!Z1+"BYw!3b"</f>
        <v>#VALUE!</v>
      </c>
      <c r="DL5" t="e">
        <f>'2.4.Функции'!AA1+"BYw!3c"</f>
        <v>#VALUE!</v>
      </c>
      <c r="DM5" t="e">
        <f>'2.4.Функции'!AB1+"BYw!3d"</f>
        <v>#VALUE!</v>
      </c>
      <c r="DN5" t="e">
        <f>'2.4.Функции'!AC1+"BYw!3e"</f>
        <v>#VALUE!</v>
      </c>
      <c r="DO5" t="e">
        <f>'2.4.Функции'!L2+"BYw!3f"</f>
        <v>#VALUE!</v>
      </c>
      <c r="DP5" t="e">
        <f>'2.4.Функции'!M2+"BYw!3g"</f>
        <v>#VALUE!</v>
      </c>
      <c r="DQ5" t="e">
        <f>'2.4.Функции'!N2+"BYw!3h"</f>
        <v>#VALUE!</v>
      </c>
      <c r="DR5" t="e">
        <f>'2.4.Функции'!O2+"BYw!3i"</f>
        <v>#VALUE!</v>
      </c>
      <c r="DS5" t="e">
        <f>'2.4.Функции'!P2+"BYw!3j"</f>
        <v>#VALUE!</v>
      </c>
      <c r="DT5" t="e">
        <f>'2.4.Функции'!Q2+"BYw!3k"</f>
        <v>#VALUE!</v>
      </c>
      <c r="DU5" t="e">
        <f>'2.4.Функции'!R2+"BYw!3l"</f>
        <v>#VALUE!</v>
      </c>
      <c r="DV5" t="e">
        <f>'2.4.Функции'!S2+"BYw!3m"</f>
        <v>#VALUE!</v>
      </c>
      <c r="DW5" t="e">
        <f>'2.4.Функции'!T2+"BYw!3n"</f>
        <v>#VALUE!</v>
      </c>
      <c r="DX5" t="e">
        <f>'2.4.Функции'!U2+"BYw!3o"</f>
        <v>#VALUE!</v>
      </c>
      <c r="DY5" t="e">
        <f>'2.4.Функции'!V2+"BYw!3p"</f>
        <v>#VALUE!</v>
      </c>
      <c r="DZ5" t="e">
        <f>'2.4.Функции'!W2+"BYw!3q"</f>
        <v>#VALUE!</v>
      </c>
      <c r="EA5" t="e">
        <f>'2.4.Функции'!X2+"BYw!3r"</f>
        <v>#VALUE!</v>
      </c>
      <c r="EB5" t="e">
        <f>'2.4.Функции'!Y2+"BYw!3s"</f>
        <v>#VALUE!</v>
      </c>
      <c r="EC5" t="e">
        <f>'2.4.Функции'!Z2+"BYw!3t"</f>
        <v>#VALUE!</v>
      </c>
      <c r="ED5" t="e">
        <f>'2.4.Функции'!AA2+"BYw!3u"</f>
        <v>#VALUE!</v>
      </c>
      <c r="EE5" t="e">
        <f>'2.4.Функции'!AB2+"BYw!3v"</f>
        <v>#VALUE!</v>
      </c>
      <c r="EF5" t="e">
        <f>'2.4.Функции'!AC2+"BYw!3w"</f>
        <v>#VALUE!</v>
      </c>
      <c r="EG5" t="e">
        <f>'2.4.Функции'!B3+"BYw!3x"</f>
        <v>#VALUE!</v>
      </c>
      <c r="EH5" t="e">
        <f>'2.4.Функции'!C3+"BYw!3y"</f>
        <v>#VALUE!</v>
      </c>
      <c r="EI5" t="e">
        <f>'2.4.Функции'!D3+"BYw!3z"</f>
        <v>#VALUE!</v>
      </c>
      <c r="EJ5" t="e">
        <f>'2.4.Функции'!E3+"BYw!3{"</f>
        <v>#VALUE!</v>
      </c>
      <c r="EK5" t="e">
        <f>'2.4.Функции'!F3+"BYw!3|"</f>
        <v>#VALUE!</v>
      </c>
      <c r="EL5" t="e">
        <f>'2.4.Функции'!G3+"BYw!3}"</f>
        <v>#VALUE!</v>
      </c>
      <c r="EM5" t="e">
        <f>'2.4.Функции'!H3+"BYw!3~"</f>
        <v>#VALUE!</v>
      </c>
      <c r="EN5" t="e">
        <f>'2.4.Функции'!I3+"BYw!4#"</f>
        <v>#VALUE!</v>
      </c>
      <c r="EO5" t="e">
        <f>'2.4.Функции'!J3+"BYw!4$"</f>
        <v>#VALUE!</v>
      </c>
      <c r="EP5" t="e">
        <f>'2.4.Функции'!K3+"BYw!4%"</f>
        <v>#VALUE!</v>
      </c>
      <c r="EQ5" t="e">
        <f>'2.4.Функции'!L3+"BYw!4&amp;"</f>
        <v>#VALUE!</v>
      </c>
      <c r="ER5" t="e">
        <f>'2.4.Функции'!M3+"BYw!4'"</f>
        <v>#VALUE!</v>
      </c>
      <c r="ES5" t="e">
        <f>'2.4.Функции'!N3+"BYw!4("</f>
        <v>#VALUE!</v>
      </c>
      <c r="ET5" t="e">
        <f>'2.4.Функции'!O3+"BYw!4)"</f>
        <v>#VALUE!</v>
      </c>
      <c r="EU5" t="e">
        <f>'2.4.Функции'!P3+"BYw!4."</f>
        <v>#VALUE!</v>
      </c>
      <c r="EV5" t="e">
        <f>'2.4.Функции'!Q3+"BYw!4/"</f>
        <v>#VALUE!</v>
      </c>
      <c r="EW5" t="e">
        <f>'2.4.Функции'!R3+"BYw!40"</f>
        <v>#VALUE!</v>
      </c>
      <c r="EX5" t="e">
        <f>'2.4.Функции'!S3+"BYw!41"</f>
        <v>#VALUE!</v>
      </c>
      <c r="EY5" t="e">
        <f>'2.4.Функции'!T3+"BYw!42"</f>
        <v>#VALUE!</v>
      </c>
      <c r="EZ5" t="e">
        <f>'2.4.Функции'!U3+"BYw!43"</f>
        <v>#VALUE!</v>
      </c>
      <c r="FA5" t="e">
        <f>'2.4.Функции'!V3+"BYw!44"</f>
        <v>#VALUE!</v>
      </c>
      <c r="FB5" t="e">
        <f>'2.4.Функции'!W3+"BYw!45"</f>
        <v>#VALUE!</v>
      </c>
      <c r="FC5" t="e">
        <f>'2.4.Функции'!X3+"BYw!46"</f>
        <v>#VALUE!</v>
      </c>
      <c r="FD5" t="e">
        <f>'2.4.Функции'!Y3+"BYw!47"</f>
        <v>#VALUE!</v>
      </c>
      <c r="FE5" t="e">
        <f>'2.4.Функции'!Z3+"BYw!48"</f>
        <v>#VALUE!</v>
      </c>
      <c r="FF5" t="e">
        <f>'2.4.Функции'!AA3+"BYw!49"</f>
        <v>#VALUE!</v>
      </c>
      <c r="FG5" t="e">
        <f>'2.4.Функции'!AB3+"BYw!4:"</f>
        <v>#VALUE!</v>
      </c>
      <c r="FH5" t="e">
        <f>'2.4.Функции'!AC3+"BYw!4;"</f>
        <v>#VALUE!</v>
      </c>
      <c r="FI5" t="e">
        <f>'2.4.Функции'!B4+"BYw!4&lt;"</f>
        <v>#VALUE!</v>
      </c>
      <c r="FJ5" t="e">
        <f>'2.4.Функции'!C4+"BYw!4="</f>
        <v>#VALUE!</v>
      </c>
      <c r="FK5" t="e">
        <f>'2.4.Функции'!D4+"BYw!4&gt;"</f>
        <v>#VALUE!</v>
      </c>
      <c r="FL5" t="e">
        <f>'2.4.Функции'!E4+"BYw!4?"</f>
        <v>#VALUE!</v>
      </c>
      <c r="FM5" t="e">
        <f>'2.4.Функции'!F4+"BYw!4@"</f>
        <v>#VALUE!</v>
      </c>
      <c r="FN5" t="e">
        <f>'2.4.Функции'!G4+"BYw!4A"</f>
        <v>#VALUE!</v>
      </c>
      <c r="FO5" t="e">
        <f>'2.4.Функции'!H4+"BYw!4B"</f>
        <v>#VALUE!</v>
      </c>
      <c r="FP5" t="e">
        <f>'2.4.Функции'!I4+"BYw!4C"</f>
        <v>#VALUE!</v>
      </c>
      <c r="FQ5" t="e">
        <f>'2.4.Функции'!J4+"BYw!4D"</f>
        <v>#VALUE!</v>
      </c>
      <c r="FR5" t="e">
        <f>'2.4.Функции'!K4+"BYw!4E"</f>
        <v>#VALUE!</v>
      </c>
      <c r="FS5" t="e">
        <f>'2.4.Функции'!L4+"BYw!4F"</f>
        <v>#VALUE!</v>
      </c>
      <c r="FT5" t="e">
        <f>'2.4.Функции'!M4+"BYw!4G"</f>
        <v>#VALUE!</v>
      </c>
      <c r="FU5" t="e">
        <f>'2.4.Функции'!N4+"BYw!4H"</f>
        <v>#VALUE!</v>
      </c>
      <c r="FV5" t="e">
        <f>'2.4.Функции'!O4+"BYw!4I"</f>
        <v>#VALUE!</v>
      </c>
      <c r="FW5" t="e">
        <f>'2.4.Функции'!P4+"BYw!4J"</f>
        <v>#VALUE!</v>
      </c>
      <c r="FX5" t="e">
        <f>'2.4.Функции'!Q4+"BYw!4K"</f>
        <v>#VALUE!</v>
      </c>
      <c r="FY5" t="e">
        <f>'2.4.Функции'!R4+"BYw!4L"</f>
        <v>#VALUE!</v>
      </c>
      <c r="FZ5" t="e">
        <f>'2.4.Функции'!S4+"BYw!4M"</f>
        <v>#VALUE!</v>
      </c>
      <c r="GA5" t="e">
        <f>'2.4.Функции'!T4+"BYw!4N"</f>
        <v>#VALUE!</v>
      </c>
      <c r="GB5" t="e">
        <f>'2.4.Функции'!U4+"BYw!4O"</f>
        <v>#VALUE!</v>
      </c>
      <c r="GC5" t="e">
        <f>'2.4.Функции'!V4+"BYw!4P"</f>
        <v>#VALUE!</v>
      </c>
      <c r="GD5" t="e">
        <f>'2.4.Функции'!W4+"BYw!4Q"</f>
        <v>#VALUE!</v>
      </c>
      <c r="GE5" t="e">
        <f>'2.4.Функции'!X4+"BYw!4R"</f>
        <v>#VALUE!</v>
      </c>
      <c r="GF5" t="e">
        <f>'2.4.Функции'!Y4+"BYw!4S"</f>
        <v>#VALUE!</v>
      </c>
      <c r="GG5" t="e">
        <f>'2.4.Функции'!Z4+"BYw!4T"</f>
        <v>#VALUE!</v>
      </c>
      <c r="GH5" t="e">
        <f>'2.4.Функции'!AA4+"BYw!4U"</f>
        <v>#VALUE!</v>
      </c>
      <c r="GI5" t="e">
        <f>'2.4.Функции'!AB4+"BYw!4V"</f>
        <v>#VALUE!</v>
      </c>
      <c r="GJ5" t="e">
        <f>'2.4.Функции'!AC4+"BYw!4W"</f>
        <v>#VALUE!</v>
      </c>
      <c r="GK5" t="e">
        <f>'2.4.Функции'!A5+"BYw!4X"</f>
        <v>#VALUE!</v>
      </c>
      <c r="GL5" t="e">
        <f>'2.4.Функции'!#REF!+"BYw!4Y"</f>
        <v>#REF!</v>
      </c>
      <c r="GM5" t="e">
        <f>'2.4.Функции'!B5+"BYw!4Z"</f>
        <v>#VALUE!</v>
      </c>
      <c r="GN5" s="118" t="e">
        <f>'2.4.Функции'!D5+"BYw!4["</f>
        <v>#VALUE!</v>
      </c>
      <c r="GO5" s="118" t="e">
        <f>'2.4.Функции'!E5+"BYw!4\"</f>
        <v>#VALUE!</v>
      </c>
      <c r="GP5" s="118" t="e">
        <f>'2.4.Функции'!F5+"BYw!4]"</f>
        <v>#VALUE!</v>
      </c>
      <c r="GQ5" s="118" t="e">
        <f>'2.4.Функции'!G5+"BYw!4^"</f>
        <v>#VALUE!</v>
      </c>
      <c r="GR5" s="118" t="e">
        <f>'2.4.Функции'!H5+"BYw!4_"</f>
        <v>#VALUE!</v>
      </c>
      <c r="GS5" s="118" t="e">
        <f>'2.4.Функции'!I5+"BYw!4`"</f>
        <v>#VALUE!</v>
      </c>
      <c r="GT5" s="118" t="e">
        <f>'2.4.Функции'!J5+"BYw!4a"</f>
        <v>#VALUE!</v>
      </c>
      <c r="GU5" s="118" t="e">
        <f>'2.4.Функции'!K5+"BYw!4b"</f>
        <v>#VALUE!</v>
      </c>
      <c r="GV5" t="e">
        <f>'2.4.Функции'!L5+"BYw!4c"</f>
        <v>#VALUE!</v>
      </c>
      <c r="GW5" t="e">
        <f>'2.4.Функции'!M5+"BYw!4d"</f>
        <v>#VALUE!</v>
      </c>
      <c r="GX5" t="e">
        <f>'2.4.Функции'!N5+"BYw!4e"</f>
        <v>#VALUE!</v>
      </c>
      <c r="GY5" t="e">
        <f>'2.4.Функции'!O5+"BYw!4f"</f>
        <v>#VALUE!</v>
      </c>
      <c r="GZ5" t="e">
        <f>'2.4.Функции'!P5+"BYw!4g"</f>
        <v>#VALUE!</v>
      </c>
      <c r="HA5" t="e">
        <f>'2.4.Функции'!Q5+"BYw!4h"</f>
        <v>#VALUE!</v>
      </c>
      <c r="HB5" t="e">
        <f>'2.4.Функции'!R5+"BYw!4i"</f>
        <v>#VALUE!</v>
      </c>
      <c r="HC5" t="e">
        <f>'2.4.Функции'!S5+"BYw!4j"</f>
        <v>#VALUE!</v>
      </c>
      <c r="HD5" t="e">
        <f>'2.4.Функции'!T5+"BYw!4k"</f>
        <v>#VALUE!</v>
      </c>
      <c r="HE5" t="e">
        <f>'2.4.Функции'!U5+"BYw!4l"</f>
        <v>#VALUE!</v>
      </c>
      <c r="HF5" t="e">
        <f>'2.4.Функции'!V5+"BYw!4m"</f>
        <v>#VALUE!</v>
      </c>
      <c r="HG5" t="e">
        <f>'2.4.Функции'!W5+"BYw!4n"</f>
        <v>#VALUE!</v>
      </c>
      <c r="HH5" t="e">
        <f>'2.4.Функции'!X5+"BYw!4o"</f>
        <v>#VALUE!</v>
      </c>
      <c r="HI5" t="e">
        <f>'2.4.Функции'!Y5+"BYw!4p"</f>
        <v>#VALUE!</v>
      </c>
      <c r="HJ5" t="e">
        <f>'2.4.Функции'!Z5+"BYw!4q"</f>
        <v>#VALUE!</v>
      </c>
      <c r="HK5" t="e">
        <f>'2.4.Функции'!AA5+"BYw!4r"</f>
        <v>#VALUE!</v>
      </c>
      <c r="HL5" t="e">
        <f>'2.4.Функции'!AB5+"BYw!4s"</f>
        <v>#VALUE!</v>
      </c>
      <c r="HM5" t="e">
        <f>'2.4.Функции'!AC5+"BYw!4t"</f>
        <v>#VALUE!</v>
      </c>
      <c r="HN5" t="e">
        <f>'2.4.Функции'!AIF5+"BYw!4u"</f>
        <v>#VALUE!</v>
      </c>
      <c r="HO5" t="e">
        <f>'2.4.Функции'!AIG5+"BYw!4v"</f>
        <v>#VALUE!</v>
      </c>
      <c r="HP5" t="e">
        <f>'2.4.Функции'!AIH5+"BYw!4w"</f>
        <v>#VALUE!</v>
      </c>
      <c r="HQ5" t="e">
        <f>'2.4.Функции'!A6+"BYw!4x"</f>
        <v>#VALUE!</v>
      </c>
      <c r="HR5" t="e">
        <f>'2.4.Функции'!B6+"BYw!4y"</f>
        <v>#VALUE!</v>
      </c>
      <c r="HS5" t="e">
        <f>'2.4.Функции'!C6+"BYw!4z"</f>
        <v>#VALUE!</v>
      </c>
      <c r="HT5" s="118" t="e">
        <f>'2.4.Функции'!D6+"BYw!4{"</f>
        <v>#VALUE!</v>
      </c>
      <c r="HU5" s="118" t="e">
        <f>'2.4.Функции'!E6+"BYw!4|"</f>
        <v>#VALUE!</v>
      </c>
      <c r="HV5" s="118" t="e">
        <f>'2.4.Функции'!F6+"BYw!4}"</f>
        <v>#VALUE!</v>
      </c>
      <c r="HW5" s="118" t="e">
        <f>'2.4.Функции'!G6+"BYw!4~"</f>
        <v>#VALUE!</v>
      </c>
      <c r="HX5" s="118" t="e">
        <f>'2.4.Функции'!H6+"BYw!5#"</f>
        <v>#VALUE!</v>
      </c>
      <c r="HY5" s="118" t="e">
        <f>'2.4.Функции'!I6+"BYw!5$"</f>
        <v>#VALUE!</v>
      </c>
      <c r="HZ5" s="118" t="e">
        <f>'2.4.Функции'!J6+"BYw!5%"</f>
        <v>#VALUE!</v>
      </c>
      <c r="IA5" s="118" t="e">
        <f>'2.4.Функции'!K6+"BYw!5&amp;"</f>
        <v>#VALUE!</v>
      </c>
      <c r="IB5" t="e">
        <f>'2.4.Функции'!L6+"BYw!5'"</f>
        <v>#VALUE!</v>
      </c>
      <c r="IC5" t="e">
        <f>'2.4.Функции'!M6+"BYw!5("</f>
        <v>#VALUE!</v>
      </c>
      <c r="ID5" t="e">
        <f>'2.4.Функции'!N6+"BYw!5)"</f>
        <v>#VALUE!</v>
      </c>
      <c r="IE5" t="e">
        <f>'2.4.Функции'!O6+"BYw!5."</f>
        <v>#VALUE!</v>
      </c>
      <c r="IF5" t="e">
        <f>'2.4.Функции'!P6+"BYw!5/"</f>
        <v>#VALUE!</v>
      </c>
      <c r="IG5" t="e">
        <f>'2.4.Функции'!Q6+"BYw!50"</f>
        <v>#VALUE!</v>
      </c>
      <c r="IH5" t="e">
        <f>'2.4.Функции'!R6+"BYw!51"</f>
        <v>#VALUE!</v>
      </c>
      <c r="II5" t="e">
        <f>'2.4.Функции'!S6+"BYw!52"</f>
        <v>#VALUE!</v>
      </c>
      <c r="IJ5" t="e">
        <f>'2.4.Функции'!T6+"BYw!53"</f>
        <v>#VALUE!</v>
      </c>
      <c r="IK5" t="e">
        <f>'2.4.Функции'!U6+"BYw!54"</f>
        <v>#VALUE!</v>
      </c>
      <c r="IL5" t="e">
        <f>'2.4.Функции'!V6+"BYw!55"</f>
        <v>#VALUE!</v>
      </c>
      <c r="IM5" t="e">
        <f>'2.4.Функции'!W6+"BYw!56"</f>
        <v>#VALUE!</v>
      </c>
      <c r="IN5" t="e">
        <f>'2.4.Функции'!X6+"BYw!57"</f>
        <v>#VALUE!</v>
      </c>
      <c r="IO5" t="e">
        <f>'2.4.Функции'!Y6+"BYw!58"</f>
        <v>#VALUE!</v>
      </c>
      <c r="IP5" t="e">
        <f>'2.4.Функции'!Z6+"BYw!59"</f>
        <v>#VALUE!</v>
      </c>
      <c r="IQ5" t="e">
        <f>'2.4.Функции'!AA6+"BYw!5:"</f>
        <v>#VALUE!</v>
      </c>
      <c r="IR5" t="e">
        <f>'2.4.Функции'!AB6+"BYw!5;"</f>
        <v>#VALUE!</v>
      </c>
      <c r="IS5" t="e">
        <f>'2.4.Функции'!AC6+"BYw!5&lt;"</f>
        <v>#VALUE!</v>
      </c>
      <c r="IT5" t="e">
        <f>'2.4.Функции'!A7+"BYw!5="</f>
        <v>#VALUE!</v>
      </c>
      <c r="IU5" s="116" t="e">
        <f>'2.4.Функции'!B7+"BYw!5&gt;"</f>
        <v>#VALUE!</v>
      </c>
      <c r="IV5" t="e">
        <f>'2.4.Функции'!C7+"BYw!5?"</f>
        <v>#VALUE!</v>
      </c>
    </row>
    <row r="6" spans="1:256" x14ac:dyDescent="0.2">
      <c r="F6" s="118" t="e">
        <f>'2.4.Функции'!D7+"BYw!5@"</f>
        <v>#VALUE!</v>
      </c>
      <c r="G6" s="118" t="e">
        <f>'2.4.Функции'!E7+"BYw!5A"</f>
        <v>#VALUE!</v>
      </c>
      <c r="H6" s="118" t="e">
        <f>'2.4.Функции'!F7+"BYw!5B"</f>
        <v>#VALUE!</v>
      </c>
      <c r="I6" s="118" t="e">
        <f>'2.4.Функции'!G7+"BYw!5C"</f>
        <v>#VALUE!</v>
      </c>
      <c r="J6" s="118" t="e">
        <f>'2.4.Функции'!H7+"BYw!5D"</f>
        <v>#VALUE!</v>
      </c>
      <c r="K6" s="118" t="e">
        <f>'2.4.Функции'!I7+"BYw!5E"</f>
        <v>#VALUE!</v>
      </c>
      <c r="L6" s="118" t="e">
        <f>'2.4.Функции'!J7+"BYw!5F"</f>
        <v>#VALUE!</v>
      </c>
      <c r="M6" s="118" t="e">
        <f>'2.4.Функции'!K7+"BYw!5G"</f>
        <v>#VALUE!</v>
      </c>
      <c r="N6" t="e">
        <f>'2.4.Функции'!L7+"BYw!5H"</f>
        <v>#VALUE!</v>
      </c>
      <c r="O6" t="e">
        <f>'2.4.Функции'!M7+"BYw!5I"</f>
        <v>#VALUE!</v>
      </c>
      <c r="P6" t="e">
        <f>'2.4.Функции'!N7+"BYw!5J"</f>
        <v>#VALUE!</v>
      </c>
      <c r="Q6" t="e">
        <f>'2.4.Функции'!O7+"BYw!5K"</f>
        <v>#VALUE!</v>
      </c>
      <c r="R6" t="e">
        <f>'2.4.Функции'!P7+"BYw!5L"</f>
        <v>#VALUE!</v>
      </c>
      <c r="S6" t="e">
        <f>'2.4.Функции'!Q7+"BYw!5M"</f>
        <v>#VALUE!</v>
      </c>
      <c r="T6" t="e">
        <f>'2.4.Функции'!R7+"BYw!5N"</f>
        <v>#VALUE!</v>
      </c>
      <c r="U6" t="e">
        <f>'2.4.Функции'!S7+"BYw!5O"</f>
        <v>#VALUE!</v>
      </c>
      <c r="V6" t="e">
        <f>'2.4.Функции'!T7+"BYw!5P"</f>
        <v>#VALUE!</v>
      </c>
      <c r="W6" t="e">
        <f>'2.4.Функции'!U7+"BYw!5Q"</f>
        <v>#VALUE!</v>
      </c>
      <c r="X6" t="e">
        <f>'2.4.Функции'!V7+"BYw!5R"</f>
        <v>#VALUE!</v>
      </c>
      <c r="Y6" t="e">
        <f>'2.4.Функции'!W7+"BYw!5S"</f>
        <v>#VALUE!</v>
      </c>
      <c r="Z6" t="e">
        <f>'2.4.Функции'!X7+"BYw!5T"</f>
        <v>#VALUE!</v>
      </c>
      <c r="AA6" t="e">
        <f>'2.4.Функции'!Y7+"BYw!5U"</f>
        <v>#VALUE!</v>
      </c>
      <c r="AB6" t="e">
        <f>'2.4.Функции'!Z7+"BYw!5V"</f>
        <v>#VALUE!</v>
      </c>
      <c r="AC6" t="e">
        <f>'2.4.Функции'!AA7+"BYw!5W"</f>
        <v>#VALUE!</v>
      </c>
      <c r="AD6" t="e">
        <f>'2.4.Функции'!AB7+"BYw!5X"</f>
        <v>#VALUE!</v>
      </c>
      <c r="AE6" t="e">
        <f>'2.4.Функции'!AC7+"BYw!5Y"</f>
        <v>#VALUE!</v>
      </c>
      <c r="AF6" t="e">
        <f>'2.4.Функции'!A8+"BYw!5Z"</f>
        <v>#VALUE!</v>
      </c>
      <c r="AG6" t="e">
        <f>'2.4.Функции'!B8+"BYw!5["</f>
        <v>#VALUE!</v>
      </c>
      <c r="AH6" t="e">
        <f>'2.4.Функции'!C8+"BYw!5\"</f>
        <v>#VALUE!</v>
      </c>
      <c r="AI6" s="118" t="e">
        <f>'2.4.Функции'!D8+"BYw!5]"</f>
        <v>#VALUE!</v>
      </c>
      <c r="AJ6" s="118" t="e">
        <f>'2.4.Функции'!E8+"BYw!5^"</f>
        <v>#VALUE!</v>
      </c>
      <c r="AK6" s="118" t="e">
        <f>'2.4.Функции'!F8+"BYw!5_"</f>
        <v>#VALUE!</v>
      </c>
      <c r="AL6" s="118" t="e">
        <f>'2.4.Функции'!G8+"BYw!5`"</f>
        <v>#VALUE!</v>
      </c>
      <c r="AM6" s="118" t="e">
        <f>'2.4.Функции'!H8+"BYw!5a"</f>
        <v>#VALUE!</v>
      </c>
      <c r="AN6" s="118" t="e">
        <f>'2.4.Функции'!I8+"BYw!5b"</f>
        <v>#VALUE!</v>
      </c>
      <c r="AO6" s="118" t="e">
        <f>'2.4.Функции'!J8+"BYw!5c"</f>
        <v>#VALUE!</v>
      </c>
      <c r="AP6" s="118" t="e">
        <f>'2.4.Функции'!K8+"BYw!5d"</f>
        <v>#VALUE!</v>
      </c>
      <c r="AQ6" t="e">
        <f>'2.4.Функции'!L8+"BYw!5e"</f>
        <v>#VALUE!</v>
      </c>
      <c r="AR6" t="e">
        <f>'2.4.Функции'!M8+"BYw!5f"</f>
        <v>#VALUE!</v>
      </c>
      <c r="AS6" t="e">
        <f>'2.4.Функции'!N8+"BYw!5g"</f>
        <v>#VALUE!</v>
      </c>
      <c r="AT6" t="e">
        <f>'2.4.Функции'!O8+"BYw!5h"</f>
        <v>#VALUE!</v>
      </c>
      <c r="AU6" t="e">
        <f>'2.4.Функции'!P8+"BYw!5i"</f>
        <v>#VALUE!</v>
      </c>
      <c r="AV6" t="e">
        <f>'2.4.Функции'!Q8+"BYw!5j"</f>
        <v>#VALUE!</v>
      </c>
      <c r="AW6" t="e">
        <f>'2.4.Функции'!R8+"BYw!5k"</f>
        <v>#VALUE!</v>
      </c>
      <c r="AX6" t="e">
        <f>'2.4.Функции'!S8+"BYw!5l"</f>
        <v>#VALUE!</v>
      </c>
      <c r="AY6" t="e">
        <f>'2.4.Функции'!T8+"BYw!5m"</f>
        <v>#VALUE!</v>
      </c>
      <c r="AZ6" t="e">
        <f>'2.4.Функции'!U8+"BYw!5n"</f>
        <v>#VALUE!</v>
      </c>
      <c r="BA6" t="e">
        <f>'2.4.Функции'!V8+"BYw!5o"</f>
        <v>#VALUE!</v>
      </c>
      <c r="BB6" t="e">
        <f>'2.4.Функции'!W8+"BYw!5p"</f>
        <v>#VALUE!</v>
      </c>
      <c r="BC6" t="e">
        <f>'2.4.Функции'!X8+"BYw!5q"</f>
        <v>#VALUE!</v>
      </c>
      <c r="BD6" t="e">
        <f>'2.4.Функции'!Y8+"BYw!5r"</f>
        <v>#VALUE!</v>
      </c>
      <c r="BE6" t="e">
        <f>'2.4.Функции'!Z8+"BYw!5s"</f>
        <v>#VALUE!</v>
      </c>
      <c r="BF6" t="e">
        <f>'2.4.Функции'!AA8+"BYw!5t"</f>
        <v>#VALUE!</v>
      </c>
      <c r="BG6" t="e">
        <f>'2.4.Функции'!AB8+"BYw!5u"</f>
        <v>#VALUE!</v>
      </c>
      <c r="BH6" t="e">
        <f>'2.4.Функции'!AC8+"BYw!5v"</f>
        <v>#VALUE!</v>
      </c>
      <c r="BI6" t="e">
        <f>'2.4.Функции'!A9+"BYw!5w"</f>
        <v>#VALUE!</v>
      </c>
      <c r="BJ6" s="116" t="e">
        <f>'2.4.Функции'!B9+"BYw!5x"</f>
        <v>#VALUE!</v>
      </c>
      <c r="BK6" t="e">
        <f>'2.4.Функции'!C9+"BYw!5y"</f>
        <v>#VALUE!</v>
      </c>
      <c r="BL6" s="119" t="e">
        <f>'2.4.Функции'!D9+"BYw!5z"</f>
        <v>#VALUE!</v>
      </c>
      <c r="BM6" s="119" t="e">
        <f>'2.4.Функции'!E9+"BYw!5{"</f>
        <v>#VALUE!</v>
      </c>
      <c r="BN6" s="119" t="e">
        <f>'2.4.Функции'!F9+"BYw!5|"</f>
        <v>#VALUE!</v>
      </c>
      <c r="BO6" s="119" t="e">
        <f>'2.4.Функции'!G9+"BYw!5}"</f>
        <v>#VALUE!</v>
      </c>
      <c r="BP6" s="119" t="e">
        <f>'2.4.Функции'!H9+"BYw!5~"</f>
        <v>#VALUE!</v>
      </c>
      <c r="BQ6" s="119" t="e">
        <f>'2.4.Функции'!I9+"BYw!6#"</f>
        <v>#VALUE!</v>
      </c>
      <c r="BR6" s="119" t="e">
        <f>'2.4.Функции'!J9+"BYw!6$"</f>
        <v>#VALUE!</v>
      </c>
      <c r="BS6" s="119" t="e">
        <f>'2.4.Функции'!K9+"BYw!6%"</f>
        <v>#VALUE!</v>
      </c>
      <c r="BT6" t="e">
        <f>'2.4.Функции'!A10+"BYw!6&amp;"</f>
        <v>#VALUE!</v>
      </c>
      <c r="BU6" s="116" t="e">
        <f>'2.4.Функции'!B10+"BYw!6'"</f>
        <v>#VALUE!</v>
      </c>
      <c r="BV6" t="e">
        <f>'2.4.Функции'!C10+"BYw!6("</f>
        <v>#VALUE!</v>
      </c>
      <c r="BW6" s="119" t="e">
        <f>'2.4.Функции'!D10+"BYw!6)"</f>
        <v>#VALUE!</v>
      </c>
      <c r="BX6" s="119" t="e">
        <f>'2.4.Функции'!E10+"BYw!6."</f>
        <v>#VALUE!</v>
      </c>
      <c r="BY6" s="119" t="e">
        <f>'2.4.Функции'!F10+"BYw!6/"</f>
        <v>#VALUE!</v>
      </c>
      <c r="BZ6" s="119" t="e">
        <f>'2.4.Функции'!G10+"BYw!60"</f>
        <v>#VALUE!</v>
      </c>
      <c r="CA6" s="119" t="e">
        <f>'2.4.Функции'!H10+"BYw!61"</f>
        <v>#VALUE!</v>
      </c>
      <c r="CB6" s="119" t="e">
        <f>'2.4.Функции'!I10+"BYw!62"</f>
        <v>#VALUE!</v>
      </c>
      <c r="CC6" s="119" t="e">
        <f>'2.4.Функции'!J10+"BYw!63"</f>
        <v>#VALUE!</v>
      </c>
      <c r="CD6" s="119" t="e">
        <f>'2.4.Функции'!K10+"BYw!64"</f>
        <v>#VALUE!</v>
      </c>
      <c r="CE6" t="e">
        <f>'2.4.Функции'!A11+"BYw!65"</f>
        <v>#VALUE!</v>
      </c>
      <c r="CF6" s="116" t="e">
        <f>'2.4.Функции'!B11+"BYw!66"</f>
        <v>#VALUE!</v>
      </c>
      <c r="CG6" t="e">
        <f>'2.4.Функции'!C11+"BYw!67"</f>
        <v>#VALUE!</v>
      </c>
      <c r="CH6" s="119" t="e">
        <f>'2.4.Функции'!D11+"BYw!68"</f>
        <v>#VALUE!</v>
      </c>
      <c r="CI6" s="119" t="e">
        <f>'2.4.Функции'!E11+"BYw!69"</f>
        <v>#VALUE!</v>
      </c>
      <c r="CJ6" s="119" t="e">
        <f>'2.4.Функции'!F11+"BYw!6:"</f>
        <v>#VALUE!</v>
      </c>
      <c r="CK6" s="119" t="e">
        <f>'2.4.Функции'!G11+"BYw!6;"</f>
        <v>#VALUE!</v>
      </c>
      <c r="CL6" s="119" t="e">
        <f>'2.4.Функции'!H11+"BYw!6&lt;"</f>
        <v>#VALUE!</v>
      </c>
      <c r="CM6" s="119" t="e">
        <f>'2.4.Функции'!I11+"BYw!6="</f>
        <v>#VALUE!</v>
      </c>
      <c r="CN6" s="119" t="e">
        <f>'2.4.Функции'!J11+"BYw!6&gt;"</f>
        <v>#VALUE!</v>
      </c>
      <c r="CO6" s="119" t="e">
        <f>'2.4.Функции'!K11+"BYw!6?"</f>
        <v>#VALUE!</v>
      </c>
      <c r="CP6" t="e">
        <f>'2.4.Функции'!L11+"BYw!6@"</f>
        <v>#VALUE!</v>
      </c>
      <c r="CQ6" t="e">
        <f>'2.4.Функции'!M11+"BYw!6A"</f>
        <v>#VALUE!</v>
      </c>
      <c r="CR6" t="e">
        <f>'2.4.Функции'!N11+"BYw!6B"</f>
        <v>#VALUE!</v>
      </c>
      <c r="CS6" t="e">
        <f>'2.4.Функции'!O11+"BYw!6C"</f>
        <v>#VALUE!</v>
      </c>
      <c r="CT6" t="e">
        <f>'2.4.Функции'!P11+"BYw!6D"</f>
        <v>#VALUE!</v>
      </c>
      <c r="CU6" t="e">
        <f>'2.4.Функции'!Q11+"BYw!6E"</f>
        <v>#VALUE!</v>
      </c>
      <c r="CV6" t="e">
        <f>'2.4.Функции'!R11+"BYw!6F"</f>
        <v>#VALUE!</v>
      </c>
      <c r="CW6" t="e">
        <f>'2.4.Функции'!S11+"BYw!6G"</f>
        <v>#VALUE!</v>
      </c>
      <c r="CX6" t="e">
        <f>'2.4.Функции'!T11+"BYw!6H"</f>
        <v>#VALUE!</v>
      </c>
      <c r="CY6" t="e">
        <f>'2.4.Функции'!U11+"BYw!6I"</f>
        <v>#VALUE!</v>
      </c>
      <c r="CZ6" t="e">
        <f>'2.4.Функции'!V11+"BYw!6J"</f>
        <v>#VALUE!</v>
      </c>
      <c r="DA6" t="e">
        <f>'2.4.Функции'!W11+"BYw!6K"</f>
        <v>#VALUE!</v>
      </c>
      <c r="DB6" t="e">
        <f>'2.4.Функции'!X11+"BYw!6L"</f>
        <v>#VALUE!</v>
      </c>
      <c r="DC6" t="e">
        <f>'2.4.Функции'!Y11+"BYw!6M"</f>
        <v>#VALUE!</v>
      </c>
      <c r="DD6" t="e">
        <f>'2.4.Функции'!Z11+"BYw!6N"</f>
        <v>#VALUE!</v>
      </c>
      <c r="DE6" t="e">
        <f>'2.4.Функции'!AA11+"BYw!6O"</f>
        <v>#VALUE!</v>
      </c>
      <c r="DF6" t="e">
        <f>'2.4.Функции'!AB11+"BYw!6P"</f>
        <v>#VALUE!</v>
      </c>
      <c r="DG6" t="e">
        <f>'2.4.Функции'!AC11+"BYw!6Q"</f>
        <v>#VALUE!</v>
      </c>
      <c r="DH6" t="e">
        <f>'2.4.Функции'!A12+"BYw!6R"</f>
        <v>#VALUE!</v>
      </c>
      <c r="DI6" s="116" t="e">
        <f>'2.4.Функции'!B12+"BYw!6S"</f>
        <v>#VALUE!</v>
      </c>
      <c r="DJ6" t="e">
        <f>'2.4.Функции'!C12+"BYw!6T"</f>
        <v>#VALUE!</v>
      </c>
      <c r="DK6" s="119" t="e">
        <f>'2.4.Функции'!D12+"BYw!6U"</f>
        <v>#VALUE!</v>
      </c>
      <c r="DL6" s="119" t="e">
        <f>'2.4.Функции'!E12+"BYw!6V"</f>
        <v>#VALUE!</v>
      </c>
      <c r="DM6" s="119" t="e">
        <f>'2.4.Функции'!F12+"BYw!6W"</f>
        <v>#VALUE!</v>
      </c>
      <c r="DN6" s="119" t="e">
        <f>'2.4.Функции'!G12+"BYw!6X"</f>
        <v>#VALUE!</v>
      </c>
      <c r="DO6" s="119" t="e">
        <f>'2.4.Функции'!H12+"BYw!6Y"</f>
        <v>#VALUE!</v>
      </c>
      <c r="DP6" s="119" t="e">
        <f>'2.4.Функции'!I12+"BYw!6Z"</f>
        <v>#VALUE!</v>
      </c>
      <c r="DQ6" s="119" t="e">
        <f>'2.4.Функции'!J12+"BYw!6["</f>
        <v>#VALUE!</v>
      </c>
      <c r="DR6" s="119" t="e">
        <f>'2.4.Функции'!K12+"BYw!6\"</f>
        <v>#VALUE!</v>
      </c>
      <c r="DS6" t="e">
        <f>'2.4.Функции'!A13+"BYw!6]"</f>
        <v>#VALUE!</v>
      </c>
      <c r="DT6" s="116" t="e">
        <f>'2.4.Функции'!B13+"BYw!6^"</f>
        <v>#VALUE!</v>
      </c>
      <c r="DU6" t="e">
        <f>'2.4.Функции'!C13+"BYw!6_"</f>
        <v>#VALUE!</v>
      </c>
      <c r="DV6" s="119" t="e">
        <f>'2.4.Функции'!D13+"BYw!6`"</f>
        <v>#VALUE!</v>
      </c>
      <c r="DW6" s="119" t="e">
        <f>'2.4.Функции'!E13+"BYw!6a"</f>
        <v>#VALUE!</v>
      </c>
      <c r="DX6" s="119" t="e">
        <f>'2.4.Функции'!F13+"BYw!6b"</f>
        <v>#VALUE!</v>
      </c>
      <c r="DY6" s="119" t="e">
        <f>'2.4.Функции'!G13+"BYw!6c"</f>
        <v>#VALUE!</v>
      </c>
      <c r="DZ6" s="119" t="e">
        <f>'2.4.Функции'!H13+"BYw!6d"</f>
        <v>#VALUE!</v>
      </c>
      <c r="EA6" s="119" t="e">
        <f>'2.4.Функции'!I13+"BYw!6e"</f>
        <v>#VALUE!</v>
      </c>
      <c r="EB6" s="119" t="e">
        <f>'2.4.Функции'!J13+"BYw!6f"</f>
        <v>#VALUE!</v>
      </c>
      <c r="EC6" s="119" t="e">
        <f>'2.4.Функции'!K13+"BYw!6g"</f>
        <v>#VALUE!</v>
      </c>
      <c r="ED6" t="e">
        <f>'2.4.Функции'!A14+"BYw!6h"</f>
        <v>#VALUE!</v>
      </c>
      <c r="EE6" s="116" t="e">
        <f>'2.4.Функции'!B14+"BYw!6i"</f>
        <v>#VALUE!</v>
      </c>
      <c r="EF6" t="e">
        <f>'2.4.Функции'!C14+"BYw!6j"</f>
        <v>#VALUE!</v>
      </c>
      <c r="EG6" t="e">
        <f>'2.4.Функции'!D14+"BYw!6k"</f>
        <v>#VALUE!</v>
      </c>
      <c r="EH6" s="119" t="e">
        <f>'2.4.Функции'!E14+"BYw!6l"</f>
        <v>#VALUE!</v>
      </c>
      <c r="EI6" t="e">
        <f>'2.4.Функции'!F14+"BYw!6m"</f>
        <v>#VALUE!</v>
      </c>
      <c r="EJ6" s="119" t="e">
        <f>'2.4.Функции'!G14+"BYw!6n"</f>
        <v>#VALUE!</v>
      </c>
      <c r="EK6" s="119" t="e">
        <f>'2.4.Функции'!H14+"BYw!6o"</f>
        <v>#VALUE!</v>
      </c>
      <c r="EL6" s="119" t="e">
        <f>'2.4.Функции'!I14+"BYw!6p"</f>
        <v>#VALUE!</v>
      </c>
      <c r="EM6" s="119" t="e">
        <f>'2.4.Функции'!J14+"BYw!6q"</f>
        <v>#VALUE!</v>
      </c>
      <c r="EN6" s="119" t="e">
        <f>'2.4.Функции'!K14+"BYw!6r"</f>
        <v>#VALUE!</v>
      </c>
      <c r="EO6" t="e">
        <f>'2.4.Функции'!A15+"BYw!6s"</f>
        <v>#VALUE!</v>
      </c>
      <c r="EP6" s="116" t="e">
        <f>'2.4.Функции'!B15+"BYw!6t"</f>
        <v>#VALUE!</v>
      </c>
      <c r="EQ6" t="e">
        <f>'2.4.Функции'!C15+"BYw!6u"</f>
        <v>#VALUE!</v>
      </c>
      <c r="ER6" t="e">
        <f>'2.4.Функции'!D15+"BYw!6v"</f>
        <v>#VALUE!</v>
      </c>
      <c r="ES6" s="119" t="e">
        <f>'2.4.Функции'!E15+"BYw!6w"</f>
        <v>#VALUE!</v>
      </c>
      <c r="ET6" t="e">
        <f>'2.4.Функции'!F15+"BYw!6x"</f>
        <v>#VALUE!</v>
      </c>
      <c r="EU6" s="119" t="e">
        <f>'2.4.Функции'!G15+"BYw!6y"</f>
        <v>#VALUE!</v>
      </c>
      <c r="EV6" s="119" t="e">
        <f>'2.4.Функции'!H15+"BYw!6z"</f>
        <v>#VALUE!</v>
      </c>
      <c r="EW6" s="119" t="e">
        <f>'2.4.Функции'!I15+"BYw!6{"</f>
        <v>#VALUE!</v>
      </c>
      <c r="EX6" s="119" t="e">
        <f>'2.4.Функции'!J15+"BYw!6|"</f>
        <v>#VALUE!</v>
      </c>
      <c r="EY6" s="119" t="e">
        <f>'2.4.Функции'!K15+"BYw!6}"</f>
        <v>#VALUE!</v>
      </c>
      <c r="EZ6" t="e">
        <f>'2.4.Функции'!#REF!+"BYw!6~"</f>
        <v>#REF!</v>
      </c>
      <c r="FA6" s="116" t="e">
        <f>'2.4.Функции'!#REF!+"BYw!7#"</f>
        <v>#REF!</v>
      </c>
      <c r="FB6" t="e">
        <f>'2.4.Функции'!#REF!+"BYw!7$"</f>
        <v>#REF!</v>
      </c>
      <c r="FC6" s="119" t="e">
        <f>'2.4.Функции'!#REF!+"BYw!7%"</f>
        <v>#REF!</v>
      </c>
      <c r="FD6" s="119" t="e">
        <f>'2.4.Функции'!#REF!+"BYw!7&amp;"</f>
        <v>#REF!</v>
      </c>
      <c r="FE6" s="119" t="e">
        <f>'2.4.Функции'!#REF!+"BYw!7'"</f>
        <v>#REF!</v>
      </c>
      <c r="FF6" s="119" t="e">
        <f>'2.4.Функции'!#REF!+"BYw!7("</f>
        <v>#REF!</v>
      </c>
      <c r="FG6" s="119" t="e">
        <f>'2.4.Функции'!#REF!+"BYw!7)"</f>
        <v>#REF!</v>
      </c>
      <c r="FH6" s="119" t="e">
        <f>'2.4.Функции'!#REF!+"BYw!7."</f>
        <v>#REF!</v>
      </c>
      <c r="FI6" s="119" t="e">
        <f>'2.4.Функции'!#REF!+"BYw!7/"</f>
        <v>#REF!</v>
      </c>
      <c r="FJ6" s="119" t="e">
        <f>'2.4.Функции'!#REF!+"BYw!70"</f>
        <v>#REF!</v>
      </c>
      <c r="FK6" t="e">
        <f>'2.4.Функции'!A16+"BYw!71"</f>
        <v>#VALUE!</v>
      </c>
      <c r="FL6" s="116" t="e">
        <f>'2.4.Функции'!B16+"BYw!72"</f>
        <v>#VALUE!</v>
      </c>
      <c r="FM6" t="e">
        <f>'2.4.Функции'!C16+"BYw!73"</f>
        <v>#VALUE!</v>
      </c>
      <c r="FN6" t="e">
        <f>'2.4.Функции'!D16+"BYw!74"</f>
        <v>#VALUE!</v>
      </c>
      <c r="FO6" t="e">
        <f>'2.4.Функции'!E16+"BYw!75"</f>
        <v>#VALUE!</v>
      </c>
      <c r="FP6" t="e">
        <f>'2.4.Функции'!F16+"BYw!76"</f>
        <v>#VALUE!</v>
      </c>
      <c r="FQ6" t="e">
        <f>'2.4.Функции'!G16+"BYw!77"</f>
        <v>#VALUE!</v>
      </c>
      <c r="FR6" t="e">
        <f>'2.4.Функции'!H16+"BYw!78"</f>
        <v>#VALUE!</v>
      </c>
      <c r="FS6" t="e">
        <f>'2.4.Функции'!I16+"BYw!79"</f>
        <v>#VALUE!</v>
      </c>
      <c r="FT6" t="e">
        <f>'2.4.Функции'!J16+"BYw!7:"</f>
        <v>#VALUE!</v>
      </c>
      <c r="FU6" t="e">
        <f>'2.4.Функции'!K16+"BYw!7;"</f>
        <v>#VALUE!</v>
      </c>
      <c r="FV6" t="e">
        <f>'2.4.Функции'!A17+"BYw!7&lt;"</f>
        <v>#VALUE!</v>
      </c>
      <c r="FW6" t="e">
        <f>'2.4.Функции'!B17+"BYw!7="</f>
        <v>#VALUE!</v>
      </c>
      <c r="FX6" t="e">
        <f>'2.4.Функции'!C17+"BYw!7&gt;"</f>
        <v>#VALUE!</v>
      </c>
      <c r="FY6" s="118" t="e">
        <f>'2.4.Функции'!D17+"BYw!7?"</f>
        <v>#VALUE!</v>
      </c>
      <c r="FZ6" s="118" t="e">
        <f>'2.4.Функции'!E17+"BYw!7@"</f>
        <v>#VALUE!</v>
      </c>
      <c r="GA6" s="118" t="e">
        <f>'2.4.Функции'!F17+"BYw!7A"</f>
        <v>#VALUE!</v>
      </c>
      <c r="GB6" s="118" t="e">
        <f>'2.4.Функции'!G17+"BYw!7B"</f>
        <v>#VALUE!</v>
      </c>
      <c r="GC6" s="118" t="e">
        <f>'2.4.Функции'!H17+"BYw!7C"</f>
        <v>#VALUE!</v>
      </c>
      <c r="GD6" s="118" t="e">
        <f>'2.4.Функции'!I17+"BYw!7D"</f>
        <v>#VALUE!</v>
      </c>
      <c r="GE6" s="118" t="e">
        <f>'2.4.Функции'!J17+"BYw!7E"</f>
        <v>#VALUE!</v>
      </c>
      <c r="GF6" s="118" t="e">
        <f>'2.4.Функции'!K17+"BYw!7F"</f>
        <v>#VALUE!</v>
      </c>
      <c r="GG6" t="e">
        <f>'2.4.Функции'!L17+"BYw!7G"</f>
        <v>#VALUE!</v>
      </c>
      <c r="GH6" t="e">
        <f>'2.4.Функции'!M17+"BYw!7H"</f>
        <v>#VALUE!</v>
      </c>
      <c r="GI6" t="e">
        <f>'2.4.Функции'!N17+"BYw!7I"</f>
        <v>#VALUE!</v>
      </c>
      <c r="GJ6" t="e">
        <f>'2.4.Функции'!O17+"BYw!7J"</f>
        <v>#VALUE!</v>
      </c>
      <c r="GK6" t="e">
        <f>'2.4.Функции'!P17+"BYw!7K"</f>
        <v>#VALUE!</v>
      </c>
      <c r="GL6" t="e">
        <f>'2.4.Функции'!Q17+"BYw!7L"</f>
        <v>#VALUE!</v>
      </c>
      <c r="GM6" t="e">
        <f>'2.4.Функции'!R17+"BYw!7M"</f>
        <v>#VALUE!</v>
      </c>
      <c r="GN6" t="e">
        <f>'2.4.Функции'!S17+"BYw!7N"</f>
        <v>#VALUE!</v>
      </c>
      <c r="GO6" t="e">
        <f>'2.4.Функции'!T17+"BYw!7O"</f>
        <v>#VALUE!</v>
      </c>
      <c r="GP6" t="e">
        <f>'2.4.Функции'!U17+"BYw!7P"</f>
        <v>#VALUE!</v>
      </c>
      <c r="GQ6" t="e">
        <f>'2.4.Функции'!V17+"BYw!7Q"</f>
        <v>#VALUE!</v>
      </c>
      <c r="GR6" t="e">
        <f>'2.4.Функции'!W17+"BYw!7R"</f>
        <v>#VALUE!</v>
      </c>
      <c r="GS6" t="e">
        <f>'2.4.Функции'!X17+"BYw!7S"</f>
        <v>#VALUE!</v>
      </c>
      <c r="GT6" t="e">
        <f>'2.4.Функции'!Y17+"BYw!7T"</f>
        <v>#VALUE!</v>
      </c>
      <c r="GU6" t="e">
        <f>'2.4.Функции'!Z17+"BYw!7U"</f>
        <v>#VALUE!</v>
      </c>
      <c r="GV6" t="e">
        <f>'2.4.Функции'!AA17+"BYw!7V"</f>
        <v>#VALUE!</v>
      </c>
      <c r="GW6" t="e">
        <f>'2.4.Функции'!AB17+"BYw!7W"</f>
        <v>#VALUE!</v>
      </c>
      <c r="GX6" t="e">
        <f>'2.4.Функции'!AC17+"BYw!7X"</f>
        <v>#VALUE!</v>
      </c>
      <c r="GY6" t="e">
        <f>'2.4.Функции'!A18+"BYw!7Y"</f>
        <v>#VALUE!</v>
      </c>
      <c r="GZ6" s="116" t="e">
        <f>'2.4.Функции'!B18+"BYw!7Z"</f>
        <v>#VALUE!</v>
      </c>
      <c r="HA6" t="e">
        <f>'2.4.Функции'!C18+"BYw!7["</f>
        <v>#VALUE!</v>
      </c>
      <c r="HB6" s="119" t="e">
        <f>'2.4.Функции'!D18+"BYw!7\"</f>
        <v>#VALUE!</v>
      </c>
      <c r="HC6" s="119" t="e">
        <f>'2.4.Функции'!E18+"BYw!7]"</f>
        <v>#VALUE!</v>
      </c>
      <c r="HD6" s="119" t="e">
        <f>'2.4.Функции'!F18+"BYw!7^"</f>
        <v>#VALUE!</v>
      </c>
      <c r="HE6" s="119" t="e">
        <f>'2.4.Функции'!G18+"BYw!7_"</f>
        <v>#VALUE!</v>
      </c>
      <c r="HF6" s="119" t="e">
        <f>'2.4.Функции'!H18+"BYw!7`"</f>
        <v>#VALUE!</v>
      </c>
      <c r="HG6" s="119" t="e">
        <f>'2.4.Функции'!I18+"BYw!7a"</f>
        <v>#VALUE!</v>
      </c>
      <c r="HH6" s="119" t="e">
        <f>'2.4.Функции'!J18+"BYw!7b"</f>
        <v>#VALUE!</v>
      </c>
      <c r="HI6" s="119" t="e">
        <f>'2.4.Функции'!K18+"BYw!7c"</f>
        <v>#VALUE!</v>
      </c>
      <c r="HJ6" t="e">
        <f>'2.4.Функции'!A19+"BYw!7d"</f>
        <v>#VALUE!</v>
      </c>
      <c r="HK6" s="116" t="e">
        <f>'2.4.Функции'!B19+"BYw!7e"</f>
        <v>#VALUE!</v>
      </c>
      <c r="HL6" t="e">
        <f>'2.4.Функции'!C19+"BYw!7f"</f>
        <v>#VALUE!</v>
      </c>
      <c r="HM6" s="119" t="e">
        <f>'2.4.Функции'!D19+"BYw!7g"</f>
        <v>#VALUE!</v>
      </c>
      <c r="HN6" s="119" t="e">
        <f>'2.4.Функции'!E19+"BYw!7h"</f>
        <v>#VALUE!</v>
      </c>
      <c r="HO6" s="119" t="e">
        <f>'2.4.Функции'!F19+"BYw!7i"</f>
        <v>#VALUE!</v>
      </c>
      <c r="HP6" s="119" t="e">
        <f>'2.4.Функции'!G19+"BYw!7j"</f>
        <v>#VALUE!</v>
      </c>
      <c r="HQ6" s="119" t="e">
        <f>'2.4.Функции'!H19+"BYw!7k"</f>
        <v>#VALUE!</v>
      </c>
      <c r="HR6" s="119" t="e">
        <f>'2.4.Функции'!I19+"BYw!7l"</f>
        <v>#VALUE!</v>
      </c>
      <c r="HS6" s="119" t="e">
        <f>'2.4.Функции'!J19+"BYw!7m"</f>
        <v>#VALUE!</v>
      </c>
      <c r="HT6" s="119" t="e">
        <f>'2.4.Функции'!K19+"BYw!7n"</f>
        <v>#VALUE!</v>
      </c>
      <c r="HU6" t="e">
        <f>'2.4.Функции'!A20+"BYw!7o"</f>
        <v>#VALUE!</v>
      </c>
      <c r="HV6" s="116" t="e">
        <f>'2.4.Функции'!B20+"BYw!7p"</f>
        <v>#VALUE!</v>
      </c>
      <c r="HW6" t="e">
        <f>'2.4.Функции'!C20+"BYw!7q"</f>
        <v>#VALUE!</v>
      </c>
      <c r="HX6" s="119" t="e">
        <f>'2.4.Функции'!D20+"BYw!7r"</f>
        <v>#VALUE!</v>
      </c>
      <c r="HY6" s="119" t="e">
        <f>'2.4.Функции'!E20+"BYw!7s"</f>
        <v>#VALUE!</v>
      </c>
      <c r="HZ6" s="119" t="e">
        <f>'2.4.Функции'!F20+"BYw!7t"</f>
        <v>#VALUE!</v>
      </c>
      <c r="IA6" s="119" t="e">
        <f>'2.4.Функции'!G20+"BYw!7u"</f>
        <v>#VALUE!</v>
      </c>
      <c r="IB6" s="119" t="e">
        <f>'2.4.Функции'!H20+"BYw!7v"</f>
        <v>#VALUE!</v>
      </c>
      <c r="IC6" s="119" t="e">
        <f>'2.4.Функции'!I20+"BYw!7w"</f>
        <v>#VALUE!</v>
      </c>
      <c r="ID6" s="119" t="e">
        <f>'2.4.Функции'!J20+"BYw!7x"</f>
        <v>#VALUE!</v>
      </c>
      <c r="IE6" s="119" t="e">
        <f>'2.4.Функции'!K20+"BYw!7y"</f>
        <v>#VALUE!</v>
      </c>
      <c r="IF6" t="e">
        <f>'2.4.Функции'!L20+"BYw!7z"</f>
        <v>#VALUE!</v>
      </c>
      <c r="IG6" t="e">
        <f>'2.4.Функции'!M20+"BYw!7{"</f>
        <v>#VALUE!</v>
      </c>
      <c r="IH6" t="e">
        <f>'2.4.Функции'!N20+"BYw!7|"</f>
        <v>#VALUE!</v>
      </c>
      <c r="II6" t="e">
        <f>'2.4.Функции'!O20+"BYw!7}"</f>
        <v>#VALUE!</v>
      </c>
      <c r="IJ6" t="e">
        <f>'2.4.Функции'!P20+"BYw!7~"</f>
        <v>#VALUE!</v>
      </c>
      <c r="IK6" t="e">
        <f>'2.4.Функции'!Q20+"BYw!8#"</f>
        <v>#VALUE!</v>
      </c>
      <c r="IL6" t="e">
        <f>'2.4.Функции'!R20+"BYw!8$"</f>
        <v>#VALUE!</v>
      </c>
      <c r="IM6" t="e">
        <f>'2.4.Функции'!S20+"BYw!8%"</f>
        <v>#VALUE!</v>
      </c>
      <c r="IN6" t="e">
        <f>'2.4.Функции'!T20+"BYw!8&amp;"</f>
        <v>#VALUE!</v>
      </c>
      <c r="IO6" t="e">
        <f>'2.4.Функции'!U20+"BYw!8'"</f>
        <v>#VALUE!</v>
      </c>
      <c r="IP6" t="e">
        <f>'2.4.Функции'!V20+"BYw!8("</f>
        <v>#VALUE!</v>
      </c>
      <c r="IQ6" t="e">
        <f>'2.4.Функции'!W20+"BYw!8)"</f>
        <v>#VALUE!</v>
      </c>
      <c r="IR6" t="e">
        <f>'2.4.Функции'!X20+"BYw!8."</f>
        <v>#VALUE!</v>
      </c>
      <c r="IS6" t="e">
        <f>'2.4.Функции'!Y20+"BYw!8/"</f>
        <v>#VALUE!</v>
      </c>
      <c r="IT6" t="e">
        <f>'2.4.Функции'!Z20+"BYw!80"</f>
        <v>#VALUE!</v>
      </c>
      <c r="IU6" t="e">
        <f>'2.4.Функции'!AA20+"BYw!81"</f>
        <v>#VALUE!</v>
      </c>
      <c r="IV6" t="e">
        <f>'2.4.Функции'!AB20+"BYw!82"</f>
        <v>#VALUE!</v>
      </c>
    </row>
    <row r="7" spans="1:256" x14ac:dyDescent="0.2">
      <c r="F7" t="e">
        <f>'2.4.Функции'!AC20+"BYw!83"</f>
        <v>#VALUE!</v>
      </c>
      <c r="G7" t="e">
        <f>'2.4.Функции'!A21+"BYw!84"</f>
        <v>#VALUE!</v>
      </c>
      <c r="H7" s="116" t="e">
        <f>'2.4.Функции'!B21+"BYw!85"</f>
        <v>#VALUE!</v>
      </c>
      <c r="I7" t="e">
        <f>'2.4.Функции'!C21+"BYw!86"</f>
        <v>#VALUE!</v>
      </c>
      <c r="J7" s="119" t="e">
        <f>'2.4.Функции'!D21+"BYw!87"</f>
        <v>#VALUE!</v>
      </c>
      <c r="K7" s="119" t="e">
        <f>'2.4.Функции'!E21+"BYw!88"</f>
        <v>#VALUE!</v>
      </c>
      <c r="L7" s="119" t="e">
        <f>'2.4.Функции'!F21+"BYw!89"</f>
        <v>#VALUE!</v>
      </c>
      <c r="M7" s="119" t="e">
        <f>'2.4.Функции'!G21+"BYw!8:"</f>
        <v>#VALUE!</v>
      </c>
      <c r="N7" s="119" t="e">
        <f>'2.4.Функции'!H21+"BYw!8;"</f>
        <v>#VALUE!</v>
      </c>
      <c r="O7" s="119" t="e">
        <f>'2.4.Функции'!I21+"BYw!8&lt;"</f>
        <v>#VALUE!</v>
      </c>
      <c r="P7" s="119" t="e">
        <f>'2.4.Функции'!J21+"BYw!8="</f>
        <v>#VALUE!</v>
      </c>
      <c r="Q7" s="119" t="e">
        <f>'2.4.Функции'!K21+"BYw!8&gt;"</f>
        <v>#VALUE!</v>
      </c>
      <c r="R7" t="e">
        <f>'2.4.Функции'!L21+"BYw!8?"</f>
        <v>#VALUE!</v>
      </c>
      <c r="S7" t="e">
        <f>'2.4.Функции'!M21+"BYw!8@"</f>
        <v>#VALUE!</v>
      </c>
      <c r="T7" t="e">
        <f>'2.4.Функции'!N21+"BYw!8A"</f>
        <v>#VALUE!</v>
      </c>
      <c r="U7" t="e">
        <f>'2.4.Функции'!O21+"BYw!8B"</f>
        <v>#VALUE!</v>
      </c>
      <c r="V7" t="e">
        <f>'2.4.Функции'!P21+"BYw!8C"</f>
        <v>#VALUE!</v>
      </c>
      <c r="W7" t="e">
        <f>'2.4.Функции'!Q21+"BYw!8D"</f>
        <v>#VALUE!</v>
      </c>
      <c r="X7" t="e">
        <f>'2.4.Функции'!R21+"BYw!8E"</f>
        <v>#VALUE!</v>
      </c>
      <c r="Y7" t="e">
        <f>'2.4.Функции'!S21+"BYw!8F"</f>
        <v>#VALUE!</v>
      </c>
      <c r="Z7" t="e">
        <f>'2.4.Функции'!T21+"BYw!8G"</f>
        <v>#VALUE!</v>
      </c>
      <c r="AA7" t="e">
        <f>'2.4.Функции'!U21+"BYw!8H"</f>
        <v>#VALUE!</v>
      </c>
      <c r="AB7" t="e">
        <f>'2.4.Функции'!V21+"BYw!8I"</f>
        <v>#VALUE!</v>
      </c>
      <c r="AC7" t="e">
        <f>'2.4.Функции'!W21+"BYw!8J"</f>
        <v>#VALUE!</v>
      </c>
      <c r="AD7" t="e">
        <f>'2.4.Функции'!X21+"BYw!8K"</f>
        <v>#VALUE!</v>
      </c>
      <c r="AE7" t="e">
        <f>'2.4.Функции'!Y21+"BYw!8L"</f>
        <v>#VALUE!</v>
      </c>
      <c r="AF7" t="e">
        <f>'2.4.Функции'!Z21+"BYw!8M"</f>
        <v>#VALUE!</v>
      </c>
      <c r="AG7" t="e">
        <f>'2.4.Функции'!AA21+"BYw!8N"</f>
        <v>#VALUE!</v>
      </c>
      <c r="AH7" t="e">
        <f>'2.4.Функции'!AB21+"BYw!8O"</f>
        <v>#VALUE!</v>
      </c>
      <c r="AI7" t="e">
        <f>'2.4.Функции'!AC21+"BYw!8P"</f>
        <v>#VALUE!</v>
      </c>
      <c r="AJ7" t="e">
        <f>'2.4.Функции'!A22+"BYw!8Q"</f>
        <v>#VALUE!</v>
      </c>
      <c r="AK7" s="116" t="e">
        <f>'2.4.Функции'!B22+"BYw!8R"</f>
        <v>#VALUE!</v>
      </c>
      <c r="AL7" t="e">
        <f>'2.4.Функции'!C22+"BYw!8S"</f>
        <v>#VALUE!</v>
      </c>
      <c r="AM7" s="119" t="e">
        <f>'2.4.Функции'!D22+"BYw!8T"</f>
        <v>#VALUE!</v>
      </c>
      <c r="AN7" s="119" t="e">
        <f>'2.4.Функции'!E22+"BYw!8U"</f>
        <v>#VALUE!</v>
      </c>
      <c r="AO7" s="119" t="e">
        <f>'2.4.Функции'!F22+"BYw!8V"</f>
        <v>#VALUE!</v>
      </c>
      <c r="AP7" s="119" t="e">
        <f>'2.4.Функции'!G22+"BYw!8W"</f>
        <v>#VALUE!</v>
      </c>
      <c r="AQ7" s="119" t="e">
        <f>'2.4.Функции'!H22+"BYw!8X"</f>
        <v>#VALUE!</v>
      </c>
      <c r="AR7" s="119" t="e">
        <f>'2.4.Функции'!I22+"BYw!8Y"</f>
        <v>#VALUE!</v>
      </c>
      <c r="AS7" s="119" t="e">
        <f>'2.4.Функции'!J22+"BYw!8Z"</f>
        <v>#VALUE!</v>
      </c>
      <c r="AT7" s="119" t="e">
        <f>'2.4.Функции'!K22+"BYw!8["</f>
        <v>#VALUE!</v>
      </c>
      <c r="AU7" t="e">
        <f>'2.4.Функции'!L22+"BYw!8\"</f>
        <v>#VALUE!</v>
      </c>
      <c r="AV7" t="e">
        <f>'2.4.Функции'!M22+"BYw!8]"</f>
        <v>#VALUE!</v>
      </c>
      <c r="AW7" t="e">
        <f>'2.4.Функции'!N22+"BYw!8^"</f>
        <v>#VALUE!</v>
      </c>
      <c r="AX7" t="e">
        <f>'2.4.Функции'!O22+"BYw!8_"</f>
        <v>#VALUE!</v>
      </c>
      <c r="AY7" t="e">
        <f>'2.4.Функции'!P22+"BYw!8`"</f>
        <v>#VALUE!</v>
      </c>
      <c r="AZ7" t="e">
        <f>'2.4.Функции'!Q22+"BYw!8a"</f>
        <v>#VALUE!</v>
      </c>
      <c r="BA7" t="e">
        <f>'2.4.Функции'!R22+"BYw!8b"</f>
        <v>#VALUE!</v>
      </c>
      <c r="BB7" t="e">
        <f>'2.4.Функции'!S22+"BYw!8c"</f>
        <v>#VALUE!</v>
      </c>
      <c r="BC7" t="e">
        <f>'2.4.Функции'!T22+"BYw!8d"</f>
        <v>#VALUE!</v>
      </c>
      <c r="BD7" t="e">
        <f>'2.4.Функции'!U22+"BYw!8e"</f>
        <v>#VALUE!</v>
      </c>
      <c r="BE7" t="e">
        <f>'2.4.Функции'!V22+"BYw!8f"</f>
        <v>#VALUE!</v>
      </c>
      <c r="BF7" t="e">
        <f>'2.4.Функции'!W22+"BYw!8g"</f>
        <v>#VALUE!</v>
      </c>
      <c r="BG7" t="e">
        <f>'2.4.Функции'!X22+"BYw!8h"</f>
        <v>#VALUE!</v>
      </c>
      <c r="BH7" t="e">
        <f>'2.4.Функции'!Y22+"BYw!8i"</f>
        <v>#VALUE!</v>
      </c>
      <c r="BI7" t="e">
        <f>'2.4.Функции'!Z22+"BYw!8j"</f>
        <v>#VALUE!</v>
      </c>
      <c r="BJ7" t="e">
        <f>'2.4.Функции'!AA22+"BYw!8k"</f>
        <v>#VALUE!</v>
      </c>
      <c r="BK7" t="e">
        <f>'2.4.Функции'!AB22+"BYw!8l"</f>
        <v>#VALUE!</v>
      </c>
      <c r="BL7" t="e">
        <f>'2.4.Функции'!AC22+"BYw!8m"</f>
        <v>#VALUE!</v>
      </c>
      <c r="BM7" t="e">
        <f>'2.4.Функции'!A23+"BYw!8n"</f>
        <v>#VALUE!</v>
      </c>
      <c r="BN7" s="116" t="e">
        <f>'2.4.Функции'!B23+"BYw!8o"</f>
        <v>#VALUE!</v>
      </c>
      <c r="BO7" t="e">
        <f>'2.4.Функции'!C23+"BYw!8p"</f>
        <v>#VALUE!</v>
      </c>
      <c r="BP7" s="119" t="e">
        <f>'2.4.Функции'!D23+"BYw!8q"</f>
        <v>#VALUE!</v>
      </c>
      <c r="BQ7" s="119" t="e">
        <f>'2.4.Функции'!E23+"BYw!8r"</f>
        <v>#VALUE!</v>
      </c>
      <c r="BR7" s="119" t="e">
        <f>'2.4.Функции'!F23+"BYw!8s"</f>
        <v>#VALUE!</v>
      </c>
      <c r="BS7" s="119" t="e">
        <f>'2.4.Функции'!G23+"BYw!8t"</f>
        <v>#VALUE!</v>
      </c>
      <c r="BT7" s="119" t="e">
        <f>'2.4.Функции'!H23+"BYw!8u"</f>
        <v>#VALUE!</v>
      </c>
      <c r="BU7" s="119" t="e">
        <f>'2.4.Функции'!I23+"BYw!8v"</f>
        <v>#VALUE!</v>
      </c>
      <c r="BV7" s="119" t="e">
        <f>'2.4.Функции'!J23+"BYw!8w"</f>
        <v>#VALUE!</v>
      </c>
      <c r="BW7" s="119" t="e">
        <f>'2.4.Функции'!K23+"BYw!8x"</f>
        <v>#VALUE!</v>
      </c>
      <c r="BX7" t="e">
        <f>'2.4.Функции'!A24+"BYw!8y"</f>
        <v>#VALUE!</v>
      </c>
      <c r="BY7" t="e">
        <f>'2.4.Функции'!B24+"BYw!8z"</f>
        <v>#VALUE!</v>
      </c>
      <c r="BZ7" t="e">
        <f>'2.4.Функции'!C24+"BYw!8{"</f>
        <v>#VALUE!</v>
      </c>
      <c r="CA7" s="119" t="e">
        <f>'2.4.Функции'!D24+"BYw!8|"</f>
        <v>#VALUE!</v>
      </c>
      <c r="CB7" s="119" t="e">
        <f>'2.4.Функции'!E24+"BYw!8}"</f>
        <v>#VALUE!</v>
      </c>
      <c r="CC7" s="119" t="e">
        <f>'2.4.Функции'!F24+"BYw!8~"</f>
        <v>#VALUE!</v>
      </c>
      <c r="CD7" s="119" t="e">
        <f>'2.4.Функции'!G24+"BYw!9#"</f>
        <v>#VALUE!</v>
      </c>
      <c r="CE7" s="119" t="e">
        <f>'2.4.Функции'!H24+"BYw!9$"</f>
        <v>#VALUE!</v>
      </c>
      <c r="CF7" s="119" t="e">
        <f>'2.4.Функции'!I24+"BYw!9%"</f>
        <v>#VALUE!</v>
      </c>
      <c r="CG7" s="119" t="e">
        <f>'2.4.Функции'!J24+"BYw!9&amp;"</f>
        <v>#VALUE!</v>
      </c>
      <c r="CH7" s="119" t="e">
        <f>'2.4.Функции'!K24+"BYw!9'"</f>
        <v>#VALUE!</v>
      </c>
      <c r="CI7" t="e">
        <f>'2.4.Функции'!L24+"BYw!9("</f>
        <v>#VALUE!</v>
      </c>
      <c r="CJ7" t="e">
        <f>'2.4.Функции'!M24+"BYw!9)"</f>
        <v>#VALUE!</v>
      </c>
      <c r="CK7" t="e">
        <f>'2.4.Функции'!N24+"BYw!9."</f>
        <v>#VALUE!</v>
      </c>
      <c r="CL7" t="e">
        <f>'2.4.Функции'!O24+"BYw!9/"</f>
        <v>#VALUE!</v>
      </c>
      <c r="CM7" t="e">
        <f>'2.4.Функции'!P24+"BYw!90"</f>
        <v>#VALUE!</v>
      </c>
      <c r="CN7" t="e">
        <f>'2.4.Функции'!Q24+"BYw!91"</f>
        <v>#VALUE!</v>
      </c>
      <c r="CO7" t="e">
        <f>'2.4.Функции'!R24+"BYw!92"</f>
        <v>#VALUE!</v>
      </c>
      <c r="CP7" t="e">
        <f>'2.4.Функции'!S24+"BYw!93"</f>
        <v>#VALUE!</v>
      </c>
      <c r="CQ7" t="e">
        <f>'2.4.Функции'!T24+"BYw!94"</f>
        <v>#VALUE!</v>
      </c>
      <c r="CR7" t="e">
        <f>'2.4.Функции'!U24+"BYw!95"</f>
        <v>#VALUE!</v>
      </c>
      <c r="CS7" t="e">
        <f>'2.4.Функции'!V24+"BYw!96"</f>
        <v>#VALUE!</v>
      </c>
      <c r="CT7" t="e">
        <f>'2.4.Функции'!W24+"BYw!97"</f>
        <v>#VALUE!</v>
      </c>
      <c r="CU7" t="e">
        <f>'2.4.Функции'!X24+"BYw!98"</f>
        <v>#VALUE!</v>
      </c>
      <c r="CV7" t="e">
        <f>'2.4.Функции'!Y24+"BYw!99"</f>
        <v>#VALUE!</v>
      </c>
      <c r="CW7" t="e">
        <f>'2.4.Функции'!Z24+"BYw!9:"</f>
        <v>#VALUE!</v>
      </c>
      <c r="CX7" t="e">
        <f>'2.4.Функции'!AA24+"BYw!9;"</f>
        <v>#VALUE!</v>
      </c>
      <c r="CY7" t="e">
        <f>'2.4.Функции'!AB24+"BYw!9&lt;"</f>
        <v>#VALUE!</v>
      </c>
      <c r="CZ7" t="e">
        <f>'2.4.Функции'!AC24+"BYw!9="</f>
        <v>#VALUE!</v>
      </c>
      <c r="DA7" t="e">
        <f>'2.4.Функции'!A25+"BYw!9&gt;"</f>
        <v>#VALUE!</v>
      </c>
      <c r="DB7" s="116" t="e">
        <f>'2.4.Функции'!B25+"BYw!9?"</f>
        <v>#VALUE!</v>
      </c>
      <c r="DC7" t="e">
        <f>'2.4.Функции'!C25+"BYw!9@"</f>
        <v>#VALUE!</v>
      </c>
      <c r="DD7" s="119" t="e">
        <f>'2.4.Функции'!D25+"BYw!9A"</f>
        <v>#VALUE!</v>
      </c>
      <c r="DE7" s="119" t="e">
        <f>'2.4.Функции'!E25+"BYw!9B"</f>
        <v>#VALUE!</v>
      </c>
      <c r="DF7" s="119" t="e">
        <f>'2.4.Функции'!F25+"BYw!9C"</f>
        <v>#VALUE!</v>
      </c>
      <c r="DG7" s="119" t="e">
        <f>'2.4.Функции'!G25+"BYw!9D"</f>
        <v>#VALUE!</v>
      </c>
      <c r="DH7" s="119" t="e">
        <f>'2.4.Функции'!H25+"BYw!9E"</f>
        <v>#VALUE!</v>
      </c>
      <c r="DI7" s="119" t="e">
        <f>'2.4.Функции'!I25+"BYw!9F"</f>
        <v>#VALUE!</v>
      </c>
      <c r="DJ7" s="119" t="e">
        <f>'2.4.Функции'!J25+"BYw!9G"</f>
        <v>#VALUE!</v>
      </c>
      <c r="DK7" s="119" t="e">
        <f>'2.4.Функции'!K25+"BYw!9H"</f>
        <v>#VALUE!</v>
      </c>
      <c r="DL7" t="e">
        <f>'2.4.Функции'!A26+"BYw!9I"</f>
        <v>#VALUE!</v>
      </c>
      <c r="DM7" s="116" t="e">
        <f>'2.4.Функции'!B26+"BYw!9J"</f>
        <v>#VALUE!</v>
      </c>
      <c r="DN7" t="e">
        <f>'2.4.Функции'!C26+"BYw!9K"</f>
        <v>#VALUE!</v>
      </c>
      <c r="DO7" s="119" t="e">
        <f>'2.4.Функции'!D26+"BYw!9L"</f>
        <v>#VALUE!</v>
      </c>
      <c r="DP7" s="119" t="e">
        <f>'2.4.Функции'!E26+"BYw!9M"</f>
        <v>#VALUE!</v>
      </c>
      <c r="DQ7" s="119" t="e">
        <f>'2.4.Функции'!F26+"BYw!9N"</f>
        <v>#VALUE!</v>
      </c>
      <c r="DR7" s="119" t="e">
        <f>'2.4.Функции'!G26+"BYw!9O"</f>
        <v>#VALUE!</v>
      </c>
      <c r="DS7" s="119" t="e">
        <f>'2.4.Функции'!H26+"BYw!9P"</f>
        <v>#VALUE!</v>
      </c>
      <c r="DT7" s="119" t="e">
        <f>'2.4.Функции'!I26+"BYw!9Q"</f>
        <v>#VALUE!</v>
      </c>
      <c r="DU7" s="119" t="e">
        <f>'2.4.Функции'!J26+"BYw!9R"</f>
        <v>#VALUE!</v>
      </c>
      <c r="DV7" s="119" t="e">
        <f>'2.4.Функции'!K26+"BYw!9S"</f>
        <v>#VALUE!</v>
      </c>
      <c r="DW7" t="e">
        <f>'2.4.Функции'!A27+"BYw!9T"</f>
        <v>#VALUE!</v>
      </c>
      <c r="DX7" s="116" t="e">
        <f>'2.4.Функции'!B27+"BYw!9U"</f>
        <v>#VALUE!</v>
      </c>
      <c r="DY7" t="e">
        <f>'2.4.Функции'!C27+"BYw!9V"</f>
        <v>#VALUE!</v>
      </c>
      <c r="DZ7" s="119" t="e">
        <f>'2.4.Функции'!D27+"BYw!9W"</f>
        <v>#VALUE!</v>
      </c>
      <c r="EA7" s="119" t="e">
        <f>'2.4.Функции'!E27+"BYw!9X"</f>
        <v>#VALUE!</v>
      </c>
      <c r="EB7" s="119" t="e">
        <f>'2.4.Функции'!F27+"BYw!9Y"</f>
        <v>#VALUE!</v>
      </c>
      <c r="EC7" s="119" t="e">
        <f>'2.4.Функции'!G27+"BYw!9Z"</f>
        <v>#VALUE!</v>
      </c>
      <c r="ED7" s="119" t="e">
        <f>'2.4.Функции'!H27+"BYw!9["</f>
        <v>#VALUE!</v>
      </c>
      <c r="EE7" s="119" t="e">
        <f>'2.4.Функции'!I27+"BYw!9\"</f>
        <v>#VALUE!</v>
      </c>
      <c r="EF7" s="119" t="e">
        <f>'2.4.Функции'!J27+"BYw!9]"</f>
        <v>#VALUE!</v>
      </c>
      <c r="EG7" s="119" t="e">
        <f>'2.4.Функции'!K27+"BYw!9^"</f>
        <v>#VALUE!</v>
      </c>
      <c r="EH7" t="e">
        <f>'2.4.Функции'!A28+"BYw!9_"</f>
        <v>#VALUE!</v>
      </c>
      <c r="EI7" s="116" t="e">
        <f>'2.4.Функции'!B28+"BYw!9`"</f>
        <v>#VALUE!</v>
      </c>
      <c r="EJ7" t="e">
        <f>'2.4.Функции'!C28+"BYw!9a"</f>
        <v>#VALUE!</v>
      </c>
      <c r="EK7" s="119" t="e">
        <f>'2.4.Функции'!D28+"BYw!9b"</f>
        <v>#VALUE!</v>
      </c>
      <c r="EL7" t="e">
        <f>'2.4.Функции'!E28+"BYw!9c"</f>
        <v>#VALUE!</v>
      </c>
      <c r="EM7" s="119" t="e">
        <f>'2.4.Функции'!F28+"BYw!9d"</f>
        <v>#VALUE!</v>
      </c>
      <c r="EN7" t="e">
        <f>'2.4.Функции'!G28+"BYw!9e"</f>
        <v>#VALUE!</v>
      </c>
      <c r="EO7" t="e">
        <f>'2.4.Функции'!H28+"BYw!9f"</f>
        <v>#VALUE!</v>
      </c>
      <c r="EP7" t="e">
        <f>'2.4.Функции'!I28+"BYw!9g"</f>
        <v>#VALUE!</v>
      </c>
      <c r="EQ7" t="e">
        <f>'2.4.Функции'!J28+"BYw!9h"</f>
        <v>#VALUE!</v>
      </c>
      <c r="ER7" t="e">
        <f>'2.4.Функции'!K28+"BYw!9i"</f>
        <v>#VALUE!</v>
      </c>
      <c r="ES7" t="e">
        <f>'2.4.Функции'!A29+"BYw!9j"</f>
        <v>#VALUE!</v>
      </c>
      <c r="ET7" s="116" t="e">
        <f>'2.4.Функции'!B29+"BYw!9k"</f>
        <v>#VALUE!</v>
      </c>
      <c r="EU7" t="e">
        <f>'2.4.Функции'!C29+"BYw!9l"</f>
        <v>#VALUE!</v>
      </c>
      <c r="EV7" s="119" t="e">
        <f>'2.4.Функции'!D29+"BYw!9m"</f>
        <v>#VALUE!</v>
      </c>
      <c r="EW7" t="e">
        <f>'2.4.Функции'!E29+"BYw!9n"</f>
        <v>#VALUE!</v>
      </c>
      <c r="EX7" s="119" t="e">
        <f>'2.4.Функции'!F29+"BYw!9o"</f>
        <v>#VALUE!</v>
      </c>
      <c r="EY7" t="e">
        <f>'2.4.Функции'!G29+"BYw!9p"</f>
        <v>#VALUE!</v>
      </c>
      <c r="EZ7" t="e">
        <f>'2.4.Функции'!H29+"BYw!9q"</f>
        <v>#VALUE!</v>
      </c>
      <c r="FA7" t="e">
        <f>'2.4.Функции'!I29+"BYw!9r"</f>
        <v>#VALUE!</v>
      </c>
      <c r="FB7" t="e">
        <f>'2.4.Функции'!J29+"BYw!9s"</f>
        <v>#VALUE!</v>
      </c>
      <c r="FC7" t="e">
        <f>'2.4.Функции'!K29+"BYw!9t"</f>
        <v>#VALUE!</v>
      </c>
      <c r="FD7" t="e">
        <f>'2.4.Функции'!A30+"BYw!9u"</f>
        <v>#VALUE!</v>
      </c>
      <c r="FE7" s="116" t="e">
        <f>'2.4.Функции'!B30+"BYw!9v"</f>
        <v>#VALUE!</v>
      </c>
      <c r="FF7" t="e">
        <f>'2.4.Функции'!C30+"BYw!9w"</f>
        <v>#VALUE!</v>
      </c>
      <c r="FG7" s="119" t="e">
        <f>'2.4.Функции'!D30+"BYw!9x"</f>
        <v>#VALUE!</v>
      </c>
      <c r="FH7" s="119" t="e">
        <f>'2.4.Функции'!E30+"BYw!9y"</f>
        <v>#VALUE!</v>
      </c>
      <c r="FI7" s="119" t="e">
        <f>'2.4.Функции'!F30+"BYw!9z"</f>
        <v>#VALUE!</v>
      </c>
      <c r="FJ7" s="119" t="e">
        <f>'2.4.Функции'!G30+"BYw!9{"</f>
        <v>#VALUE!</v>
      </c>
      <c r="FK7" s="119" t="e">
        <f>'2.4.Функции'!H30+"BYw!9|"</f>
        <v>#VALUE!</v>
      </c>
      <c r="FL7" s="119" t="e">
        <f>'2.4.Функции'!I30+"BYw!9}"</f>
        <v>#VALUE!</v>
      </c>
      <c r="FM7" s="119" t="e">
        <f>'2.4.Функции'!J30+"BYw!9~"</f>
        <v>#VALUE!</v>
      </c>
      <c r="FN7" s="119" t="e">
        <f>'2.4.Функции'!K30+"BYw!:#"</f>
        <v>#VALUE!</v>
      </c>
      <c r="FO7" t="e">
        <f>'2.4.Функции'!A31+"BYw!:$"</f>
        <v>#VALUE!</v>
      </c>
      <c r="FP7" s="116" t="e">
        <f>'2.4.Функции'!B31+"BYw!:%"</f>
        <v>#VALUE!</v>
      </c>
      <c r="FQ7" t="e">
        <f>'2.4.Функции'!C31+"BYw!:&amp;"</f>
        <v>#VALUE!</v>
      </c>
      <c r="FR7" s="119" t="e">
        <f>'2.4.Функции'!D31+"BYw!:'"</f>
        <v>#VALUE!</v>
      </c>
      <c r="FS7" s="119" t="e">
        <f>'2.4.Функции'!E31+"BYw!:("</f>
        <v>#VALUE!</v>
      </c>
      <c r="FT7" s="119" t="e">
        <f>'2.4.Функции'!F31+"BYw!:)"</f>
        <v>#VALUE!</v>
      </c>
      <c r="FU7" s="119" t="e">
        <f>'2.4.Функции'!G31+"BYw!:."</f>
        <v>#VALUE!</v>
      </c>
      <c r="FV7" t="e">
        <f>'2.4.Функции'!H31+"BYw!:/"</f>
        <v>#VALUE!</v>
      </c>
      <c r="FW7" s="119" t="e">
        <f>'2.4.Функции'!I31+"BYw!:0"</f>
        <v>#VALUE!</v>
      </c>
      <c r="FX7" s="119" t="e">
        <f>'2.4.Функции'!J31+"BYw!:1"</f>
        <v>#VALUE!</v>
      </c>
      <c r="FY7" s="119" t="e">
        <f>'2.4.Функции'!K31+"BYw!:2"</f>
        <v>#VALUE!</v>
      </c>
      <c r="FZ7" t="e">
        <f>'2.4.Функции'!A32+"BYw!:3"</f>
        <v>#VALUE!</v>
      </c>
      <c r="GA7" s="116" t="e">
        <f>'2.4.Функции'!B32+"BYw!:4"</f>
        <v>#VALUE!</v>
      </c>
      <c r="GB7" t="e">
        <f>'2.4.Функции'!C32+"BYw!:5"</f>
        <v>#VALUE!</v>
      </c>
      <c r="GC7" t="e">
        <f>'2.4.Функции'!D32+"BYw!:6"</f>
        <v>#VALUE!</v>
      </c>
      <c r="GD7" t="e">
        <f>'2.4.Функции'!E32+"BYw!:7"</f>
        <v>#VALUE!</v>
      </c>
      <c r="GE7" t="e">
        <f>'2.4.Функции'!F32+"BYw!:8"</f>
        <v>#VALUE!</v>
      </c>
      <c r="GF7" t="e">
        <f>'2.4.Функции'!G32+"BYw!:9"</f>
        <v>#VALUE!</v>
      </c>
      <c r="GG7" t="e">
        <f>'2.4.Функции'!H32+"BYw!::"</f>
        <v>#VALUE!</v>
      </c>
      <c r="GH7" s="119" t="e">
        <f>'2.4.Функции'!I32+"BYw!:;"</f>
        <v>#VALUE!</v>
      </c>
      <c r="GI7" t="e">
        <f>'2.4.Функции'!J32+"BYw!:&lt;"</f>
        <v>#VALUE!</v>
      </c>
      <c r="GJ7" s="119" t="e">
        <f>'2.4.Функции'!K32+"BYw!:="</f>
        <v>#VALUE!</v>
      </c>
      <c r="GK7" t="e">
        <f>'2.4.Функции'!A33+"BYw!:&gt;"</f>
        <v>#VALUE!</v>
      </c>
      <c r="GL7" s="116" t="e">
        <f>'2.4.Функции'!B33+"BYw!:?"</f>
        <v>#VALUE!</v>
      </c>
      <c r="GM7" t="e">
        <f>'2.4.Функции'!C33+"BYw!:@"</f>
        <v>#VALUE!</v>
      </c>
      <c r="GN7" t="e">
        <f>'2.4.Функции'!D33+"BYw!:A"</f>
        <v>#VALUE!</v>
      </c>
      <c r="GO7" t="e">
        <f>'2.4.Функции'!E33+"BYw!:B"</f>
        <v>#VALUE!</v>
      </c>
      <c r="GP7" t="e">
        <f>'2.4.Функции'!F33+"BYw!:C"</f>
        <v>#VALUE!</v>
      </c>
      <c r="GQ7" t="e">
        <f>'2.4.Функции'!G33+"BYw!:D"</f>
        <v>#VALUE!</v>
      </c>
      <c r="GR7" t="e">
        <f>'2.4.Функции'!H33+"BYw!:E"</f>
        <v>#VALUE!</v>
      </c>
      <c r="GS7" s="119" t="e">
        <f>'2.4.Функции'!I33+"BYw!:F"</f>
        <v>#VALUE!</v>
      </c>
      <c r="GT7" t="e">
        <f>'2.4.Функции'!J33+"BYw!:G"</f>
        <v>#VALUE!</v>
      </c>
      <c r="GU7" s="119" t="e">
        <f>'2.4.Функции'!K33+"BYw!:H"</f>
        <v>#VALUE!</v>
      </c>
      <c r="GV7" t="e">
        <f>'2.4.Функции'!A34+"BYw!:I"</f>
        <v>#VALUE!</v>
      </c>
      <c r="GW7" s="116" t="e">
        <f>'2.4.Функции'!B34+"BYw!:J"</f>
        <v>#VALUE!</v>
      </c>
      <c r="GX7" t="e">
        <f>'2.4.Функции'!C34+"BYw!:K"</f>
        <v>#VALUE!</v>
      </c>
      <c r="GY7" t="e">
        <f>'2.4.Функции'!D34+"BYw!:L"</f>
        <v>#VALUE!</v>
      </c>
      <c r="GZ7" t="e">
        <f>'2.4.Функции'!E34+"BYw!:M"</f>
        <v>#VALUE!</v>
      </c>
      <c r="HA7" t="e">
        <f>'2.4.Функции'!F34+"BYw!:N"</f>
        <v>#VALUE!</v>
      </c>
      <c r="HB7" t="e">
        <f>'2.4.Функции'!G34+"BYw!:O"</f>
        <v>#VALUE!</v>
      </c>
      <c r="HC7" t="e">
        <f>'2.4.Функции'!H34+"BYw!:P"</f>
        <v>#VALUE!</v>
      </c>
      <c r="HD7" s="119" t="e">
        <f>'2.4.Функции'!I34+"BYw!:Q"</f>
        <v>#VALUE!</v>
      </c>
      <c r="HE7" t="e">
        <f>'2.4.Функции'!J34+"BYw!:R"</f>
        <v>#VALUE!</v>
      </c>
      <c r="HF7" s="119" t="e">
        <f>'2.4.Функции'!K34+"BYw!:S"</f>
        <v>#VALUE!</v>
      </c>
      <c r="HG7" t="e">
        <f>'2.4.Функции'!L34+"BYw!:T"</f>
        <v>#VALUE!</v>
      </c>
      <c r="HH7" t="e">
        <f>'2.4.Функции'!M34+"BYw!:U"</f>
        <v>#VALUE!</v>
      </c>
      <c r="HI7" t="e">
        <f>'2.4.Функции'!N34+"BYw!:V"</f>
        <v>#VALUE!</v>
      </c>
      <c r="HJ7" t="e">
        <f>'2.4.Функции'!O34+"BYw!:W"</f>
        <v>#VALUE!</v>
      </c>
      <c r="HK7" t="e">
        <f>'2.4.Функции'!P34+"BYw!:X"</f>
        <v>#VALUE!</v>
      </c>
      <c r="HL7" t="e">
        <f>'2.4.Функции'!Q34+"BYw!:Y"</f>
        <v>#VALUE!</v>
      </c>
      <c r="HM7" t="e">
        <f>'2.4.Функции'!R34+"BYw!:Z"</f>
        <v>#VALUE!</v>
      </c>
      <c r="HN7" t="e">
        <f>'2.4.Функции'!S34+"BYw!:["</f>
        <v>#VALUE!</v>
      </c>
      <c r="HO7" t="e">
        <f>'2.4.Функции'!T34+"BYw!:\"</f>
        <v>#VALUE!</v>
      </c>
      <c r="HP7" t="e">
        <f>'2.4.Функции'!U34+"BYw!:]"</f>
        <v>#VALUE!</v>
      </c>
      <c r="HQ7" t="e">
        <f>'2.4.Функции'!V34+"BYw!:^"</f>
        <v>#VALUE!</v>
      </c>
      <c r="HR7" t="e">
        <f>'2.4.Функции'!W34+"BYw!:_"</f>
        <v>#VALUE!</v>
      </c>
      <c r="HS7" t="e">
        <f>'2.4.Функции'!X34+"BYw!:`"</f>
        <v>#VALUE!</v>
      </c>
      <c r="HT7" t="e">
        <f>'2.4.Функции'!Y34+"BYw!:a"</f>
        <v>#VALUE!</v>
      </c>
      <c r="HU7" t="e">
        <f>'2.4.Функции'!Z34+"BYw!:b"</f>
        <v>#VALUE!</v>
      </c>
      <c r="HV7" t="e">
        <f>'2.4.Функции'!AA34+"BYw!:c"</f>
        <v>#VALUE!</v>
      </c>
      <c r="HW7" t="e">
        <f>'2.4.Функции'!AB34+"BYw!:d"</f>
        <v>#VALUE!</v>
      </c>
      <c r="HX7" t="e">
        <f>'2.4.Функции'!AC34+"BYw!:e"</f>
        <v>#VALUE!</v>
      </c>
      <c r="HY7" t="e">
        <f>'2.4.Функции'!A35+"BYw!:f"</f>
        <v>#VALUE!</v>
      </c>
      <c r="HZ7" t="e">
        <f>'2.4.Функции'!B35+"BYw!:g"</f>
        <v>#VALUE!</v>
      </c>
      <c r="IA7" t="e">
        <f>'2.4.Функции'!C35+"BYw!:h"</f>
        <v>#VALUE!</v>
      </c>
      <c r="IB7" s="119" t="e">
        <f>'2.4.Функции'!D35+"BYw!:i"</f>
        <v>#VALUE!</v>
      </c>
      <c r="IC7" s="119" t="e">
        <f>'2.4.Функции'!E35+"BYw!:j"</f>
        <v>#VALUE!</v>
      </c>
      <c r="ID7" s="119" t="e">
        <f>'2.4.Функции'!F35+"BYw!:k"</f>
        <v>#VALUE!</v>
      </c>
      <c r="IE7" s="119" t="e">
        <f>'2.4.Функции'!G35+"BYw!:l"</f>
        <v>#VALUE!</v>
      </c>
      <c r="IF7" s="119" t="e">
        <f>'2.4.Функции'!H35+"BYw!:m"</f>
        <v>#VALUE!</v>
      </c>
      <c r="IG7" s="119" t="e">
        <f>'2.4.Функции'!I35+"BYw!:n"</f>
        <v>#VALUE!</v>
      </c>
      <c r="IH7" s="119" t="e">
        <f>'2.4.Функции'!J35+"BYw!:o"</f>
        <v>#VALUE!</v>
      </c>
      <c r="II7" s="119" t="e">
        <f>'2.4.Функции'!K35+"BYw!:p"</f>
        <v>#VALUE!</v>
      </c>
      <c r="IJ7" t="e">
        <f>'2.4.Функции'!L35+"BYw!:q"</f>
        <v>#VALUE!</v>
      </c>
      <c r="IK7" t="e">
        <f>'2.4.Функции'!M35+"BYw!:r"</f>
        <v>#VALUE!</v>
      </c>
      <c r="IL7" t="e">
        <f>'2.4.Функции'!N35+"BYw!:s"</f>
        <v>#VALUE!</v>
      </c>
      <c r="IM7" t="e">
        <f>'2.4.Функции'!O35+"BYw!:t"</f>
        <v>#VALUE!</v>
      </c>
      <c r="IN7" t="e">
        <f>'2.4.Функции'!P35+"BYw!:u"</f>
        <v>#VALUE!</v>
      </c>
      <c r="IO7" t="e">
        <f>'2.4.Функции'!Q35+"BYw!:v"</f>
        <v>#VALUE!</v>
      </c>
      <c r="IP7" t="e">
        <f>'2.4.Функции'!R35+"BYw!:w"</f>
        <v>#VALUE!</v>
      </c>
      <c r="IQ7" t="e">
        <f>'2.4.Функции'!S35+"BYw!:x"</f>
        <v>#VALUE!</v>
      </c>
      <c r="IR7" t="e">
        <f>'2.4.Функции'!T35+"BYw!:y"</f>
        <v>#VALUE!</v>
      </c>
      <c r="IS7" t="e">
        <f>'2.4.Функции'!U35+"BYw!:z"</f>
        <v>#VALUE!</v>
      </c>
      <c r="IT7" t="e">
        <f>'2.4.Функции'!V35+"BYw!:{"</f>
        <v>#VALUE!</v>
      </c>
      <c r="IU7" t="e">
        <f>'2.4.Функции'!W35+"BYw!:|"</f>
        <v>#VALUE!</v>
      </c>
      <c r="IV7" t="e">
        <f>'2.4.Функции'!X35+"BYw!:}"</f>
        <v>#VALUE!</v>
      </c>
    </row>
    <row r="8" spans="1:256" x14ac:dyDescent="0.2">
      <c r="F8" t="e">
        <f>'2.4.Функции'!Y35+"BYw!:~"</f>
        <v>#VALUE!</v>
      </c>
      <c r="G8" t="e">
        <f>'2.4.Функции'!Z35+"BYw!;#"</f>
        <v>#VALUE!</v>
      </c>
      <c r="H8" t="e">
        <f>'2.4.Функции'!AA35+"BYw!;$"</f>
        <v>#VALUE!</v>
      </c>
      <c r="I8" t="e">
        <f>'2.4.Функции'!AB35+"BYw!;%"</f>
        <v>#VALUE!</v>
      </c>
      <c r="J8" t="e">
        <f>'2.4.Функции'!AC35+"BYw!;&amp;"</f>
        <v>#VALUE!</v>
      </c>
      <c r="K8" t="e">
        <f>'2.4.Функции'!A36+"BYw!;'"</f>
        <v>#VALUE!</v>
      </c>
      <c r="L8" s="116" t="e">
        <f>'2.4.Функции'!B36+"BYw!;("</f>
        <v>#VALUE!</v>
      </c>
      <c r="M8" t="e">
        <f>'2.4.Функции'!C36+"BYw!;)"</f>
        <v>#VALUE!</v>
      </c>
      <c r="N8" s="119" t="e">
        <f>'2.4.Функции'!D36+"BYw!;."</f>
        <v>#VALUE!</v>
      </c>
      <c r="O8" s="119" t="e">
        <f>'2.4.Функции'!E36+"BYw!;/"</f>
        <v>#VALUE!</v>
      </c>
      <c r="P8" s="119" t="e">
        <f>'2.4.Функции'!F36+"BYw!;0"</f>
        <v>#VALUE!</v>
      </c>
      <c r="Q8" s="119" t="e">
        <f>'2.4.Функции'!G36+"BYw!;1"</f>
        <v>#VALUE!</v>
      </c>
      <c r="R8" s="119" t="e">
        <f>'2.4.Функции'!H36+"BYw!;2"</f>
        <v>#VALUE!</v>
      </c>
      <c r="S8" s="119" t="e">
        <f>'2.4.Функции'!I36+"BYw!;3"</f>
        <v>#VALUE!</v>
      </c>
      <c r="T8" s="119" t="e">
        <f>'2.4.Функции'!J36+"BYw!;4"</f>
        <v>#VALUE!</v>
      </c>
      <c r="U8" s="119" t="e">
        <f>'2.4.Функции'!K36+"BYw!;5"</f>
        <v>#VALUE!</v>
      </c>
      <c r="V8" t="e">
        <f>'2.4.Функции'!L36+"BYw!;6"</f>
        <v>#VALUE!</v>
      </c>
      <c r="W8" t="e">
        <f>'2.4.Функции'!M36+"BYw!;7"</f>
        <v>#VALUE!</v>
      </c>
      <c r="X8" t="e">
        <f>'2.4.Функции'!N36+"BYw!;8"</f>
        <v>#VALUE!</v>
      </c>
      <c r="Y8" t="e">
        <f>'2.4.Функции'!O36+"BYw!;9"</f>
        <v>#VALUE!</v>
      </c>
      <c r="Z8" t="e">
        <f>'2.4.Функции'!P36+"BYw!;:"</f>
        <v>#VALUE!</v>
      </c>
      <c r="AA8" t="e">
        <f>'2.4.Функции'!Q36+"BYw!;;"</f>
        <v>#VALUE!</v>
      </c>
      <c r="AB8" t="e">
        <f>'2.4.Функции'!R36+"BYw!;&lt;"</f>
        <v>#VALUE!</v>
      </c>
      <c r="AC8" t="e">
        <f>'2.4.Функции'!S36+"BYw!;="</f>
        <v>#VALUE!</v>
      </c>
      <c r="AD8" t="e">
        <f>'2.4.Функции'!T36+"BYw!;&gt;"</f>
        <v>#VALUE!</v>
      </c>
      <c r="AE8" t="e">
        <f>'2.4.Функции'!U36+"BYw!;?"</f>
        <v>#VALUE!</v>
      </c>
      <c r="AF8" t="e">
        <f>'2.4.Функции'!V36+"BYw!;@"</f>
        <v>#VALUE!</v>
      </c>
      <c r="AG8" t="e">
        <f>'2.4.Функции'!W36+"BYw!;A"</f>
        <v>#VALUE!</v>
      </c>
      <c r="AH8" t="e">
        <f>'2.4.Функции'!X36+"BYw!;B"</f>
        <v>#VALUE!</v>
      </c>
      <c r="AI8" t="e">
        <f>'2.4.Функции'!Y36+"BYw!;C"</f>
        <v>#VALUE!</v>
      </c>
      <c r="AJ8" t="e">
        <f>'2.4.Функции'!Z36+"BYw!;D"</f>
        <v>#VALUE!</v>
      </c>
      <c r="AK8" t="e">
        <f>'2.4.Функции'!AA36+"BYw!;E"</f>
        <v>#VALUE!</v>
      </c>
      <c r="AL8" t="e">
        <f>'2.4.Функции'!AB36+"BYw!;F"</f>
        <v>#VALUE!</v>
      </c>
      <c r="AM8" t="e">
        <f>'2.4.Функции'!AC36+"BYw!;G"</f>
        <v>#VALUE!</v>
      </c>
      <c r="AN8" t="e">
        <f>'2.4.Функции'!A37+"BYw!;H"</f>
        <v>#VALUE!</v>
      </c>
      <c r="AO8" s="116" t="e">
        <f>'2.4.Функции'!B37+"BYw!;I"</f>
        <v>#VALUE!</v>
      </c>
      <c r="AP8" t="e">
        <f>'2.4.Функции'!C37+"BYw!;J"</f>
        <v>#VALUE!</v>
      </c>
      <c r="AQ8" s="119" t="e">
        <f>'2.4.Функции'!D37+"BYw!;K"</f>
        <v>#VALUE!</v>
      </c>
      <c r="AR8" s="119" t="e">
        <f>'2.4.Функции'!E37+"BYw!;L"</f>
        <v>#VALUE!</v>
      </c>
      <c r="AS8" s="119" t="e">
        <f>'2.4.Функции'!F37+"BYw!;M"</f>
        <v>#VALUE!</v>
      </c>
      <c r="AT8" s="119" t="e">
        <f>'2.4.Функции'!G37+"BYw!;N"</f>
        <v>#VALUE!</v>
      </c>
      <c r="AU8" s="119" t="e">
        <f>'2.4.Функции'!H37+"BYw!;O"</f>
        <v>#VALUE!</v>
      </c>
      <c r="AV8" s="119" t="e">
        <f>'2.4.Функции'!I37+"BYw!;P"</f>
        <v>#VALUE!</v>
      </c>
      <c r="AW8" s="119" t="e">
        <f>'2.4.Функции'!J37+"BYw!;Q"</f>
        <v>#VALUE!</v>
      </c>
      <c r="AX8" s="119" t="e">
        <f>'2.4.Функции'!K37+"BYw!;R"</f>
        <v>#VALUE!</v>
      </c>
      <c r="AY8" t="e">
        <f>'2.4.Функции'!A38+"BYw!;S"</f>
        <v>#VALUE!</v>
      </c>
      <c r="AZ8" s="116" t="e">
        <f>'2.4.Функции'!B38+"BYw!;T"</f>
        <v>#VALUE!</v>
      </c>
      <c r="BA8" t="e">
        <f>'2.4.Функции'!C38+"BYw!;U"</f>
        <v>#VALUE!</v>
      </c>
      <c r="BB8" s="119" t="e">
        <f>'2.4.Функции'!D38+"BYw!;V"</f>
        <v>#VALUE!</v>
      </c>
      <c r="BC8" s="119" t="e">
        <f>'2.4.Функции'!E38+"BYw!;W"</f>
        <v>#VALUE!</v>
      </c>
      <c r="BD8" s="119" t="e">
        <f>'2.4.Функции'!F38+"BYw!;X"</f>
        <v>#VALUE!</v>
      </c>
      <c r="BE8" s="119" t="e">
        <f>'2.4.Функции'!G38+"BYw!;Y"</f>
        <v>#VALUE!</v>
      </c>
      <c r="BF8" s="119" t="e">
        <f>'2.4.Функции'!H38+"BYw!;Z"</f>
        <v>#VALUE!</v>
      </c>
      <c r="BG8" s="119" t="e">
        <f>'2.4.Функции'!I38+"BYw!;["</f>
        <v>#VALUE!</v>
      </c>
      <c r="BH8" s="119" t="e">
        <f>'2.4.Функции'!J38+"BYw!;\"</f>
        <v>#VALUE!</v>
      </c>
      <c r="BI8" s="119" t="e">
        <f>'2.4.Функции'!K38+"BYw!;]"</f>
        <v>#VALUE!</v>
      </c>
      <c r="BJ8" t="e">
        <f>'2.4.Функции'!A39+"BYw!;^"</f>
        <v>#VALUE!</v>
      </c>
      <c r="BK8" s="116" t="e">
        <f>'2.4.Функции'!B39+"BYw!;_"</f>
        <v>#VALUE!</v>
      </c>
      <c r="BL8" t="e">
        <f>'2.4.Функции'!C39+"BYw!;`"</f>
        <v>#VALUE!</v>
      </c>
      <c r="BM8" s="119" t="e">
        <f>'2.4.Функции'!D39+"BYw!;a"</f>
        <v>#VALUE!</v>
      </c>
      <c r="BN8" s="119" t="e">
        <f>'2.4.Функции'!E39+"BYw!;b"</f>
        <v>#VALUE!</v>
      </c>
      <c r="BO8" s="119" t="e">
        <f>'2.4.Функции'!F39+"BYw!;c"</f>
        <v>#VALUE!</v>
      </c>
      <c r="BP8" s="119" t="e">
        <f>'2.4.Функции'!G39+"BYw!;d"</f>
        <v>#VALUE!</v>
      </c>
      <c r="BQ8" s="119" t="e">
        <f>'2.4.Функции'!H39+"BYw!;e"</f>
        <v>#VALUE!</v>
      </c>
      <c r="BR8" s="119" t="e">
        <f>'2.4.Функции'!I39+"BYw!;f"</f>
        <v>#VALUE!</v>
      </c>
      <c r="BS8" s="119" t="e">
        <f>'2.4.Функции'!J39+"BYw!;g"</f>
        <v>#VALUE!</v>
      </c>
      <c r="BT8" s="119" t="e">
        <f>'2.4.Функции'!K39+"BYw!;h"</f>
        <v>#VALUE!</v>
      </c>
      <c r="BU8" t="e">
        <f>'2.4.Функции'!A40+"BYw!;i"</f>
        <v>#VALUE!</v>
      </c>
      <c r="BV8" s="116" t="e">
        <f>'2.4.Функции'!B40+"BYw!;j"</f>
        <v>#VALUE!</v>
      </c>
      <c r="BW8" t="e">
        <f>'2.4.Функции'!C40+"BYw!;k"</f>
        <v>#VALUE!</v>
      </c>
      <c r="BX8" s="119" t="e">
        <f>'2.4.Функции'!D40+"BYw!;l"</f>
        <v>#VALUE!</v>
      </c>
      <c r="BY8" s="119" t="e">
        <f>'2.4.Функции'!E40+"BYw!;m"</f>
        <v>#VALUE!</v>
      </c>
      <c r="BZ8" s="119" t="e">
        <f>'2.4.Функции'!F40+"BYw!;n"</f>
        <v>#VALUE!</v>
      </c>
      <c r="CA8" s="119" t="e">
        <f>'2.4.Функции'!G40+"BYw!;o"</f>
        <v>#VALUE!</v>
      </c>
      <c r="CB8" s="119" t="e">
        <f>'2.4.Функции'!H40+"BYw!;p"</f>
        <v>#VALUE!</v>
      </c>
      <c r="CC8" s="119" t="e">
        <f>'2.4.Функции'!I40+"BYw!;q"</f>
        <v>#VALUE!</v>
      </c>
      <c r="CD8" s="119" t="e">
        <f>'2.4.Функции'!J40+"BYw!;r"</f>
        <v>#VALUE!</v>
      </c>
      <c r="CE8" s="119" t="e">
        <f>'2.4.Функции'!K40+"BYw!;s"</f>
        <v>#VALUE!</v>
      </c>
      <c r="CF8" t="e">
        <f>'2.4.Функции'!A41+"BYw!;t"</f>
        <v>#VALUE!</v>
      </c>
      <c r="CG8" s="116" t="e">
        <f>'2.4.Функции'!B41+"BYw!;u"</f>
        <v>#VALUE!</v>
      </c>
      <c r="CH8" t="e">
        <f>'2.4.Функции'!C41+"BYw!;v"</f>
        <v>#VALUE!</v>
      </c>
      <c r="CI8" s="119" t="e">
        <f>'2.4.Функции'!D41+"BYw!;w"</f>
        <v>#VALUE!</v>
      </c>
      <c r="CJ8" s="119" t="e">
        <f>'2.4.Функции'!E41+"BYw!;x"</f>
        <v>#VALUE!</v>
      </c>
      <c r="CK8" s="119" t="e">
        <f>'2.4.Функции'!F41+"BYw!;y"</f>
        <v>#VALUE!</v>
      </c>
      <c r="CL8" s="119" t="e">
        <f>'2.4.Функции'!G41+"BYw!;z"</f>
        <v>#VALUE!</v>
      </c>
      <c r="CM8" s="119" t="e">
        <f>'2.4.Функции'!H41+"BYw!;{"</f>
        <v>#VALUE!</v>
      </c>
      <c r="CN8" s="119" t="e">
        <f>'2.4.Функции'!I41+"BYw!;|"</f>
        <v>#VALUE!</v>
      </c>
      <c r="CO8" s="119" t="e">
        <f>'2.4.Функции'!J41+"BYw!;}"</f>
        <v>#VALUE!</v>
      </c>
      <c r="CP8" s="119" t="e">
        <f>'2.4.Функции'!K41+"BYw!;~"</f>
        <v>#VALUE!</v>
      </c>
      <c r="CQ8" t="e">
        <f>'2.4.Функции'!A42+"BYw!&lt;#"</f>
        <v>#VALUE!</v>
      </c>
      <c r="CR8" s="116" t="e">
        <f>'2.4.Функции'!B42+"BYw!&lt;$"</f>
        <v>#VALUE!</v>
      </c>
      <c r="CS8" t="e">
        <f>'2.4.Функции'!C42+"BYw!&lt;%"</f>
        <v>#VALUE!</v>
      </c>
      <c r="CT8" s="119" t="e">
        <f>'2.4.Функции'!D42+"BYw!&lt;&amp;"</f>
        <v>#VALUE!</v>
      </c>
      <c r="CU8" s="119" t="e">
        <f>'2.4.Функции'!E42+"BYw!&lt;'"</f>
        <v>#VALUE!</v>
      </c>
      <c r="CV8" s="119" t="e">
        <f>'2.4.Функции'!F42+"BYw!&lt;("</f>
        <v>#VALUE!</v>
      </c>
      <c r="CW8" s="119" t="e">
        <f>'2.4.Функции'!G42+"BYw!&lt;)"</f>
        <v>#VALUE!</v>
      </c>
      <c r="CX8" s="119" t="e">
        <f>'2.4.Функции'!H42+"BYw!&lt;."</f>
        <v>#VALUE!</v>
      </c>
      <c r="CY8" s="119" t="e">
        <f>'2.4.Функции'!I42+"BYw!&lt;/"</f>
        <v>#VALUE!</v>
      </c>
      <c r="CZ8" s="119" t="e">
        <f>'2.4.Функции'!J42+"BYw!&lt;0"</f>
        <v>#VALUE!</v>
      </c>
      <c r="DA8" s="119" t="e">
        <f>'2.4.Функции'!K42+"BYw!&lt;1"</f>
        <v>#VALUE!</v>
      </c>
      <c r="DB8" t="e">
        <f>'2.4.Функции'!A43+"BYw!&lt;2"</f>
        <v>#VALUE!</v>
      </c>
      <c r="DC8" s="116" t="e">
        <f>'2.4.Функции'!B43+"BYw!&lt;3"</f>
        <v>#VALUE!</v>
      </c>
      <c r="DD8" t="e">
        <f>'2.4.Функции'!C43+"BYw!&lt;4"</f>
        <v>#VALUE!</v>
      </c>
      <c r="DE8" s="119" t="e">
        <f>'2.4.Функции'!D43+"BYw!&lt;5"</f>
        <v>#VALUE!</v>
      </c>
      <c r="DF8" s="119" t="e">
        <f>'2.4.Функции'!E43+"BYw!&lt;6"</f>
        <v>#VALUE!</v>
      </c>
      <c r="DG8" s="119" t="e">
        <f>'2.4.Функции'!F43+"BYw!&lt;7"</f>
        <v>#VALUE!</v>
      </c>
      <c r="DH8" s="119" t="e">
        <f>'2.4.Функции'!G43+"BYw!&lt;8"</f>
        <v>#VALUE!</v>
      </c>
      <c r="DI8" s="119" t="e">
        <f>'2.4.Функции'!H43+"BYw!&lt;9"</f>
        <v>#VALUE!</v>
      </c>
      <c r="DJ8" s="119" t="e">
        <f>'2.4.Функции'!I43+"BYw!&lt;:"</f>
        <v>#VALUE!</v>
      </c>
      <c r="DK8" s="119" t="e">
        <f>'2.4.Функции'!J43+"BYw!&lt;;"</f>
        <v>#VALUE!</v>
      </c>
      <c r="DL8" s="119" t="e">
        <f>'2.4.Функции'!K43+"BYw!&lt;&lt;"</f>
        <v>#VALUE!</v>
      </c>
      <c r="DM8" t="e">
        <f>'2.4.Функции'!A44+"BYw!&lt;="</f>
        <v>#VALUE!</v>
      </c>
      <c r="DN8" s="116" t="e">
        <f>'2.4.Функции'!B44+"BYw!&lt;&gt;"</f>
        <v>#VALUE!</v>
      </c>
      <c r="DO8" t="e">
        <f>'2.4.Функции'!C44+"BYw!&lt;?"</f>
        <v>#VALUE!</v>
      </c>
      <c r="DP8" s="119" t="e">
        <f>'2.4.Функции'!D44+"BYw!&lt;@"</f>
        <v>#VALUE!</v>
      </c>
      <c r="DQ8" s="119" t="e">
        <f>'2.4.Функции'!E44+"BYw!&lt;A"</f>
        <v>#VALUE!</v>
      </c>
      <c r="DR8" s="119" t="e">
        <f>'2.4.Функции'!F44+"BYw!&lt;B"</f>
        <v>#VALUE!</v>
      </c>
      <c r="DS8" s="119" t="e">
        <f>'2.4.Функции'!G44+"BYw!&lt;C"</f>
        <v>#VALUE!</v>
      </c>
      <c r="DT8" s="119" t="e">
        <f>'2.4.Функции'!H44+"BYw!&lt;D"</f>
        <v>#VALUE!</v>
      </c>
      <c r="DU8" s="119" t="e">
        <f>'2.4.Функции'!I44+"BYw!&lt;E"</f>
        <v>#VALUE!</v>
      </c>
      <c r="DV8" s="119" t="e">
        <f>'2.4.Функции'!J44+"BYw!&lt;F"</f>
        <v>#VALUE!</v>
      </c>
      <c r="DW8" s="119" t="e">
        <f>'2.4.Функции'!K44+"BYw!&lt;G"</f>
        <v>#VALUE!</v>
      </c>
      <c r="DX8" t="e">
        <f>'2.4.Функции'!A45+"BYw!&lt;H"</f>
        <v>#VALUE!</v>
      </c>
      <c r="DY8" s="116" t="e">
        <f>'2.4.Функции'!B45+"BYw!&lt;I"</f>
        <v>#VALUE!</v>
      </c>
      <c r="DZ8" t="e">
        <f>'2.4.Функции'!C45+"BYw!&lt;J"</f>
        <v>#VALUE!</v>
      </c>
      <c r="EA8" s="119" t="e">
        <f>'2.4.Функции'!D45+"BYw!&lt;K"</f>
        <v>#VALUE!</v>
      </c>
      <c r="EB8" s="119" t="e">
        <f>'2.4.Функции'!E45+"BYw!&lt;L"</f>
        <v>#VALUE!</v>
      </c>
      <c r="EC8" s="119" t="e">
        <f>'2.4.Функции'!F45+"BYw!&lt;M"</f>
        <v>#VALUE!</v>
      </c>
      <c r="ED8" s="119" t="e">
        <f>'2.4.Функции'!G45+"BYw!&lt;N"</f>
        <v>#VALUE!</v>
      </c>
      <c r="EE8" s="119" t="e">
        <f>'2.4.Функции'!H45+"BYw!&lt;O"</f>
        <v>#VALUE!</v>
      </c>
      <c r="EF8" s="119" t="e">
        <f>'2.4.Функции'!I45+"BYw!&lt;P"</f>
        <v>#VALUE!</v>
      </c>
      <c r="EG8" s="119" t="e">
        <f>'2.4.Функции'!J45+"BYw!&lt;Q"</f>
        <v>#VALUE!</v>
      </c>
      <c r="EH8" s="119" t="e">
        <f>'2.4.Функции'!K45+"BYw!&lt;R"</f>
        <v>#VALUE!</v>
      </c>
      <c r="EI8" t="e">
        <f>'2.4.Функции'!A46+"BYw!&lt;S"</f>
        <v>#VALUE!</v>
      </c>
      <c r="EJ8" s="116" t="e">
        <f>'2.4.Функции'!B46+"BYw!&lt;T"</f>
        <v>#VALUE!</v>
      </c>
      <c r="EK8" t="e">
        <f>'2.4.Функции'!C46+"BYw!&lt;U"</f>
        <v>#VALUE!</v>
      </c>
      <c r="EL8" s="119" t="e">
        <f>'2.4.Функции'!D46+"BYw!&lt;V"</f>
        <v>#VALUE!</v>
      </c>
      <c r="EM8" s="119" t="e">
        <f>'2.4.Функции'!E46+"BYw!&lt;W"</f>
        <v>#VALUE!</v>
      </c>
      <c r="EN8" s="119" t="e">
        <f>'2.4.Функции'!F46+"BYw!&lt;X"</f>
        <v>#VALUE!</v>
      </c>
      <c r="EO8" s="119" t="e">
        <f>'2.4.Функции'!G46+"BYw!&lt;Y"</f>
        <v>#VALUE!</v>
      </c>
      <c r="EP8" s="119" t="e">
        <f>'2.4.Функции'!H46+"BYw!&lt;Z"</f>
        <v>#VALUE!</v>
      </c>
      <c r="EQ8" s="119" t="e">
        <f>'2.4.Функции'!I46+"BYw!&lt;["</f>
        <v>#VALUE!</v>
      </c>
      <c r="ER8" s="119" t="e">
        <f>'2.4.Функции'!J46+"BYw!&lt;\"</f>
        <v>#VALUE!</v>
      </c>
      <c r="ES8" s="119" t="e">
        <f>'2.4.Функции'!K46+"BYw!&lt;]"</f>
        <v>#VALUE!</v>
      </c>
      <c r="ET8" t="e">
        <f>'2.4.Функции'!A47+"BYw!&lt;^"</f>
        <v>#VALUE!</v>
      </c>
      <c r="EU8" s="116" t="e">
        <f>'2.4.Функции'!B47+"BYw!&lt;_"</f>
        <v>#VALUE!</v>
      </c>
      <c r="EV8" t="e">
        <f>'2.4.Функции'!C47+"BYw!&lt;`"</f>
        <v>#VALUE!</v>
      </c>
      <c r="EW8" s="119" t="e">
        <f>'2.4.Функции'!D47+"BYw!&lt;a"</f>
        <v>#VALUE!</v>
      </c>
      <c r="EX8" s="119" t="e">
        <f>'2.4.Функции'!E47+"BYw!&lt;b"</f>
        <v>#VALUE!</v>
      </c>
      <c r="EY8" s="119" t="e">
        <f>'2.4.Функции'!F47+"BYw!&lt;c"</f>
        <v>#VALUE!</v>
      </c>
      <c r="EZ8" s="119" t="e">
        <f>'2.4.Функции'!G47+"BYw!&lt;d"</f>
        <v>#VALUE!</v>
      </c>
      <c r="FA8" s="119" t="e">
        <f>'2.4.Функции'!H47+"BYw!&lt;e"</f>
        <v>#VALUE!</v>
      </c>
      <c r="FB8" s="119" t="e">
        <f>'2.4.Функции'!I47+"BYw!&lt;f"</f>
        <v>#VALUE!</v>
      </c>
      <c r="FC8" s="119" t="e">
        <f>'2.4.Функции'!J47+"BYw!&lt;g"</f>
        <v>#VALUE!</v>
      </c>
      <c r="FD8" s="119" t="e">
        <f>'2.4.Функции'!K47+"BYw!&lt;h"</f>
        <v>#VALUE!</v>
      </c>
      <c r="FE8" t="e">
        <f>'2.4.Функции'!A48+"BYw!&lt;i"</f>
        <v>#VALUE!</v>
      </c>
      <c r="FF8" s="116" t="e">
        <f>'2.4.Функции'!B48+"BYw!&lt;j"</f>
        <v>#VALUE!</v>
      </c>
      <c r="FG8" t="e">
        <f>'2.4.Функции'!C48+"BYw!&lt;k"</f>
        <v>#VALUE!</v>
      </c>
      <c r="FH8" s="119" t="e">
        <f>'2.4.Функции'!D48+"BYw!&lt;l"</f>
        <v>#VALUE!</v>
      </c>
      <c r="FI8" s="119" t="e">
        <f>'2.4.Функции'!E48+"BYw!&lt;m"</f>
        <v>#VALUE!</v>
      </c>
      <c r="FJ8" s="119" t="e">
        <f>'2.4.Функции'!F48+"BYw!&lt;n"</f>
        <v>#VALUE!</v>
      </c>
      <c r="FK8" s="119" t="e">
        <f>'2.4.Функции'!G48+"BYw!&lt;o"</f>
        <v>#VALUE!</v>
      </c>
      <c r="FL8" s="119" t="e">
        <f>'2.4.Функции'!H48+"BYw!&lt;p"</f>
        <v>#VALUE!</v>
      </c>
      <c r="FM8" s="119" t="e">
        <f>'2.4.Функции'!I48+"BYw!&lt;q"</f>
        <v>#VALUE!</v>
      </c>
      <c r="FN8" s="119" t="e">
        <f>'2.4.Функции'!J48+"BYw!&lt;r"</f>
        <v>#VALUE!</v>
      </c>
      <c r="FO8" s="119" t="e">
        <f>'2.4.Функции'!K48+"BYw!&lt;s"</f>
        <v>#VALUE!</v>
      </c>
      <c r="FP8" t="e">
        <f>'2.4.Функции'!A49+"BYw!&lt;t"</f>
        <v>#VALUE!</v>
      </c>
      <c r="FQ8" s="116" t="e">
        <f>'2.4.Функции'!B49+"BYw!&lt;u"</f>
        <v>#VALUE!</v>
      </c>
      <c r="FR8" t="e">
        <f>'2.4.Функции'!C49+"BYw!&lt;v"</f>
        <v>#VALUE!</v>
      </c>
      <c r="FS8" s="119" t="e">
        <f>'2.4.Функции'!D49+"BYw!&lt;w"</f>
        <v>#VALUE!</v>
      </c>
      <c r="FT8" s="119" t="e">
        <f>'2.4.Функции'!E49+"BYw!&lt;x"</f>
        <v>#VALUE!</v>
      </c>
      <c r="FU8" s="119" t="e">
        <f>'2.4.Функции'!F49+"BYw!&lt;y"</f>
        <v>#VALUE!</v>
      </c>
      <c r="FV8" s="119" t="e">
        <f>'2.4.Функции'!G49+"BYw!&lt;z"</f>
        <v>#VALUE!</v>
      </c>
      <c r="FW8" s="119" t="e">
        <f>'2.4.Функции'!H49+"BYw!&lt;{"</f>
        <v>#VALUE!</v>
      </c>
      <c r="FX8" s="119" t="e">
        <f>'2.4.Функции'!I49+"BYw!&lt;|"</f>
        <v>#VALUE!</v>
      </c>
      <c r="FY8" s="119" t="e">
        <f>'2.4.Функции'!J49+"BYw!&lt;}"</f>
        <v>#VALUE!</v>
      </c>
      <c r="FZ8" s="119" t="e">
        <f>'2.4.Функции'!K49+"BYw!&lt;~"</f>
        <v>#VALUE!</v>
      </c>
      <c r="GA8" t="e">
        <f>'2.4.Функции'!A50+"BYw!=#"</f>
        <v>#VALUE!</v>
      </c>
      <c r="GB8" s="116" t="e">
        <f>'2.4.Функции'!B50+"BYw!=$"</f>
        <v>#VALUE!</v>
      </c>
      <c r="GC8" t="e">
        <f>'2.4.Функции'!C50+"BYw!=%"</f>
        <v>#VALUE!</v>
      </c>
      <c r="GD8" s="119" t="e">
        <f>'2.4.Функции'!D50+"BYw!=&amp;"</f>
        <v>#VALUE!</v>
      </c>
      <c r="GE8" s="119" t="e">
        <f>'2.4.Функции'!E50+"BYw!='"</f>
        <v>#VALUE!</v>
      </c>
      <c r="GF8" s="119" t="e">
        <f>'2.4.Функции'!F50+"BYw!=("</f>
        <v>#VALUE!</v>
      </c>
      <c r="GG8" s="119" t="e">
        <f>'2.4.Функции'!G50+"BYw!=)"</f>
        <v>#VALUE!</v>
      </c>
      <c r="GH8" s="119" t="e">
        <f>'2.4.Функции'!H50+"BYw!=."</f>
        <v>#VALUE!</v>
      </c>
      <c r="GI8" s="119" t="e">
        <f>'2.4.Функции'!I50+"BYw!=/"</f>
        <v>#VALUE!</v>
      </c>
      <c r="GJ8" s="119" t="e">
        <f>'2.4.Функции'!J50+"BYw!=0"</f>
        <v>#VALUE!</v>
      </c>
      <c r="GK8" s="119" t="e">
        <f>'2.4.Функции'!K50+"BYw!=1"</f>
        <v>#VALUE!</v>
      </c>
      <c r="GL8" t="e">
        <f>'2.4.Функции'!A51+"BYw!=2"</f>
        <v>#VALUE!</v>
      </c>
      <c r="GM8" s="116" t="e">
        <f>'2.4.Функции'!B51+"BYw!=3"</f>
        <v>#VALUE!</v>
      </c>
      <c r="GN8" t="e">
        <f>'2.4.Функции'!C51+"BYw!=4"</f>
        <v>#VALUE!</v>
      </c>
      <c r="GO8" s="119" t="e">
        <f>'2.4.Функции'!D51+"BYw!=5"</f>
        <v>#VALUE!</v>
      </c>
      <c r="GP8" s="119" t="e">
        <f>'2.4.Функции'!E51+"BYw!=6"</f>
        <v>#VALUE!</v>
      </c>
      <c r="GQ8" s="119" t="e">
        <f>'2.4.Функции'!F51+"BYw!=7"</f>
        <v>#VALUE!</v>
      </c>
      <c r="GR8" s="119" t="e">
        <f>'2.4.Функции'!G51+"BYw!=8"</f>
        <v>#VALUE!</v>
      </c>
      <c r="GS8" s="119" t="e">
        <f>'2.4.Функции'!H51+"BYw!=9"</f>
        <v>#VALUE!</v>
      </c>
      <c r="GT8" s="119" t="e">
        <f>'2.4.Функции'!I51+"BYw!=:"</f>
        <v>#VALUE!</v>
      </c>
      <c r="GU8" s="119" t="e">
        <f>'2.4.Функции'!J51+"BYw!=;"</f>
        <v>#VALUE!</v>
      </c>
      <c r="GV8" s="119" t="e">
        <f>'2.4.Функции'!K51+"BYw!=&lt;"</f>
        <v>#VALUE!</v>
      </c>
      <c r="GW8" t="e">
        <f>'2.4.Функции'!A52+"BYw!=="</f>
        <v>#VALUE!</v>
      </c>
      <c r="GX8" s="116" t="e">
        <f>'2.4.Функции'!B52+"BYw!=&gt;"</f>
        <v>#VALUE!</v>
      </c>
      <c r="GY8" t="e">
        <f>'2.4.Функции'!C52+"BYw!=?"</f>
        <v>#VALUE!</v>
      </c>
      <c r="GZ8" s="119" t="e">
        <f>'2.4.Функции'!D52+"BYw!=@"</f>
        <v>#VALUE!</v>
      </c>
      <c r="HA8" s="119" t="e">
        <f>'2.4.Функции'!E52+"BYw!=A"</f>
        <v>#VALUE!</v>
      </c>
      <c r="HB8" s="119" t="e">
        <f>'2.4.Функции'!F52+"BYw!=B"</f>
        <v>#VALUE!</v>
      </c>
      <c r="HC8" s="119" t="e">
        <f>'2.4.Функции'!G52+"BYw!=C"</f>
        <v>#VALUE!</v>
      </c>
      <c r="HD8" s="119" t="e">
        <f>'2.4.Функции'!H52+"BYw!=D"</f>
        <v>#VALUE!</v>
      </c>
      <c r="HE8" s="119" t="e">
        <f>'2.4.Функции'!I52+"BYw!=E"</f>
        <v>#VALUE!</v>
      </c>
      <c r="HF8" s="119" t="e">
        <f>'2.4.Функции'!J52+"BYw!=F"</f>
        <v>#VALUE!</v>
      </c>
      <c r="HG8" s="119" t="e">
        <f>'2.4.Функции'!K52+"BYw!=G"</f>
        <v>#VALUE!</v>
      </c>
      <c r="HH8" t="e">
        <f>'2.4.Функции'!A53+"BYw!=H"</f>
        <v>#VALUE!</v>
      </c>
      <c r="HI8" s="116" t="e">
        <f>'2.4.Функции'!B53+"BYw!=I"</f>
        <v>#VALUE!</v>
      </c>
      <c r="HJ8" t="e">
        <f>'2.4.Функции'!C53+"BYw!=J"</f>
        <v>#VALUE!</v>
      </c>
      <c r="HK8" s="119" t="e">
        <f>'2.4.Функции'!D53+"BYw!=K"</f>
        <v>#VALUE!</v>
      </c>
      <c r="HL8" s="119" t="e">
        <f>'2.4.Функции'!E53+"BYw!=L"</f>
        <v>#VALUE!</v>
      </c>
      <c r="HM8" s="119" t="e">
        <f>'2.4.Функции'!F53+"BYw!=M"</f>
        <v>#VALUE!</v>
      </c>
      <c r="HN8" s="119" t="e">
        <f>'2.4.Функции'!G53+"BYw!=N"</f>
        <v>#VALUE!</v>
      </c>
      <c r="HO8" s="119" t="e">
        <f>'2.4.Функции'!H53+"BYw!=O"</f>
        <v>#VALUE!</v>
      </c>
      <c r="HP8" s="119" t="e">
        <f>'2.4.Функции'!I53+"BYw!=P"</f>
        <v>#VALUE!</v>
      </c>
      <c r="HQ8" s="119" t="e">
        <f>'2.4.Функции'!J53+"BYw!=Q"</f>
        <v>#VALUE!</v>
      </c>
      <c r="HR8" s="119" t="e">
        <f>'2.4.Функции'!K53+"BYw!=R"</f>
        <v>#VALUE!</v>
      </c>
      <c r="HS8" t="e">
        <f>'2.4.Функции'!A54+"BYw!=S"</f>
        <v>#VALUE!</v>
      </c>
      <c r="HT8" s="116" t="e">
        <f>'2.4.Функции'!B54+"BYw!=T"</f>
        <v>#VALUE!</v>
      </c>
      <c r="HU8" t="e">
        <f>'2.4.Функции'!C54+"BYw!=U"</f>
        <v>#VALUE!</v>
      </c>
      <c r="HV8" s="119" t="e">
        <f>'2.4.Функции'!D54+"BYw!=V"</f>
        <v>#VALUE!</v>
      </c>
      <c r="HW8" s="119" t="e">
        <f>'2.4.Функции'!E54+"BYw!=W"</f>
        <v>#VALUE!</v>
      </c>
      <c r="HX8" s="119" t="e">
        <f>'2.4.Функции'!F54+"BYw!=X"</f>
        <v>#VALUE!</v>
      </c>
      <c r="HY8" s="119" t="e">
        <f>'2.4.Функции'!G54+"BYw!=Y"</f>
        <v>#VALUE!</v>
      </c>
      <c r="HZ8" s="119" t="e">
        <f>'2.4.Функции'!H54+"BYw!=Z"</f>
        <v>#VALUE!</v>
      </c>
      <c r="IA8" s="119" t="e">
        <f>'2.4.Функции'!I54+"BYw!=["</f>
        <v>#VALUE!</v>
      </c>
      <c r="IB8" s="119" t="e">
        <f>'2.4.Функции'!J54+"BYw!=\"</f>
        <v>#VALUE!</v>
      </c>
      <c r="IC8" s="119" t="e">
        <f>'2.4.Функции'!K54+"BYw!=]"</f>
        <v>#VALUE!</v>
      </c>
      <c r="ID8" t="e">
        <f>'2.4.Функции'!A55+"BYw!=^"</f>
        <v>#VALUE!</v>
      </c>
      <c r="IE8" s="116" t="e">
        <f>'2.4.Функции'!B55+"BYw!=_"</f>
        <v>#VALUE!</v>
      </c>
      <c r="IF8" t="e">
        <f>'2.4.Функции'!C55+"BYw!=`"</f>
        <v>#VALUE!</v>
      </c>
      <c r="IG8" s="119" t="e">
        <f>'2.4.Функции'!D55+"BYw!=a"</f>
        <v>#VALUE!</v>
      </c>
      <c r="IH8" s="119" t="e">
        <f>'2.4.Функции'!E55+"BYw!=b"</f>
        <v>#VALUE!</v>
      </c>
      <c r="II8" s="119" t="e">
        <f>'2.4.Функции'!F55+"BYw!=c"</f>
        <v>#VALUE!</v>
      </c>
      <c r="IJ8" s="119" t="e">
        <f>'2.4.Функции'!G55+"BYw!=d"</f>
        <v>#VALUE!</v>
      </c>
      <c r="IK8" s="119" t="e">
        <f>'2.4.Функции'!H55+"BYw!=e"</f>
        <v>#VALUE!</v>
      </c>
      <c r="IL8" s="119" t="e">
        <f>'2.4.Функции'!I55+"BYw!=f"</f>
        <v>#VALUE!</v>
      </c>
      <c r="IM8" s="119" t="e">
        <f>'2.4.Функции'!J55+"BYw!=g"</f>
        <v>#VALUE!</v>
      </c>
      <c r="IN8" s="119" t="e">
        <f>'2.4.Функции'!K55+"BYw!=h"</f>
        <v>#VALUE!</v>
      </c>
      <c r="IO8" t="e">
        <f>'2.4.Функции'!A56+"BYw!=i"</f>
        <v>#VALUE!</v>
      </c>
      <c r="IP8" s="116" t="e">
        <f>'2.4.Функции'!B56+"BYw!=j"</f>
        <v>#VALUE!</v>
      </c>
      <c r="IQ8" t="e">
        <f>'2.4.Функции'!C56+"BYw!=k"</f>
        <v>#VALUE!</v>
      </c>
      <c r="IR8" s="119" t="e">
        <f>'2.4.Функции'!D56+"BYw!=l"</f>
        <v>#VALUE!</v>
      </c>
      <c r="IS8" s="119" t="e">
        <f>'2.4.Функции'!E56+"BYw!=m"</f>
        <v>#VALUE!</v>
      </c>
      <c r="IT8" s="119" t="e">
        <f>'2.4.Функции'!F56+"BYw!=n"</f>
        <v>#VALUE!</v>
      </c>
      <c r="IU8" s="119" t="e">
        <f>'2.4.Функции'!G56+"BYw!=o"</f>
        <v>#VALUE!</v>
      </c>
      <c r="IV8" s="119" t="e">
        <f>'2.4.Функции'!H56+"BYw!=p"</f>
        <v>#VALUE!</v>
      </c>
    </row>
    <row r="9" spans="1:256" x14ac:dyDescent="0.2">
      <c r="F9" s="119" t="e">
        <f>'2.4.Функции'!I56+"BYw!=q"</f>
        <v>#VALUE!</v>
      </c>
      <c r="G9" s="119" t="e">
        <f>'2.4.Функции'!J56+"BYw!=r"</f>
        <v>#VALUE!</v>
      </c>
      <c r="H9" s="119" t="e">
        <f>'2.4.Функции'!K56+"BYw!=s"</f>
        <v>#VALUE!</v>
      </c>
      <c r="I9" t="e">
        <f>'2.4.Функции'!A57+"BYw!=t"</f>
        <v>#VALUE!</v>
      </c>
      <c r="J9" s="116" t="e">
        <f>'2.4.Функции'!B57+"BYw!=u"</f>
        <v>#VALUE!</v>
      </c>
      <c r="K9" t="e">
        <f>'2.4.Функции'!C57+"BYw!=v"</f>
        <v>#VALUE!</v>
      </c>
      <c r="L9" s="119" t="e">
        <f>'2.4.Функции'!D57+"BYw!=w"</f>
        <v>#VALUE!</v>
      </c>
      <c r="M9" s="119" t="e">
        <f>'2.4.Функции'!E57+"BYw!=x"</f>
        <v>#VALUE!</v>
      </c>
      <c r="N9" s="119" t="e">
        <f>'2.4.Функции'!F57+"BYw!=y"</f>
        <v>#VALUE!</v>
      </c>
      <c r="O9" s="119" t="e">
        <f>'2.4.Функции'!G57+"BYw!=z"</f>
        <v>#VALUE!</v>
      </c>
      <c r="P9" s="119" t="e">
        <f>'2.4.Функции'!H57+"BYw!={"</f>
        <v>#VALUE!</v>
      </c>
      <c r="Q9" s="119" t="e">
        <f>'2.4.Функции'!I57+"BYw!=|"</f>
        <v>#VALUE!</v>
      </c>
      <c r="R9" s="119" t="e">
        <f>'2.4.Функции'!J57+"BYw!=}"</f>
        <v>#VALUE!</v>
      </c>
      <c r="S9" s="119" t="e">
        <f>'2.4.Функции'!K57+"BYw!=~"</f>
        <v>#VALUE!</v>
      </c>
      <c r="T9" t="e">
        <f>'2.4.Функции'!A58+"BYw!&gt;#"</f>
        <v>#VALUE!</v>
      </c>
      <c r="U9" s="116" t="e">
        <f>'2.4.Функции'!B58+"BYw!&gt;$"</f>
        <v>#VALUE!</v>
      </c>
      <c r="V9" t="e">
        <f>'2.4.Функции'!C58+"BYw!&gt;%"</f>
        <v>#VALUE!</v>
      </c>
      <c r="W9" s="119" t="e">
        <f>'2.4.Функции'!D58+"BYw!&gt;&amp;"</f>
        <v>#VALUE!</v>
      </c>
      <c r="X9" s="119" t="e">
        <f>'2.4.Функции'!E58+"BYw!&gt;'"</f>
        <v>#VALUE!</v>
      </c>
      <c r="Y9" s="119" t="e">
        <f>'2.4.Функции'!F58+"BYw!&gt;("</f>
        <v>#VALUE!</v>
      </c>
      <c r="Z9" s="119" t="e">
        <f>'2.4.Функции'!G58+"BYw!&gt;)"</f>
        <v>#VALUE!</v>
      </c>
      <c r="AA9" s="119" t="e">
        <f>'2.4.Функции'!H58+"BYw!&gt;."</f>
        <v>#VALUE!</v>
      </c>
      <c r="AB9" s="119" t="e">
        <f>'2.4.Функции'!I58+"BYw!&gt;/"</f>
        <v>#VALUE!</v>
      </c>
      <c r="AC9" s="119" t="e">
        <f>'2.4.Функции'!J58+"BYw!&gt;0"</f>
        <v>#VALUE!</v>
      </c>
      <c r="AD9" s="119" t="e">
        <f>'2.4.Функции'!K58+"BYw!&gt;1"</f>
        <v>#VALUE!</v>
      </c>
      <c r="AE9" t="e">
        <f>'2.4.Функции'!A59+"BYw!&gt;2"</f>
        <v>#VALUE!</v>
      </c>
      <c r="AF9" s="116" t="e">
        <f>'2.4.Функции'!B59+"BYw!&gt;3"</f>
        <v>#VALUE!</v>
      </c>
      <c r="AG9" t="e">
        <f>'2.4.Функции'!C59+"BYw!&gt;4"</f>
        <v>#VALUE!</v>
      </c>
      <c r="AH9" s="119" t="e">
        <f>'2.4.Функции'!D59+"BYw!&gt;5"</f>
        <v>#VALUE!</v>
      </c>
      <c r="AI9" s="119" t="e">
        <f>'2.4.Функции'!E59+"BYw!&gt;6"</f>
        <v>#VALUE!</v>
      </c>
      <c r="AJ9" s="119" t="e">
        <f>'2.4.Функции'!F59+"BYw!&gt;7"</f>
        <v>#VALUE!</v>
      </c>
      <c r="AK9" s="119" t="e">
        <f>'2.4.Функции'!G59+"BYw!&gt;8"</f>
        <v>#VALUE!</v>
      </c>
      <c r="AL9" s="119" t="e">
        <f>'2.4.Функции'!H59+"BYw!&gt;9"</f>
        <v>#VALUE!</v>
      </c>
      <c r="AM9" s="119" t="e">
        <f>'2.4.Функции'!I59+"BYw!&gt;:"</f>
        <v>#VALUE!</v>
      </c>
      <c r="AN9" s="119" t="e">
        <f>'2.4.Функции'!J59+"BYw!&gt;;"</f>
        <v>#VALUE!</v>
      </c>
      <c r="AO9" s="119" t="e">
        <f>'2.4.Функции'!K59+"BYw!&gt;&lt;"</f>
        <v>#VALUE!</v>
      </c>
      <c r="AP9" t="e">
        <f>'2.4.Функции'!A60+"BYw!&gt;="</f>
        <v>#VALUE!</v>
      </c>
      <c r="AQ9" s="116" t="e">
        <f>'2.4.Функции'!B60+"BYw!&gt;&gt;"</f>
        <v>#VALUE!</v>
      </c>
      <c r="AR9" t="e">
        <f>'2.4.Функции'!C60+"BYw!&gt;?"</f>
        <v>#VALUE!</v>
      </c>
      <c r="AS9" s="119" t="e">
        <f>'2.4.Функции'!D60+"BYw!&gt;@"</f>
        <v>#VALUE!</v>
      </c>
      <c r="AT9" s="119" t="e">
        <f>'2.4.Функции'!E60+"BYw!&gt;A"</f>
        <v>#VALUE!</v>
      </c>
      <c r="AU9" s="119" t="e">
        <f>'2.4.Функции'!F60+"BYw!&gt;B"</f>
        <v>#VALUE!</v>
      </c>
      <c r="AV9" s="119" t="e">
        <f>'2.4.Функции'!G60+"BYw!&gt;C"</f>
        <v>#VALUE!</v>
      </c>
      <c r="AW9" s="119" t="e">
        <f>'2.4.Функции'!H60+"BYw!&gt;D"</f>
        <v>#VALUE!</v>
      </c>
      <c r="AX9" s="119" t="e">
        <f>'2.4.Функции'!I60+"BYw!&gt;E"</f>
        <v>#VALUE!</v>
      </c>
      <c r="AY9" s="119" t="e">
        <f>'2.4.Функции'!J60+"BYw!&gt;F"</f>
        <v>#VALUE!</v>
      </c>
      <c r="AZ9" s="119" t="e">
        <f>'2.4.Функции'!K60+"BYw!&gt;G"</f>
        <v>#VALUE!</v>
      </c>
      <c r="BA9" t="e">
        <f>'2.4.Функции'!A61+"BYw!&gt;H"</f>
        <v>#VALUE!</v>
      </c>
      <c r="BB9" s="116" t="e">
        <f>'2.4.Функции'!B61+"BYw!&gt;I"</f>
        <v>#VALUE!</v>
      </c>
      <c r="BC9" t="e">
        <f>'2.4.Функции'!C61+"BYw!&gt;J"</f>
        <v>#VALUE!</v>
      </c>
      <c r="BD9" s="119" t="e">
        <f>'2.4.Функции'!D61+"BYw!&gt;K"</f>
        <v>#VALUE!</v>
      </c>
      <c r="BE9" s="119" t="e">
        <f>'2.4.Функции'!E61+"BYw!&gt;L"</f>
        <v>#VALUE!</v>
      </c>
      <c r="BF9" s="119" t="e">
        <f>'2.4.Функции'!F61+"BYw!&gt;M"</f>
        <v>#VALUE!</v>
      </c>
      <c r="BG9" s="119" t="e">
        <f>'2.4.Функции'!G61+"BYw!&gt;N"</f>
        <v>#VALUE!</v>
      </c>
      <c r="BH9" s="119" t="e">
        <f>'2.4.Функции'!H61+"BYw!&gt;O"</f>
        <v>#VALUE!</v>
      </c>
      <c r="BI9" s="119" t="e">
        <f>'2.4.Функции'!I61+"BYw!&gt;P"</f>
        <v>#VALUE!</v>
      </c>
      <c r="BJ9" s="119" t="e">
        <f>'2.4.Функции'!J61+"BYw!&gt;Q"</f>
        <v>#VALUE!</v>
      </c>
      <c r="BK9" s="119" t="e">
        <f>'2.4.Функции'!K61+"BYw!&gt;R"</f>
        <v>#VALUE!</v>
      </c>
      <c r="BL9" t="e">
        <f>'2.4.Функции'!A62+"BYw!&gt;S"</f>
        <v>#VALUE!</v>
      </c>
      <c r="BM9" s="116" t="e">
        <f>'2.4.Функции'!B62+"BYw!&gt;T"</f>
        <v>#VALUE!</v>
      </c>
      <c r="BN9" t="e">
        <f>'2.4.Функции'!C62+"BYw!&gt;U"</f>
        <v>#VALUE!</v>
      </c>
      <c r="BO9" s="119" t="e">
        <f>'2.4.Функции'!D62+"BYw!&gt;V"</f>
        <v>#VALUE!</v>
      </c>
      <c r="BP9" s="119" t="e">
        <f>'2.4.Функции'!E62+"BYw!&gt;W"</f>
        <v>#VALUE!</v>
      </c>
      <c r="BQ9" s="119" t="e">
        <f>'2.4.Функции'!F62+"BYw!&gt;X"</f>
        <v>#VALUE!</v>
      </c>
      <c r="BR9" s="119" t="e">
        <f>'2.4.Функции'!G62+"BYw!&gt;Y"</f>
        <v>#VALUE!</v>
      </c>
      <c r="BS9" s="119" t="e">
        <f>'2.4.Функции'!H62+"BYw!&gt;Z"</f>
        <v>#VALUE!</v>
      </c>
      <c r="BT9" s="119" t="e">
        <f>'2.4.Функции'!I62+"BYw!&gt;["</f>
        <v>#VALUE!</v>
      </c>
      <c r="BU9" s="119" t="e">
        <f>'2.4.Функции'!J62+"BYw!&gt;\"</f>
        <v>#VALUE!</v>
      </c>
      <c r="BV9" s="119" t="e">
        <f>'2.4.Функции'!K62+"BYw!&gt;]"</f>
        <v>#VALUE!</v>
      </c>
      <c r="BW9" t="e">
        <f>'2.4.Функции'!A63+"BYw!&gt;^"</f>
        <v>#VALUE!</v>
      </c>
      <c r="BX9" s="116" t="e">
        <f>'2.4.Функции'!B63+"BYw!&gt;_"</f>
        <v>#VALUE!</v>
      </c>
      <c r="BY9" t="e">
        <f>'2.4.Функции'!C63+"BYw!&gt;`"</f>
        <v>#VALUE!</v>
      </c>
      <c r="BZ9" s="119" t="e">
        <f>'2.4.Функции'!D63+"BYw!&gt;a"</f>
        <v>#VALUE!</v>
      </c>
      <c r="CA9" s="119" t="e">
        <f>'2.4.Функции'!E63+"BYw!&gt;b"</f>
        <v>#VALUE!</v>
      </c>
      <c r="CB9" s="119" t="e">
        <f>'2.4.Функции'!F63+"BYw!&gt;c"</f>
        <v>#VALUE!</v>
      </c>
      <c r="CC9" s="119" t="e">
        <f>'2.4.Функции'!G63+"BYw!&gt;d"</f>
        <v>#VALUE!</v>
      </c>
      <c r="CD9" s="119" t="e">
        <f>'2.4.Функции'!H63+"BYw!&gt;e"</f>
        <v>#VALUE!</v>
      </c>
      <c r="CE9" s="119" t="e">
        <f>'2.4.Функции'!I63+"BYw!&gt;f"</f>
        <v>#VALUE!</v>
      </c>
      <c r="CF9" s="119" t="e">
        <f>'2.4.Функции'!J63+"BYw!&gt;g"</f>
        <v>#VALUE!</v>
      </c>
      <c r="CG9" s="119" t="e">
        <f>'2.4.Функции'!K63+"BYw!&gt;h"</f>
        <v>#VALUE!</v>
      </c>
      <c r="CH9" t="e">
        <f>'2.4.Функции'!A64+"BYw!&gt;i"</f>
        <v>#VALUE!</v>
      </c>
      <c r="CI9" s="116" t="e">
        <f>'2.4.Функции'!B64+"BYw!&gt;j"</f>
        <v>#VALUE!</v>
      </c>
      <c r="CJ9" t="e">
        <f>'2.4.Функции'!C64+"BYw!&gt;k"</f>
        <v>#VALUE!</v>
      </c>
      <c r="CK9" s="119" t="e">
        <f>'2.4.Функции'!D64+"BYw!&gt;l"</f>
        <v>#VALUE!</v>
      </c>
      <c r="CL9" s="119" t="e">
        <f>'2.4.Функции'!E64+"BYw!&gt;m"</f>
        <v>#VALUE!</v>
      </c>
      <c r="CM9" s="119" t="e">
        <f>'2.4.Функции'!F64+"BYw!&gt;n"</f>
        <v>#VALUE!</v>
      </c>
      <c r="CN9" s="119" t="e">
        <f>'2.4.Функции'!G64+"BYw!&gt;o"</f>
        <v>#VALUE!</v>
      </c>
      <c r="CO9" s="119" t="e">
        <f>'2.4.Функции'!H64+"BYw!&gt;p"</f>
        <v>#VALUE!</v>
      </c>
      <c r="CP9" s="119" t="e">
        <f>'2.4.Функции'!I64+"BYw!&gt;q"</f>
        <v>#VALUE!</v>
      </c>
      <c r="CQ9" s="119" t="e">
        <f>'2.4.Функции'!J64+"BYw!&gt;r"</f>
        <v>#VALUE!</v>
      </c>
      <c r="CR9" s="119" t="e">
        <f>'2.4.Функции'!K64+"BYw!&gt;s"</f>
        <v>#VALUE!</v>
      </c>
      <c r="CS9" t="e">
        <f>'2.4.Функции'!A65+"BYw!&gt;t"</f>
        <v>#VALUE!</v>
      </c>
      <c r="CT9" s="116" t="e">
        <f>'2.4.Функции'!B65+"BYw!&gt;u"</f>
        <v>#VALUE!</v>
      </c>
      <c r="CU9" t="e">
        <f>'2.4.Функции'!C65+"BYw!&gt;v"</f>
        <v>#VALUE!</v>
      </c>
      <c r="CV9" s="119" t="e">
        <f>'2.4.Функции'!D65+"BYw!&gt;w"</f>
        <v>#VALUE!</v>
      </c>
      <c r="CW9" s="119" t="e">
        <f>'2.4.Функции'!E65+"BYw!&gt;x"</f>
        <v>#VALUE!</v>
      </c>
      <c r="CX9" s="119" t="e">
        <f>'2.4.Функции'!F65+"BYw!&gt;y"</f>
        <v>#VALUE!</v>
      </c>
      <c r="CY9" s="119" t="e">
        <f>'2.4.Функции'!G65+"BYw!&gt;z"</f>
        <v>#VALUE!</v>
      </c>
      <c r="CZ9" s="119" t="e">
        <f>'2.4.Функции'!H65+"BYw!&gt;{"</f>
        <v>#VALUE!</v>
      </c>
      <c r="DA9" s="119" t="e">
        <f>'2.4.Функции'!I65+"BYw!&gt;|"</f>
        <v>#VALUE!</v>
      </c>
      <c r="DB9" s="119" t="e">
        <f>'2.4.Функции'!J65+"BYw!&gt;}"</f>
        <v>#VALUE!</v>
      </c>
      <c r="DC9" s="119" t="e">
        <f>'2.4.Функции'!K65+"BYw!&gt;~"</f>
        <v>#VALUE!</v>
      </c>
      <c r="DD9" t="e">
        <f>'2.4.Функции'!L65+"BYw!?#"</f>
        <v>#VALUE!</v>
      </c>
      <c r="DE9" t="e">
        <f>'2.4.Функции'!M65+"BYw!?$"</f>
        <v>#VALUE!</v>
      </c>
      <c r="DF9" t="e">
        <f>'2.4.Функции'!N65+"BYw!?%"</f>
        <v>#VALUE!</v>
      </c>
      <c r="DG9" t="e">
        <f>'2.4.Функции'!O65+"BYw!?&amp;"</f>
        <v>#VALUE!</v>
      </c>
      <c r="DH9" t="e">
        <f>'2.4.Функции'!P65+"BYw!?'"</f>
        <v>#VALUE!</v>
      </c>
      <c r="DI9" t="e">
        <f>'2.4.Функции'!Q65+"BYw!?("</f>
        <v>#VALUE!</v>
      </c>
      <c r="DJ9" t="e">
        <f>'2.4.Функции'!R65+"BYw!?)"</f>
        <v>#VALUE!</v>
      </c>
      <c r="DK9" t="e">
        <f>'2.4.Функции'!S65+"BYw!?."</f>
        <v>#VALUE!</v>
      </c>
      <c r="DL9" t="e">
        <f>'2.4.Функции'!T65+"BYw!?/"</f>
        <v>#VALUE!</v>
      </c>
      <c r="DM9" t="e">
        <f>'2.4.Функции'!U65+"BYw!?0"</f>
        <v>#VALUE!</v>
      </c>
      <c r="DN9" t="e">
        <f>'2.4.Функции'!V65+"BYw!?1"</f>
        <v>#VALUE!</v>
      </c>
      <c r="DO9" t="e">
        <f>'2.4.Функции'!W65+"BYw!?2"</f>
        <v>#VALUE!</v>
      </c>
      <c r="DP9" t="e">
        <f>'2.4.Функции'!X65+"BYw!?3"</f>
        <v>#VALUE!</v>
      </c>
      <c r="DQ9" t="e">
        <f>'2.4.Функции'!Y65+"BYw!?4"</f>
        <v>#VALUE!</v>
      </c>
      <c r="DR9" t="e">
        <f>'2.4.Функции'!Z65+"BYw!?5"</f>
        <v>#VALUE!</v>
      </c>
      <c r="DS9" t="e">
        <f>'2.4.Функции'!AA65+"BYw!?6"</f>
        <v>#VALUE!</v>
      </c>
      <c r="DT9" t="e">
        <f>'2.4.Функции'!AB65+"BYw!?7"</f>
        <v>#VALUE!</v>
      </c>
      <c r="DU9" t="e">
        <f>'2.4.Функции'!AC65+"BYw!?8"</f>
        <v>#VALUE!</v>
      </c>
      <c r="DV9" t="e">
        <f>'2.4.Функции'!AD65+"BYw!?9"</f>
        <v>#VALUE!</v>
      </c>
      <c r="DW9" t="e">
        <f>'2.4.Функции'!AE65+"BYw!?:"</f>
        <v>#VALUE!</v>
      </c>
      <c r="DX9" t="e">
        <f>'2.4.Функции'!AF65+"BYw!?;"</f>
        <v>#VALUE!</v>
      </c>
      <c r="DY9" t="e">
        <f>'2.4.Функции'!AG65+"BYw!?&lt;"</f>
        <v>#VALUE!</v>
      </c>
      <c r="DZ9" t="e">
        <f>'2.4.Функции'!AH65+"BYw!?="</f>
        <v>#VALUE!</v>
      </c>
      <c r="EA9" t="e">
        <f>'2.4.Функции'!AI65+"BYw!?&gt;"</f>
        <v>#VALUE!</v>
      </c>
      <c r="EB9" t="e">
        <f>'2.4.Функции'!AJ65+"BYw!??"</f>
        <v>#VALUE!</v>
      </c>
      <c r="EC9" t="e">
        <f>'2.4.Функции'!AK65+"BYw!?@"</f>
        <v>#VALUE!</v>
      </c>
      <c r="ED9" t="e">
        <f>'2.4.Функции'!AL65+"BYw!?A"</f>
        <v>#VALUE!</v>
      </c>
      <c r="EE9" t="e">
        <f>'2.4.Функции'!AM65+"BYw!?B"</f>
        <v>#VALUE!</v>
      </c>
      <c r="EF9" t="e">
        <f>'2.4.Функции'!AN65+"BYw!?C"</f>
        <v>#VALUE!</v>
      </c>
      <c r="EG9" t="e">
        <f>'2.4.Функции'!AO65+"BYw!?D"</f>
        <v>#VALUE!</v>
      </c>
      <c r="EH9" t="e">
        <f>'2.4.Функции'!AP65+"BYw!?E"</f>
        <v>#VALUE!</v>
      </c>
      <c r="EI9" t="e">
        <f>'2.4.Функции'!AQ65+"BYw!?F"</f>
        <v>#VALUE!</v>
      </c>
      <c r="EJ9" t="e">
        <f>'2.4.Функции'!AR65+"BYw!?G"</f>
        <v>#VALUE!</v>
      </c>
      <c r="EK9" t="e">
        <f>'2.4.Функции'!AS65+"BYw!?H"</f>
        <v>#VALUE!</v>
      </c>
      <c r="EL9" t="e">
        <f>'2.4.Функции'!AT65+"BYw!?I"</f>
        <v>#VALUE!</v>
      </c>
      <c r="EM9" t="e">
        <f>'2.4.Функции'!AU65+"BYw!?J"</f>
        <v>#VALUE!</v>
      </c>
      <c r="EN9" t="e">
        <f>'2.4.Функции'!AV65+"BYw!?K"</f>
        <v>#VALUE!</v>
      </c>
      <c r="EO9" t="e">
        <f>'2.4.Функции'!AW65+"BYw!?L"</f>
        <v>#VALUE!</v>
      </c>
      <c r="EP9" t="e">
        <f>'2.4.Функции'!AX65+"BYw!?M"</f>
        <v>#VALUE!</v>
      </c>
      <c r="EQ9" t="e">
        <f>'2.4.Функции'!AY65+"BYw!?N"</f>
        <v>#VALUE!</v>
      </c>
      <c r="ER9" t="e">
        <f>'2.4.Функции'!AZ65+"BYw!?O"</f>
        <v>#VALUE!</v>
      </c>
      <c r="ES9" t="e">
        <f>'2.4.Функции'!BA65+"BYw!?P"</f>
        <v>#VALUE!</v>
      </c>
      <c r="ET9" t="e">
        <f>'2.4.Функции'!BB65+"BYw!?Q"</f>
        <v>#VALUE!</v>
      </c>
      <c r="EU9" t="e">
        <f>'2.4.Функции'!BC65+"BYw!?R"</f>
        <v>#VALUE!</v>
      </c>
      <c r="EV9" t="e">
        <f>'2.4.Функции'!BD65+"BYw!?S"</f>
        <v>#VALUE!</v>
      </c>
      <c r="EW9" t="e">
        <f>'2.4.Функции'!BE65+"BYw!?T"</f>
        <v>#VALUE!</v>
      </c>
      <c r="EX9" t="e">
        <f>'2.4.Функции'!BF65+"BYw!?U"</f>
        <v>#VALUE!</v>
      </c>
      <c r="EY9" t="e">
        <f>'2.4.Функции'!BG65+"BYw!?V"</f>
        <v>#VALUE!</v>
      </c>
      <c r="EZ9" t="e">
        <f>'2.4.Функции'!BH65+"BYw!?W"</f>
        <v>#VALUE!</v>
      </c>
      <c r="FA9" t="e">
        <f>'2.4.Функции'!BI65+"BYw!?X"</f>
        <v>#VALUE!</v>
      </c>
      <c r="FB9" t="e">
        <f>'2.4.Функции'!BJ65+"BYw!?Y"</f>
        <v>#VALUE!</v>
      </c>
      <c r="FC9" t="e">
        <f>'2.4.Функции'!BK65+"BYw!?Z"</f>
        <v>#VALUE!</v>
      </c>
      <c r="FD9" t="e">
        <f>'2.4.Функции'!BL65+"BYw!?["</f>
        <v>#VALUE!</v>
      </c>
      <c r="FE9" t="e">
        <f>'2.4.Функции'!BM65+"BYw!?\"</f>
        <v>#VALUE!</v>
      </c>
      <c r="FF9" t="e">
        <f>'2.4.Функции'!BN65+"BYw!?]"</f>
        <v>#VALUE!</v>
      </c>
      <c r="FG9" t="e">
        <f>'2.4.Функции'!BO65+"BYw!?^"</f>
        <v>#VALUE!</v>
      </c>
      <c r="FH9" t="e">
        <f>'2.4.Функции'!BP65+"BYw!?_"</f>
        <v>#VALUE!</v>
      </c>
      <c r="FI9" t="e">
        <f>'2.4.Функции'!BQ65+"BYw!?`"</f>
        <v>#VALUE!</v>
      </c>
      <c r="FJ9" t="e">
        <f>'2.4.Функции'!BR65+"BYw!?a"</f>
        <v>#VALUE!</v>
      </c>
      <c r="FK9" t="e">
        <f>'2.4.Функции'!BS65+"BYw!?b"</f>
        <v>#VALUE!</v>
      </c>
      <c r="FL9" t="e">
        <f>'2.4.Функции'!BT65+"BYw!?c"</f>
        <v>#VALUE!</v>
      </c>
      <c r="FM9" t="e">
        <f>'2.4.Функции'!BU65+"BYw!?d"</f>
        <v>#VALUE!</v>
      </c>
      <c r="FN9" t="e">
        <f>'2.4.Функции'!BV65+"BYw!?e"</f>
        <v>#VALUE!</v>
      </c>
      <c r="FO9" t="e">
        <f>'2.4.Функции'!BW65+"BYw!?f"</f>
        <v>#VALUE!</v>
      </c>
      <c r="FP9" t="e">
        <f>'2.4.Функции'!BX65+"BYw!?g"</f>
        <v>#VALUE!</v>
      </c>
      <c r="FQ9" t="e">
        <f>'2.4.Функции'!BY65+"BYw!?h"</f>
        <v>#VALUE!</v>
      </c>
      <c r="FR9" t="e">
        <f>'2.4.Функции'!BZ65+"BYw!?i"</f>
        <v>#VALUE!</v>
      </c>
      <c r="FS9" t="e">
        <f>'2.4.Функции'!CA65+"BYw!?j"</f>
        <v>#VALUE!</v>
      </c>
      <c r="FT9" t="e">
        <f>'2.4.Функции'!CB65+"BYw!?k"</f>
        <v>#VALUE!</v>
      </c>
      <c r="FU9" t="e">
        <f>'2.4.Функции'!CC65+"BYw!?l"</f>
        <v>#VALUE!</v>
      </c>
      <c r="FV9" t="e">
        <f>'2.4.Функции'!CD65+"BYw!?m"</f>
        <v>#VALUE!</v>
      </c>
      <c r="FW9" t="e">
        <f>'2.4.Функции'!CE65+"BYw!?n"</f>
        <v>#VALUE!</v>
      </c>
      <c r="FX9" t="e">
        <f>'2.4.Функции'!CF65+"BYw!?o"</f>
        <v>#VALUE!</v>
      </c>
      <c r="FY9" t="e">
        <f>'2.4.Функции'!CG65+"BYw!?p"</f>
        <v>#VALUE!</v>
      </c>
      <c r="FZ9" t="e">
        <f>'2.4.Функции'!CH65+"BYw!?q"</f>
        <v>#VALUE!</v>
      </c>
      <c r="GA9" t="e">
        <f>'2.4.Функции'!CI65+"BYw!?r"</f>
        <v>#VALUE!</v>
      </c>
      <c r="GB9" t="e">
        <f>'2.4.Функции'!CJ65+"BYw!?s"</f>
        <v>#VALUE!</v>
      </c>
      <c r="GC9" t="e">
        <f>'2.4.Функции'!CK65+"BYw!?t"</f>
        <v>#VALUE!</v>
      </c>
      <c r="GD9" t="e">
        <f>'2.4.Функции'!CL65+"BYw!?u"</f>
        <v>#VALUE!</v>
      </c>
      <c r="GE9" t="e">
        <f>'2.4.Функции'!CM65+"BYw!?v"</f>
        <v>#VALUE!</v>
      </c>
      <c r="GF9" t="e">
        <f>'2.4.Функции'!CN65+"BYw!?w"</f>
        <v>#VALUE!</v>
      </c>
      <c r="GG9" t="e">
        <f>'2.4.Функции'!CO65+"BYw!?x"</f>
        <v>#VALUE!</v>
      </c>
      <c r="GH9" t="e">
        <f>'2.4.Функции'!CP65+"BYw!?y"</f>
        <v>#VALUE!</v>
      </c>
      <c r="GI9" t="e">
        <f>'2.4.Функции'!CQ65+"BYw!?z"</f>
        <v>#VALUE!</v>
      </c>
      <c r="GJ9" t="e">
        <f>'2.4.Функции'!CR65+"BYw!?{"</f>
        <v>#VALUE!</v>
      </c>
      <c r="GK9" t="e">
        <f>'2.4.Функции'!CS65+"BYw!?|"</f>
        <v>#VALUE!</v>
      </c>
      <c r="GL9" t="e">
        <f>'2.4.Функции'!CT65+"BYw!?}"</f>
        <v>#VALUE!</v>
      </c>
      <c r="GM9" t="e">
        <f>'2.4.Функции'!CU65+"BYw!?~"</f>
        <v>#VALUE!</v>
      </c>
      <c r="GN9" t="e">
        <f>'2.4.Функции'!CV65+"BYw!@#"</f>
        <v>#VALUE!</v>
      </c>
      <c r="GO9" t="e">
        <f>'2.4.Функции'!CW65+"BYw!@$"</f>
        <v>#VALUE!</v>
      </c>
      <c r="GP9" t="e">
        <f>'2.4.Функции'!CX65+"BYw!@%"</f>
        <v>#VALUE!</v>
      </c>
      <c r="GQ9" t="e">
        <f>'2.4.Функции'!CY65+"BYw!@&amp;"</f>
        <v>#VALUE!</v>
      </c>
      <c r="GR9" t="e">
        <f>'2.4.Функции'!CZ65+"BYw!@'"</f>
        <v>#VALUE!</v>
      </c>
      <c r="GS9" t="e">
        <f>'2.4.Функции'!DA65+"BYw!@("</f>
        <v>#VALUE!</v>
      </c>
      <c r="GT9" t="e">
        <f>'2.4.Функции'!DB65+"BYw!@)"</f>
        <v>#VALUE!</v>
      </c>
      <c r="GU9" t="e">
        <f>'2.4.Функции'!DC65+"BYw!@."</f>
        <v>#VALUE!</v>
      </c>
      <c r="GV9" t="e">
        <f>'2.4.Функции'!DD65+"BYw!@/"</f>
        <v>#VALUE!</v>
      </c>
      <c r="GW9" t="e">
        <f>'2.4.Функции'!DE65+"BYw!@0"</f>
        <v>#VALUE!</v>
      </c>
      <c r="GX9" t="e">
        <f>'2.4.Функции'!DF65+"BYw!@1"</f>
        <v>#VALUE!</v>
      </c>
      <c r="GY9" t="e">
        <f>'2.4.Функции'!DG65+"BYw!@2"</f>
        <v>#VALUE!</v>
      </c>
      <c r="GZ9" t="e">
        <f>'2.4.Функции'!DH65+"BYw!@3"</f>
        <v>#VALUE!</v>
      </c>
      <c r="HA9" t="e">
        <f>'2.4.Функции'!DI65+"BYw!@4"</f>
        <v>#VALUE!</v>
      </c>
      <c r="HB9" t="e">
        <f>'2.4.Функции'!DJ65+"BYw!@5"</f>
        <v>#VALUE!</v>
      </c>
      <c r="HC9" t="e">
        <f>'2.4.Функции'!DK65+"BYw!@6"</f>
        <v>#VALUE!</v>
      </c>
      <c r="HD9" t="e">
        <f>'2.4.Функции'!DL65+"BYw!@7"</f>
        <v>#VALUE!</v>
      </c>
      <c r="HE9" t="e">
        <f>'2.4.Функции'!DM65+"BYw!@8"</f>
        <v>#VALUE!</v>
      </c>
      <c r="HF9" t="e">
        <f>'2.4.Функции'!DN65+"BYw!@9"</f>
        <v>#VALUE!</v>
      </c>
      <c r="HG9" t="e">
        <f>'2.4.Функции'!DO65+"BYw!@:"</f>
        <v>#VALUE!</v>
      </c>
      <c r="HH9" t="e">
        <f>'2.4.Функции'!DP65+"BYw!@;"</f>
        <v>#VALUE!</v>
      </c>
      <c r="HI9" t="e">
        <f>'2.4.Функции'!DQ65+"BYw!@&lt;"</f>
        <v>#VALUE!</v>
      </c>
      <c r="HJ9" t="e">
        <f>'2.4.Функции'!DR65+"BYw!@="</f>
        <v>#VALUE!</v>
      </c>
      <c r="HK9" t="e">
        <f>'2.4.Функции'!DS65+"BYw!@&gt;"</f>
        <v>#VALUE!</v>
      </c>
      <c r="HL9" t="e">
        <f>'2.4.Функции'!DT65+"BYw!@?"</f>
        <v>#VALUE!</v>
      </c>
      <c r="HM9" t="e">
        <f>'2.4.Функции'!DU65+"BYw!@@"</f>
        <v>#VALUE!</v>
      </c>
      <c r="HN9" t="e">
        <f>'2.4.Функции'!DV65+"BYw!@A"</f>
        <v>#VALUE!</v>
      </c>
      <c r="HO9" t="e">
        <f>'2.4.Функции'!DW65+"BYw!@B"</f>
        <v>#VALUE!</v>
      </c>
      <c r="HP9" t="e">
        <f>'2.4.Функции'!DX65+"BYw!@C"</f>
        <v>#VALUE!</v>
      </c>
      <c r="HQ9" t="e">
        <f>'2.4.Функции'!DY65+"BYw!@D"</f>
        <v>#VALUE!</v>
      </c>
      <c r="HR9" t="e">
        <f>'2.4.Функции'!DZ65+"BYw!@E"</f>
        <v>#VALUE!</v>
      </c>
      <c r="HS9" t="e">
        <f>'2.4.Функции'!EA65+"BYw!@F"</f>
        <v>#VALUE!</v>
      </c>
      <c r="HT9" t="e">
        <f>'2.4.Функции'!EB65+"BYw!@G"</f>
        <v>#VALUE!</v>
      </c>
      <c r="HU9" t="e">
        <f>'2.4.Функции'!EC65+"BYw!@H"</f>
        <v>#VALUE!</v>
      </c>
      <c r="HV9" t="e">
        <f>'2.4.Функции'!ED65+"BYw!@I"</f>
        <v>#VALUE!</v>
      </c>
      <c r="HW9" t="e">
        <f>'2.4.Функции'!EE65+"BYw!@J"</f>
        <v>#VALUE!</v>
      </c>
      <c r="HX9" t="e">
        <f>'2.4.Функции'!EF65+"BYw!@K"</f>
        <v>#VALUE!</v>
      </c>
      <c r="HY9" t="e">
        <f>'2.4.Функции'!EG65+"BYw!@L"</f>
        <v>#VALUE!</v>
      </c>
      <c r="HZ9" t="e">
        <f>'2.4.Функции'!EH65+"BYw!@M"</f>
        <v>#VALUE!</v>
      </c>
      <c r="IA9" t="e">
        <f>'2.4.Функции'!EI65+"BYw!@N"</f>
        <v>#VALUE!</v>
      </c>
      <c r="IB9" t="e">
        <f>'2.4.Функции'!EJ65+"BYw!@O"</f>
        <v>#VALUE!</v>
      </c>
      <c r="IC9" t="e">
        <f>'2.4.Функции'!EK65+"BYw!@P"</f>
        <v>#VALUE!</v>
      </c>
      <c r="ID9" t="e">
        <f>'2.4.Функции'!EL65+"BYw!@Q"</f>
        <v>#VALUE!</v>
      </c>
      <c r="IE9" t="e">
        <f>'2.4.Функции'!EM65+"BYw!@R"</f>
        <v>#VALUE!</v>
      </c>
      <c r="IF9" t="e">
        <f>'2.4.Функции'!EN65+"BYw!@S"</f>
        <v>#VALUE!</v>
      </c>
      <c r="IG9" t="e">
        <f>'2.4.Функции'!EO65+"BYw!@T"</f>
        <v>#VALUE!</v>
      </c>
      <c r="IH9" t="e">
        <f>'2.4.Функции'!EP65+"BYw!@U"</f>
        <v>#VALUE!</v>
      </c>
      <c r="II9" t="e">
        <f>'2.4.Функции'!EQ65+"BYw!@V"</f>
        <v>#VALUE!</v>
      </c>
      <c r="IJ9" t="e">
        <f>'2.4.Функции'!ER65+"BYw!@W"</f>
        <v>#VALUE!</v>
      </c>
      <c r="IK9" t="e">
        <f>'2.4.Функции'!ES65+"BYw!@X"</f>
        <v>#VALUE!</v>
      </c>
      <c r="IL9" t="e">
        <f>'2.4.Функции'!ET65+"BYw!@Y"</f>
        <v>#VALUE!</v>
      </c>
      <c r="IM9" t="e">
        <f>'2.4.Функции'!EU65+"BYw!@Z"</f>
        <v>#VALUE!</v>
      </c>
      <c r="IN9" t="e">
        <f>'2.4.Функции'!EV65+"BYw!@["</f>
        <v>#VALUE!</v>
      </c>
      <c r="IO9" t="e">
        <f>'2.4.Функции'!EW65+"BYw!@\"</f>
        <v>#VALUE!</v>
      </c>
      <c r="IP9" t="e">
        <f>'2.4.Функции'!EX65+"BYw!@]"</f>
        <v>#VALUE!</v>
      </c>
      <c r="IQ9" t="e">
        <f>'2.4.Функции'!EY65+"BYw!@^"</f>
        <v>#VALUE!</v>
      </c>
      <c r="IR9" t="e">
        <f>'2.4.Функции'!EZ65+"BYw!@_"</f>
        <v>#VALUE!</v>
      </c>
      <c r="IS9" t="e">
        <f>'2.4.Функции'!FA65+"BYw!@`"</f>
        <v>#VALUE!</v>
      </c>
      <c r="IT9" t="e">
        <f>'2.4.Функции'!FB65+"BYw!@a"</f>
        <v>#VALUE!</v>
      </c>
      <c r="IU9" t="e">
        <f>'2.4.Функции'!FC65+"BYw!@b"</f>
        <v>#VALUE!</v>
      </c>
      <c r="IV9" t="e">
        <f>'2.4.Функции'!FD65+"BYw!@c"</f>
        <v>#VALUE!</v>
      </c>
    </row>
    <row r="10" spans="1:256" x14ac:dyDescent="0.2">
      <c r="F10" t="e">
        <f>'2.4.Функции'!FE65+"BYw!@d"</f>
        <v>#VALUE!</v>
      </c>
      <c r="G10" t="e">
        <f>'2.4.Функции'!FF65+"BYw!@e"</f>
        <v>#VALUE!</v>
      </c>
      <c r="H10" t="e">
        <f>'2.4.Функции'!FG65+"BYw!@f"</f>
        <v>#VALUE!</v>
      </c>
      <c r="I10" t="e">
        <f>'2.4.Функции'!FH65+"BYw!@g"</f>
        <v>#VALUE!</v>
      </c>
      <c r="J10" t="e">
        <f>'2.4.Функции'!FI65+"BYw!@h"</f>
        <v>#VALUE!</v>
      </c>
      <c r="K10" t="e">
        <f>'2.4.Функции'!FJ65+"BYw!@i"</f>
        <v>#VALUE!</v>
      </c>
      <c r="L10" t="e">
        <f>'2.4.Функции'!FK65+"BYw!@j"</f>
        <v>#VALUE!</v>
      </c>
      <c r="M10" t="e">
        <f>'2.4.Функции'!FL65+"BYw!@k"</f>
        <v>#VALUE!</v>
      </c>
      <c r="N10" t="e">
        <f>'2.4.Функции'!FM65+"BYw!@l"</f>
        <v>#VALUE!</v>
      </c>
      <c r="O10" t="e">
        <f>'2.4.Функции'!FN65+"BYw!@m"</f>
        <v>#VALUE!</v>
      </c>
      <c r="P10" t="e">
        <f>'2.4.Функции'!FO65+"BYw!@n"</f>
        <v>#VALUE!</v>
      </c>
      <c r="Q10" t="e">
        <f>'2.4.Функции'!FP65+"BYw!@o"</f>
        <v>#VALUE!</v>
      </c>
      <c r="R10" t="e">
        <f>'2.4.Функции'!FQ65+"BYw!@p"</f>
        <v>#VALUE!</v>
      </c>
      <c r="S10" t="e">
        <f>'2.4.Функции'!FR65+"BYw!@q"</f>
        <v>#VALUE!</v>
      </c>
      <c r="T10" t="e">
        <f>'2.4.Функции'!FS65+"BYw!@r"</f>
        <v>#VALUE!</v>
      </c>
      <c r="U10" t="e">
        <f>'2.4.Функции'!FT65+"BYw!@s"</f>
        <v>#VALUE!</v>
      </c>
      <c r="V10" t="e">
        <f>'2.4.Функции'!FU65+"BYw!@t"</f>
        <v>#VALUE!</v>
      </c>
      <c r="W10" t="e">
        <f>'2.4.Функции'!FV65+"BYw!@u"</f>
        <v>#VALUE!</v>
      </c>
      <c r="X10" t="e">
        <f>'2.4.Функции'!FW65+"BYw!@v"</f>
        <v>#VALUE!</v>
      </c>
      <c r="Y10" t="e">
        <f>'2.4.Функции'!FX65+"BYw!@w"</f>
        <v>#VALUE!</v>
      </c>
      <c r="Z10" t="e">
        <f>'2.4.Функции'!FY65+"BYw!@x"</f>
        <v>#VALUE!</v>
      </c>
      <c r="AA10" t="e">
        <f>'2.4.Функции'!FZ65+"BYw!@y"</f>
        <v>#VALUE!</v>
      </c>
      <c r="AB10" t="e">
        <f>'2.4.Функции'!GA65+"BYw!@z"</f>
        <v>#VALUE!</v>
      </c>
      <c r="AC10" t="e">
        <f>'2.4.Функции'!GB65+"BYw!@{"</f>
        <v>#VALUE!</v>
      </c>
      <c r="AD10" t="e">
        <f>'2.4.Функции'!GC65+"BYw!@|"</f>
        <v>#VALUE!</v>
      </c>
      <c r="AE10" t="e">
        <f>'2.4.Функции'!GD65+"BYw!@}"</f>
        <v>#VALUE!</v>
      </c>
      <c r="AF10" t="e">
        <f>'2.4.Функции'!GE65+"BYw!@~"</f>
        <v>#VALUE!</v>
      </c>
      <c r="AG10" t="e">
        <f>'2.4.Функции'!GF65+"BYw!A#"</f>
        <v>#VALUE!</v>
      </c>
      <c r="AH10" t="e">
        <f>'2.4.Функции'!GG65+"BYw!A$"</f>
        <v>#VALUE!</v>
      </c>
      <c r="AI10" t="e">
        <f>'2.4.Функции'!GH65+"BYw!A%"</f>
        <v>#VALUE!</v>
      </c>
      <c r="AJ10" t="e">
        <f>'2.4.Функции'!GI65+"BYw!A&amp;"</f>
        <v>#VALUE!</v>
      </c>
      <c r="AK10" t="e">
        <f>'2.4.Функции'!GJ65+"BYw!A'"</f>
        <v>#VALUE!</v>
      </c>
      <c r="AL10" t="e">
        <f>'2.4.Функции'!GK65+"BYw!A("</f>
        <v>#VALUE!</v>
      </c>
      <c r="AM10" t="e">
        <f>'2.4.Функции'!GL65+"BYw!A)"</f>
        <v>#VALUE!</v>
      </c>
      <c r="AN10" t="e">
        <f>'2.4.Функции'!GM65+"BYw!A."</f>
        <v>#VALUE!</v>
      </c>
      <c r="AO10" t="e">
        <f>'2.4.Функции'!GN65+"BYw!A/"</f>
        <v>#VALUE!</v>
      </c>
      <c r="AP10" t="e">
        <f>'2.4.Функции'!GO65+"BYw!A0"</f>
        <v>#VALUE!</v>
      </c>
      <c r="AQ10" t="e">
        <f>'2.4.Функции'!GP65+"BYw!A1"</f>
        <v>#VALUE!</v>
      </c>
      <c r="AR10" t="e">
        <f>'2.4.Функции'!GQ65+"BYw!A2"</f>
        <v>#VALUE!</v>
      </c>
      <c r="AS10" t="e">
        <f>'2.4.Функции'!GR65+"BYw!A3"</f>
        <v>#VALUE!</v>
      </c>
      <c r="AT10" t="e">
        <f>'2.4.Функции'!GS65+"BYw!A4"</f>
        <v>#VALUE!</v>
      </c>
      <c r="AU10" t="e">
        <f>'2.4.Функции'!GT65+"BYw!A5"</f>
        <v>#VALUE!</v>
      </c>
      <c r="AV10" t="e">
        <f>'2.4.Функции'!GU65+"BYw!A6"</f>
        <v>#VALUE!</v>
      </c>
      <c r="AW10" t="e">
        <f>'2.4.Функции'!GV65+"BYw!A7"</f>
        <v>#VALUE!</v>
      </c>
      <c r="AX10" t="e">
        <f>'2.4.Функции'!GW65+"BYw!A8"</f>
        <v>#VALUE!</v>
      </c>
      <c r="AY10" t="e">
        <f>'2.4.Функции'!GX65+"BYw!A9"</f>
        <v>#VALUE!</v>
      </c>
      <c r="AZ10" t="e">
        <f>'2.4.Функции'!GY65+"BYw!A:"</f>
        <v>#VALUE!</v>
      </c>
      <c r="BA10" t="e">
        <f>'2.4.Функции'!GZ65+"BYw!A;"</f>
        <v>#VALUE!</v>
      </c>
      <c r="BB10" t="e">
        <f>'2.4.Функции'!HA65+"BYw!A&lt;"</f>
        <v>#VALUE!</v>
      </c>
      <c r="BC10" t="e">
        <f>'2.4.Функции'!HB65+"BYw!A="</f>
        <v>#VALUE!</v>
      </c>
      <c r="BD10" t="e">
        <f>'2.4.Функции'!HC65+"BYw!A&gt;"</f>
        <v>#VALUE!</v>
      </c>
      <c r="BE10" t="e">
        <f>'2.4.Функции'!HD65+"BYw!A?"</f>
        <v>#VALUE!</v>
      </c>
      <c r="BF10" t="e">
        <f>'2.4.Функции'!HE65+"BYw!A@"</f>
        <v>#VALUE!</v>
      </c>
      <c r="BG10" t="e">
        <f>'2.4.Функции'!HF65+"BYw!AA"</f>
        <v>#VALUE!</v>
      </c>
      <c r="BH10" t="e">
        <f>'2.4.Функции'!HG65+"BYw!AB"</f>
        <v>#VALUE!</v>
      </c>
      <c r="BI10" t="e">
        <f>'2.4.Функции'!HH65+"BYw!AC"</f>
        <v>#VALUE!</v>
      </c>
      <c r="BJ10" t="e">
        <f>'2.4.Функции'!HI65+"BYw!AD"</f>
        <v>#VALUE!</v>
      </c>
      <c r="BK10" t="e">
        <f>'2.4.Функции'!HJ65+"BYw!AE"</f>
        <v>#VALUE!</v>
      </c>
      <c r="BL10" t="e">
        <f>'2.4.Функции'!HK65+"BYw!AF"</f>
        <v>#VALUE!</v>
      </c>
      <c r="BM10" t="e">
        <f>'2.4.Функции'!HL65+"BYw!AG"</f>
        <v>#VALUE!</v>
      </c>
      <c r="BN10" t="e">
        <f>'2.4.Функции'!HM65+"BYw!AH"</f>
        <v>#VALUE!</v>
      </c>
      <c r="BO10" t="e">
        <f>'2.4.Функции'!HN65+"BYw!AI"</f>
        <v>#VALUE!</v>
      </c>
      <c r="BP10" t="e">
        <f>'2.4.Функции'!HO65+"BYw!AJ"</f>
        <v>#VALUE!</v>
      </c>
      <c r="BQ10" t="e">
        <f>'2.4.Функции'!HP65+"BYw!AK"</f>
        <v>#VALUE!</v>
      </c>
      <c r="BR10" t="e">
        <f>'2.4.Функции'!HQ65+"BYw!AL"</f>
        <v>#VALUE!</v>
      </c>
      <c r="BS10" t="e">
        <f>'2.4.Функции'!HR65+"BYw!AM"</f>
        <v>#VALUE!</v>
      </c>
      <c r="BT10" t="e">
        <f>'2.4.Функции'!HS65+"BYw!AN"</f>
        <v>#VALUE!</v>
      </c>
      <c r="BU10" t="e">
        <f>'2.4.Функции'!HT65+"BYw!AO"</f>
        <v>#VALUE!</v>
      </c>
      <c r="BV10" t="e">
        <f>'2.4.Функции'!HU65+"BYw!AP"</f>
        <v>#VALUE!</v>
      </c>
      <c r="BW10" t="e">
        <f>'2.4.Функции'!HV65+"BYw!AQ"</f>
        <v>#VALUE!</v>
      </c>
      <c r="BX10" t="e">
        <f>'2.4.Функции'!HW65+"BYw!AR"</f>
        <v>#VALUE!</v>
      </c>
      <c r="BY10" t="e">
        <f>'2.4.Функции'!HX65+"BYw!AS"</f>
        <v>#VALUE!</v>
      </c>
      <c r="BZ10" t="e">
        <f>'2.4.Функции'!HY65+"BYw!AT"</f>
        <v>#VALUE!</v>
      </c>
      <c r="CA10" t="e">
        <f>'2.4.Функции'!HZ65+"BYw!AU"</f>
        <v>#VALUE!</v>
      </c>
      <c r="CB10" t="e">
        <f>'2.4.Функции'!IA65+"BYw!AV"</f>
        <v>#VALUE!</v>
      </c>
      <c r="CC10" t="e">
        <f>'2.4.Функции'!IB65+"BYw!AW"</f>
        <v>#VALUE!</v>
      </c>
      <c r="CD10" t="e">
        <f>'2.4.Функции'!IC65+"BYw!AX"</f>
        <v>#VALUE!</v>
      </c>
      <c r="CE10" t="e">
        <f>'2.4.Функции'!ID65+"BYw!AY"</f>
        <v>#VALUE!</v>
      </c>
      <c r="CF10" t="e">
        <f>'2.4.Функции'!IE65+"BYw!AZ"</f>
        <v>#VALUE!</v>
      </c>
      <c r="CG10" t="e">
        <f>'2.4.Функции'!IF65+"BYw!A["</f>
        <v>#VALUE!</v>
      </c>
      <c r="CH10" t="e">
        <f>'2.4.Функции'!IG65+"BYw!A\"</f>
        <v>#VALUE!</v>
      </c>
      <c r="CI10" t="e">
        <f>'2.4.Функции'!IH65+"BYw!A]"</f>
        <v>#VALUE!</v>
      </c>
      <c r="CJ10" t="e">
        <f>'2.4.Функции'!II65+"BYw!A^"</f>
        <v>#VALUE!</v>
      </c>
      <c r="CK10" t="e">
        <f>'2.4.Функции'!IJ65+"BYw!A_"</f>
        <v>#VALUE!</v>
      </c>
      <c r="CL10" t="e">
        <f>'2.4.Функции'!IK65+"BYw!A`"</f>
        <v>#VALUE!</v>
      </c>
      <c r="CM10" t="e">
        <f>'2.4.Функции'!IL65+"BYw!Aa"</f>
        <v>#VALUE!</v>
      </c>
      <c r="CN10" t="e">
        <f>'2.4.Функции'!IM65+"BYw!Ab"</f>
        <v>#VALUE!</v>
      </c>
      <c r="CO10" t="e">
        <f>'2.4.Функции'!IN65+"BYw!Ac"</f>
        <v>#VALUE!</v>
      </c>
      <c r="CP10" t="e">
        <f>'2.4.Функции'!IO65+"BYw!Ad"</f>
        <v>#VALUE!</v>
      </c>
      <c r="CQ10" t="e">
        <f>'2.4.Функции'!IP65+"BYw!Ae"</f>
        <v>#VALUE!</v>
      </c>
      <c r="CR10" t="e">
        <f>'2.4.Функции'!IQ65+"BYw!Af"</f>
        <v>#VALUE!</v>
      </c>
      <c r="CS10" t="e">
        <f>'2.4.Функции'!IR65+"BYw!Ag"</f>
        <v>#VALUE!</v>
      </c>
      <c r="CT10" t="e">
        <f>'2.4.Функции'!IS65+"BYw!Ah"</f>
        <v>#VALUE!</v>
      </c>
      <c r="CU10" t="e">
        <f>'2.4.Функции'!IT65+"BYw!Ai"</f>
        <v>#VALUE!</v>
      </c>
      <c r="CV10" t="e">
        <f>'2.4.Функции'!IU65+"BYw!Aj"</f>
        <v>#VALUE!</v>
      </c>
      <c r="CW10" t="e">
        <f>'2.4.Функции'!IV65+"BYw!Ak"</f>
        <v>#VALUE!</v>
      </c>
      <c r="CX10" t="e">
        <f>'2.4.Функции'!IW65+"BYw!Al"</f>
        <v>#VALUE!</v>
      </c>
      <c r="CY10" t="e">
        <f>'2.4.Функции'!IX65+"BYw!Am"</f>
        <v>#VALUE!</v>
      </c>
      <c r="CZ10" t="e">
        <f>'2.4.Функции'!IY65+"BYw!An"</f>
        <v>#VALUE!</v>
      </c>
      <c r="DA10" t="e">
        <f>'2.4.Функции'!IZ65+"BYw!Ao"</f>
        <v>#VALUE!</v>
      </c>
      <c r="DB10" t="e">
        <f>'2.4.Функции'!JA65+"BYw!Ap"</f>
        <v>#VALUE!</v>
      </c>
      <c r="DC10" t="e">
        <f>'2.4.Функции'!JB65+"BYw!Aq"</f>
        <v>#VALUE!</v>
      </c>
      <c r="DD10" t="e">
        <f>'2.4.Функции'!JC65+"BYw!Ar"</f>
        <v>#VALUE!</v>
      </c>
      <c r="DE10" t="e">
        <f>'2.4.Функции'!JD65+"BYw!As"</f>
        <v>#VALUE!</v>
      </c>
      <c r="DF10" t="e">
        <f>'2.4.Функции'!JE65+"BYw!At"</f>
        <v>#VALUE!</v>
      </c>
      <c r="DG10" t="e">
        <f>'2.4.Функции'!JF65+"BYw!Au"</f>
        <v>#VALUE!</v>
      </c>
      <c r="DH10" t="e">
        <f>'2.4.Функции'!JG65+"BYw!Av"</f>
        <v>#VALUE!</v>
      </c>
      <c r="DI10" t="e">
        <f>'2.4.Функции'!JH65+"BYw!Aw"</f>
        <v>#VALUE!</v>
      </c>
      <c r="DJ10" t="e">
        <f>'2.4.Функции'!JI65+"BYw!Ax"</f>
        <v>#VALUE!</v>
      </c>
      <c r="DK10" t="e">
        <f>'2.4.Функции'!JJ65+"BYw!Ay"</f>
        <v>#VALUE!</v>
      </c>
      <c r="DL10" t="e">
        <f>'2.4.Функции'!JK65+"BYw!Az"</f>
        <v>#VALUE!</v>
      </c>
      <c r="DM10" t="e">
        <f>'2.4.Функции'!JL65+"BYw!A{"</f>
        <v>#VALUE!</v>
      </c>
      <c r="DN10" t="e">
        <f>'2.4.Функции'!JM65+"BYw!A|"</f>
        <v>#VALUE!</v>
      </c>
      <c r="DO10" t="e">
        <f>'2.4.Функции'!JN65+"BYw!A}"</f>
        <v>#VALUE!</v>
      </c>
      <c r="DP10" t="e">
        <f>'2.4.Функции'!JO65+"BYw!A~"</f>
        <v>#VALUE!</v>
      </c>
      <c r="DQ10" t="e">
        <f>'2.4.Функции'!JP65+"BYw!B#"</f>
        <v>#VALUE!</v>
      </c>
      <c r="DR10" t="e">
        <f>'2.4.Функции'!JQ65+"BYw!B$"</f>
        <v>#VALUE!</v>
      </c>
      <c r="DS10" t="e">
        <f>'2.4.Функции'!JR65+"BYw!B%"</f>
        <v>#VALUE!</v>
      </c>
      <c r="DT10" t="e">
        <f>'2.4.Функции'!JS65+"BYw!B&amp;"</f>
        <v>#VALUE!</v>
      </c>
      <c r="DU10" t="e">
        <f>'2.4.Функции'!JT65+"BYw!B'"</f>
        <v>#VALUE!</v>
      </c>
      <c r="DV10" t="e">
        <f>'2.4.Функции'!JU65+"BYw!B("</f>
        <v>#VALUE!</v>
      </c>
      <c r="DW10" t="e">
        <f>'2.4.Функции'!JV65+"BYw!B)"</f>
        <v>#VALUE!</v>
      </c>
      <c r="DX10" t="e">
        <f>'2.4.Функции'!JW65+"BYw!B."</f>
        <v>#VALUE!</v>
      </c>
      <c r="DY10" t="e">
        <f>'2.4.Функции'!JX65+"BYw!B/"</f>
        <v>#VALUE!</v>
      </c>
      <c r="DZ10" t="e">
        <f>'2.4.Функции'!JY65+"BYw!B0"</f>
        <v>#VALUE!</v>
      </c>
      <c r="EA10" t="e">
        <f>'2.4.Функции'!JZ65+"BYw!B1"</f>
        <v>#VALUE!</v>
      </c>
      <c r="EB10" t="e">
        <f>'2.4.Функции'!KA65+"BYw!B2"</f>
        <v>#VALUE!</v>
      </c>
      <c r="EC10" t="e">
        <f>'2.4.Функции'!KB65+"BYw!B3"</f>
        <v>#VALUE!</v>
      </c>
      <c r="ED10" t="e">
        <f>'2.4.Функции'!KC65+"BYw!B4"</f>
        <v>#VALUE!</v>
      </c>
      <c r="EE10" t="e">
        <f>'2.4.Функции'!KD65+"BYw!B5"</f>
        <v>#VALUE!</v>
      </c>
      <c r="EF10" t="e">
        <f>'2.4.Функции'!KE65+"BYw!B6"</f>
        <v>#VALUE!</v>
      </c>
      <c r="EG10" t="e">
        <f>'2.4.Функции'!KF65+"BYw!B7"</f>
        <v>#VALUE!</v>
      </c>
      <c r="EH10" t="e">
        <f>'2.4.Функции'!KG65+"BYw!B8"</f>
        <v>#VALUE!</v>
      </c>
      <c r="EI10" t="e">
        <f>'2.4.Функции'!KH65+"BYw!B9"</f>
        <v>#VALUE!</v>
      </c>
      <c r="EJ10" t="e">
        <f>'2.4.Функции'!KI65+"BYw!B:"</f>
        <v>#VALUE!</v>
      </c>
      <c r="EK10" t="e">
        <f>'2.4.Функции'!KJ65+"BYw!B;"</f>
        <v>#VALUE!</v>
      </c>
      <c r="EL10" t="e">
        <f>'2.4.Функции'!KK65+"BYw!B&lt;"</f>
        <v>#VALUE!</v>
      </c>
      <c r="EM10" t="e">
        <f>'2.4.Функции'!KL65+"BYw!B="</f>
        <v>#VALUE!</v>
      </c>
      <c r="EN10" t="e">
        <f>'2.4.Функции'!KM65+"BYw!B&gt;"</f>
        <v>#VALUE!</v>
      </c>
      <c r="EO10" t="e">
        <f>'2.4.Функции'!KN65+"BYw!B?"</f>
        <v>#VALUE!</v>
      </c>
      <c r="EP10" t="e">
        <f>'2.4.Функции'!KO65+"BYw!B@"</f>
        <v>#VALUE!</v>
      </c>
      <c r="EQ10" t="e">
        <f>'2.4.Функции'!KP65+"BYw!BA"</f>
        <v>#VALUE!</v>
      </c>
      <c r="ER10" t="e">
        <f>'2.4.Функции'!KQ65+"BYw!BB"</f>
        <v>#VALUE!</v>
      </c>
      <c r="ES10" t="e">
        <f>'2.4.Функции'!KR65+"BYw!BC"</f>
        <v>#VALUE!</v>
      </c>
      <c r="ET10" t="e">
        <f>'2.4.Функции'!KS65+"BYw!BD"</f>
        <v>#VALUE!</v>
      </c>
      <c r="EU10" t="e">
        <f>'2.4.Функции'!KT65+"BYw!BE"</f>
        <v>#VALUE!</v>
      </c>
      <c r="EV10" t="e">
        <f>'2.4.Функции'!KU65+"BYw!BF"</f>
        <v>#VALUE!</v>
      </c>
      <c r="EW10" t="e">
        <f>'2.4.Функции'!KV65+"BYw!BG"</f>
        <v>#VALUE!</v>
      </c>
      <c r="EX10" t="e">
        <f>'2.4.Функции'!KW65+"BYw!BH"</f>
        <v>#VALUE!</v>
      </c>
      <c r="EY10" t="e">
        <f>'2.4.Функции'!KX65+"BYw!BI"</f>
        <v>#VALUE!</v>
      </c>
      <c r="EZ10" t="e">
        <f>'2.4.Функции'!KY65+"BYw!BJ"</f>
        <v>#VALUE!</v>
      </c>
      <c r="FA10" t="e">
        <f>'2.4.Функции'!KZ65+"BYw!BK"</f>
        <v>#VALUE!</v>
      </c>
      <c r="FB10" t="e">
        <f>'2.4.Функции'!LA65+"BYw!BL"</f>
        <v>#VALUE!</v>
      </c>
      <c r="FC10" t="e">
        <f>'2.4.Функции'!LB65+"BYw!BM"</f>
        <v>#VALUE!</v>
      </c>
      <c r="FD10" t="e">
        <f>'2.4.Функции'!LC65+"BYw!BN"</f>
        <v>#VALUE!</v>
      </c>
      <c r="FE10" t="e">
        <f>'2.4.Функции'!LD65+"BYw!BO"</f>
        <v>#VALUE!</v>
      </c>
      <c r="FF10" t="e">
        <f>'2.4.Функции'!LE65+"BYw!BP"</f>
        <v>#VALUE!</v>
      </c>
      <c r="FG10" t="e">
        <f>'2.4.Функции'!LF65+"BYw!BQ"</f>
        <v>#VALUE!</v>
      </c>
      <c r="FH10" t="e">
        <f>'2.4.Функции'!LG65+"BYw!BR"</f>
        <v>#VALUE!</v>
      </c>
      <c r="FI10" t="e">
        <f>'2.4.Функции'!LH65+"BYw!BS"</f>
        <v>#VALUE!</v>
      </c>
      <c r="FJ10" t="e">
        <f>'2.4.Функции'!LI65+"BYw!BT"</f>
        <v>#VALUE!</v>
      </c>
      <c r="FK10" t="e">
        <f>'2.4.Функции'!LJ65+"BYw!BU"</f>
        <v>#VALUE!</v>
      </c>
      <c r="FL10" t="e">
        <f>'2.4.Функции'!LK65+"BYw!BV"</f>
        <v>#VALUE!</v>
      </c>
      <c r="FM10" t="e">
        <f>'2.4.Функции'!LL65+"BYw!BW"</f>
        <v>#VALUE!</v>
      </c>
      <c r="FN10" t="e">
        <f>'2.4.Функции'!LM65+"BYw!BX"</f>
        <v>#VALUE!</v>
      </c>
      <c r="FO10" t="e">
        <f>'2.4.Функции'!LN65+"BYw!BY"</f>
        <v>#VALUE!</v>
      </c>
      <c r="FP10" t="e">
        <f>'2.4.Функции'!LO65+"BYw!BZ"</f>
        <v>#VALUE!</v>
      </c>
      <c r="FQ10" t="e">
        <f>'2.4.Функции'!LP65+"BYw!B["</f>
        <v>#VALUE!</v>
      </c>
      <c r="FR10" t="e">
        <f>'2.4.Функции'!LQ65+"BYw!B\"</f>
        <v>#VALUE!</v>
      </c>
      <c r="FS10" t="e">
        <f>'2.4.Функции'!LR65+"BYw!B]"</f>
        <v>#VALUE!</v>
      </c>
      <c r="FT10" t="e">
        <f>'2.4.Функции'!LS65+"BYw!B^"</f>
        <v>#VALUE!</v>
      </c>
      <c r="FU10" t="e">
        <f>'2.4.Функции'!LT65+"BYw!B_"</f>
        <v>#VALUE!</v>
      </c>
      <c r="FV10" t="e">
        <f>'2.4.Функции'!LU65+"BYw!B`"</f>
        <v>#VALUE!</v>
      </c>
      <c r="FW10" t="e">
        <f>'2.4.Функции'!LV65+"BYw!Ba"</f>
        <v>#VALUE!</v>
      </c>
      <c r="FX10" t="e">
        <f>'2.4.Функции'!LW65+"BYw!Bb"</f>
        <v>#VALUE!</v>
      </c>
      <c r="FY10" t="e">
        <f>'2.4.Функции'!LX65+"BYw!Bc"</f>
        <v>#VALUE!</v>
      </c>
      <c r="FZ10" t="e">
        <f>'2.4.Функции'!LY65+"BYw!Bd"</f>
        <v>#VALUE!</v>
      </c>
      <c r="GA10" t="e">
        <f>'2.4.Функции'!LZ65+"BYw!Be"</f>
        <v>#VALUE!</v>
      </c>
      <c r="GB10" t="e">
        <f>'2.4.Функции'!MA65+"BYw!Bf"</f>
        <v>#VALUE!</v>
      </c>
      <c r="GC10" t="e">
        <f>'2.4.Функции'!MB65+"BYw!Bg"</f>
        <v>#VALUE!</v>
      </c>
      <c r="GD10" t="e">
        <f>'2.4.Функции'!MC65+"BYw!Bh"</f>
        <v>#VALUE!</v>
      </c>
      <c r="GE10" t="e">
        <f>'2.4.Функции'!MD65+"BYw!Bi"</f>
        <v>#VALUE!</v>
      </c>
      <c r="GF10" t="e">
        <f>'2.4.Функции'!ME65+"BYw!Bj"</f>
        <v>#VALUE!</v>
      </c>
      <c r="GG10" t="e">
        <f>'2.4.Функции'!MF65+"BYw!Bk"</f>
        <v>#VALUE!</v>
      </c>
      <c r="GH10" t="e">
        <f>'2.4.Функции'!MG65+"BYw!Bl"</f>
        <v>#VALUE!</v>
      </c>
      <c r="GI10" t="e">
        <f>'2.4.Функции'!MH65+"BYw!Bm"</f>
        <v>#VALUE!</v>
      </c>
      <c r="GJ10" t="e">
        <f>'2.4.Функции'!MI65+"BYw!Bn"</f>
        <v>#VALUE!</v>
      </c>
      <c r="GK10" t="e">
        <f>'2.4.Функции'!MJ65+"BYw!Bo"</f>
        <v>#VALUE!</v>
      </c>
      <c r="GL10" t="e">
        <f>'2.4.Функции'!MK65+"BYw!Bp"</f>
        <v>#VALUE!</v>
      </c>
      <c r="GM10" t="e">
        <f>'2.4.Функции'!ML65+"BYw!Bq"</f>
        <v>#VALUE!</v>
      </c>
      <c r="GN10" t="e">
        <f>'2.4.Функции'!MM65+"BYw!Br"</f>
        <v>#VALUE!</v>
      </c>
      <c r="GO10" t="e">
        <f>'2.4.Функции'!MN65+"BYw!Bs"</f>
        <v>#VALUE!</v>
      </c>
      <c r="GP10" t="e">
        <f>'2.4.Функции'!MO65+"BYw!Bt"</f>
        <v>#VALUE!</v>
      </c>
      <c r="GQ10" t="e">
        <f>'2.4.Функции'!MP65+"BYw!Bu"</f>
        <v>#VALUE!</v>
      </c>
      <c r="GR10" t="e">
        <f>'2.4.Функции'!MQ65+"BYw!Bv"</f>
        <v>#VALUE!</v>
      </c>
      <c r="GS10" t="e">
        <f>'2.4.Функции'!MR65+"BYw!Bw"</f>
        <v>#VALUE!</v>
      </c>
      <c r="GT10" t="e">
        <f>'2.4.Функции'!MS65+"BYw!Bx"</f>
        <v>#VALUE!</v>
      </c>
      <c r="GU10" t="e">
        <f>'2.4.Функции'!MT65+"BYw!By"</f>
        <v>#VALUE!</v>
      </c>
      <c r="GV10" t="e">
        <f>'2.4.Функции'!MU65+"BYw!Bz"</f>
        <v>#VALUE!</v>
      </c>
      <c r="GW10" t="e">
        <f>'2.4.Функции'!MV65+"BYw!B{"</f>
        <v>#VALUE!</v>
      </c>
      <c r="GX10" t="e">
        <f>'2.4.Функции'!MW65+"BYw!B|"</f>
        <v>#VALUE!</v>
      </c>
      <c r="GY10" t="e">
        <f>'2.4.Функции'!MX65+"BYw!B}"</f>
        <v>#VALUE!</v>
      </c>
      <c r="GZ10" t="e">
        <f>'2.4.Функции'!MY65+"BYw!B~"</f>
        <v>#VALUE!</v>
      </c>
      <c r="HA10" t="e">
        <f>'2.4.Функции'!MZ65+"BYw!C#"</f>
        <v>#VALUE!</v>
      </c>
      <c r="HB10" t="e">
        <f>'2.4.Функции'!NA65+"BYw!C$"</f>
        <v>#VALUE!</v>
      </c>
      <c r="HC10" t="e">
        <f>'2.4.Функции'!NB65+"BYw!C%"</f>
        <v>#VALUE!</v>
      </c>
      <c r="HD10" t="e">
        <f>'2.4.Функции'!NC65+"BYw!C&amp;"</f>
        <v>#VALUE!</v>
      </c>
      <c r="HE10" t="e">
        <f>'2.4.Функции'!ND65+"BYw!C'"</f>
        <v>#VALUE!</v>
      </c>
      <c r="HF10" t="e">
        <f>'2.4.Функции'!NE65+"BYw!C("</f>
        <v>#VALUE!</v>
      </c>
      <c r="HG10" t="e">
        <f>'2.4.Функции'!NF65+"BYw!C)"</f>
        <v>#VALUE!</v>
      </c>
      <c r="HH10" t="e">
        <f>'2.4.Функции'!NG65+"BYw!C."</f>
        <v>#VALUE!</v>
      </c>
      <c r="HI10" t="e">
        <f>'2.4.Функции'!NH65+"BYw!C/"</f>
        <v>#VALUE!</v>
      </c>
      <c r="HJ10" t="e">
        <f>'2.4.Функции'!NI65+"BYw!C0"</f>
        <v>#VALUE!</v>
      </c>
      <c r="HK10" t="e">
        <f>'2.4.Функции'!NJ65+"BYw!C1"</f>
        <v>#VALUE!</v>
      </c>
      <c r="HL10" t="e">
        <f>'2.4.Функции'!NK65+"BYw!C2"</f>
        <v>#VALUE!</v>
      </c>
      <c r="HM10" t="e">
        <f>'2.4.Функции'!NL65+"BYw!C3"</f>
        <v>#VALUE!</v>
      </c>
      <c r="HN10" t="e">
        <f>'2.4.Функции'!NM65+"BYw!C4"</f>
        <v>#VALUE!</v>
      </c>
      <c r="HO10" t="e">
        <f>'2.4.Функции'!NN65+"BYw!C5"</f>
        <v>#VALUE!</v>
      </c>
      <c r="HP10" t="e">
        <f>'2.4.Функции'!NO65+"BYw!C6"</f>
        <v>#VALUE!</v>
      </c>
      <c r="HQ10" t="e">
        <f>'2.4.Функции'!NP65+"BYw!C7"</f>
        <v>#VALUE!</v>
      </c>
      <c r="HR10" t="e">
        <f>'2.4.Функции'!NQ65+"BYw!C8"</f>
        <v>#VALUE!</v>
      </c>
      <c r="HS10" t="e">
        <f>'2.4.Функции'!NR65+"BYw!C9"</f>
        <v>#VALUE!</v>
      </c>
      <c r="HT10" t="e">
        <f>'2.4.Функции'!NS65+"BYw!C:"</f>
        <v>#VALUE!</v>
      </c>
      <c r="HU10" t="e">
        <f>'2.4.Функции'!NT65+"BYw!C;"</f>
        <v>#VALUE!</v>
      </c>
      <c r="HV10" t="e">
        <f>'2.4.Функции'!NU65+"BYw!C&lt;"</f>
        <v>#VALUE!</v>
      </c>
      <c r="HW10" t="e">
        <f>'2.4.Функции'!NV65+"BYw!C="</f>
        <v>#VALUE!</v>
      </c>
      <c r="HX10" t="e">
        <f>'2.4.Функции'!NW65+"BYw!C&gt;"</f>
        <v>#VALUE!</v>
      </c>
      <c r="HY10" t="e">
        <f>'2.4.Функции'!NX65+"BYw!C?"</f>
        <v>#VALUE!</v>
      </c>
      <c r="HZ10" t="e">
        <f>'2.4.Функции'!NY65+"BYw!C@"</f>
        <v>#VALUE!</v>
      </c>
      <c r="IA10" t="e">
        <f>'2.4.Функции'!NZ65+"BYw!CA"</f>
        <v>#VALUE!</v>
      </c>
      <c r="IB10" t="e">
        <f>'2.4.Функции'!OA65+"BYw!CB"</f>
        <v>#VALUE!</v>
      </c>
      <c r="IC10" t="e">
        <f>'2.4.Функции'!OB65+"BYw!CC"</f>
        <v>#VALUE!</v>
      </c>
      <c r="ID10" t="e">
        <f>'2.4.Функции'!OC65+"BYw!CD"</f>
        <v>#VALUE!</v>
      </c>
      <c r="IE10" t="e">
        <f>'2.4.Функции'!OD65+"BYw!CE"</f>
        <v>#VALUE!</v>
      </c>
      <c r="IF10" t="e">
        <f>'2.4.Функции'!OE65+"BYw!CF"</f>
        <v>#VALUE!</v>
      </c>
      <c r="IG10" t="e">
        <f>'2.4.Функции'!OF65+"BYw!CG"</f>
        <v>#VALUE!</v>
      </c>
      <c r="IH10" t="e">
        <f>'2.4.Функции'!OG65+"BYw!CH"</f>
        <v>#VALUE!</v>
      </c>
      <c r="II10" t="e">
        <f>'2.4.Функции'!OH65+"BYw!CI"</f>
        <v>#VALUE!</v>
      </c>
      <c r="IJ10" t="e">
        <f>'2.4.Функции'!OI65+"BYw!CJ"</f>
        <v>#VALUE!</v>
      </c>
      <c r="IK10" t="e">
        <f>'2.4.Функции'!OJ65+"BYw!CK"</f>
        <v>#VALUE!</v>
      </c>
      <c r="IL10" t="e">
        <f>'2.4.Функции'!OK65+"BYw!CL"</f>
        <v>#VALUE!</v>
      </c>
      <c r="IM10" t="e">
        <f>'2.4.Функции'!OL65+"BYw!CM"</f>
        <v>#VALUE!</v>
      </c>
      <c r="IN10" t="e">
        <f>'2.4.Функции'!OM65+"BYw!CN"</f>
        <v>#VALUE!</v>
      </c>
      <c r="IO10" t="e">
        <f>'2.4.Функции'!ON65+"BYw!CO"</f>
        <v>#VALUE!</v>
      </c>
      <c r="IP10" t="e">
        <f>'2.4.Функции'!OO65+"BYw!CP"</f>
        <v>#VALUE!</v>
      </c>
      <c r="IQ10" t="e">
        <f>'2.4.Функции'!OP65+"BYw!CQ"</f>
        <v>#VALUE!</v>
      </c>
      <c r="IR10" t="e">
        <f>'2.4.Функции'!OQ65+"BYw!CR"</f>
        <v>#VALUE!</v>
      </c>
      <c r="IS10" t="e">
        <f>'2.4.Функции'!OR65+"BYw!CS"</f>
        <v>#VALUE!</v>
      </c>
      <c r="IT10" t="e">
        <f>'2.4.Функции'!OS65+"BYw!CT"</f>
        <v>#VALUE!</v>
      </c>
      <c r="IU10" t="e">
        <f>'2.4.Функции'!OT65+"BYw!CU"</f>
        <v>#VALUE!</v>
      </c>
      <c r="IV10" t="e">
        <f>'2.4.Функции'!OU65+"BYw!CV"</f>
        <v>#VALUE!</v>
      </c>
    </row>
    <row r="11" spans="1:256" x14ac:dyDescent="0.2">
      <c r="F11" t="e">
        <f>'2.4.Функции'!OV65+"BYw!CW"</f>
        <v>#VALUE!</v>
      </c>
      <c r="G11" t="e">
        <f>'2.4.Функции'!OW65+"BYw!CX"</f>
        <v>#VALUE!</v>
      </c>
      <c r="H11" t="e">
        <f>'2.4.Функции'!OX65+"BYw!CY"</f>
        <v>#VALUE!</v>
      </c>
      <c r="I11" t="e">
        <f>'2.4.Функции'!OY65+"BYw!CZ"</f>
        <v>#VALUE!</v>
      </c>
      <c r="J11" t="e">
        <f>'2.4.Функции'!OZ65+"BYw!C["</f>
        <v>#VALUE!</v>
      </c>
      <c r="K11" t="e">
        <f>'2.4.Функции'!PA65+"BYw!C\"</f>
        <v>#VALUE!</v>
      </c>
      <c r="L11" t="e">
        <f>'2.4.Функции'!PB65+"BYw!C]"</f>
        <v>#VALUE!</v>
      </c>
      <c r="M11" t="e">
        <f>'2.4.Функции'!PC65+"BYw!C^"</f>
        <v>#VALUE!</v>
      </c>
      <c r="N11" t="e">
        <f>'2.4.Функции'!PD65+"BYw!C_"</f>
        <v>#VALUE!</v>
      </c>
      <c r="O11" t="e">
        <f>'2.4.Функции'!PE65+"BYw!C`"</f>
        <v>#VALUE!</v>
      </c>
      <c r="P11" t="e">
        <f>'2.4.Функции'!PF65+"BYw!Ca"</f>
        <v>#VALUE!</v>
      </c>
      <c r="Q11" t="e">
        <f>'2.4.Функции'!PG65+"BYw!Cb"</f>
        <v>#VALUE!</v>
      </c>
      <c r="R11" t="e">
        <f>'2.4.Функции'!PH65+"BYw!Cc"</f>
        <v>#VALUE!</v>
      </c>
      <c r="S11" t="e">
        <f>'2.4.Функции'!PI65+"BYw!Cd"</f>
        <v>#VALUE!</v>
      </c>
      <c r="T11" t="e">
        <f>'2.4.Функции'!PJ65+"BYw!Ce"</f>
        <v>#VALUE!</v>
      </c>
      <c r="U11" t="e">
        <f>'2.4.Функции'!PK65+"BYw!Cf"</f>
        <v>#VALUE!</v>
      </c>
      <c r="V11" t="e">
        <f>'2.4.Функции'!PL65+"BYw!Cg"</f>
        <v>#VALUE!</v>
      </c>
      <c r="W11" t="e">
        <f>'2.4.Функции'!PM65+"BYw!Ch"</f>
        <v>#VALUE!</v>
      </c>
      <c r="X11" t="e">
        <f>'2.4.Функции'!PN65+"BYw!Ci"</f>
        <v>#VALUE!</v>
      </c>
      <c r="Y11" t="e">
        <f>'2.4.Функции'!PO65+"BYw!Cj"</f>
        <v>#VALUE!</v>
      </c>
      <c r="Z11" t="e">
        <f>'2.4.Функции'!PP65+"BYw!Ck"</f>
        <v>#VALUE!</v>
      </c>
      <c r="AA11" t="e">
        <f>'2.4.Функции'!PQ65+"BYw!Cl"</f>
        <v>#VALUE!</v>
      </c>
      <c r="AB11" t="e">
        <f>'2.4.Функции'!PR65+"BYw!Cm"</f>
        <v>#VALUE!</v>
      </c>
      <c r="AC11" t="e">
        <f>'2.4.Функции'!PS65+"BYw!Cn"</f>
        <v>#VALUE!</v>
      </c>
      <c r="AD11" t="e">
        <f>'2.4.Функции'!PT65+"BYw!Co"</f>
        <v>#VALUE!</v>
      </c>
      <c r="AE11" t="e">
        <f>'2.4.Функции'!PU65+"BYw!Cp"</f>
        <v>#VALUE!</v>
      </c>
      <c r="AF11" t="e">
        <f>'2.4.Функции'!PV65+"BYw!Cq"</f>
        <v>#VALUE!</v>
      </c>
      <c r="AG11" t="e">
        <f>'2.4.Функции'!PW65+"BYw!Cr"</f>
        <v>#VALUE!</v>
      </c>
      <c r="AH11" t="e">
        <f>'2.4.Функции'!PX65+"BYw!Cs"</f>
        <v>#VALUE!</v>
      </c>
      <c r="AI11" t="e">
        <f>'2.4.Функции'!PY65+"BYw!Ct"</f>
        <v>#VALUE!</v>
      </c>
      <c r="AJ11" t="e">
        <f>'2.4.Функции'!PZ65+"BYw!Cu"</f>
        <v>#VALUE!</v>
      </c>
      <c r="AK11" t="e">
        <f>'2.4.Функции'!QA65+"BYw!Cv"</f>
        <v>#VALUE!</v>
      </c>
      <c r="AL11" t="e">
        <f>'2.4.Функции'!QB65+"BYw!Cw"</f>
        <v>#VALUE!</v>
      </c>
      <c r="AM11" t="e">
        <f>'2.4.Функции'!QC65+"BYw!Cx"</f>
        <v>#VALUE!</v>
      </c>
      <c r="AN11" t="e">
        <f>'2.4.Функции'!QD65+"BYw!Cy"</f>
        <v>#VALUE!</v>
      </c>
      <c r="AO11" t="e">
        <f>'2.4.Функции'!QE65+"BYw!Cz"</f>
        <v>#VALUE!</v>
      </c>
      <c r="AP11" t="e">
        <f>'2.4.Функции'!QF65+"BYw!C{"</f>
        <v>#VALUE!</v>
      </c>
      <c r="AQ11" t="e">
        <f>'2.4.Функции'!QG65+"BYw!C|"</f>
        <v>#VALUE!</v>
      </c>
      <c r="AR11" t="e">
        <f>'2.4.Функции'!QH65+"BYw!C}"</f>
        <v>#VALUE!</v>
      </c>
      <c r="AS11" t="e">
        <f>'2.4.Функции'!QI65+"BYw!C~"</f>
        <v>#VALUE!</v>
      </c>
      <c r="AT11" t="e">
        <f>'2.4.Функции'!QJ65+"BYw!D#"</f>
        <v>#VALUE!</v>
      </c>
      <c r="AU11" t="e">
        <f>'2.4.Функции'!QK65+"BYw!D$"</f>
        <v>#VALUE!</v>
      </c>
      <c r="AV11" t="e">
        <f>'2.4.Функции'!QL65+"BYw!D%"</f>
        <v>#VALUE!</v>
      </c>
      <c r="AW11" t="e">
        <f>'2.4.Функции'!QM65+"BYw!D&amp;"</f>
        <v>#VALUE!</v>
      </c>
      <c r="AX11" t="e">
        <f>'2.4.Функции'!QN65+"BYw!D'"</f>
        <v>#VALUE!</v>
      </c>
      <c r="AY11" t="e">
        <f>'2.4.Функции'!QO65+"BYw!D("</f>
        <v>#VALUE!</v>
      </c>
      <c r="AZ11" t="e">
        <f>'2.4.Функции'!QP65+"BYw!D)"</f>
        <v>#VALUE!</v>
      </c>
      <c r="BA11" t="e">
        <f>'2.4.Функции'!QQ65+"BYw!D."</f>
        <v>#VALUE!</v>
      </c>
      <c r="BB11" t="e">
        <f>'2.4.Функции'!QR65+"BYw!D/"</f>
        <v>#VALUE!</v>
      </c>
      <c r="BC11" t="e">
        <f>'2.4.Функции'!QS65+"BYw!D0"</f>
        <v>#VALUE!</v>
      </c>
      <c r="BD11" t="e">
        <f>'2.4.Функции'!QT65+"BYw!D1"</f>
        <v>#VALUE!</v>
      </c>
      <c r="BE11" t="e">
        <f>'2.4.Функции'!QU65+"BYw!D2"</f>
        <v>#VALUE!</v>
      </c>
      <c r="BF11" t="e">
        <f>'2.4.Функции'!QV65+"BYw!D3"</f>
        <v>#VALUE!</v>
      </c>
      <c r="BG11" t="e">
        <f>'2.4.Функции'!QW65+"BYw!D4"</f>
        <v>#VALUE!</v>
      </c>
      <c r="BH11" t="e">
        <f>'2.4.Функции'!QX65+"BYw!D5"</f>
        <v>#VALUE!</v>
      </c>
      <c r="BI11" t="e">
        <f>'2.4.Функции'!QY65+"BYw!D6"</f>
        <v>#VALUE!</v>
      </c>
      <c r="BJ11" t="e">
        <f>'2.4.Функции'!QZ65+"BYw!D7"</f>
        <v>#VALUE!</v>
      </c>
      <c r="BK11" t="e">
        <f>'2.4.Функции'!RA65+"BYw!D8"</f>
        <v>#VALUE!</v>
      </c>
      <c r="BL11" t="e">
        <f>'2.4.Функции'!RB65+"BYw!D9"</f>
        <v>#VALUE!</v>
      </c>
      <c r="BM11" t="e">
        <f>'2.4.Функции'!RC65+"BYw!D:"</f>
        <v>#VALUE!</v>
      </c>
      <c r="BN11" t="e">
        <f>'2.4.Функции'!RD65+"BYw!D;"</f>
        <v>#VALUE!</v>
      </c>
      <c r="BO11" t="e">
        <f>'2.4.Функции'!RE65+"BYw!D&lt;"</f>
        <v>#VALUE!</v>
      </c>
      <c r="BP11" t="e">
        <f>'2.4.Функции'!RF65+"BYw!D="</f>
        <v>#VALUE!</v>
      </c>
      <c r="BQ11" t="e">
        <f>'2.4.Функции'!RG65+"BYw!D&gt;"</f>
        <v>#VALUE!</v>
      </c>
      <c r="BR11" t="e">
        <f>'2.4.Функции'!RH65+"BYw!D?"</f>
        <v>#VALUE!</v>
      </c>
      <c r="BS11" t="e">
        <f>'2.4.Функции'!RI65+"BYw!D@"</f>
        <v>#VALUE!</v>
      </c>
      <c r="BT11" t="e">
        <f>'2.4.Функции'!RJ65+"BYw!DA"</f>
        <v>#VALUE!</v>
      </c>
      <c r="BU11" t="e">
        <f>'2.4.Функции'!RK65+"BYw!DB"</f>
        <v>#VALUE!</v>
      </c>
      <c r="BV11" t="e">
        <f>'2.4.Функции'!RL65+"BYw!DC"</f>
        <v>#VALUE!</v>
      </c>
      <c r="BW11" t="e">
        <f>'2.4.Функции'!RM65+"BYw!DD"</f>
        <v>#VALUE!</v>
      </c>
      <c r="BX11" t="e">
        <f>'2.4.Функции'!RN65+"BYw!DE"</f>
        <v>#VALUE!</v>
      </c>
      <c r="BY11" t="e">
        <f>'2.4.Функции'!RO65+"BYw!DF"</f>
        <v>#VALUE!</v>
      </c>
      <c r="BZ11" t="e">
        <f>'2.4.Функции'!RP65+"BYw!DG"</f>
        <v>#VALUE!</v>
      </c>
      <c r="CA11" t="e">
        <f>'2.4.Функции'!RQ65+"BYw!DH"</f>
        <v>#VALUE!</v>
      </c>
      <c r="CB11" t="e">
        <f>'2.4.Функции'!RR65+"BYw!DI"</f>
        <v>#VALUE!</v>
      </c>
      <c r="CC11" t="e">
        <f>'2.4.Функции'!RS65+"BYw!DJ"</f>
        <v>#VALUE!</v>
      </c>
      <c r="CD11" t="e">
        <f>'2.4.Функции'!RT65+"BYw!DK"</f>
        <v>#VALUE!</v>
      </c>
      <c r="CE11" t="e">
        <f>'2.4.Функции'!RU65+"BYw!DL"</f>
        <v>#VALUE!</v>
      </c>
      <c r="CF11" t="e">
        <f>'2.4.Функции'!RV65+"BYw!DM"</f>
        <v>#VALUE!</v>
      </c>
      <c r="CG11" t="e">
        <f>'2.4.Функции'!RW65+"BYw!DN"</f>
        <v>#VALUE!</v>
      </c>
      <c r="CH11" t="e">
        <f>'2.4.Функции'!RX65+"BYw!DO"</f>
        <v>#VALUE!</v>
      </c>
      <c r="CI11" t="e">
        <f>'2.4.Функции'!RY65+"BYw!DP"</f>
        <v>#VALUE!</v>
      </c>
      <c r="CJ11" t="e">
        <f>'2.4.Функции'!RZ65+"BYw!DQ"</f>
        <v>#VALUE!</v>
      </c>
      <c r="CK11" t="e">
        <f>'2.4.Функции'!SA65+"BYw!DR"</f>
        <v>#VALUE!</v>
      </c>
      <c r="CL11" t="e">
        <f>'2.4.Функции'!SB65+"BYw!DS"</f>
        <v>#VALUE!</v>
      </c>
      <c r="CM11" t="e">
        <f>'2.4.Функции'!SC65+"BYw!DT"</f>
        <v>#VALUE!</v>
      </c>
      <c r="CN11" t="e">
        <f>'2.4.Функции'!SD65+"BYw!DU"</f>
        <v>#VALUE!</v>
      </c>
      <c r="CO11" t="e">
        <f>'2.4.Функции'!SE65+"BYw!DV"</f>
        <v>#VALUE!</v>
      </c>
      <c r="CP11" t="e">
        <f>'2.4.Функции'!SF65+"BYw!DW"</f>
        <v>#VALUE!</v>
      </c>
      <c r="CQ11" t="e">
        <f>'2.4.Функции'!SG65+"BYw!DX"</f>
        <v>#VALUE!</v>
      </c>
      <c r="CR11" t="e">
        <f>'2.4.Функции'!SH65+"BYw!DY"</f>
        <v>#VALUE!</v>
      </c>
      <c r="CS11" t="e">
        <f>'2.4.Функции'!SI65+"BYw!DZ"</f>
        <v>#VALUE!</v>
      </c>
      <c r="CT11" t="e">
        <f>'2.4.Функции'!SJ65+"BYw!D["</f>
        <v>#VALUE!</v>
      </c>
      <c r="CU11" t="e">
        <f>'2.4.Функции'!SK65+"BYw!D\"</f>
        <v>#VALUE!</v>
      </c>
      <c r="CV11" t="e">
        <f>'2.4.Функции'!SL65+"BYw!D]"</f>
        <v>#VALUE!</v>
      </c>
      <c r="CW11" t="e">
        <f>'2.4.Функции'!SM65+"BYw!D^"</f>
        <v>#VALUE!</v>
      </c>
      <c r="CX11" t="e">
        <f>'2.4.Функции'!SN65+"BYw!D_"</f>
        <v>#VALUE!</v>
      </c>
      <c r="CY11" t="e">
        <f>'2.4.Функции'!SO65+"BYw!D`"</f>
        <v>#VALUE!</v>
      </c>
      <c r="CZ11" t="e">
        <f>'2.4.Функции'!SP65+"BYw!Da"</f>
        <v>#VALUE!</v>
      </c>
      <c r="DA11" t="e">
        <f>'2.4.Функции'!SQ65+"BYw!Db"</f>
        <v>#VALUE!</v>
      </c>
      <c r="DB11" t="e">
        <f>'2.4.Функции'!SR65+"BYw!Dc"</f>
        <v>#VALUE!</v>
      </c>
      <c r="DC11" t="e">
        <f>'2.4.Функции'!SS65+"BYw!Dd"</f>
        <v>#VALUE!</v>
      </c>
      <c r="DD11" t="e">
        <f>'2.4.Функции'!ST65+"BYw!De"</f>
        <v>#VALUE!</v>
      </c>
      <c r="DE11" t="e">
        <f>'2.4.Функции'!SU65+"BYw!Df"</f>
        <v>#VALUE!</v>
      </c>
      <c r="DF11" t="e">
        <f>'2.4.Функции'!SV65+"BYw!Dg"</f>
        <v>#VALUE!</v>
      </c>
      <c r="DG11" t="e">
        <f>'2.4.Функции'!SW65+"BYw!Dh"</f>
        <v>#VALUE!</v>
      </c>
      <c r="DH11" t="e">
        <f>'2.4.Функции'!SX65+"BYw!Di"</f>
        <v>#VALUE!</v>
      </c>
      <c r="DI11" t="e">
        <f>'2.4.Функции'!SY65+"BYw!Dj"</f>
        <v>#VALUE!</v>
      </c>
      <c r="DJ11" t="e">
        <f>'2.4.Функции'!SZ65+"BYw!Dk"</f>
        <v>#VALUE!</v>
      </c>
      <c r="DK11" t="e">
        <f>'2.4.Функции'!TA65+"BYw!Dl"</f>
        <v>#VALUE!</v>
      </c>
      <c r="DL11" t="e">
        <f>'2.4.Функции'!TB65+"BYw!Dm"</f>
        <v>#VALUE!</v>
      </c>
      <c r="DM11" t="e">
        <f>'2.4.Функции'!TC65+"BYw!Dn"</f>
        <v>#VALUE!</v>
      </c>
      <c r="DN11" t="e">
        <f>'2.4.Функции'!TD65+"BYw!Do"</f>
        <v>#VALUE!</v>
      </c>
      <c r="DO11" t="e">
        <f>'2.4.Функции'!TE65+"BYw!Dp"</f>
        <v>#VALUE!</v>
      </c>
      <c r="DP11" t="e">
        <f>'2.4.Функции'!TF65+"BYw!Dq"</f>
        <v>#VALUE!</v>
      </c>
      <c r="DQ11" t="e">
        <f>'2.4.Функции'!TG65+"BYw!Dr"</f>
        <v>#VALUE!</v>
      </c>
      <c r="DR11" t="e">
        <f>'2.4.Функции'!TH65+"BYw!Ds"</f>
        <v>#VALUE!</v>
      </c>
      <c r="DS11" t="e">
        <f>'2.4.Функции'!TI65+"BYw!Dt"</f>
        <v>#VALUE!</v>
      </c>
      <c r="DT11" t="e">
        <f>'2.4.Функции'!TJ65+"BYw!Du"</f>
        <v>#VALUE!</v>
      </c>
      <c r="DU11" t="e">
        <f>'2.4.Функции'!TK65+"BYw!Dv"</f>
        <v>#VALUE!</v>
      </c>
      <c r="DV11" t="e">
        <f>'2.4.Функции'!TL65+"BYw!Dw"</f>
        <v>#VALUE!</v>
      </c>
      <c r="DW11" t="e">
        <f>'2.4.Функции'!TM65+"BYw!Dx"</f>
        <v>#VALUE!</v>
      </c>
      <c r="DX11" t="e">
        <f>'2.4.Функции'!TN65+"BYw!Dy"</f>
        <v>#VALUE!</v>
      </c>
      <c r="DY11" t="e">
        <f>'2.4.Функции'!TO65+"BYw!Dz"</f>
        <v>#VALUE!</v>
      </c>
      <c r="DZ11" t="e">
        <f>'2.4.Функции'!TP65+"BYw!D{"</f>
        <v>#VALUE!</v>
      </c>
      <c r="EA11" t="e">
        <f>'2.4.Функции'!TQ65+"BYw!D|"</f>
        <v>#VALUE!</v>
      </c>
      <c r="EB11" t="e">
        <f>'2.4.Функции'!TR65+"BYw!D}"</f>
        <v>#VALUE!</v>
      </c>
      <c r="EC11" t="e">
        <f>'2.4.Функции'!TS65+"BYw!D~"</f>
        <v>#VALUE!</v>
      </c>
      <c r="ED11" t="e">
        <f>'2.4.Функции'!TT65+"BYw!E#"</f>
        <v>#VALUE!</v>
      </c>
      <c r="EE11" t="e">
        <f>'2.4.Функции'!TU65+"BYw!E$"</f>
        <v>#VALUE!</v>
      </c>
      <c r="EF11" t="e">
        <f>'2.4.Функции'!TV65+"BYw!E%"</f>
        <v>#VALUE!</v>
      </c>
      <c r="EG11" t="e">
        <f>'2.4.Функции'!TW65+"BYw!E&amp;"</f>
        <v>#VALUE!</v>
      </c>
      <c r="EH11" t="e">
        <f>'2.4.Функции'!TX65+"BYw!E'"</f>
        <v>#VALUE!</v>
      </c>
      <c r="EI11" t="e">
        <f>'2.4.Функции'!TY65+"BYw!E("</f>
        <v>#VALUE!</v>
      </c>
      <c r="EJ11" t="e">
        <f>'2.4.Функции'!TZ65+"BYw!E)"</f>
        <v>#VALUE!</v>
      </c>
      <c r="EK11" t="e">
        <f>'2.4.Функции'!UA65+"BYw!E."</f>
        <v>#VALUE!</v>
      </c>
      <c r="EL11" t="e">
        <f>'2.4.Функции'!UB65+"BYw!E/"</f>
        <v>#VALUE!</v>
      </c>
      <c r="EM11" t="e">
        <f>'2.4.Функции'!UC65+"BYw!E0"</f>
        <v>#VALUE!</v>
      </c>
      <c r="EN11" t="e">
        <f>'2.4.Функции'!UD65+"BYw!E1"</f>
        <v>#VALUE!</v>
      </c>
      <c r="EO11" t="e">
        <f>'2.4.Функции'!UE65+"BYw!E2"</f>
        <v>#VALUE!</v>
      </c>
      <c r="EP11" t="e">
        <f>'2.4.Функции'!UF65+"BYw!E3"</f>
        <v>#VALUE!</v>
      </c>
      <c r="EQ11" t="e">
        <f>'2.4.Функции'!UG65+"BYw!E4"</f>
        <v>#VALUE!</v>
      </c>
      <c r="ER11" t="e">
        <f>'2.4.Функции'!UH65+"BYw!E5"</f>
        <v>#VALUE!</v>
      </c>
      <c r="ES11" t="e">
        <f>'2.4.Функции'!UI65+"BYw!E6"</f>
        <v>#VALUE!</v>
      </c>
      <c r="ET11" t="e">
        <f>'2.4.Функции'!UJ65+"BYw!E7"</f>
        <v>#VALUE!</v>
      </c>
      <c r="EU11" t="e">
        <f>'2.4.Функции'!UK65+"BYw!E8"</f>
        <v>#VALUE!</v>
      </c>
      <c r="EV11" t="e">
        <f>'2.4.Функции'!UL65+"BYw!E9"</f>
        <v>#VALUE!</v>
      </c>
      <c r="EW11" t="e">
        <f>'2.4.Функции'!UM65+"BYw!E:"</f>
        <v>#VALUE!</v>
      </c>
      <c r="EX11" t="e">
        <f>'2.4.Функции'!UN65+"BYw!E;"</f>
        <v>#VALUE!</v>
      </c>
      <c r="EY11" t="e">
        <f>'2.4.Функции'!UO65+"BYw!E&lt;"</f>
        <v>#VALUE!</v>
      </c>
      <c r="EZ11" t="e">
        <f>'2.4.Функции'!UP65+"BYw!E="</f>
        <v>#VALUE!</v>
      </c>
      <c r="FA11" t="e">
        <f>'2.4.Функции'!UQ65+"BYw!E&gt;"</f>
        <v>#VALUE!</v>
      </c>
      <c r="FB11" t="e">
        <f>'2.4.Функции'!UR65+"BYw!E?"</f>
        <v>#VALUE!</v>
      </c>
      <c r="FC11" t="e">
        <f>'2.4.Функции'!US65+"BYw!E@"</f>
        <v>#VALUE!</v>
      </c>
      <c r="FD11" t="e">
        <f>'2.4.Функции'!UT65+"BYw!EA"</f>
        <v>#VALUE!</v>
      </c>
      <c r="FE11" t="e">
        <f>'2.4.Функции'!UU65+"BYw!EB"</f>
        <v>#VALUE!</v>
      </c>
      <c r="FF11" t="e">
        <f>'2.4.Функции'!UV65+"BYw!EC"</f>
        <v>#VALUE!</v>
      </c>
      <c r="FG11" t="e">
        <f>'2.4.Функции'!UW65+"BYw!ED"</f>
        <v>#VALUE!</v>
      </c>
      <c r="FH11" t="e">
        <f>'2.4.Функции'!UX65+"BYw!EE"</f>
        <v>#VALUE!</v>
      </c>
      <c r="FI11" t="e">
        <f>'2.4.Функции'!UY65+"BYw!EF"</f>
        <v>#VALUE!</v>
      </c>
      <c r="FJ11" t="e">
        <f>'2.4.Функции'!UZ65+"BYw!EG"</f>
        <v>#VALUE!</v>
      </c>
      <c r="FK11" t="e">
        <f>'2.4.Функции'!VA65+"BYw!EH"</f>
        <v>#VALUE!</v>
      </c>
      <c r="FL11" t="e">
        <f>'2.4.Функции'!VB65+"BYw!EI"</f>
        <v>#VALUE!</v>
      </c>
      <c r="FM11" t="e">
        <f>'2.4.Функции'!VC65+"BYw!EJ"</f>
        <v>#VALUE!</v>
      </c>
      <c r="FN11" t="e">
        <f>'2.4.Функции'!VD65+"BYw!EK"</f>
        <v>#VALUE!</v>
      </c>
      <c r="FO11" t="e">
        <f>'2.4.Функции'!VE65+"BYw!EL"</f>
        <v>#VALUE!</v>
      </c>
      <c r="FP11" t="e">
        <f>'2.4.Функции'!VF65+"BYw!EM"</f>
        <v>#VALUE!</v>
      </c>
      <c r="FQ11" t="e">
        <f>'2.4.Функции'!VG65+"BYw!EN"</f>
        <v>#VALUE!</v>
      </c>
      <c r="FR11" t="e">
        <f>'2.4.Функции'!VH65+"BYw!EO"</f>
        <v>#VALUE!</v>
      </c>
      <c r="FS11" t="e">
        <f>'2.4.Функции'!VI65+"BYw!EP"</f>
        <v>#VALUE!</v>
      </c>
      <c r="FT11" t="e">
        <f>'2.4.Функции'!VJ65+"BYw!EQ"</f>
        <v>#VALUE!</v>
      </c>
      <c r="FU11" t="e">
        <f>'2.4.Функции'!VK65+"BYw!ER"</f>
        <v>#VALUE!</v>
      </c>
      <c r="FV11" t="e">
        <f>'2.4.Функции'!VL65+"BYw!ES"</f>
        <v>#VALUE!</v>
      </c>
      <c r="FW11" t="e">
        <f>'2.4.Функции'!VM65+"BYw!ET"</f>
        <v>#VALUE!</v>
      </c>
      <c r="FX11" t="e">
        <f>'2.4.Функции'!VN65+"BYw!EU"</f>
        <v>#VALUE!</v>
      </c>
      <c r="FY11" t="e">
        <f>'2.4.Функции'!VO65+"BYw!EV"</f>
        <v>#VALUE!</v>
      </c>
      <c r="FZ11" t="e">
        <f>'2.4.Функции'!VP65+"BYw!EW"</f>
        <v>#VALUE!</v>
      </c>
      <c r="GA11" t="e">
        <f>'2.4.Функции'!VQ65+"BYw!EX"</f>
        <v>#VALUE!</v>
      </c>
      <c r="GB11" t="e">
        <f>'2.4.Функции'!VR65+"BYw!EY"</f>
        <v>#VALUE!</v>
      </c>
      <c r="GC11" t="e">
        <f>'2.4.Функции'!VS65+"BYw!EZ"</f>
        <v>#VALUE!</v>
      </c>
      <c r="GD11" t="e">
        <f>'2.4.Функции'!VT65+"BYw!E["</f>
        <v>#VALUE!</v>
      </c>
      <c r="GE11" t="e">
        <f>'2.4.Функции'!VU65+"BYw!E\"</f>
        <v>#VALUE!</v>
      </c>
      <c r="GF11" t="e">
        <f>'2.4.Функции'!VV65+"BYw!E]"</f>
        <v>#VALUE!</v>
      </c>
      <c r="GG11" t="e">
        <f>'2.4.Функции'!VW65+"BYw!E^"</f>
        <v>#VALUE!</v>
      </c>
      <c r="GH11" t="e">
        <f>'2.4.Функции'!VX65+"BYw!E_"</f>
        <v>#VALUE!</v>
      </c>
      <c r="GI11" t="e">
        <f>'2.4.Функции'!VY65+"BYw!E`"</f>
        <v>#VALUE!</v>
      </c>
      <c r="GJ11" t="e">
        <f>'2.4.Функции'!VZ65+"BYw!Ea"</f>
        <v>#VALUE!</v>
      </c>
      <c r="GK11" t="e">
        <f>'2.4.Функции'!WA65+"BYw!Eb"</f>
        <v>#VALUE!</v>
      </c>
      <c r="GL11" t="e">
        <f>'2.4.Функции'!WB65+"BYw!Ec"</f>
        <v>#VALUE!</v>
      </c>
      <c r="GM11" t="e">
        <f>'2.4.Функции'!WC65+"BYw!Ed"</f>
        <v>#VALUE!</v>
      </c>
      <c r="GN11" t="e">
        <f>'2.4.Функции'!WD65+"BYw!Ee"</f>
        <v>#VALUE!</v>
      </c>
      <c r="GO11" t="e">
        <f>'2.4.Функции'!WE65+"BYw!Ef"</f>
        <v>#VALUE!</v>
      </c>
      <c r="GP11" t="e">
        <f>'2.4.Функции'!WF65+"BYw!Eg"</f>
        <v>#VALUE!</v>
      </c>
      <c r="GQ11" t="e">
        <f>'2.4.Функции'!WG65+"BYw!Eh"</f>
        <v>#VALUE!</v>
      </c>
      <c r="GR11" t="e">
        <f>'2.4.Функции'!WH65+"BYw!Ei"</f>
        <v>#VALUE!</v>
      </c>
      <c r="GS11" t="e">
        <f>'2.4.Функции'!WI65+"BYw!Ej"</f>
        <v>#VALUE!</v>
      </c>
      <c r="GT11" t="e">
        <f>'2.4.Функции'!WJ65+"BYw!Ek"</f>
        <v>#VALUE!</v>
      </c>
      <c r="GU11" t="e">
        <f>'2.4.Функции'!WK65+"BYw!El"</f>
        <v>#VALUE!</v>
      </c>
      <c r="GV11" t="e">
        <f>'2.4.Функции'!WL65+"BYw!Em"</f>
        <v>#VALUE!</v>
      </c>
      <c r="GW11" t="e">
        <f>'2.4.Функции'!WM65+"BYw!En"</f>
        <v>#VALUE!</v>
      </c>
      <c r="GX11" t="e">
        <f>'2.4.Функции'!WN65+"BYw!Eo"</f>
        <v>#VALUE!</v>
      </c>
      <c r="GY11" t="e">
        <f>'2.4.Функции'!WO65+"BYw!Ep"</f>
        <v>#VALUE!</v>
      </c>
      <c r="GZ11" t="e">
        <f>'2.4.Функции'!WP65+"BYw!Eq"</f>
        <v>#VALUE!</v>
      </c>
      <c r="HA11" t="e">
        <f>'2.4.Функции'!WQ65+"BYw!Er"</f>
        <v>#VALUE!</v>
      </c>
      <c r="HB11" t="e">
        <f>'2.4.Функции'!WR65+"BYw!Es"</f>
        <v>#VALUE!</v>
      </c>
      <c r="HC11" t="e">
        <f>'2.4.Функции'!WS65+"BYw!Et"</f>
        <v>#VALUE!</v>
      </c>
      <c r="HD11" t="e">
        <f>'2.4.Функции'!WT65+"BYw!Eu"</f>
        <v>#VALUE!</v>
      </c>
      <c r="HE11" t="e">
        <f>'2.4.Функции'!WU65+"BYw!Ev"</f>
        <v>#VALUE!</v>
      </c>
      <c r="HF11" t="e">
        <f>'2.4.Функции'!WV65+"BYw!Ew"</f>
        <v>#VALUE!</v>
      </c>
      <c r="HG11" t="e">
        <f>'2.4.Функции'!WW65+"BYw!Ex"</f>
        <v>#VALUE!</v>
      </c>
      <c r="HH11" t="e">
        <f>'2.4.Функции'!WX65+"BYw!Ey"</f>
        <v>#VALUE!</v>
      </c>
      <c r="HI11" t="e">
        <f>'2.4.Функции'!WY65+"BYw!Ez"</f>
        <v>#VALUE!</v>
      </c>
      <c r="HJ11" t="e">
        <f>'2.4.Функции'!WZ65+"BYw!E{"</f>
        <v>#VALUE!</v>
      </c>
      <c r="HK11" t="e">
        <f>'2.4.Функции'!XA65+"BYw!E|"</f>
        <v>#VALUE!</v>
      </c>
      <c r="HL11" t="e">
        <f>'2.4.Функции'!XB65+"BYw!E}"</f>
        <v>#VALUE!</v>
      </c>
      <c r="HM11" t="e">
        <f>'2.4.Функции'!XC65+"BYw!E~"</f>
        <v>#VALUE!</v>
      </c>
      <c r="HN11" t="e">
        <f>'2.4.Функции'!XD65+"BYw!F#"</f>
        <v>#VALUE!</v>
      </c>
      <c r="HO11" t="e">
        <f>'2.4.Функции'!XE65+"BYw!F$"</f>
        <v>#VALUE!</v>
      </c>
      <c r="HP11" t="e">
        <f>'2.4.Функции'!XF65+"BYw!F%"</f>
        <v>#VALUE!</v>
      </c>
      <c r="HQ11" t="e">
        <f>'2.4.Функции'!XG65+"BYw!F&amp;"</f>
        <v>#VALUE!</v>
      </c>
      <c r="HR11" t="e">
        <f>'2.4.Функции'!XH65+"BYw!F'"</f>
        <v>#VALUE!</v>
      </c>
      <c r="HS11" t="e">
        <f>'2.4.Функции'!XI65+"BYw!F("</f>
        <v>#VALUE!</v>
      </c>
      <c r="HT11" t="e">
        <f>'2.4.Функции'!XJ65+"BYw!F)"</f>
        <v>#VALUE!</v>
      </c>
      <c r="HU11" t="e">
        <f>'2.4.Функции'!XK65+"BYw!F."</f>
        <v>#VALUE!</v>
      </c>
      <c r="HV11" t="e">
        <f>'2.4.Функции'!XL65+"BYw!F/"</f>
        <v>#VALUE!</v>
      </c>
      <c r="HW11" t="e">
        <f>'2.4.Функции'!XM65+"BYw!F0"</f>
        <v>#VALUE!</v>
      </c>
      <c r="HX11" t="e">
        <f>'2.4.Функции'!XN65+"BYw!F1"</f>
        <v>#VALUE!</v>
      </c>
      <c r="HY11" t="e">
        <f>'2.4.Функции'!XO65+"BYw!F2"</f>
        <v>#VALUE!</v>
      </c>
      <c r="HZ11" t="e">
        <f>'2.4.Функции'!XP65+"BYw!F3"</f>
        <v>#VALUE!</v>
      </c>
      <c r="IA11" t="e">
        <f>'2.4.Функции'!XQ65+"BYw!F4"</f>
        <v>#VALUE!</v>
      </c>
      <c r="IB11" t="e">
        <f>'2.4.Функции'!XR65+"BYw!F5"</f>
        <v>#VALUE!</v>
      </c>
      <c r="IC11" t="e">
        <f>'2.4.Функции'!XS65+"BYw!F6"</f>
        <v>#VALUE!</v>
      </c>
      <c r="ID11" t="e">
        <f>'2.4.Функции'!XT65+"BYw!F7"</f>
        <v>#VALUE!</v>
      </c>
      <c r="IE11" t="e">
        <f>'2.4.Функции'!XU65+"BYw!F8"</f>
        <v>#VALUE!</v>
      </c>
      <c r="IF11" t="e">
        <f>'2.4.Функции'!XV65+"BYw!F9"</f>
        <v>#VALUE!</v>
      </c>
      <c r="IG11" t="e">
        <f>'2.4.Функции'!XW65+"BYw!F:"</f>
        <v>#VALUE!</v>
      </c>
      <c r="IH11" t="e">
        <f>'2.4.Функции'!XX65+"BYw!F;"</f>
        <v>#VALUE!</v>
      </c>
      <c r="II11" t="e">
        <f>'2.4.Функции'!XY65+"BYw!F&lt;"</f>
        <v>#VALUE!</v>
      </c>
      <c r="IJ11" t="e">
        <f>'2.4.Функции'!XZ65+"BYw!F="</f>
        <v>#VALUE!</v>
      </c>
      <c r="IK11" t="e">
        <f>'2.4.Функции'!YA65+"BYw!F&gt;"</f>
        <v>#VALUE!</v>
      </c>
      <c r="IL11" t="e">
        <f>'2.4.Функции'!YB65+"BYw!F?"</f>
        <v>#VALUE!</v>
      </c>
      <c r="IM11" t="e">
        <f>'2.4.Функции'!YC65+"BYw!F@"</f>
        <v>#VALUE!</v>
      </c>
      <c r="IN11" t="e">
        <f>'2.4.Функции'!YD65+"BYw!FA"</f>
        <v>#VALUE!</v>
      </c>
      <c r="IO11" t="e">
        <f>'2.4.Функции'!YE65+"BYw!FB"</f>
        <v>#VALUE!</v>
      </c>
      <c r="IP11" t="e">
        <f>'2.4.Функции'!YF65+"BYw!FC"</f>
        <v>#VALUE!</v>
      </c>
      <c r="IQ11" t="e">
        <f>'2.4.Функции'!YG65+"BYw!FD"</f>
        <v>#VALUE!</v>
      </c>
      <c r="IR11" t="e">
        <f>'2.4.Функции'!YH65+"BYw!FE"</f>
        <v>#VALUE!</v>
      </c>
      <c r="IS11" t="e">
        <f>'2.4.Функции'!YI65+"BYw!FF"</f>
        <v>#VALUE!</v>
      </c>
      <c r="IT11" t="e">
        <f>'2.4.Функции'!YJ65+"BYw!FG"</f>
        <v>#VALUE!</v>
      </c>
      <c r="IU11" t="e">
        <f>'2.4.Функции'!YK65+"BYw!FH"</f>
        <v>#VALUE!</v>
      </c>
      <c r="IV11" t="e">
        <f>'2.4.Функции'!YL65+"BYw!FI"</f>
        <v>#VALUE!</v>
      </c>
    </row>
    <row r="12" spans="1:256" x14ac:dyDescent="0.2">
      <c r="F12" t="e">
        <f>'2.4.Функции'!YM65+"BYw!FJ"</f>
        <v>#VALUE!</v>
      </c>
      <c r="G12" t="e">
        <f>'2.4.Функции'!YN65+"BYw!FK"</f>
        <v>#VALUE!</v>
      </c>
      <c r="H12" t="e">
        <f>'2.4.Функции'!YO65+"BYw!FL"</f>
        <v>#VALUE!</v>
      </c>
      <c r="I12" t="e">
        <f>'2.4.Функции'!YP65+"BYw!FM"</f>
        <v>#VALUE!</v>
      </c>
      <c r="J12" t="e">
        <f>'2.4.Функции'!YQ65+"BYw!FN"</f>
        <v>#VALUE!</v>
      </c>
      <c r="K12" t="e">
        <f>'2.4.Функции'!YR65+"BYw!FO"</f>
        <v>#VALUE!</v>
      </c>
      <c r="L12" t="e">
        <f>'2.4.Функции'!YS65+"BYw!FP"</f>
        <v>#VALUE!</v>
      </c>
      <c r="M12" t="e">
        <f>'2.4.Функции'!YT65+"BYw!FQ"</f>
        <v>#VALUE!</v>
      </c>
      <c r="N12" t="e">
        <f>'2.4.Функции'!YU65+"BYw!FR"</f>
        <v>#VALUE!</v>
      </c>
      <c r="O12" t="e">
        <f>'2.4.Функции'!YV65+"BYw!FS"</f>
        <v>#VALUE!</v>
      </c>
      <c r="P12" t="e">
        <f>'2.4.Функции'!YW65+"BYw!FT"</f>
        <v>#VALUE!</v>
      </c>
      <c r="Q12" t="e">
        <f>'2.4.Функции'!YX65+"BYw!FU"</f>
        <v>#VALUE!</v>
      </c>
      <c r="R12" t="e">
        <f>'2.4.Функции'!YY65+"BYw!FV"</f>
        <v>#VALUE!</v>
      </c>
      <c r="S12" t="e">
        <f>'2.4.Функции'!YZ65+"BYw!FW"</f>
        <v>#VALUE!</v>
      </c>
      <c r="T12" t="e">
        <f>'2.4.Функции'!ZA65+"BYw!FX"</f>
        <v>#VALUE!</v>
      </c>
      <c r="U12" t="e">
        <f>'2.4.Функции'!ZB65+"BYw!FY"</f>
        <v>#VALUE!</v>
      </c>
      <c r="V12" t="e">
        <f>'2.4.Функции'!ZC65+"BYw!FZ"</f>
        <v>#VALUE!</v>
      </c>
      <c r="W12" t="e">
        <f>'2.4.Функции'!ZD65+"BYw!F["</f>
        <v>#VALUE!</v>
      </c>
      <c r="X12" t="e">
        <f>'2.4.Функции'!ZE65+"BYw!F\"</f>
        <v>#VALUE!</v>
      </c>
      <c r="Y12" t="e">
        <f>'2.4.Функции'!ZF65+"BYw!F]"</f>
        <v>#VALUE!</v>
      </c>
      <c r="Z12" t="e">
        <f>'2.4.Функции'!ZG65+"BYw!F^"</f>
        <v>#VALUE!</v>
      </c>
      <c r="AA12" t="e">
        <f>'2.4.Функции'!ZH65+"BYw!F_"</f>
        <v>#VALUE!</v>
      </c>
      <c r="AB12" t="e">
        <f>'2.4.Функции'!ZI65+"BYw!F`"</f>
        <v>#VALUE!</v>
      </c>
      <c r="AC12" t="e">
        <f>'2.4.Функции'!ZJ65+"BYw!Fa"</f>
        <v>#VALUE!</v>
      </c>
      <c r="AD12" t="e">
        <f>'2.4.Функции'!ZK65+"BYw!Fb"</f>
        <v>#VALUE!</v>
      </c>
      <c r="AE12" t="e">
        <f>'2.4.Функции'!ZL65+"BYw!Fc"</f>
        <v>#VALUE!</v>
      </c>
      <c r="AF12" t="e">
        <f>'2.4.Функции'!ZM65+"BYw!Fd"</f>
        <v>#VALUE!</v>
      </c>
      <c r="AG12" t="e">
        <f>'2.4.Функции'!ZN65+"BYw!Fe"</f>
        <v>#VALUE!</v>
      </c>
      <c r="AH12" t="e">
        <f>'2.4.Функции'!ZO65+"BYw!Ff"</f>
        <v>#VALUE!</v>
      </c>
      <c r="AI12" t="e">
        <f>'2.4.Функции'!ZP65+"BYw!Fg"</f>
        <v>#VALUE!</v>
      </c>
      <c r="AJ12" t="e">
        <f>'2.4.Функции'!ZQ65+"BYw!Fh"</f>
        <v>#VALUE!</v>
      </c>
      <c r="AK12" t="e">
        <f>'2.4.Функции'!ZR65+"BYw!Fi"</f>
        <v>#VALUE!</v>
      </c>
      <c r="AL12" t="e">
        <f>'2.4.Функции'!ZS65+"BYw!Fj"</f>
        <v>#VALUE!</v>
      </c>
      <c r="AM12" t="e">
        <f>'2.4.Функции'!ZT65+"BYw!Fk"</f>
        <v>#VALUE!</v>
      </c>
      <c r="AN12" t="e">
        <f>'2.4.Функции'!ZU65+"BYw!Fl"</f>
        <v>#VALUE!</v>
      </c>
      <c r="AO12" t="e">
        <f>'2.4.Функции'!ZV65+"BYw!Fm"</f>
        <v>#VALUE!</v>
      </c>
      <c r="AP12" t="e">
        <f>'2.4.Функции'!ZW65+"BYw!Fn"</f>
        <v>#VALUE!</v>
      </c>
      <c r="AQ12" t="e">
        <f>'2.4.Функции'!ZX65+"BYw!Fo"</f>
        <v>#VALUE!</v>
      </c>
      <c r="AR12" t="e">
        <f>'2.4.Функции'!ZY65+"BYw!Fp"</f>
        <v>#VALUE!</v>
      </c>
      <c r="AS12" t="e">
        <f>'2.4.Функции'!ZZ65+"BYw!Fq"</f>
        <v>#VALUE!</v>
      </c>
      <c r="AT12" t="e">
        <f>'2.4.Функции'!AAA65+"BYw!Fr"</f>
        <v>#VALUE!</v>
      </c>
      <c r="AU12" t="e">
        <f>'2.4.Функции'!AAB65+"BYw!Fs"</f>
        <v>#VALUE!</v>
      </c>
      <c r="AV12" t="e">
        <f>'2.4.Функции'!AAC65+"BYw!Ft"</f>
        <v>#VALUE!</v>
      </c>
      <c r="AW12" t="e">
        <f>'2.4.Функции'!AAD65+"BYw!Fu"</f>
        <v>#VALUE!</v>
      </c>
      <c r="AX12" t="e">
        <f>'2.4.Функции'!AAE65+"BYw!Fv"</f>
        <v>#VALUE!</v>
      </c>
      <c r="AY12" t="e">
        <f>'2.4.Функции'!AAF65+"BYw!Fw"</f>
        <v>#VALUE!</v>
      </c>
      <c r="AZ12" t="e">
        <f>'2.4.Функции'!AAG65+"BYw!Fx"</f>
        <v>#VALUE!</v>
      </c>
      <c r="BA12" t="e">
        <f>'2.4.Функции'!AAH65+"BYw!Fy"</f>
        <v>#VALUE!</v>
      </c>
      <c r="BB12" t="e">
        <f>'2.4.Функции'!AAI65+"BYw!Fz"</f>
        <v>#VALUE!</v>
      </c>
      <c r="BC12" t="e">
        <f>'2.4.Функции'!AAJ65+"BYw!F{"</f>
        <v>#VALUE!</v>
      </c>
      <c r="BD12" t="e">
        <f>'2.4.Функции'!AAK65+"BYw!F|"</f>
        <v>#VALUE!</v>
      </c>
      <c r="BE12" t="e">
        <f>'2.4.Функции'!AAL65+"BYw!F}"</f>
        <v>#VALUE!</v>
      </c>
      <c r="BF12" t="e">
        <f>'2.4.Функции'!AAM65+"BYw!F~"</f>
        <v>#VALUE!</v>
      </c>
      <c r="BG12" t="e">
        <f>'2.4.Функции'!AAN65+"BYw!G#"</f>
        <v>#VALUE!</v>
      </c>
      <c r="BH12" t="e">
        <f>'2.4.Функции'!AAO65+"BYw!G$"</f>
        <v>#VALUE!</v>
      </c>
      <c r="BI12" t="e">
        <f>'2.4.Функции'!AAP65+"BYw!G%"</f>
        <v>#VALUE!</v>
      </c>
      <c r="BJ12" t="e">
        <f>'2.4.Функции'!AAQ65+"BYw!G&amp;"</f>
        <v>#VALUE!</v>
      </c>
      <c r="BK12" t="e">
        <f>'2.4.Функции'!AAR65+"BYw!G'"</f>
        <v>#VALUE!</v>
      </c>
      <c r="BL12" t="e">
        <f>'2.4.Функции'!AAS65+"BYw!G("</f>
        <v>#VALUE!</v>
      </c>
      <c r="BM12" t="e">
        <f>'2.4.Функции'!AAT65+"BYw!G)"</f>
        <v>#VALUE!</v>
      </c>
      <c r="BN12" t="e">
        <f>'2.4.Функции'!AAU65+"BYw!G."</f>
        <v>#VALUE!</v>
      </c>
      <c r="BO12" t="e">
        <f>'2.4.Функции'!AAV65+"BYw!G/"</f>
        <v>#VALUE!</v>
      </c>
      <c r="BP12" t="e">
        <f>'2.4.Функции'!AAW65+"BYw!G0"</f>
        <v>#VALUE!</v>
      </c>
      <c r="BQ12" t="e">
        <f>'2.4.Функции'!AAX65+"BYw!G1"</f>
        <v>#VALUE!</v>
      </c>
      <c r="BR12" t="e">
        <f>'2.4.Функции'!AAY65+"BYw!G2"</f>
        <v>#VALUE!</v>
      </c>
      <c r="BS12" t="e">
        <f>'2.4.Функции'!AAZ65+"BYw!G3"</f>
        <v>#VALUE!</v>
      </c>
      <c r="BT12" t="e">
        <f>'2.4.Функции'!ABA65+"BYw!G4"</f>
        <v>#VALUE!</v>
      </c>
      <c r="BU12" t="e">
        <f>'2.4.Функции'!ABB65+"BYw!G5"</f>
        <v>#VALUE!</v>
      </c>
      <c r="BV12" t="e">
        <f>'2.4.Функции'!ABC65+"BYw!G6"</f>
        <v>#VALUE!</v>
      </c>
      <c r="BW12" t="e">
        <f>'2.4.Функции'!ABD65+"BYw!G7"</f>
        <v>#VALUE!</v>
      </c>
      <c r="BX12" t="e">
        <f>'2.4.Функции'!ABE65+"BYw!G8"</f>
        <v>#VALUE!</v>
      </c>
      <c r="BY12" t="e">
        <f>'2.4.Функции'!ABF65+"BYw!G9"</f>
        <v>#VALUE!</v>
      </c>
      <c r="BZ12" t="e">
        <f>'2.4.Функции'!ABG65+"BYw!G:"</f>
        <v>#VALUE!</v>
      </c>
      <c r="CA12" t="e">
        <f>'2.4.Функции'!ABH65+"BYw!G;"</f>
        <v>#VALUE!</v>
      </c>
      <c r="CB12" t="e">
        <f>'2.4.Функции'!ABI65+"BYw!G&lt;"</f>
        <v>#VALUE!</v>
      </c>
      <c r="CC12" t="e">
        <f>'2.4.Функции'!ABJ65+"BYw!G="</f>
        <v>#VALUE!</v>
      </c>
      <c r="CD12" t="e">
        <f>'2.4.Функции'!ABK65+"BYw!G&gt;"</f>
        <v>#VALUE!</v>
      </c>
      <c r="CE12" t="e">
        <f>'2.4.Функции'!ABL65+"BYw!G?"</f>
        <v>#VALUE!</v>
      </c>
      <c r="CF12" t="e">
        <f>'2.4.Функции'!ABM65+"BYw!G@"</f>
        <v>#VALUE!</v>
      </c>
      <c r="CG12" t="e">
        <f>'2.4.Функции'!ABN65+"BYw!GA"</f>
        <v>#VALUE!</v>
      </c>
      <c r="CH12" t="e">
        <f>'2.4.Функции'!ABO65+"BYw!GB"</f>
        <v>#VALUE!</v>
      </c>
      <c r="CI12" t="e">
        <f>'2.4.Функции'!ABP65+"BYw!GC"</f>
        <v>#VALUE!</v>
      </c>
      <c r="CJ12" t="e">
        <f>'2.4.Функции'!ABQ65+"BYw!GD"</f>
        <v>#VALUE!</v>
      </c>
      <c r="CK12" t="e">
        <f>'2.4.Функции'!ABR65+"BYw!GE"</f>
        <v>#VALUE!</v>
      </c>
      <c r="CL12" t="e">
        <f>'2.4.Функции'!ABS65+"BYw!GF"</f>
        <v>#VALUE!</v>
      </c>
      <c r="CM12" t="e">
        <f>'2.4.Функции'!ABT65+"BYw!GG"</f>
        <v>#VALUE!</v>
      </c>
      <c r="CN12" t="e">
        <f>'2.4.Функции'!ABU65+"BYw!GH"</f>
        <v>#VALUE!</v>
      </c>
      <c r="CO12" t="e">
        <f>'2.4.Функции'!ABV65+"BYw!GI"</f>
        <v>#VALUE!</v>
      </c>
      <c r="CP12" t="e">
        <f>'2.4.Функции'!ABW65+"BYw!GJ"</f>
        <v>#VALUE!</v>
      </c>
      <c r="CQ12" t="e">
        <f>'2.4.Функции'!ABX65+"BYw!GK"</f>
        <v>#VALUE!</v>
      </c>
      <c r="CR12" t="e">
        <f>'2.4.Функции'!ABY65+"BYw!GL"</f>
        <v>#VALUE!</v>
      </c>
      <c r="CS12" t="e">
        <f>'2.4.Функции'!ABZ65+"BYw!GM"</f>
        <v>#VALUE!</v>
      </c>
      <c r="CT12" t="e">
        <f>'2.4.Функции'!ACA65+"BYw!GN"</f>
        <v>#VALUE!</v>
      </c>
      <c r="CU12" t="e">
        <f>'2.4.Функции'!ACB65+"BYw!GO"</f>
        <v>#VALUE!</v>
      </c>
      <c r="CV12" t="e">
        <f>'2.4.Функции'!ACC65+"BYw!GP"</f>
        <v>#VALUE!</v>
      </c>
      <c r="CW12" t="e">
        <f>'2.4.Функции'!ACD65+"BYw!GQ"</f>
        <v>#VALUE!</v>
      </c>
      <c r="CX12" t="e">
        <f>'2.4.Функции'!ACE65+"BYw!GR"</f>
        <v>#VALUE!</v>
      </c>
      <c r="CY12" t="e">
        <f>'2.4.Функции'!ACF65+"BYw!GS"</f>
        <v>#VALUE!</v>
      </c>
      <c r="CZ12" t="e">
        <f>'2.4.Функции'!ACG65+"BYw!GT"</f>
        <v>#VALUE!</v>
      </c>
      <c r="DA12" t="e">
        <f>'2.4.Функции'!ACH65+"BYw!GU"</f>
        <v>#VALUE!</v>
      </c>
      <c r="DB12" t="e">
        <f>'2.4.Функции'!ACI65+"BYw!GV"</f>
        <v>#VALUE!</v>
      </c>
      <c r="DC12" t="e">
        <f>'2.4.Функции'!ACJ65+"BYw!GW"</f>
        <v>#VALUE!</v>
      </c>
      <c r="DD12" t="e">
        <f>'2.4.Функции'!ACK65+"BYw!GX"</f>
        <v>#VALUE!</v>
      </c>
      <c r="DE12" t="e">
        <f>'2.4.Функции'!ACL65+"BYw!GY"</f>
        <v>#VALUE!</v>
      </c>
      <c r="DF12" t="e">
        <f>'2.4.Функции'!ACM65+"BYw!GZ"</f>
        <v>#VALUE!</v>
      </c>
      <c r="DG12" t="e">
        <f>'2.4.Функции'!ACN65+"BYw!G["</f>
        <v>#VALUE!</v>
      </c>
      <c r="DH12" t="e">
        <f>'2.4.Функции'!ACO65+"BYw!G\"</f>
        <v>#VALUE!</v>
      </c>
      <c r="DI12" t="e">
        <f>'2.4.Функции'!ACP65+"BYw!G]"</f>
        <v>#VALUE!</v>
      </c>
      <c r="DJ12" t="e">
        <f>'2.4.Функции'!ACQ65+"BYw!G^"</f>
        <v>#VALUE!</v>
      </c>
      <c r="DK12" t="e">
        <f>'2.4.Функции'!ACR65+"BYw!G_"</f>
        <v>#VALUE!</v>
      </c>
      <c r="DL12" t="e">
        <f>'2.4.Функции'!ACS65+"BYw!G`"</f>
        <v>#VALUE!</v>
      </c>
      <c r="DM12" t="e">
        <f>'2.4.Функции'!ACT65+"BYw!Ga"</f>
        <v>#VALUE!</v>
      </c>
      <c r="DN12" t="e">
        <f>'2.4.Функции'!ACU65+"BYw!Gb"</f>
        <v>#VALUE!</v>
      </c>
      <c r="DO12" t="e">
        <f>'2.4.Функции'!ACV65+"BYw!Gc"</f>
        <v>#VALUE!</v>
      </c>
      <c r="DP12" t="e">
        <f>'2.4.Функции'!ACW65+"BYw!Gd"</f>
        <v>#VALUE!</v>
      </c>
      <c r="DQ12" t="e">
        <f>'2.4.Функции'!ACX65+"BYw!Ge"</f>
        <v>#VALUE!</v>
      </c>
      <c r="DR12" t="e">
        <f>'2.4.Функции'!ACY65+"BYw!Gf"</f>
        <v>#VALUE!</v>
      </c>
      <c r="DS12" t="e">
        <f>'2.4.Функции'!ACZ65+"BYw!Gg"</f>
        <v>#VALUE!</v>
      </c>
      <c r="DT12" t="e">
        <f>'2.4.Функции'!ADA65+"BYw!Gh"</f>
        <v>#VALUE!</v>
      </c>
      <c r="DU12" t="e">
        <f>'2.4.Функции'!ADB65+"BYw!Gi"</f>
        <v>#VALUE!</v>
      </c>
      <c r="DV12" t="e">
        <f>'2.4.Функции'!ADC65+"BYw!Gj"</f>
        <v>#VALUE!</v>
      </c>
      <c r="DW12" t="e">
        <f>'2.4.Функции'!ADD65+"BYw!Gk"</f>
        <v>#VALUE!</v>
      </c>
      <c r="DX12" t="e">
        <f>'2.4.Функции'!ADE65+"BYw!Gl"</f>
        <v>#VALUE!</v>
      </c>
      <c r="DY12" t="e">
        <f>'2.4.Функции'!ADF65+"BYw!Gm"</f>
        <v>#VALUE!</v>
      </c>
      <c r="DZ12" t="e">
        <f>'2.4.Функции'!ADG65+"BYw!Gn"</f>
        <v>#VALUE!</v>
      </c>
      <c r="EA12" t="e">
        <f>'2.4.Функции'!ADH65+"BYw!Go"</f>
        <v>#VALUE!</v>
      </c>
      <c r="EB12" t="e">
        <f>'2.4.Функции'!ADI65+"BYw!Gp"</f>
        <v>#VALUE!</v>
      </c>
      <c r="EC12" t="e">
        <f>'2.4.Функции'!ADJ65+"BYw!Gq"</f>
        <v>#VALUE!</v>
      </c>
      <c r="ED12" t="e">
        <f>'2.4.Функции'!ADK65+"BYw!Gr"</f>
        <v>#VALUE!</v>
      </c>
      <c r="EE12" t="e">
        <f>'2.4.Функции'!ADL65+"BYw!Gs"</f>
        <v>#VALUE!</v>
      </c>
      <c r="EF12" t="e">
        <f>'2.4.Функции'!ADM65+"BYw!Gt"</f>
        <v>#VALUE!</v>
      </c>
      <c r="EG12" t="e">
        <f>'2.4.Функции'!ADN65+"BYw!Gu"</f>
        <v>#VALUE!</v>
      </c>
      <c r="EH12" t="e">
        <f>'2.4.Функции'!ADO65+"BYw!Gv"</f>
        <v>#VALUE!</v>
      </c>
      <c r="EI12" t="e">
        <f>'2.4.Функции'!ADP65+"BYw!Gw"</f>
        <v>#VALUE!</v>
      </c>
      <c r="EJ12" t="e">
        <f>'2.4.Функции'!ADQ65+"BYw!Gx"</f>
        <v>#VALUE!</v>
      </c>
      <c r="EK12" t="e">
        <f>'2.4.Функции'!ADR65+"BYw!Gy"</f>
        <v>#VALUE!</v>
      </c>
      <c r="EL12" t="e">
        <f>'2.4.Функции'!ADS65+"BYw!Gz"</f>
        <v>#VALUE!</v>
      </c>
      <c r="EM12" t="e">
        <f>'2.4.Функции'!ADT65+"BYw!G{"</f>
        <v>#VALUE!</v>
      </c>
      <c r="EN12" t="e">
        <f>'2.4.Функции'!ADU65+"BYw!G|"</f>
        <v>#VALUE!</v>
      </c>
      <c r="EO12" t="e">
        <f>'2.4.Функции'!ADV65+"BYw!G}"</f>
        <v>#VALUE!</v>
      </c>
      <c r="EP12" t="e">
        <f>'2.4.Функции'!ADW65+"BYw!G~"</f>
        <v>#VALUE!</v>
      </c>
      <c r="EQ12" t="e">
        <f>'2.4.Функции'!ADX65+"BYw!H#"</f>
        <v>#VALUE!</v>
      </c>
      <c r="ER12" t="e">
        <f>'2.4.Функции'!ADY65+"BYw!H$"</f>
        <v>#VALUE!</v>
      </c>
      <c r="ES12" t="e">
        <f>'2.4.Функции'!ADZ65+"BYw!H%"</f>
        <v>#VALUE!</v>
      </c>
      <c r="ET12" t="e">
        <f>'2.4.Функции'!AEA65+"BYw!H&amp;"</f>
        <v>#VALUE!</v>
      </c>
      <c r="EU12" t="e">
        <f>'2.4.Функции'!AEB65+"BYw!H'"</f>
        <v>#VALUE!</v>
      </c>
      <c r="EV12" t="e">
        <f>'2.4.Функции'!AEC65+"BYw!H("</f>
        <v>#VALUE!</v>
      </c>
      <c r="EW12" t="e">
        <f>'2.4.Функции'!AED65+"BYw!H)"</f>
        <v>#VALUE!</v>
      </c>
      <c r="EX12" t="e">
        <f>'2.4.Функции'!AEE65+"BYw!H."</f>
        <v>#VALUE!</v>
      </c>
      <c r="EY12" t="e">
        <f>'2.4.Функции'!AEF65+"BYw!H/"</f>
        <v>#VALUE!</v>
      </c>
      <c r="EZ12" t="e">
        <f>'2.4.Функции'!AEG65+"BYw!H0"</f>
        <v>#VALUE!</v>
      </c>
      <c r="FA12" t="e">
        <f>'2.4.Функции'!AEH65+"BYw!H1"</f>
        <v>#VALUE!</v>
      </c>
      <c r="FB12" t="e">
        <f>'2.4.Функции'!AEI65+"BYw!H2"</f>
        <v>#VALUE!</v>
      </c>
      <c r="FC12" t="e">
        <f>'2.4.Функции'!AEJ65+"BYw!H3"</f>
        <v>#VALUE!</v>
      </c>
      <c r="FD12" t="e">
        <f>'2.4.Функции'!AEK65+"BYw!H4"</f>
        <v>#VALUE!</v>
      </c>
      <c r="FE12" t="e">
        <f>'2.4.Функции'!AEL65+"BYw!H5"</f>
        <v>#VALUE!</v>
      </c>
      <c r="FF12" t="e">
        <f>'2.4.Функции'!AEM65+"BYw!H6"</f>
        <v>#VALUE!</v>
      </c>
      <c r="FG12" t="e">
        <f>'2.4.Функции'!AEN65+"BYw!H7"</f>
        <v>#VALUE!</v>
      </c>
      <c r="FH12" t="e">
        <f>'2.4.Функции'!AEO65+"BYw!H8"</f>
        <v>#VALUE!</v>
      </c>
      <c r="FI12" t="e">
        <f>'2.4.Функции'!AEP65+"BYw!H9"</f>
        <v>#VALUE!</v>
      </c>
      <c r="FJ12" t="e">
        <f>'2.4.Функции'!AEQ65+"BYw!H:"</f>
        <v>#VALUE!</v>
      </c>
      <c r="FK12" t="e">
        <f>'2.4.Функции'!AER65+"BYw!H;"</f>
        <v>#VALUE!</v>
      </c>
      <c r="FL12" t="e">
        <f>'2.4.Функции'!AES65+"BYw!H&lt;"</f>
        <v>#VALUE!</v>
      </c>
      <c r="FM12" t="e">
        <f>'2.4.Функции'!AET65+"BYw!H="</f>
        <v>#VALUE!</v>
      </c>
      <c r="FN12" t="e">
        <f>'2.4.Функции'!AEU65+"BYw!H&gt;"</f>
        <v>#VALUE!</v>
      </c>
      <c r="FO12" t="e">
        <f>'2.4.Функции'!AEV65+"BYw!H?"</f>
        <v>#VALUE!</v>
      </c>
      <c r="FP12" t="e">
        <f>'2.4.Функции'!AEW65+"BYw!H@"</f>
        <v>#VALUE!</v>
      </c>
      <c r="FQ12" t="e">
        <f>'2.4.Функции'!AEX65+"BYw!HA"</f>
        <v>#VALUE!</v>
      </c>
      <c r="FR12" t="e">
        <f>'2.4.Функции'!AEY65+"BYw!HB"</f>
        <v>#VALUE!</v>
      </c>
      <c r="FS12" t="e">
        <f>'2.4.Функции'!AEZ65+"BYw!HC"</f>
        <v>#VALUE!</v>
      </c>
      <c r="FT12" t="e">
        <f>'2.4.Функции'!AFA65+"BYw!HD"</f>
        <v>#VALUE!</v>
      </c>
      <c r="FU12" t="e">
        <f>'2.4.Функции'!AFB65+"BYw!HE"</f>
        <v>#VALUE!</v>
      </c>
      <c r="FV12" t="e">
        <f>'2.4.Функции'!AFC65+"BYw!HF"</f>
        <v>#VALUE!</v>
      </c>
      <c r="FW12" t="e">
        <f>'2.4.Функции'!AFD65+"BYw!HG"</f>
        <v>#VALUE!</v>
      </c>
      <c r="FX12" t="e">
        <f>'2.4.Функции'!AFE65+"BYw!HH"</f>
        <v>#VALUE!</v>
      </c>
      <c r="FY12" t="e">
        <f>'2.4.Функции'!AFF65+"BYw!HI"</f>
        <v>#VALUE!</v>
      </c>
      <c r="FZ12" t="e">
        <f>'2.4.Функции'!AFG65+"BYw!HJ"</f>
        <v>#VALUE!</v>
      </c>
      <c r="GA12" t="e">
        <f>'2.4.Функции'!AFH65+"BYw!HK"</f>
        <v>#VALUE!</v>
      </c>
      <c r="GB12" t="e">
        <f>'2.4.Функции'!AFI65+"BYw!HL"</f>
        <v>#VALUE!</v>
      </c>
      <c r="GC12" t="e">
        <f>'2.4.Функции'!AFJ65+"BYw!HM"</f>
        <v>#VALUE!</v>
      </c>
      <c r="GD12" t="e">
        <f>'2.4.Функции'!AFK65+"BYw!HN"</f>
        <v>#VALUE!</v>
      </c>
      <c r="GE12" t="e">
        <f>'2.4.Функции'!AFL65+"BYw!HO"</f>
        <v>#VALUE!</v>
      </c>
      <c r="GF12" t="e">
        <f>'2.4.Функции'!AFM65+"BYw!HP"</f>
        <v>#VALUE!</v>
      </c>
      <c r="GG12" t="e">
        <f>'2.4.Функции'!AFN65+"BYw!HQ"</f>
        <v>#VALUE!</v>
      </c>
      <c r="GH12" t="e">
        <f>'2.4.Функции'!AFO65+"BYw!HR"</f>
        <v>#VALUE!</v>
      </c>
      <c r="GI12" t="e">
        <f>'2.4.Функции'!AFP65+"BYw!HS"</f>
        <v>#VALUE!</v>
      </c>
      <c r="GJ12" t="e">
        <f>'2.4.Функции'!AFQ65+"BYw!HT"</f>
        <v>#VALUE!</v>
      </c>
      <c r="GK12" t="e">
        <f>'2.4.Функции'!AFR65+"BYw!HU"</f>
        <v>#VALUE!</v>
      </c>
      <c r="GL12" t="e">
        <f>'2.4.Функции'!AFS65+"BYw!HV"</f>
        <v>#VALUE!</v>
      </c>
      <c r="GM12" t="e">
        <f>'2.4.Функции'!AFT65+"BYw!HW"</f>
        <v>#VALUE!</v>
      </c>
      <c r="GN12" t="e">
        <f>'2.4.Функции'!AFU65+"BYw!HX"</f>
        <v>#VALUE!</v>
      </c>
      <c r="GO12" t="e">
        <f>'2.4.Функции'!AFV65+"BYw!HY"</f>
        <v>#VALUE!</v>
      </c>
      <c r="GP12" t="e">
        <f>'2.4.Функции'!AFW65+"BYw!HZ"</f>
        <v>#VALUE!</v>
      </c>
      <c r="GQ12" t="e">
        <f>'2.4.Функции'!AFX65+"BYw!H["</f>
        <v>#VALUE!</v>
      </c>
      <c r="GR12" t="e">
        <f>'2.4.Функции'!AFY65+"BYw!H\"</f>
        <v>#VALUE!</v>
      </c>
      <c r="GS12" t="e">
        <f>'2.4.Функции'!AFZ65+"BYw!H]"</f>
        <v>#VALUE!</v>
      </c>
      <c r="GT12" t="e">
        <f>'2.4.Функции'!AGA65+"BYw!H^"</f>
        <v>#VALUE!</v>
      </c>
      <c r="GU12" t="e">
        <f>'2.4.Функции'!AGB65+"BYw!H_"</f>
        <v>#VALUE!</v>
      </c>
      <c r="GV12" t="e">
        <f>'2.4.Функции'!AGC65+"BYw!H`"</f>
        <v>#VALUE!</v>
      </c>
      <c r="GW12" t="e">
        <f>'2.4.Функции'!AGD65+"BYw!Ha"</f>
        <v>#VALUE!</v>
      </c>
      <c r="GX12" t="e">
        <f>'2.4.Функции'!AGE65+"BYw!Hb"</f>
        <v>#VALUE!</v>
      </c>
      <c r="GY12" t="e">
        <f>'2.4.Функции'!AGF65+"BYw!Hc"</f>
        <v>#VALUE!</v>
      </c>
      <c r="GZ12" t="e">
        <f>'2.4.Функции'!AGG65+"BYw!Hd"</f>
        <v>#VALUE!</v>
      </c>
      <c r="HA12" t="e">
        <f>'2.4.Функции'!AGH65+"BYw!He"</f>
        <v>#VALUE!</v>
      </c>
      <c r="HB12" t="e">
        <f>'2.4.Функции'!AGI65+"BYw!Hf"</f>
        <v>#VALUE!</v>
      </c>
      <c r="HC12" t="e">
        <f>'2.4.Функции'!AGJ65+"BYw!Hg"</f>
        <v>#VALUE!</v>
      </c>
      <c r="HD12" t="e">
        <f>'2.4.Функции'!AGK65+"BYw!Hh"</f>
        <v>#VALUE!</v>
      </c>
      <c r="HE12" t="e">
        <f>'2.4.Функции'!AGL65+"BYw!Hi"</f>
        <v>#VALUE!</v>
      </c>
      <c r="HF12" t="e">
        <f>'2.4.Функции'!AGM65+"BYw!Hj"</f>
        <v>#VALUE!</v>
      </c>
      <c r="HG12" t="e">
        <f>'2.4.Функции'!AGN65+"BYw!Hk"</f>
        <v>#VALUE!</v>
      </c>
      <c r="HH12" t="e">
        <f>'2.4.Функции'!AGO65+"BYw!Hl"</f>
        <v>#VALUE!</v>
      </c>
      <c r="HI12" t="e">
        <f>'2.4.Функции'!AGP65+"BYw!Hm"</f>
        <v>#VALUE!</v>
      </c>
      <c r="HJ12" t="e">
        <f>'2.4.Функции'!AGQ65+"BYw!Hn"</f>
        <v>#VALUE!</v>
      </c>
      <c r="HK12" t="e">
        <f>'2.4.Функции'!AGR65+"BYw!Ho"</f>
        <v>#VALUE!</v>
      </c>
      <c r="HL12" t="e">
        <f>'2.4.Функции'!AGS65+"BYw!Hp"</f>
        <v>#VALUE!</v>
      </c>
      <c r="HM12" t="e">
        <f>'2.4.Функции'!AGT65+"BYw!Hq"</f>
        <v>#VALUE!</v>
      </c>
      <c r="HN12" t="e">
        <f>'2.4.Функции'!AGU65+"BYw!Hr"</f>
        <v>#VALUE!</v>
      </c>
      <c r="HO12" t="e">
        <f>'2.4.Функции'!AGV65+"BYw!Hs"</f>
        <v>#VALUE!</v>
      </c>
      <c r="HP12" t="e">
        <f>'2.4.Функции'!AGW65+"BYw!Ht"</f>
        <v>#VALUE!</v>
      </c>
      <c r="HQ12" t="e">
        <f>'2.4.Функции'!AGX65+"BYw!Hu"</f>
        <v>#VALUE!</v>
      </c>
      <c r="HR12" t="e">
        <f>'2.4.Функции'!AGY65+"BYw!Hv"</f>
        <v>#VALUE!</v>
      </c>
      <c r="HS12" t="e">
        <f>'2.4.Функции'!AGZ65+"BYw!Hw"</f>
        <v>#VALUE!</v>
      </c>
      <c r="HT12" t="e">
        <f>'2.4.Функции'!AHA65+"BYw!Hx"</f>
        <v>#VALUE!</v>
      </c>
      <c r="HU12" t="e">
        <f>'2.4.Функции'!AHB65+"BYw!Hy"</f>
        <v>#VALUE!</v>
      </c>
      <c r="HV12" t="e">
        <f>'2.4.Функции'!AHC65+"BYw!Hz"</f>
        <v>#VALUE!</v>
      </c>
      <c r="HW12" t="e">
        <f>'2.4.Функции'!AHD65+"BYw!H{"</f>
        <v>#VALUE!</v>
      </c>
      <c r="HX12" t="e">
        <f>'2.4.Функции'!AHE65+"BYw!H|"</f>
        <v>#VALUE!</v>
      </c>
      <c r="HY12" t="e">
        <f>'2.4.Функции'!AHF65+"BYw!H}"</f>
        <v>#VALUE!</v>
      </c>
      <c r="HZ12" t="e">
        <f>'2.4.Функции'!AHG65+"BYw!H~"</f>
        <v>#VALUE!</v>
      </c>
      <c r="IA12" t="e">
        <f>'2.4.Функции'!AHH65+"BYw!I#"</f>
        <v>#VALUE!</v>
      </c>
      <c r="IB12" t="e">
        <f>'2.4.Функции'!AHI65+"BYw!I$"</f>
        <v>#VALUE!</v>
      </c>
      <c r="IC12" t="e">
        <f>'2.4.Функции'!AHJ65+"BYw!I%"</f>
        <v>#VALUE!</v>
      </c>
      <c r="ID12" t="e">
        <f>'2.4.Функции'!AHK65+"BYw!I&amp;"</f>
        <v>#VALUE!</v>
      </c>
      <c r="IE12" t="e">
        <f>'2.4.Функции'!AHL65+"BYw!I'"</f>
        <v>#VALUE!</v>
      </c>
      <c r="IF12" t="e">
        <f>'2.4.Функции'!AHM65+"BYw!I("</f>
        <v>#VALUE!</v>
      </c>
      <c r="IG12" t="e">
        <f>'2.4.Функции'!AHN65+"BYw!I)"</f>
        <v>#VALUE!</v>
      </c>
      <c r="IH12" t="e">
        <f>'2.4.Функции'!AHO65+"BYw!I."</f>
        <v>#VALUE!</v>
      </c>
      <c r="II12" t="e">
        <f>'2.4.Функции'!AHP65+"BYw!I/"</f>
        <v>#VALUE!</v>
      </c>
      <c r="IJ12" t="e">
        <f>'2.4.Функции'!AHQ65+"BYw!I0"</f>
        <v>#VALUE!</v>
      </c>
      <c r="IK12" t="e">
        <f>'2.4.Функции'!AHR65+"BYw!I1"</f>
        <v>#VALUE!</v>
      </c>
      <c r="IL12" t="e">
        <f>'2.4.Функции'!AHS65+"BYw!I2"</f>
        <v>#VALUE!</v>
      </c>
      <c r="IM12" t="e">
        <f>'2.4.Функции'!AHT65+"BYw!I3"</f>
        <v>#VALUE!</v>
      </c>
      <c r="IN12" t="e">
        <f>'2.4.Функции'!AHU65+"BYw!I4"</f>
        <v>#VALUE!</v>
      </c>
      <c r="IO12" t="e">
        <f>'2.4.Функции'!AHV65+"BYw!I5"</f>
        <v>#VALUE!</v>
      </c>
      <c r="IP12" t="e">
        <f>'2.4.Функции'!AHW65+"BYw!I6"</f>
        <v>#VALUE!</v>
      </c>
      <c r="IQ12" t="e">
        <f>'2.4.Функции'!AHX65+"BYw!I7"</f>
        <v>#VALUE!</v>
      </c>
      <c r="IR12" t="e">
        <f>'2.4.Функции'!AHY65+"BYw!I8"</f>
        <v>#VALUE!</v>
      </c>
      <c r="IS12" t="e">
        <f>'2.4.Функции'!AHZ65+"BYw!I9"</f>
        <v>#VALUE!</v>
      </c>
      <c r="IT12" t="e">
        <f>'2.4.Функции'!AIA65+"BYw!I:"</f>
        <v>#VALUE!</v>
      </c>
      <c r="IU12" t="e">
        <f>'2.4.Функции'!AIB65+"BYw!I;"</f>
        <v>#VALUE!</v>
      </c>
      <c r="IV12" t="e">
        <f>'2.4.Функции'!AIC65+"BYw!I&lt;"</f>
        <v>#VALUE!</v>
      </c>
    </row>
    <row r="13" spans="1:256" x14ac:dyDescent="0.2">
      <c r="F13" t="e">
        <f>'2.4.Функции'!AID65+"BYw!I="</f>
        <v>#VALUE!</v>
      </c>
      <c r="G13" t="e">
        <f>'2.4.Функции'!AIE65+"BYw!I&gt;"</f>
        <v>#VALUE!</v>
      </c>
      <c r="H13" t="e">
        <f>'2.4.Функции'!AIF65+"BYw!I?"</f>
        <v>#VALUE!</v>
      </c>
      <c r="I13" t="e">
        <f>'2.4.Функции'!AIG65+"BYw!I@"</f>
        <v>#VALUE!</v>
      </c>
      <c r="J13" t="e">
        <f>'2.4.Функции'!AIH65+"BYw!IA"</f>
        <v>#VALUE!</v>
      </c>
      <c r="K13" t="e">
        <f>'2.4.Функции'!A66+"BYw!IB"</f>
        <v>#VALUE!</v>
      </c>
      <c r="L13" s="116" t="e">
        <f>'2.4.Функции'!B66+"BYw!IC"</f>
        <v>#VALUE!</v>
      </c>
      <c r="M13" t="e">
        <f>'2.4.Функции'!C66+"BYw!ID"</f>
        <v>#VALUE!</v>
      </c>
      <c r="N13" s="119" t="e">
        <f>'2.4.Функции'!D66+"BYw!IE"</f>
        <v>#VALUE!</v>
      </c>
      <c r="O13" s="119" t="e">
        <f>'2.4.Функции'!E66+"BYw!IF"</f>
        <v>#VALUE!</v>
      </c>
      <c r="P13" s="119" t="e">
        <f>'2.4.Функции'!F66+"BYw!IG"</f>
        <v>#VALUE!</v>
      </c>
      <c r="Q13" s="119" t="e">
        <f>'2.4.Функции'!G66+"BYw!IH"</f>
        <v>#VALUE!</v>
      </c>
      <c r="R13" s="119" t="e">
        <f>'2.4.Функции'!H66+"BYw!II"</f>
        <v>#VALUE!</v>
      </c>
      <c r="S13" s="119" t="e">
        <f>'2.4.Функции'!I66+"BYw!IJ"</f>
        <v>#VALUE!</v>
      </c>
      <c r="T13" s="119" t="e">
        <f>'2.4.Функции'!J66+"BYw!IK"</f>
        <v>#VALUE!</v>
      </c>
      <c r="U13" s="119" t="e">
        <f>'2.4.Функции'!K66+"BYw!IL"</f>
        <v>#VALUE!</v>
      </c>
      <c r="V13" t="e">
        <f>'2.4.Функции'!L66+"BYw!IM"</f>
        <v>#VALUE!</v>
      </c>
      <c r="W13" t="e">
        <f>'2.4.Функции'!M66+"BYw!IN"</f>
        <v>#VALUE!</v>
      </c>
      <c r="X13" t="e">
        <f>'2.4.Функции'!N66+"BYw!IO"</f>
        <v>#VALUE!</v>
      </c>
      <c r="Y13" t="e">
        <f>'2.4.Функции'!O66+"BYw!IP"</f>
        <v>#VALUE!</v>
      </c>
      <c r="Z13" t="e">
        <f>'2.4.Функции'!P66+"BYw!IQ"</f>
        <v>#VALUE!</v>
      </c>
      <c r="AA13" t="e">
        <f>'2.4.Функции'!Q66+"BYw!IR"</f>
        <v>#VALUE!</v>
      </c>
      <c r="AB13" t="e">
        <f>'2.4.Функции'!R66+"BYw!IS"</f>
        <v>#VALUE!</v>
      </c>
      <c r="AC13" t="e">
        <f>'2.4.Функции'!S66+"BYw!IT"</f>
        <v>#VALUE!</v>
      </c>
      <c r="AD13" t="e">
        <f>'2.4.Функции'!T66+"BYw!IU"</f>
        <v>#VALUE!</v>
      </c>
      <c r="AE13" t="e">
        <f>'2.4.Функции'!U66+"BYw!IV"</f>
        <v>#VALUE!</v>
      </c>
      <c r="AF13" t="e">
        <f>'2.4.Функции'!V66+"BYw!IW"</f>
        <v>#VALUE!</v>
      </c>
      <c r="AG13" t="e">
        <f>'2.4.Функции'!W66+"BYw!IX"</f>
        <v>#VALUE!</v>
      </c>
      <c r="AH13" t="e">
        <f>'2.4.Функции'!X66+"BYw!IY"</f>
        <v>#VALUE!</v>
      </c>
      <c r="AI13" t="e">
        <f>'2.4.Функции'!Y66+"BYw!IZ"</f>
        <v>#VALUE!</v>
      </c>
      <c r="AJ13" t="e">
        <f>'2.4.Функции'!Z66+"BYw!I["</f>
        <v>#VALUE!</v>
      </c>
      <c r="AK13" t="e">
        <f>'2.4.Функции'!AA66+"BYw!I\"</f>
        <v>#VALUE!</v>
      </c>
      <c r="AL13" t="e">
        <f>'2.4.Функции'!AB66+"BYw!I]"</f>
        <v>#VALUE!</v>
      </c>
      <c r="AM13" t="e">
        <f>'2.4.Функции'!AC66+"BYw!I^"</f>
        <v>#VALUE!</v>
      </c>
      <c r="AN13" t="e">
        <f>'2.4.Функции'!AD66+"BYw!I_"</f>
        <v>#VALUE!</v>
      </c>
      <c r="AO13" t="e">
        <f>'2.4.Функции'!AE66+"BYw!I`"</f>
        <v>#VALUE!</v>
      </c>
      <c r="AP13" t="e">
        <f>'2.4.Функции'!AF66+"BYw!Ia"</f>
        <v>#VALUE!</v>
      </c>
      <c r="AQ13" t="e">
        <f>'2.4.Функции'!AG66+"BYw!Ib"</f>
        <v>#VALUE!</v>
      </c>
      <c r="AR13" t="e">
        <f>'2.4.Функции'!AH66+"BYw!Ic"</f>
        <v>#VALUE!</v>
      </c>
      <c r="AS13" t="e">
        <f>'2.4.Функции'!AI66+"BYw!Id"</f>
        <v>#VALUE!</v>
      </c>
      <c r="AT13" t="e">
        <f>'2.4.Функции'!AJ66+"BYw!Ie"</f>
        <v>#VALUE!</v>
      </c>
      <c r="AU13" t="e">
        <f>'2.4.Функции'!AK66+"BYw!If"</f>
        <v>#VALUE!</v>
      </c>
      <c r="AV13" t="e">
        <f>'2.4.Функции'!AL66+"BYw!Ig"</f>
        <v>#VALUE!</v>
      </c>
      <c r="AW13" t="e">
        <f>'2.4.Функции'!AM66+"BYw!Ih"</f>
        <v>#VALUE!</v>
      </c>
      <c r="AX13" t="e">
        <f>'2.4.Функции'!AN66+"BYw!Ii"</f>
        <v>#VALUE!</v>
      </c>
      <c r="AY13" t="e">
        <f>'2.4.Функции'!AO66+"BYw!Ij"</f>
        <v>#VALUE!</v>
      </c>
      <c r="AZ13" t="e">
        <f>'2.4.Функции'!AP66+"BYw!Ik"</f>
        <v>#VALUE!</v>
      </c>
      <c r="BA13" t="e">
        <f>'2.4.Функции'!AQ66+"BYw!Il"</f>
        <v>#VALUE!</v>
      </c>
      <c r="BB13" t="e">
        <f>'2.4.Функции'!AR66+"BYw!Im"</f>
        <v>#VALUE!</v>
      </c>
      <c r="BC13" t="e">
        <f>'2.4.Функции'!AS66+"BYw!In"</f>
        <v>#VALUE!</v>
      </c>
      <c r="BD13" t="e">
        <f>'2.4.Функции'!AT66+"BYw!Io"</f>
        <v>#VALUE!</v>
      </c>
      <c r="BE13" t="e">
        <f>'2.4.Функции'!AU66+"BYw!Ip"</f>
        <v>#VALUE!</v>
      </c>
      <c r="BF13" t="e">
        <f>'2.4.Функции'!AV66+"BYw!Iq"</f>
        <v>#VALUE!</v>
      </c>
      <c r="BG13" t="e">
        <f>'2.4.Функции'!AW66+"BYw!Ir"</f>
        <v>#VALUE!</v>
      </c>
      <c r="BH13" t="e">
        <f>'2.4.Функции'!AX66+"BYw!Is"</f>
        <v>#VALUE!</v>
      </c>
      <c r="BI13" t="e">
        <f>'2.4.Функции'!AY66+"BYw!It"</f>
        <v>#VALUE!</v>
      </c>
      <c r="BJ13" t="e">
        <f>'2.4.Функции'!AZ66+"BYw!Iu"</f>
        <v>#VALUE!</v>
      </c>
      <c r="BK13" t="e">
        <f>'2.4.Функции'!BA66+"BYw!Iv"</f>
        <v>#VALUE!</v>
      </c>
      <c r="BL13" t="e">
        <f>'2.4.Функции'!BB66+"BYw!Iw"</f>
        <v>#VALUE!</v>
      </c>
      <c r="BM13" t="e">
        <f>'2.4.Функции'!BC66+"BYw!Ix"</f>
        <v>#VALUE!</v>
      </c>
      <c r="BN13" t="e">
        <f>'2.4.Функции'!BD66+"BYw!Iy"</f>
        <v>#VALUE!</v>
      </c>
      <c r="BO13" t="e">
        <f>'2.4.Функции'!BE66+"BYw!Iz"</f>
        <v>#VALUE!</v>
      </c>
      <c r="BP13" t="e">
        <f>'2.4.Функции'!BF66+"BYw!I{"</f>
        <v>#VALUE!</v>
      </c>
      <c r="BQ13" t="e">
        <f>'2.4.Функции'!BG66+"BYw!I|"</f>
        <v>#VALUE!</v>
      </c>
      <c r="BR13" t="e">
        <f>'2.4.Функции'!BH66+"BYw!I}"</f>
        <v>#VALUE!</v>
      </c>
      <c r="BS13" t="e">
        <f>'2.4.Функции'!BI66+"BYw!I~"</f>
        <v>#VALUE!</v>
      </c>
      <c r="BT13" t="e">
        <f>'2.4.Функции'!BJ66+"BYw!J#"</f>
        <v>#VALUE!</v>
      </c>
      <c r="BU13" t="e">
        <f>'2.4.Функции'!BK66+"BYw!J$"</f>
        <v>#VALUE!</v>
      </c>
      <c r="BV13" t="e">
        <f>'2.4.Функции'!BL66+"BYw!J%"</f>
        <v>#VALUE!</v>
      </c>
      <c r="BW13" t="e">
        <f>'2.4.Функции'!BM66+"BYw!J&amp;"</f>
        <v>#VALUE!</v>
      </c>
      <c r="BX13" t="e">
        <f>'2.4.Функции'!BN66+"BYw!J'"</f>
        <v>#VALUE!</v>
      </c>
      <c r="BY13" t="e">
        <f>'2.4.Функции'!BO66+"BYw!J("</f>
        <v>#VALUE!</v>
      </c>
      <c r="BZ13" t="e">
        <f>'2.4.Функции'!BP66+"BYw!J)"</f>
        <v>#VALUE!</v>
      </c>
      <c r="CA13" t="e">
        <f>'2.4.Функции'!BQ66+"BYw!J."</f>
        <v>#VALUE!</v>
      </c>
      <c r="CB13" t="e">
        <f>'2.4.Функции'!BR66+"BYw!J/"</f>
        <v>#VALUE!</v>
      </c>
      <c r="CC13" t="e">
        <f>'2.4.Функции'!BS66+"BYw!J0"</f>
        <v>#VALUE!</v>
      </c>
      <c r="CD13" t="e">
        <f>'2.4.Функции'!BT66+"BYw!J1"</f>
        <v>#VALUE!</v>
      </c>
      <c r="CE13" t="e">
        <f>'2.4.Функции'!BU66+"BYw!J2"</f>
        <v>#VALUE!</v>
      </c>
      <c r="CF13" t="e">
        <f>'2.4.Функции'!BV66+"BYw!J3"</f>
        <v>#VALUE!</v>
      </c>
      <c r="CG13" t="e">
        <f>'2.4.Функции'!BW66+"BYw!J4"</f>
        <v>#VALUE!</v>
      </c>
      <c r="CH13" t="e">
        <f>'2.4.Функции'!BX66+"BYw!J5"</f>
        <v>#VALUE!</v>
      </c>
      <c r="CI13" t="e">
        <f>'2.4.Функции'!BY66+"BYw!J6"</f>
        <v>#VALUE!</v>
      </c>
      <c r="CJ13" t="e">
        <f>'2.4.Функции'!BZ66+"BYw!J7"</f>
        <v>#VALUE!</v>
      </c>
      <c r="CK13" t="e">
        <f>'2.4.Функции'!CA66+"BYw!J8"</f>
        <v>#VALUE!</v>
      </c>
      <c r="CL13" t="e">
        <f>'2.4.Функции'!CB66+"BYw!J9"</f>
        <v>#VALUE!</v>
      </c>
      <c r="CM13" t="e">
        <f>'2.4.Функции'!CC66+"BYw!J:"</f>
        <v>#VALUE!</v>
      </c>
      <c r="CN13" t="e">
        <f>'2.4.Функции'!CD66+"BYw!J;"</f>
        <v>#VALUE!</v>
      </c>
      <c r="CO13" t="e">
        <f>'2.4.Функции'!CE66+"BYw!J&lt;"</f>
        <v>#VALUE!</v>
      </c>
      <c r="CP13" t="e">
        <f>'2.4.Функции'!CF66+"BYw!J="</f>
        <v>#VALUE!</v>
      </c>
      <c r="CQ13" t="e">
        <f>'2.4.Функции'!CG66+"BYw!J&gt;"</f>
        <v>#VALUE!</v>
      </c>
      <c r="CR13" t="e">
        <f>'2.4.Функции'!CH66+"BYw!J?"</f>
        <v>#VALUE!</v>
      </c>
      <c r="CS13" t="e">
        <f>'2.4.Функции'!CI66+"BYw!J@"</f>
        <v>#VALUE!</v>
      </c>
      <c r="CT13" t="e">
        <f>'2.4.Функции'!CJ66+"BYw!JA"</f>
        <v>#VALUE!</v>
      </c>
      <c r="CU13" t="e">
        <f>'2.4.Функции'!CK66+"BYw!JB"</f>
        <v>#VALUE!</v>
      </c>
      <c r="CV13" t="e">
        <f>'2.4.Функции'!CL66+"BYw!JC"</f>
        <v>#VALUE!</v>
      </c>
      <c r="CW13" t="e">
        <f>'2.4.Функции'!CM66+"BYw!JD"</f>
        <v>#VALUE!</v>
      </c>
      <c r="CX13" t="e">
        <f>'2.4.Функции'!CN66+"BYw!JE"</f>
        <v>#VALUE!</v>
      </c>
      <c r="CY13" t="e">
        <f>'2.4.Функции'!CO66+"BYw!JF"</f>
        <v>#VALUE!</v>
      </c>
      <c r="CZ13" t="e">
        <f>'2.4.Функции'!CP66+"BYw!JG"</f>
        <v>#VALUE!</v>
      </c>
      <c r="DA13" t="e">
        <f>'2.4.Функции'!CQ66+"BYw!JH"</f>
        <v>#VALUE!</v>
      </c>
      <c r="DB13" t="e">
        <f>'2.4.Функции'!CR66+"BYw!JI"</f>
        <v>#VALUE!</v>
      </c>
      <c r="DC13" t="e">
        <f>'2.4.Функции'!CS66+"BYw!JJ"</f>
        <v>#VALUE!</v>
      </c>
      <c r="DD13" t="e">
        <f>'2.4.Функции'!CT66+"BYw!JK"</f>
        <v>#VALUE!</v>
      </c>
      <c r="DE13" t="e">
        <f>'2.4.Функции'!CU66+"BYw!JL"</f>
        <v>#VALUE!</v>
      </c>
      <c r="DF13" t="e">
        <f>'2.4.Функции'!CV66+"BYw!JM"</f>
        <v>#VALUE!</v>
      </c>
      <c r="DG13" t="e">
        <f>'2.4.Функции'!CW66+"BYw!JN"</f>
        <v>#VALUE!</v>
      </c>
      <c r="DH13" t="e">
        <f>'2.4.Функции'!CX66+"BYw!JO"</f>
        <v>#VALUE!</v>
      </c>
      <c r="DI13" t="e">
        <f>'2.4.Функции'!CY66+"BYw!JP"</f>
        <v>#VALUE!</v>
      </c>
      <c r="DJ13" t="e">
        <f>'2.4.Функции'!CZ66+"BYw!JQ"</f>
        <v>#VALUE!</v>
      </c>
      <c r="DK13" t="e">
        <f>'2.4.Функции'!DA66+"BYw!JR"</f>
        <v>#VALUE!</v>
      </c>
      <c r="DL13" t="e">
        <f>'2.4.Функции'!DB66+"BYw!JS"</f>
        <v>#VALUE!</v>
      </c>
      <c r="DM13" t="e">
        <f>'2.4.Функции'!DC66+"BYw!JT"</f>
        <v>#VALUE!</v>
      </c>
      <c r="DN13" t="e">
        <f>'2.4.Функции'!DD66+"BYw!JU"</f>
        <v>#VALUE!</v>
      </c>
      <c r="DO13" t="e">
        <f>'2.4.Функции'!DE66+"BYw!JV"</f>
        <v>#VALUE!</v>
      </c>
      <c r="DP13" t="e">
        <f>'2.4.Функции'!DF66+"BYw!JW"</f>
        <v>#VALUE!</v>
      </c>
      <c r="DQ13" t="e">
        <f>'2.4.Функции'!DG66+"BYw!JX"</f>
        <v>#VALUE!</v>
      </c>
      <c r="DR13" t="e">
        <f>'2.4.Функции'!DH66+"BYw!JY"</f>
        <v>#VALUE!</v>
      </c>
      <c r="DS13" t="e">
        <f>'2.4.Функции'!DI66+"BYw!JZ"</f>
        <v>#VALUE!</v>
      </c>
      <c r="DT13" t="e">
        <f>'2.4.Функции'!DJ66+"BYw!J["</f>
        <v>#VALUE!</v>
      </c>
      <c r="DU13" t="e">
        <f>'2.4.Функции'!DK66+"BYw!J\"</f>
        <v>#VALUE!</v>
      </c>
      <c r="DV13" t="e">
        <f>'2.4.Функции'!DL66+"BYw!J]"</f>
        <v>#VALUE!</v>
      </c>
      <c r="DW13" t="e">
        <f>'2.4.Функции'!DM66+"BYw!J^"</f>
        <v>#VALUE!</v>
      </c>
      <c r="DX13" t="e">
        <f>'2.4.Функции'!DN66+"BYw!J_"</f>
        <v>#VALUE!</v>
      </c>
      <c r="DY13" t="e">
        <f>'2.4.Функции'!DO66+"BYw!J`"</f>
        <v>#VALUE!</v>
      </c>
      <c r="DZ13" t="e">
        <f>'2.4.Функции'!DP66+"BYw!Ja"</f>
        <v>#VALUE!</v>
      </c>
      <c r="EA13" t="e">
        <f>'2.4.Функции'!DQ66+"BYw!Jb"</f>
        <v>#VALUE!</v>
      </c>
      <c r="EB13" t="e">
        <f>'2.4.Функции'!DR66+"BYw!Jc"</f>
        <v>#VALUE!</v>
      </c>
      <c r="EC13" t="e">
        <f>'2.4.Функции'!DS66+"BYw!Jd"</f>
        <v>#VALUE!</v>
      </c>
      <c r="ED13" t="e">
        <f>'2.4.Функции'!DT66+"BYw!Je"</f>
        <v>#VALUE!</v>
      </c>
      <c r="EE13" t="e">
        <f>'2.4.Функции'!DU66+"BYw!Jf"</f>
        <v>#VALUE!</v>
      </c>
      <c r="EF13" t="e">
        <f>'2.4.Функции'!DV66+"BYw!Jg"</f>
        <v>#VALUE!</v>
      </c>
      <c r="EG13" t="e">
        <f>'2.4.Функции'!DW66+"BYw!Jh"</f>
        <v>#VALUE!</v>
      </c>
      <c r="EH13" t="e">
        <f>'2.4.Функции'!DX66+"BYw!Ji"</f>
        <v>#VALUE!</v>
      </c>
      <c r="EI13" t="e">
        <f>'2.4.Функции'!DY66+"BYw!Jj"</f>
        <v>#VALUE!</v>
      </c>
      <c r="EJ13" t="e">
        <f>'2.4.Функции'!DZ66+"BYw!Jk"</f>
        <v>#VALUE!</v>
      </c>
      <c r="EK13" t="e">
        <f>'2.4.Функции'!EA66+"BYw!Jl"</f>
        <v>#VALUE!</v>
      </c>
      <c r="EL13" t="e">
        <f>'2.4.Функции'!EB66+"BYw!Jm"</f>
        <v>#VALUE!</v>
      </c>
      <c r="EM13" t="e">
        <f>'2.4.Функции'!EC66+"BYw!Jn"</f>
        <v>#VALUE!</v>
      </c>
      <c r="EN13" t="e">
        <f>'2.4.Функции'!ED66+"BYw!Jo"</f>
        <v>#VALUE!</v>
      </c>
      <c r="EO13" t="e">
        <f>'2.4.Функции'!EE66+"BYw!Jp"</f>
        <v>#VALUE!</v>
      </c>
      <c r="EP13" t="e">
        <f>'2.4.Функции'!EF66+"BYw!Jq"</f>
        <v>#VALUE!</v>
      </c>
      <c r="EQ13" t="e">
        <f>'2.4.Функции'!EG66+"BYw!Jr"</f>
        <v>#VALUE!</v>
      </c>
      <c r="ER13" t="e">
        <f>'2.4.Функции'!EH66+"BYw!Js"</f>
        <v>#VALUE!</v>
      </c>
      <c r="ES13" t="e">
        <f>'2.4.Функции'!EI66+"BYw!Jt"</f>
        <v>#VALUE!</v>
      </c>
      <c r="ET13" t="e">
        <f>'2.4.Функции'!EJ66+"BYw!Ju"</f>
        <v>#VALUE!</v>
      </c>
      <c r="EU13" t="e">
        <f>'2.4.Функции'!EK66+"BYw!Jv"</f>
        <v>#VALUE!</v>
      </c>
      <c r="EV13" t="e">
        <f>'2.4.Функции'!EL66+"BYw!Jw"</f>
        <v>#VALUE!</v>
      </c>
      <c r="EW13" t="e">
        <f>'2.4.Функции'!EM66+"BYw!Jx"</f>
        <v>#VALUE!</v>
      </c>
      <c r="EX13" t="e">
        <f>'2.4.Функции'!EN66+"BYw!Jy"</f>
        <v>#VALUE!</v>
      </c>
      <c r="EY13" t="e">
        <f>'2.4.Функции'!EO66+"BYw!Jz"</f>
        <v>#VALUE!</v>
      </c>
      <c r="EZ13" t="e">
        <f>'2.4.Функции'!EP66+"BYw!J{"</f>
        <v>#VALUE!</v>
      </c>
      <c r="FA13" t="e">
        <f>'2.4.Функции'!EQ66+"BYw!J|"</f>
        <v>#VALUE!</v>
      </c>
      <c r="FB13" t="e">
        <f>'2.4.Функции'!ER66+"BYw!J}"</f>
        <v>#VALUE!</v>
      </c>
      <c r="FC13" t="e">
        <f>'2.4.Функции'!ES66+"BYw!J~"</f>
        <v>#VALUE!</v>
      </c>
      <c r="FD13" t="e">
        <f>'2.4.Функции'!ET66+"BYw!K#"</f>
        <v>#VALUE!</v>
      </c>
      <c r="FE13" t="e">
        <f>'2.4.Функции'!EU66+"BYw!K$"</f>
        <v>#VALUE!</v>
      </c>
      <c r="FF13" t="e">
        <f>'2.4.Функции'!EV66+"BYw!K%"</f>
        <v>#VALUE!</v>
      </c>
      <c r="FG13" t="e">
        <f>'2.4.Функции'!EW66+"BYw!K&amp;"</f>
        <v>#VALUE!</v>
      </c>
      <c r="FH13" t="e">
        <f>'2.4.Функции'!EX66+"BYw!K'"</f>
        <v>#VALUE!</v>
      </c>
      <c r="FI13" t="e">
        <f>'2.4.Функции'!EY66+"BYw!K("</f>
        <v>#VALUE!</v>
      </c>
      <c r="FJ13" t="e">
        <f>'2.4.Функции'!EZ66+"BYw!K)"</f>
        <v>#VALUE!</v>
      </c>
      <c r="FK13" t="e">
        <f>'2.4.Функции'!FA66+"BYw!K."</f>
        <v>#VALUE!</v>
      </c>
      <c r="FL13" t="e">
        <f>'2.4.Функции'!FB66+"BYw!K/"</f>
        <v>#VALUE!</v>
      </c>
      <c r="FM13" t="e">
        <f>'2.4.Функции'!FC66+"BYw!K0"</f>
        <v>#VALUE!</v>
      </c>
      <c r="FN13" t="e">
        <f>'2.4.Функции'!FD66+"BYw!K1"</f>
        <v>#VALUE!</v>
      </c>
      <c r="FO13" t="e">
        <f>'2.4.Функции'!FE66+"BYw!K2"</f>
        <v>#VALUE!</v>
      </c>
      <c r="FP13" t="e">
        <f>'2.4.Функции'!FF66+"BYw!K3"</f>
        <v>#VALUE!</v>
      </c>
      <c r="FQ13" t="e">
        <f>'2.4.Функции'!FG66+"BYw!K4"</f>
        <v>#VALUE!</v>
      </c>
      <c r="FR13" t="e">
        <f>'2.4.Функции'!FH66+"BYw!K5"</f>
        <v>#VALUE!</v>
      </c>
      <c r="FS13" t="e">
        <f>'2.4.Функции'!FI66+"BYw!K6"</f>
        <v>#VALUE!</v>
      </c>
      <c r="FT13" t="e">
        <f>'2.4.Функции'!FJ66+"BYw!K7"</f>
        <v>#VALUE!</v>
      </c>
      <c r="FU13" t="e">
        <f>'2.4.Функции'!FK66+"BYw!K8"</f>
        <v>#VALUE!</v>
      </c>
      <c r="FV13" t="e">
        <f>'2.4.Функции'!FL66+"BYw!K9"</f>
        <v>#VALUE!</v>
      </c>
      <c r="FW13" t="e">
        <f>'2.4.Функции'!FM66+"BYw!K:"</f>
        <v>#VALUE!</v>
      </c>
      <c r="FX13" t="e">
        <f>'2.4.Функции'!FN66+"BYw!K;"</f>
        <v>#VALUE!</v>
      </c>
      <c r="FY13" t="e">
        <f>'2.4.Функции'!FO66+"BYw!K&lt;"</f>
        <v>#VALUE!</v>
      </c>
      <c r="FZ13" t="e">
        <f>'2.4.Функции'!FP66+"BYw!K="</f>
        <v>#VALUE!</v>
      </c>
      <c r="GA13" t="e">
        <f>'2.4.Функции'!FQ66+"BYw!K&gt;"</f>
        <v>#VALUE!</v>
      </c>
      <c r="GB13" t="e">
        <f>'2.4.Функции'!FR66+"BYw!K?"</f>
        <v>#VALUE!</v>
      </c>
      <c r="GC13" t="e">
        <f>'2.4.Функции'!FS66+"BYw!K@"</f>
        <v>#VALUE!</v>
      </c>
      <c r="GD13" t="e">
        <f>'2.4.Функции'!FT66+"BYw!KA"</f>
        <v>#VALUE!</v>
      </c>
      <c r="GE13" t="e">
        <f>'2.4.Функции'!FU66+"BYw!KB"</f>
        <v>#VALUE!</v>
      </c>
      <c r="GF13" t="e">
        <f>'2.4.Функции'!FV66+"BYw!KC"</f>
        <v>#VALUE!</v>
      </c>
      <c r="GG13" t="e">
        <f>'2.4.Функции'!FW66+"BYw!KD"</f>
        <v>#VALUE!</v>
      </c>
      <c r="GH13" t="e">
        <f>'2.4.Функции'!FX66+"BYw!KE"</f>
        <v>#VALUE!</v>
      </c>
      <c r="GI13" t="e">
        <f>'2.4.Функции'!FY66+"BYw!KF"</f>
        <v>#VALUE!</v>
      </c>
      <c r="GJ13" t="e">
        <f>'2.4.Функции'!FZ66+"BYw!KG"</f>
        <v>#VALUE!</v>
      </c>
      <c r="GK13" t="e">
        <f>'2.4.Функции'!GA66+"BYw!KH"</f>
        <v>#VALUE!</v>
      </c>
      <c r="GL13" t="e">
        <f>'2.4.Функции'!GB66+"BYw!KI"</f>
        <v>#VALUE!</v>
      </c>
      <c r="GM13" t="e">
        <f>'2.4.Функции'!GC66+"BYw!KJ"</f>
        <v>#VALUE!</v>
      </c>
      <c r="GN13" t="e">
        <f>'2.4.Функции'!GD66+"BYw!KK"</f>
        <v>#VALUE!</v>
      </c>
      <c r="GO13" t="e">
        <f>'2.4.Функции'!GE66+"BYw!KL"</f>
        <v>#VALUE!</v>
      </c>
      <c r="GP13" t="e">
        <f>'2.4.Функции'!GF66+"BYw!KM"</f>
        <v>#VALUE!</v>
      </c>
      <c r="GQ13" t="e">
        <f>'2.4.Функции'!GG66+"BYw!KN"</f>
        <v>#VALUE!</v>
      </c>
      <c r="GR13" t="e">
        <f>'2.4.Функции'!GH66+"BYw!KO"</f>
        <v>#VALUE!</v>
      </c>
      <c r="GS13" t="e">
        <f>'2.4.Функции'!GI66+"BYw!KP"</f>
        <v>#VALUE!</v>
      </c>
      <c r="GT13" t="e">
        <f>'2.4.Функции'!GJ66+"BYw!KQ"</f>
        <v>#VALUE!</v>
      </c>
      <c r="GU13" t="e">
        <f>'2.4.Функции'!GK66+"BYw!KR"</f>
        <v>#VALUE!</v>
      </c>
      <c r="GV13" t="e">
        <f>'2.4.Функции'!GL66+"BYw!KS"</f>
        <v>#VALUE!</v>
      </c>
      <c r="GW13" t="e">
        <f>'2.4.Функции'!GM66+"BYw!KT"</f>
        <v>#VALUE!</v>
      </c>
      <c r="GX13" t="e">
        <f>'2.4.Функции'!GN66+"BYw!KU"</f>
        <v>#VALUE!</v>
      </c>
      <c r="GY13" t="e">
        <f>'2.4.Функции'!GO66+"BYw!KV"</f>
        <v>#VALUE!</v>
      </c>
      <c r="GZ13" t="e">
        <f>'2.4.Функции'!GP66+"BYw!KW"</f>
        <v>#VALUE!</v>
      </c>
      <c r="HA13" t="e">
        <f>'2.4.Функции'!GQ66+"BYw!KX"</f>
        <v>#VALUE!</v>
      </c>
      <c r="HB13" t="e">
        <f>'2.4.Функции'!GR66+"BYw!KY"</f>
        <v>#VALUE!</v>
      </c>
      <c r="HC13" t="e">
        <f>'2.4.Функции'!GS66+"BYw!KZ"</f>
        <v>#VALUE!</v>
      </c>
      <c r="HD13" t="e">
        <f>'2.4.Функции'!GT66+"BYw!K["</f>
        <v>#VALUE!</v>
      </c>
      <c r="HE13" t="e">
        <f>'2.4.Функции'!GU66+"BYw!K\"</f>
        <v>#VALUE!</v>
      </c>
      <c r="HF13" t="e">
        <f>'2.4.Функции'!GV66+"BYw!K]"</f>
        <v>#VALUE!</v>
      </c>
      <c r="HG13" t="e">
        <f>'2.4.Функции'!GW66+"BYw!K^"</f>
        <v>#VALUE!</v>
      </c>
      <c r="HH13" t="e">
        <f>'2.4.Функции'!GX66+"BYw!K_"</f>
        <v>#VALUE!</v>
      </c>
      <c r="HI13" t="e">
        <f>'2.4.Функции'!GY66+"BYw!K`"</f>
        <v>#VALUE!</v>
      </c>
      <c r="HJ13" t="e">
        <f>'2.4.Функции'!GZ66+"BYw!Ka"</f>
        <v>#VALUE!</v>
      </c>
      <c r="HK13" t="e">
        <f>'2.4.Функции'!HA66+"BYw!Kb"</f>
        <v>#VALUE!</v>
      </c>
      <c r="HL13" t="e">
        <f>'2.4.Функции'!HB66+"BYw!Kc"</f>
        <v>#VALUE!</v>
      </c>
      <c r="HM13" t="e">
        <f>'2.4.Функции'!HC66+"BYw!Kd"</f>
        <v>#VALUE!</v>
      </c>
      <c r="HN13" t="e">
        <f>'2.4.Функции'!HD66+"BYw!Ke"</f>
        <v>#VALUE!</v>
      </c>
      <c r="HO13" t="e">
        <f>'2.4.Функции'!HE66+"BYw!Kf"</f>
        <v>#VALUE!</v>
      </c>
      <c r="HP13" t="e">
        <f>'2.4.Функции'!HF66+"BYw!Kg"</f>
        <v>#VALUE!</v>
      </c>
      <c r="HQ13" t="e">
        <f>'2.4.Функции'!HG66+"BYw!Kh"</f>
        <v>#VALUE!</v>
      </c>
      <c r="HR13" t="e">
        <f>'2.4.Функции'!HH66+"BYw!Ki"</f>
        <v>#VALUE!</v>
      </c>
      <c r="HS13" t="e">
        <f>'2.4.Функции'!HI66+"BYw!Kj"</f>
        <v>#VALUE!</v>
      </c>
      <c r="HT13" t="e">
        <f>'2.4.Функции'!HJ66+"BYw!Kk"</f>
        <v>#VALUE!</v>
      </c>
      <c r="HU13" t="e">
        <f>'2.4.Функции'!HK66+"BYw!Kl"</f>
        <v>#VALUE!</v>
      </c>
      <c r="HV13" t="e">
        <f>'2.4.Функции'!HL66+"BYw!Km"</f>
        <v>#VALUE!</v>
      </c>
      <c r="HW13" t="e">
        <f>'2.4.Функции'!HM66+"BYw!Kn"</f>
        <v>#VALUE!</v>
      </c>
      <c r="HX13" t="e">
        <f>'2.4.Функции'!HN66+"BYw!Ko"</f>
        <v>#VALUE!</v>
      </c>
      <c r="HY13" t="e">
        <f>'2.4.Функции'!HO66+"BYw!Kp"</f>
        <v>#VALUE!</v>
      </c>
      <c r="HZ13" t="e">
        <f>'2.4.Функции'!HP66+"BYw!Kq"</f>
        <v>#VALUE!</v>
      </c>
      <c r="IA13" t="e">
        <f>'2.4.Функции'!HQ66+"BYw!Kr"</f>
        <v>#VALUE!</v>
      </c>
      <c r="IB13" t="e">
        <f>'2.4.Функции'!HR66+"BYw!Ks"</f>
        <v>#VALUE!</v>
      </c>
      <c r="IC13" t="e">
        <f>'2.4.Функции'!HS66+"BYw!Kt"</f>
        <v>#VALUE!</v>
      </c>
      <c r="ID13" t="e">
        <f>'2.4.Функции'!HT66+"BYw!Ku"</f>
        <v>#VALUE!</v>
      </c>
      <c r="IE13" t="e">
        <f>'2.4.Функции'!HU66+"BYw!Kv"</f>
        <v>#VALUE!</v>
      </c>
      <c r="IF13" t="e">
        <f>'2.4.Функции'!HV66+"BYw!Kw"</f>
        <v>#VALUE!</v>
      </c>
      <c r="IG13" t="e">
        <f>'2.4.Функции'!HW66+"BYw!Kx"</f>
        <v>#VALUE!</v>
      </c>
      <c r="IH13" t="e">
        <f>'2.4.Функции'!HX66+"BYw!Ky"</f>
        <v>#VALUE!</v>
      </c>
      <c r="II13" t="e">
        <f>'2.4.Функции'!HY66+"BYw!Kz"</f>
        <v>#VALUE!</v>
      </c>
      <c r="IJ13" t="e">
        <f>'2.4.Функции'!HZ66+"BYw!K{"</f>
        <v>#VALUE!</v>
      </c>
      <c r="IK13" t="e">
        <f>'2.4.Функции'!IA66+"BYw!K|"</f>
        <v>#VALUE!</v>
      </c>
      <c r="IL13" t="e">
        <f>'2.4.Функции'!IB66+"BYw!K}"</f>
        <v>#VALUE!</v>
      </c>
      <c r="IM13" t="e">
        <f>'2.4.Функции'!IC66+"BYw!K~"</f>
        <v>#VALUE!</v>
      </c>
      <c r="IN13" t="e">
        <f>'2.4.Функции'!ID66+"BYw!L#"</f>
        <v>#VALUE!</v>
      </c>
      <c r="IO13" t="e">
        <f>'2.4.Функции'!IE66+"BYw!L$"</f>
        <v>#VALUE!</v>
      </c>
      <c r="IP13" t="e">
        <f>'2.4.Функции'!IF66+"BYw!L%"</f>
        <v>#VALUE!</v>
      </c>
      <c r="IQ13" t="e">
        <f>'2.4.Функции'!IG66+"BYw!L&amp;"</f>
        <v>#VALUE!</v>
      </c>
      <c r="IR13" t="e">
        <f>'2.4.Функции'!IH66+"BYw!L'"</f>
        <v>#VALUE!</v>
      </c>
      <c r="IS13" t="e">
        <f>'2.4.Функции'!II66+"BYw!L("</f>
        <v>#VALUE!</v>
      </c>
      <c r="IT13" t="e">
        <f>'2.4.Функции'!IJ66+"BYw!L)"</f>
        <v>#VALUE!</v>
      </c>
      <c r="IU13" t="e">
        <f>'2.4.Функции'!IK66+"BYw!L."</f>
        <v>#VALUE!</v>
      </c>
      <c r="IV13" t="e">
        <f>'2.4.Функции'!IL66+"BYw!L/"</f>
        <v>#VALUE!</v>
      </c>
    </row>
    <row r="14" spans="1:256" x14ac:dyDescent="0.2">
      <c r="F14" t="e">
        <f>'2.4.Функции'!IM66+"BYw!L0"</f>
        <v>#VALUE!</v>
      </c>
      <c r="G14" t="e">
        <f>'2.4.Функции'!IN66+"BYw!L1"</f>
        <v>#VALUE!</v>
      </c>
      <c r="H14" t="e">
        <f>'2.4.Функции'!IO66+"BYw!L2"</f>
        <v>#VALUE!</v>
      </c>
      <c r="I14" t="e">
        <f>'2.4.Функции'!IP66+"BYw!L3"</f>
        <v>#VALUE!</v>
      </c>
      <c r="J14" t="e">
        <f>'2.4.Функции'!IQ66+"BYw!L4"</f>
        <v>#VALUE!</v>
      </c>
      <c r="K14" t="e">
        <f>'2.4.Функции'!IR66+"BYw!L5"</f>
        <v>#VALUE!</v>
      </c>
      <c r="L14" t="e">
        <f>'2.4.Функции'!IS66+"BYw!L6"</f>
        <v>#VALUE!</v>
      </c>
      <c r="M14" t="e">
        <f>'2.4.Функции'!IT66+"BYw!L7"</f>
        <v>#VALUE!</v>
      </c>
      <c r="N14" t="e">
        <f>'2.4.Функции'!IU66+"BYw!L8"</f>
        <v>#VALUE!</v>
      </c>
      <c r="O14" t="e">
        <f>'2.4.Функции'!IV66+"BYw!L9"</f>
        <v>#VALUE!</v>
      </c>
      <c r="P14" t="e">
        <f>'2.4.Функции'!IW66+"BYw!L:"</f>
        <v>#VALUE!</v>
      </c>
      <c r="Q14" t="e">
        <f>'2.4.Функции'!IX66+"BYw!L;"</f>
        <v>#VALUE!</v>
      </c>
      <c r="R14" t="e">
        <f>'2.4.Функции'!IY66+"BYw!L&lt;"</f>
        <v>#VALUE!</v>
      </c>
      <c r="S14" t="e">
        <f>'2.4.Функции'!IZ66+"BYw!L="</f>
        <v>#VALUE!</v>
      </c>
      <c r="T14" t="e">
        <f>'2.4.Функции'!JA66+"BYw!L&gt;"</f>
        <v>#VALUE!</v>
      </c>
      <c r="U14" t="e">
        <f>'2.4.Функции'!JB66+"BYw!L?"</f>
        <v>#VALUE!</v>
      </c>
      <c r="V14" t="e">
        <f>'2.4.Функции'!JC66+"BYw!L@"</f>
        <v>#VALUE!</v>
      </c>
      <c r="W14" t="e">
        <f>'2.4.Функции'!JD66+"BYw!LA"</f>
        <v>#VALUE!</v>
      </c>
      <c r="X14" t="e">
        <f>'2.4.Функции'!JE66+"BYw!LB"</f>
        <v>#VALUE!</v>
      </c>
      <c r="Y14" t="e">
        <f>'2.4.Функции'!JF66+"BYw!LC"</f>
        <v>#VALUE!</v>
      </c>
      <c r="Z14" t="e">
        <f>'2.4.Функции'!JG66+"BYw!LD"</f>
        <v>#VALUE!</v>
      </c>
      <c r="AA14" t="e">
        <f>'2.4.Функции'!JH66+"BYw!LE"</f>
        <v>#VALUE!</v>
      </c>
      <c r="AB14" t="e">
        <f>'2.4.Функции'!JI66+"BYw!LF"</f>
        <v>#VALUE!</v>
      </c>
      <c r="AC14" t="e">
        <f>'2.4.Функции'!JJ66+"BYw!LG"</f>
        <v>#VALUE!</v>
      </c>
      <c r="AD14" t="e">
        <f>'2.4.Функции'!JK66+"BYw!LH"</f>
        <v>#VALUE!</v>
      </c>
      <c r="AE14" t="e">
        <f>'2.4.Функции'!JL66+"BYw!LI"</f>
        <v>#VALUE!</v>
      </c>
      <c r="AF14" t="e">
        <f>'2.4.Функции'!JM66+"BYw!LJ"</f>
        <v>#VALUE!</v>
      </c>
      <c r="AG14" t="e">
        <f>'2.4.Функции'!JN66+"BYw!LK"</f>
        <v>#VALUE!</v>
      </c>
      <c r="AH14" t="e">
        <f>'2.4.Функции'!JO66+"BYw!LL"</f>
        <v>#VALUE!</v>
      </c>
      <c r="AI14" t="e">
        <f>'2.4.Функции'!JP66+"BYw!LM"</f>
        <v>#VALUE!</v>
      </c>
      <c r="AJ14" t="e">
        <f>'2.4.Функции'!JQ66+"BYw!LN"</f>
        <v>#VALUE!</v>
      </c>
      <c r="AK14" t="e">
        <f>'2.4.Функции'!JR66+"BYw!LO"</f>
        <v>#VALUE!</v>
      </c>
      <c r="AL14" t="e">
        <f>'2.4.Функции'!JS66+"BYw!LP"</f>
        <v>#VALUE!</v>
      </c>
      <c r="AM14" t="e">
        <f>'2.4.Функции'!JT66+"BYw!LQ"</f>
        <v>#VALUE!</v>
      </c>
      <c r="AN14" t="e">
        <f>'2.4.Функции'!JU66+"BYw!LR"</f>
        <v>#VALUE!</v>
      </c>
      <c r="AO14" t="e">
        <f>'2.4.Функции'!JV66+"BYw!LS"</f>
        <v>#VALUE!</v>
      </c>
      <c r="AP14" t="e">
        <f>'2.4.Функции'!JW66+"BYw!LT"</f>
        <v>#VALUE!</v>
      </c>
      <c r="AQ14" t="e">
        <f>'2.4.Функции'!JX66+"BYw!LU"</f>
        <v>#VALUE!</v>
      </c>
      <c r="AR14" t="e">
        <f>'2.4.Функции'!JY66+"BYw!LV"</f>
        <v>#VALUE!</v>
      </c>
      <c r="AS14" t="e">
        <f>'2.4.Функции'!JZ66+"BYw!LW"</f>
        <v>#VALUE!</v>
      </c>
      <c r="AT14" t="e">
        <f>'2.4.Функции'!KA66+"BYw!LX"</f>
        <v>#VALUE!</v>
      </c>
      <c r="AU14" t="e">
        <f>'2.4.Функции'!KB66+"BYw!LY"</f>
        <v>#VALUE!</v>
      </c>
      <c r="AV14" t="e">
        <f>'2.4.Функции'!KC66+"BYw!LZ"</f>
        <v>#VALUE!</v>
      </c>
      <c r="AW14" t="e">
        <f>'2.4.Функции'!KD66+"BYw!L["</f>
        <v>#VALUE!</v>
      </c>
      <c r="AX14" t="e">
        <f>'2.4.Функции'!KE66+"BYw!L\"</f>
        <v>#VALUE!</v>
      </c>
      <c r="AY14" t="e">
        <f>'2.4.Функции'!KF66+"BYw!L]"</f>
        <v>#VALUE!</v>
      </c>
      <c r="AZ14" t="e">
        <f>'2.4.Функции'!KG66+"BYw!L^"</f>
        <v>#VALUE!</v>
      </c>
      <c r="BA14" t="e">
        <f>'2.4.Функции'!KH66+"BYw!L_"</f>
        <v>#VALUE!</v>
      </c>
      <c r="BB14" t="e">
        <f>'2.4.Функции'!KI66+"BYw!L`"</f>
        <v>#VALUE!</v>
      </c>
      <c r="BC14" t="e">
        <f>'2.4.Функции'!KJ66+"BYw!La"</f>
        <v>#VALUE!</v>
      </c>
      <c r="BD14" t="e">
        <f>'2.4.Функции'!KK66+"BYw!Lb"</f>
        <v>#VALUE!</v>
      </c>
      <c r="BE14" t="e">
        <f>'2.4.Функции'!KL66+"BYw!Lc"</f>
        <v>#VALUE!</v>
      </c>
      <c r="BF14" t="e">
        <f>'2.4.Функции'!KM66+"BYw!Ld"</f>
        <v>#VALUE!</v>
      </c>
      <c r="BG14" t="e">
        <f>'2.4.Функции'!KN66+"BYw!Le"</f>
        <v>#VALUE!</v>
      </c>
      <c r="BH14" t="e">
        <f>'2.4.Функции'!KO66+"BYw!Lf"</f>
        <v>#VALUE!</v>
      </c>
      <c r="BI14" t="e">
        <f>'2.4.Функции'!KP66+"BYw!Lg"</f>
        <v>#VALUE!</v>
      </c>
      <c r="BJ14" t="e">
        <f>'2.4.Функции'!KQ66+"BYw!Lh"</f>
        <v>#VALUE!</v>
      </c>
      <c r="BK14" t="e">
        <f>'2.4.Функции'!KR66+"BYw!Li"</f>
        <v>#VALUE!</v>
      </c>
      <c r="BL14" t="e">
        <f>'2.4.Функции'!KS66+"BYw!Lj"</f>
        <v>#VALUE!</v>
      </c>
      <c r="BM14" t="e">
        <f>'2.4.Функции'!KT66+"BYw!Lk"</f>
        <v>#VALUE!</v>
      </c>
      <c r="BN14" t="e">
        <f>'2.4.Функции'!KU66+"BYw!Ll"</f>
        <v>#VALUE!</v>
      </c>
      <c r="BO14" t="e">
        <f>'2.4.Функции'!KV66+"BYw!Lm"</f>
        <v>#VALUE!</v>
      </c>
      <c r="BP14" t="e">
        <f>'2.4.Функции'!KW66+"BYw!Ln"</f>
        <v>#VALUE!</v>
      </c>
      <c r="BQ14" t="e">
        <f>'2.4.Функции'!KX66+"BYw!Lo"</f>
        <v>#VALUE!</v>
      </c>
      <c r="BR14" t="e">
        <f>'2.4.Функции'!KY66+"BYw!Lp"</f>
        <v>#VALUE!</v>
      </c>
      <c r="BS14" t="e">
        <f>'2.4.Функции'!KZ66+"BYw!Lq"</f>
        <v>#VALUE!</v>
      </c>
      <c r="BT14" t="e">
        <f>'2.4.Функции'!LA66+"BYw!Lr"</f>
        <v>#VALUE!</v>
      </c>
      <c r="BU14" t="e">
        <f>'2.4.Функции'!LB66+"BYw!Ls"</f>
        <v>#VALUE!</v>
      </c>
      <c r="BV14" t="e">
        <f>'2.4.Функции'!LC66+"BYw!Lt"</f>
        <v>#VALUE!</v>
      </c>
      <c r="BW14" t="e">
        <f>'2.4.Функции'!LD66+"BYw!Lu"</f>
        <v>#VALUE!</v>
      </c>
      <c r="BX14" t="e">
        <f>'2.4.Функции'!LE66+"BYw!Lv"</f>
        <v>#VALUE!</v>
      </c>
      <c r="BY14" t="e">
        <f>'2.4.Функции'!LF66+"BYw!Lw"</f>
        <v>#VALUE!</v>
      </c>
      <c r="BZ14" t="e">
        <f>'2.4.Функции'!LG66+"BYw!Lx"</f>
        <v>#VALUE!</v>
      </c>
      <c r="CA14" t="e">
        <f>'2.4.Функции'!LH66+"BYw!Ly"</f>
        <v>#VALUE!</v>
      </c>
      <c r="CB14" t="e">
        <f>'2.4.Функции'!LI66+"BYw!Lz"</f>
        <v>#VALUE!</v>
      </c>
      <c r="CC14" t="e">
        <f>'2.4.Функции'!LJ66+"BYw!L{"</f>
        <v>#VALUE!</v>
      </c>
      <c r="CD14" t="e">
        <f>'2.4.Функции'!LK66+"BYw!L|"</f>
        <v>#VALUE!</v>
      </c>
      <c r="CE14" t="e">
        <f>'2.4.Функции'!LL66+"BYw!L}"</f>
        <v>#VALUE!</v>
      </c>
      <c r="CF14" t="e">
        <f>'2.4.Функции'!LM66+"BYw!L~"</f>
        <v>#VALUE!</v>
      </c>
      <c r="CG14" t="e">
        <f>'2.4.Функции'!LN66+"BYw!M#"</f>
        <v>#VALUE!</v>
      </c>
      <c r="CH14" t="e">
        <f>'2.4.Функции'!LO66+"BYw!M$"</f>
        <v>#VALUE!</v>
      </c>
      <c r="CI14" t="e">
        <f>'2.4.Функции'!LP66+"BYw!M%"</f>
        <v>#VALUE!</v>
      </c>
      <c r="CJ14" t="e">
        <f>'2.4.Функции'!LQ66+"BYw!M&amp;"</f>
        <v>#VALUE!</v>
      </c>
      <c r="CK14" t="e">
        <f>'2.4.Функции'!LR66+"BYw!M'"</f>
        <v>#VALUE!</v>
      </c>
      <c r="CL14" t="e">
        <f>'2.4.Функции'!LS66+"BYw!M("</f>
        <v>#VALUE!</v>
      </c>
      <c r="CM14" t="e">
        <f>'2.4.Функции'!LT66+"BYw!M)"</f>
        <v>#VALUE!</v>
      </c>
      <c r="CN14" t="e">
        <f>'2.4.Функции'!LU66+"BYw!M."</f>
        <v>#VALUE!</v>
      </c>
      <c r="CO14" t="e">
        <f>'2.4.Функции'!LV66+"BYw!M/"</f>
        <v>#VALUE!</v>
      </c>
      <c r="CP14" t="e">
        <f>'2.4.Функции'!LW66+"BYw!M0"</f>
        <v>#VALUE!</v>
      </c>
      <c r="CQ14" t="e">
        <f>'2.4.Функции'!LX66+"BYw!M1"</f>
        <v>#VALUE!</v>
      </c>
      <c r="CR14" t="e">
        <f>'2.4.Функции'!LY66+"BYw!M2"</f>
        <v>#VALUE!</v>
      </c>
      <c r="CS14" t="e">
        <f>'2.4.Функции'!LZ66+"BYw!M3"</f>
        <v>#VALUE!</v>
      </c>
      <c r="CT14" t="e">
        <f>'2.4.Функции'!MA66+"BYw!M4"</f>
        <v>#VALUE!</v>
      </c>
      <c r="CU14" t="e">
        <f>'2.4.Функции'!MB66+"BYw!M5"</f>
        <v>#VALUE!</v>
      </c>
      <c r="CV14" t="e">
        <f>'2.4.Функции'!MC66+"BYw!M6"</f>
        <v>#VALUE!</v>
      </c>
      <c r="CW14" t="e">
        <f>'2.4.Функции'!MD66+"BYw!M7"</f>
        <v>#VALUE!</v>
      </c>
      <c r="CX14" t="e">
        <f>'2.4.Функции'!ME66+"BYw!M8"</f>
        <v>#VALUE!</v>
      </c>
      <c r="CY14" t="e">
        <f>'2.4.Функции'!MF66+"BYw!M9"</f>
        <v>#VALUE!</v>
      </c>
      <c r="CZ14" t="e">
        <f>'2.4.Функции'!MG66+"BYw!M:"</f>
        <v>#VALUE!</v>
      </c>
      <c r="DA14" t="e">
        <f>'2.4.Функции'!MH66+"BYw!M;"</f>
        <v>#VALUE!</v>
      </c>
      <c r="DB14" t="e">
        <f>'2.4.Функции'!MI66+"BYw!M&lt;"</f>
        <v>#VALUE!</v>
      </c>
      <c r="DC14" t="e">
        <f>'2.4.Функции'!MJ66+"BYw!M="</f>
        <v>#VALUE!</v>
      </c>
      <c r="DD14" t="e">
        <f>'2.4.Функции'!MK66+"BYw!M&gt;"</f>
        <v>#VALUE!</v>
      </c>
      <c r="DE14" t="e">
        <f>'2.4.Функции'!ML66+"BYw!M?"</f>
        <v>#VALUE!</v>
      </c>
      <c r="DF14" t="e">
        <f>'2.4.Функции'!MM66+"BYw!M@"</f>
        <v>#VALUE!</v>
      </c>
      <c r="DG14" t="e">
        <f>'2.4.Функции'!MN66+"BYw!MA"</f>
        <v>#VALUE!</v>
      </c>
      <c r="DH14" t="e">
        <f>'2.4.Функции'!MO66+"BYw!MB"</f>
        <v>#VALUE!</v>
      </c>
      <c r="DI14" t="e">
        <f>'2.4.Функции'!MP66+"BYw!MC"</f>
        <v>#VALUE!</v>
      </c>
      <c r="DJ14" t="e">
        <f>'2.4.Функции'!MQ66+"BYw!MD"</f>
        <v>#VALUE!</v>
      </c>
      <c r="DK14" t="e">
        <f>'2.4.Функции'!MR66+"BYw!ME"</f>
        <v>#VALUE!</v>
      </c>
      <c r="DL14" t="e">
        <f>'2.4.Функции'!MS66+"BYw!MF"</f>
        <v>#VALUE!</v>
      </c>
      <c r="DM14" t="e">
        <f>'2.4.Функции'!MT66+"BYw!MG"</f>
        <v>#VALUE!</v>
      </c>
      <c r="DN14" t="e">
        <f>'2.4.Функции'!MU66+"BYw!MH"</f>
        <v>#VALUE!</v>
      </c>
      <c r="DO14" t="e">
        <f>'2.4.Функции'!MV66+"BYw!MI"</f>
        <v>#VALUE!</v>
      </c>
      <c r="DP14" t="e">
        <f>'2.4.Функции'!MW66+"BYw!MJ"</f>
        <v>#VALUE!</v>
      </c>
      <c r="DQ14" t="e">
        <f>'2.4.Функции'!MX66+"BYw!MK"</f>
        <v>#VALUE!</v>
      </c>
      <c r="DR14" t="e">
        <f>'2.4.Функции'!MY66+"BYw!ML"</f>
        <v>#VALUE!</v>
      </c>
      <c r="DS14" t="e">
        <f>'2.4.Функции'!MZ66+"BYw!MM"</f>
        <v>#VALUE!</v>
      </c>
      <c r="DT14" t="e">
        <f>'2.4.Функции'!NA66+"BYw!MN"</f>
        <v>#VALUE!</v>
      </c>
      <c r="DU14" t="e">
        <f>'2.4.Функции'!NB66+"BYw!MO"</f>
        <v>#VALUE!</v>
      </c>
      <c r="DV14" t="e">
        <f>'2.4.Функции'!NC66+"BYw!MP"</f>
        <v>#VALUE!</v>
      </c>
      <c r="DW14" t="e">
        <f>'2.4.Функции'!ND66+"BYw!MQ"</f>
        <v>#VALUE!</v>
      </c>
      <c r="DX14" t="e">
        <f>'2.4.Функции'!NE66+"BYw!MR"</f>
        <v>#VALUE!</v>
      </c>
      <c r="DY14" t="e">
        <f>'2.4.Функции'!NF66+"BYw!MS"</f>
        <v>#VALUE!</v>
      </c>
      <c r="DZ14" t="e">
        <f>'2.4.Функции'!NG66+"BYw!MT"</f>
        <v>#VALUE!</v>
      </c>
      <c r="EA14" t="e">
        <f>'2.4.Функции'!NH66+"BYw!MU"</f>
        <v>#VALUE!</v>
      </c>
      <c r="EB14" t="e">
        <f>'2.4.Функции'!NI66+"BYw!MV"</f>
        <v>#VALUE!</v>
      </c>
      <c r="EC14" t="e">
        <f>'2.4.Функции'!NJ66+"BYw!MW"</f>
        <v>#VALUE!</v>
      </c>
      <c r="ED14" t="e">
        <f>'2.4.Функции'!NK66+"BYw!MX"</f>
        <v>#VALUE!</v>
      </c>
      <c r="EE14" t="e">
        <f>'2.4.Функции'!NL66+"BYw!MY"</f>
        <v>#VALUE!</v>
      </c>
      <c r="EF14" t="e">
        <f>'2.4.Функции'!NM66+"BYw!MZ"</f>
        <v>#VALUE!</v>
      </c>
      <c r="EG14" t="e">
        <f>'2.4.Функции'!NN66+"BYw!M["</f>
        <v>#VALUE!</v>
      </c>
      <c r="EH14" t="e">
        <f>'2.4.Функции'!NO66+"BYw!M\"</f>
        <v>#VALUE!</v>
      </c>
      <c r="EI14" t="e">
        <f>'2.4.Функции'!NP66+"BYw!M]"</f>
        <v>#VALUE!</v>
      </c>
      <c r="EJ14" t="e">
        <f>'2.4.Функции'!NQ66+"BYw!M^"</f>
        <v>#VALUE!</v>
      </c>
      <c r="EK14" t="e">
        <f>'2.4.Функции'!NR66+"BYw!M_"</f>
        <v>#VALUE!</v>
      </c>
      <c r="EL14" t="e">
        <f>'2.4.Функции'!NS66+"BYw!M`"</f>
        <v>#VALUE!</v>
      </c>
      <c r="EM14" t="e">
        <f>'2.4.Функции'!NT66+"BYw!Ma"</f>
        <v>#VALUE!</v>
      </c>
      <c r="EN14" t="e">
        <f>'2.4.Функции'!NU66+"BYw!Mb"</f>
        <v>#VALUE!</v>
      </c>
      <c r="EO14" t="e">
        <f>'2.4.Функции'!NV66+"BYw!Mc"</f>
        <v>#VALUE!</v>
      </c>
      <c r="EP14" t="e">
        <f>'2.4.Функции'!NW66+"BYw!Md"</f>
        <v>#VALUE!</v>
      </c>
      <c r="EQ14" t="e">
        <f>'2.4.Функции'!NX66+"BYw!Me"</f>
        <v>#VALUE!</v>
      </c>
      <c r="ER14" t="e">
        <f>'2.4.Функции'!NY66+"BYw!Mf"</f>
        <v>#VALUE!</v>
      </c>
      <c r="ES14" t="e">
        <f>'2.4.Функции'!NZ66+"BYw!Mg"</f>
        <v>#VALUE!</v>
      </c>
      <c r="ET14" t="e">
        <f>'2.4.Функции'!OA66+"BYw!Mh"</f>
        <v>#VALUE!</v>
      </c>
      <c r="EU14" t="e">
        <f>'2.4.Функции'!OB66+"BYw!Mi"</f>
        <v>#VALUE!</v>
      </c>
      <c r="EV14" t="e">
        <f>'2.4.Функции'!OC66+"BYw!Mj"</f>
        <v>#VALUE!</v>
      </c>
      <c r="EW14" t="e">
        <f>'2.4.Функции'!OD66+"BYw!Mk"</f>
        <v>#VALUE!</v>
      </c>
      <c r="EX14" t="e">
        <f>'2.4.Функции'!OE66+"BYw!Ml"</f>
        <v>#VALUE!</v>
      </c>
      <c r="EY14" t="e">
        <f>'2.4.Функции'!OF66+"BYw!Mm"</f>
        <v>#VALUE!</v>
      </c>
      <c r="EZ14" t="e">
        <f>'2.4.Функции'!OG66+"BYw!Mn"</f>
        <v>#VALUE!</v>
      </c>
      <c r="FA14" t="e">
        <f>'2.4.Функции'!OH66+"BYw!Mo"</f>
        <v>#VALUE!</v>
      </c>
      <c r="FB14" t="e">
        <f>'2.4.Функции'!OI66+"BYw!Mp"</f>
        <v>#VALUE!</v>
      </c>
      <c r="FC14" t="e">
        <f>'2.4.Функции'!OJ66+"BYw!Mq"</f>
        <v>#VALUE!</v>
      </c>
      <c r="FD14" t="e">
        <f>'2.4.Функции'!OK66+"BYw!Mr"</f>
        <v>#VALUE!</v>
      </c>
      <c r="FE14" t="e">
        <f>'2.4.Функции'!OL66+"BYw!Ms"</f>
        <v>#VALUE!</v>
      </c>
      <c r="FF14" t="e">
        <f>'2.4.Функции'!OM66+"BYw!Mt"</f>
        <v>#VALUE!</v>
      </c>
      <c r="FG14" t="e">
        <f>'2.4.Функции'!ON66+"BYw!Mu"</f>
        <v>#VALUE!</v>
      </c>
      <c r="FH14" t="e">
        <f>'2.4.Функции'!OO66+"BYw!Mv"</f>
        <v>#VALUE!</v>
      </c>
      <c r="FI14" t="e">
        <f>'2.4.Функции'!OP66+"BYw!Mw"</f>
        <v>#VALUE!</v>
      </c>
      <c r="FJ14" t="e">
        <f>'2.4.Функции'!OQ66+"BYw!Mx"</f>
        <v>#VALUE!</v>
      </c>
      <c r="FK14" t="e">
        <f>'2.4.Функции'!OR66+"BYw!My"</f>
        <v>#VALUE!</v>
      </c>
      <c r="FL14" t="e">
        <f>'2.4.Функции'!OS66+"BYw!Mz"</f>
        <v>#VALUE!</v>
      </c>
      <c r="FM14" t="e">
        <f>'2.4.Функции'!OT66+"BYw!M{"</f>
        <v>#VALUE!</v>
      </c>
      <c r="FN14" t="e">
        <f>'2.4.Функции'!OU66+"BYw!M|"</f>
        <v>#VALUE!</v>
      </c>
      <c r="FO14" t="e">
        <f>'2.4.Функции'!OV66+"BYw!M}"</f>
        <v>#VALUE!</v>
      </c>
      <c r="FP14" t="e">
        <f>'2.4.Функции'!OW66+"BYw!M~"</f>
        <v>#VALUE!</v>
      </c>
      <c r="FQ14" t="e">
        <f>'2.4.Функции'!OX66+"BYw!N#"</f>
        <v>#VALUE!</v>
      </c>
      <c r="FR14" t="e">
        <f>'2.4.Функции'!OY66+"BYw!N$"</f>
        <v>#VALUE!</v>
      </c>
      <c r="FS14" t="e">
        <f>'2.4.Функции'!OZ66+"BYw!N%"</f>
        <v>#VALUE!</v>
      </c>
      <c r="FT14" t="e">
        <f>'2.4.Функции'!PA66+"BYw!N&amp;"</f>
        <v>#VALUE!</v>
      </c>
      <c r="FU14" t="e">
        <f>'2.4.Функции'!PB66+"BYw!N'"</f>
        <v>#VALUE!</v>
      </c>
      <c r="FV14" t="e">
        <f>'2.4.Функции'!PC66+"BYw!N("</f>
        <v>#VALUE!</v>
      </c>
      <c r="FW14" t="e">
        <f>'2.4.Функции'!PD66+"BYw!N)"</f>
        <v>#VALUE!</v>
      </c>
      <c r="FX14" t="e">
        <f>'2.4.Функции'!PE66+"BYw!N."</f>
        <v>#VALUE!</v>
      </c>
      <c r="FY14" t="e">
        <f>'2.4.Функции'!PF66+"BYw!N/"</f>
        <v>#VALUE!</v>
      </c>
      <c r="FZ14" t="e">
        <f>'2.4.Функции'!PG66+"BYw!N0"</f>
        <v>#VALUE!</v>
      </c>
      <c r="GA14" t="e">
        <f>'2.4.Функции'!PH66+"BYw!N1"</f>
        <v>#VALUE!</v>
      </c>
      <c r="GB14" t="e">
        <f>'2.4.Функции'!PI66+"BYw!N2"</f>
        <v>#VALUE!</v>
      </c>
      <c r="GC14" t="e">
        <f>'2.4.Функции'!PJ66+"BYw!N3"</f>
        <v>#VALUE!</v>
      </c>
      <c r="GD14" t="e">
        <f>'2.4.Функции'!PK66+"BYw!N4"</f>
        <v>#VALUE!</v>
      </c>
      <c r="GE14" t="e">
        <f>'2.4.Функции'!PL66+"BYw!N5"</f>
        <v>#VALUE!</v>
      </c>
      <c r="GF14" t="e">
        <f>'2.4.Функции'!PM66+"BYw!N6"</f>
        <v>#VALUE!</v>
      </c>
      <c r="GG14" t="e">
        <f>'2.4.Функции'!PN66+"BYw!N7"</f>
        <v>#VALUE!</v>
      </c>
      <c r="GH14" t="e">
        <f>'2.4.Функции'!PO66+"BYw!N8"</f>
        <v>#VALUE!</v>
      </c>
      <c r="GI14" t="e">
        <f>'2.4.Функции'!PP66+"BYw!N9"</f>
        <v>#VALUE!</v>
      </c>
      <c r="GJ14" t="e">
        <f>'2.4.Функции'!PQ66+"BYw!N:"</f>
        <v>#VALUE!</v>
      </c>
      <c r="GK14" t="e">
        <f>'2.4.Функции'!PR66+"BYw!N;"</f>
        <v>#VALUE!</v>
      </c>
      <c r="GL14" t="e">
        <f>'2.4.Функции'!PS66+"BYw!N&lt;"</f>
        <v>#VALUE!</v>
      </c>
      <c r="GM14" t="e">
        <f>'2.4.Функции'!PT66+"BYw!N="</f>
        <v>#VALUE!</v>
      </c>
      <c r="GN14" t="e">
        <f>'2.4.Функции'!PU66+"BYw!N&gt;"</f>
        <v>#VALUE!</v>
      </c>
      <c r="GO14" t="e">
        <f>'2.4.Функции'!PV66+"BYw!N?"</f>
        <v>#VALUE!</v>
      </c>
      <c r="GP14" t="e">
        <f>'2.4.Функции'!PW66+"BYw!N@"</f>
        <v>#VALUE!</v>
      </c>
      <c r="GQ14" t="e">
        <f>'2.4.Функции'!PX66+"BYw!NA"</f>
        <v>#VALUE!</v>
      </c>
      <c r="GR14" t="e">
        <f>'2.4.Функции'!PY66+"BYw!NB"</f>
        <v>#VALUE!</v>
      </c>
      <c r="GS14" t="e">
        <f>'2.4.Функции'!PZ66+"BYw!NC"</f>
        <v>#VALUE!</v>
      </c>
      <c r="GT14" t="e">
        <f>'2.4.Функции'!QA66+"BYw!ND"</f>
        <v>#VALUE!</v>
      </c>
      <c r="GU14" t="e">
        <f>'2.4.Функции'!QB66+"BYw!NE"</f>
        <v>#VALUE!</v>
      </c>
      <c r="GV14" t="e">
        <f>'2.4.Функции'!QC66+"BYw!NF"</f>
        <v>#VALUE!</v>
      </c>
      <c r="GW14" t="e">
        <f>'2.4.Функции'!QD66+"BYw!NG"</f>
        <v>#VALUE!</v>
      </c>
      <c r="GX14" t="e">
        <f>'2.4.Функции'!QE66+"BYw!NH"</f>
        <v>#VALUE!</v>
      </c>
      <c r="GY14" t="e">
        <f>'2.4.Функции'!QF66+"BYw!NI"</f>
        <v>#VALUE!</v>
      </c>
      <c r="GZ14" t="e">
        <f>'2.4.Функции'!QG66+"BYw!NJ"</f>
        <v>#VALUE!</v>
      </c>
      <c r="HA14" t="e">
        <f>'2.4.Функции'!QH66+"BYw!NK"</f>
        <v>#VALUE!</v>
      </c>
      <c r="HB14" t="e">
        <f>'2.4.Функции'!QI66+"BYw!NL"</f>
        <v>#VALUE!</v>
      </c>
      <c r="HC14" t="e">
        <f>'2.4.Функции'!QJ66+"BYw!NM"</f>
        <v>#VALUE!</v>
      </c>
      <c r="HD14" t="e">
        <f>'2.4.Функции'!QK66+"BYw!NN"</f>
        <v>#VALUE!</v>
      </c>
      <c r="HE14" t="e">
        <f>'2.4.Функции'!QL66+"BYw!NO"</f>
        <v>#VALUE!</v>
      </c>
      <c r="HF14" t="e">
        <f>'2.4.Функции'!QM66+"BYw!NP"</f>
        <v>#VALUE!</v>
      </c>
      <c r="HG14" t="e">
        <f>'2.4.Функции'!QN66+"BYw!NQ"</f>
        <v>#VALUE!</v>
      </c>
      <c r="HH14" t="e">
        <f>'2.4.Функции'!QO66+"BYw!NR"</f>
        <v>#VALUE!</v>
      </c>
      <c r="HI14" t="e">
        <f>'2.4.Функции'!QP66+"BYw!NS"</f>
        <v>#VALUE!</v>
      </c>
      <c r="HJ14" t="e">
        <f>'2.4.Функции'!QQ66+"BYw!NT"</f>
        <v>#VALUE!</v>
      </c>
      <c r="HK14" t="e">
        <f>'2.4.Функции'!QR66+"BYw!NU"</f>
        <v>#VALUE!</v>
      </c>
      <c r="HL14" t="e">
        <f>'2.4.Функции'!QS66+"BYw!NV"</f>
        <v>#VALUE!</v>
      </c>
      <c r="HM14" t="e">
        <f>'2.4.Функции'!QT66+"BYw!NW"</f>
        <v>#VALUE!</v>
      </c>
      <c r="HN14" t="e">
        <f>'2.4.Функции'!QU66+"BYw!NX"</f>
        <v>#VALUE!</v>
      </c>
      <c r="HO14" t="e">
        <f>'2.4.Функции'!QV66+"BYw!NY"</f>
        <v>#VALUE!</v>
      </c>
      <c r="HP14" t="e">
        <f>'2.4.Функции'!QW66+"BYw!NZ"</f>
        <v>#VALUE!</v>
      </c>
      <c r="HQ14" t="e">
        <f>'2.4.Функции'!QX66+"BYw!N["</f>
        <v>#VALUE!</v>
      </c>
      <c r="HR14" t="e">
        <f>'2.4.Функции'!QY66+"BYw!N\"</f>
        <v>#VALUE!</v>
      </c>
      <c r="HS14" t="e">
        <f>'2.4.Функции'!QZ66+"BYw!N]"</f>
        <v>#VALUE!</v>
      </c>
      <c r="HT14" t="e">
        <f>'2.4.Функции'!RA66+"BYw!N^"</f>
        <v>#VALUE!</v>
      </c>
      <c r="HU14" t="e">
        <f>'2.4.Функции'!RB66+"BYw!N_"</f>
        <v>#VALUE!</v>
      </c>
      <c r="HV14" t="e">
        <f>'2.4.Функции'!RC66+"BYw!N`"</f>
        <v>#VALUE!</v>
      </c>
      <c r="HW14" t="e">
        <f>'2.4.Функции'!RD66+"BYw!Na"</f>
        <v>#VALUE!</v>
      </c>
      <c r="HX14" t="e">
        <f>'2.4.Функции'!RE66+"BYw!Nb"</f>
        <v>#VALUE!</v>
      </c>
      <c r="HY14" t="e">
        <f>'2.4.Функции'!RF66+"BYw!Nc"</f>
        <v>#VALUE!</v>
      </c>
      <c r="HZ14" t="e">
        <f>'2.4.Функции'!RG66+"BYw!Nd"</f>
        <v>#VALUE!</v>
      </c>
      <c r="IA14" t="e">
        <f>'2.4.Функции'!RH66+"BYw!Ne"</f>
        <v>#VALUE!</v>
      </c>
      <c r="IB14" t="e">
        <f>'2.4.Функции'!RI66+"BYw!Nf"</f>
        <v>#VALUE!</v>
      </c>
      <c r="IC14" t="e">
        <f>'2.4.Функции'!RJ66+"BYw!Ng"</f>
        <v>#VALUE!</v>
      </c>
      <c r="ID14" t="e">
        <f>'2.4.Функции'!RK66+"BYw!Nh"</f>
        <v>#VALUE!</v>
      </c>
      <c r="IE14" t="e">
        <f>'2.4.Функции'!RL66+"BYw!Ni"</f>
        <v>#VALUE!</v>
      </c>
      <c r="IF14" t="e">
        <f>'2.4.Функции'!RM66+"BYw!Nj"</f>
        <v>#VALUE!</v>
      </c>
      <c r="IG14" t="e">
        <f>'2.4.Функции'!RN66+"BYw!Nk"</f>
        <v>#VALUE!</v>
      </c>
      <c r="IH14" t="e">
        <f>'2.4.Функции'!RO66+"BYw!Nl"</f>
        <v>#VALUE!</v>
      </c>
      <c r="II14" t="e">
        <f>'2.4.Функции'!RP66+"BYw!Nm"</f>
        <v>#VALUE!</v>
      </c>
      <c r="IJ14" t="e">
        <f>'2.4.Функции'!RQ66+"BYw!Nn"</f>
        <v>#VALUE!</v>
      </c>
      <c r="IK14" t="e">
        <f>'2.4.Функции'!RR66+"BYw!No"</f>
        <v>#VALUE!</v>
      </c>
      <c r="IL14" t="e">
        <f>'2.4.Функции'!RS66+"BYw!Np"</f>
        <v>#VALUE!</v>
      </c>
      <c r="IM14" t="e">
        <f>'2.4.Функции'!RT66+"BYw!Nq"</f>
        <v>#VALUE!</v>
      </c>
      <c r="IN14" t="e">
        <f>'2.4.Функции'!RU66+"BYw!Nr"</f>
        <v>#VALUE!</v>
      </c>
      <c r="IO14" t="e">
        <f>'2.4.Функции'!RV66+"BYw!Ns"</f>
        <v>#VALUE!</v>
      </c>
      <c r="IP14" t="e">
        <f>'2.4.Функции'!RW66+"BYw!Nt"</f>
        <v>#VALUE!</v>
      </c>
      <c r="IQ14" t="e">
        <f>'2.4.Функции'!RX66+"BYw!Nu"</f>
        <v>#VALUE!</v>
      </c>
      <c r="IR14" t="e">
        <f>'2.4.Функции'!RY66+"BYw!Nv"</f>
        <v>#VALUE!</v>
      </c>
      <c r="IS14" t="e">
        <f>'2.4.Функции'!RZ66+"BYw!Nw"</f>
        <v>#VALUE!</v>
      </c>
      <c r="IT14" t="e">
        <f>'2.4.Функции'!SA66+"BYw!Nx"</f>
        <v>#VALUE!</v>
      </c>
      <c r="IU14" t="e">
        <f>'2.4.Функции'!SB66+"BYw!Ny"</f>
        <v>#VALUE!</v>
      </c>
      <c r="IV14" t="e">
        <f>'2.4.Функции'!SC66+"BYw!Nz"</f>
        <v>#VALUE!</v>
      </c>
    </row>
    <row r="15" spans="1:256" x14ac:dyDescent="0.2">
      <c r="F15" t="e">
        <f>'2.4.Функции'!SD66+"BYw!N{"</f>
        <v>#VALUE!</v>
      </c>
      <c r="G15" t="e">
        <f>'2.4.Функции'!SE66+"BYw!N|"</f>
        <v>#VALUE!</v>
      </c>
      <c r="H15" t="e">
        <f>'2.4.Функции'!SF66+"BYw!N}"</f>
        <v>#VALUE!</v>
      </c>
      <c r="I15" t="e">
        <f>'2.4.Функции'!SG66+"BYw!N~"</f>
        <v>#VALUE!</v>
      </c>
      <c r="J15" t="e">
        <f>'2.4.Функции'!SH66+"BYw!O#"</f>
        <v>#VALUE!</v>
      </c>
      <c r="K15" t="e">
        <f>'2.4.Функции'!SI66+"BYw!O$"</f>
        <v>#VALUE!</v>
      </c>
      <c r="L15" t="e">
        <f>'2.4.Функции'!SJ66+"BYw!O%"</f>
        <v>#VALUE!</v>
      </c>
      <c r="M15" t="e">
        <f>'2.4.Функции'!SK66+"BYw!O&amp;"</f>
        <v>#VALUE!</v>
      </c>
      <c r="N15" t="e">
        <f>'2.4.Функции'!SL66+"BYw!O'"</f>
        <v>#VALUE!</v>
      </c>
      <c r="O15" t="e">
        <f>'2.4.Функции'!SM66+"BYw!O("</f>
        <v>#VALUE!</v>
      </c>
      <c r="P15" t="e">
        <f>'2.4.Функции'!SN66+"BYw!O)"</f>
        <v>#VALUE!</v>
      </c>
      <c r="Q15" t="e">
        <f>'2.4.Функции'!SO66+"BYw!O."</f>
        <v>#VALUE!</v>
      </c>
      <c r="R15" t="e">
        <f>'2.4.Функции'!SP66+"BYw!O/"</f>
        <v>#VALUE!</v>
      </c>
      <c r="S15" t="e">
        <f>'2.4.Функции'!SQ66+"BYw!O0"</f>
        <v>#VALUE!</v>
      </c>
      <c r="T15" t="e">
        <f>'2.4.Функции'!SR66+"BYw!O1"</f>
        <v>#VALUE!</v>
      </c>
      <c r="U15" t="e">
        <f>'2.4.Функции'!SS66+"BYw!O2"</f>
        <v>#VALUE!</v>
      </c>
      <c r="V15" t="e">
        <f>'2.4.Функции'!ST66+"BYw!O3"</f>
        <v>#VALUE!</v>
      </c>
      <c r="W15" t="e">
        <f>'2.4.Функции'!SU66+"BYw!O4"</f>
        <v>#VALUE!</v>
      </c>
      <c r="X15" t="e">
        <f>'2.4.Функции'!SV66+"BYw!O5"</f>
        <v>#VALUE!</v>
      </c>
      <c r="Y15" t="e">
        <f>'2.4.Функции'!SW66+"BYw!O6"</f>
        <v>#VALUE!</v>
      </c>
      <c r="Z15" t="e">
        <f>'2.4.Функции'!SX66+"BYw!O7"</f>
        <v>#VALUE!</v>
      </c>
      <c r="AA15" t="e">
        <f>'2.4.Функции'!SY66+"BYw!O8"</f>
        <v>#VALUE!</v>
      </c>
      <c r="AB15" t="e">
        <f>'2.4.Функции'!SZ66+"BYw!O9"</f>
        <v>#VALUE!</v>
      </c>
      <c r="AC15" t="e">
        <f>'2.4.Функции'!TA66+"BYw!O:"</f>
        <v>#VALUE!</v>
      </c>
      <c r="AD15" t="e">
        <f>'2.4.Функции'!TB66+"BYw!O;"</f>
        <v>#VALUE!</v>
      </c>
      <c r="AE15" t="e">
        <f>'2.4.Функции'!TC66+"BYw!O&lt;"</f>
        <v>#VALUE!</v>
      </c>
      <c r="AF15" t="e">
        <f>'2.4.Функции'!TD66+"BYw!O="</f>
        <v>#VALUE!</v>
      </c>
      <c r="AG15" t="e">
        <f>'2.4.Функции'!TE66+"BYw!O&gt;"</f>
        <v>#VALUE!</v>
      </c>
      <c r="AH15" t="e">
        <f>'2.4.Функции'!TF66+"BYw!O?"</f>
        <v>#VALUE!</v>
      </c>
      <c r="AI15" t="e">
        <f>'2.4.Функции'!TG66+"BYw!O@"</f>
        <v>#VALUE!</v>
      </c>
      <c r="AJ15" t="e">
        <f>'2.4.Функции'!TH66+"BYw!OA"</f>
        <v>#VALUE!</v>
      </c>
      <c r="AK15" t="e">
        <f>'2.4.Функции'!TI66+"BYw!OB"</f>
        <v>#VALUE!</v>
      </c>
      <c r="AL15" t="e">
        <f>'2.4.Функции'!TJ66+"BYw!OC"</f>
        <v>#VALUE!</v>
      </c>
      <c r="AM15" t="e">
        <f>'2.4.Функции'!TK66+"BYw!OD"</f>
        <v>#VALUE!</v>
      </c>
      <c r="AN15" t="e">
        <f>'2.4.Функции'!TL66+"BYw!OE"</f>
        <v>#VALUE!</v>
      </c>
      <c r="AO15" t="e">
        <f>'2.4.Функции'!TM66+"BYw!OF"</f>
        <v>#VALUE!</v>
      </c>
      <c r="AP15" t="e">
        <f>'2.4.Функции'!TN66+"BYw!OG"</f>
        <v>#VALUE!</v>
      </c>
      <c r="AQ15" t="e">
        <f>'2.4.Функции'!TO66+"BYw!OH"</f>
        <v>#VALUE!</v>
      </c>
      <c r="AR15" t="e">
        <f>'2.4.Функции'!TP66+"BYw!OI"</f>
        <v>#VALUE!</v>
      </c>
      <c r="AS15" t="e">
        <f>'2.4.Функции'!TQ66+"BYw!OJ"</f>
        <v>#VALUE!</v>
      </c>
      <c r="AT15" t="e">
        <f>'2.4.Функции'!TR66+"BYw!OK"</f>
        <v>#VALUE!</v>
      </c>
      <c r="AU15" t="e">
        <f>'2.4.Функции'!TS66+"BYw!OL"</f>
        <v>#VALUE!</v>
      </c>
      <c r="AV15" t="e">
        <f>'2.4.Функции'!TT66+"BYw!OM"</f>
        <v>#VALUE!</v>
      </c>
      <c r="AW15" t="e">
        <f>'2.4.Функции'!TU66+"BYw!ON"</f>
        <v>#VALUE!</v>
      </c>
      <c r="AX15" t="e">
        <f>'2.4.Функции'!TV66+"BYw!OO"</f>
        <v>#VALUE!</v>
      </c>
      <c r="AY15" t="e">
        <f>'2.4.Функции'!TW66+"BYw!OP"</f>
        <v>#VALUE!</v>
      </c>
      <c r="AZ15" t="e">
        <f>'2.4.Функции'!TX66+"BYw!OQ"</f>
        <v>#VALUE!</v>
      </c>
      <c r="BA15" t="e">
        <f>'2.4.Функции'!TY66+"BYw!OR"</f>
        <v>#VALUE!</v>
      </c>
      <c r="BB15" t="e">
        <f>'2.4.Функции'!TZ66+"BYw!OS"</f>
        <v>#VALUE!</v>
      </c>
      <c r="BC15" t="e">
        <f>'2.4.Функции'!UA66+"BYw!OT"</f>
        <v>#VALUE!</v>
      </c>
      <c r="BD15" t="e">
        <f>'2.4.Функции'!UB66+"BYw!OU"</f>
        <v>#VALUE!</v>
      </c>
      <c r="BE15" t="e">
        <f>'2.4.Функции'!UC66+"BYw!OV"</f>
        <v>#VALUE!</v>
      </c>
      <c r="BF15" t="e">
        <f>'2.4.Функции'!UD66+"BYw!OW"</f>
        <v>#VALUE!</v>
      </c>
      <c r="BG15" t="e">
        <f>'2.4.Функции'!UE66+"BYw!OX"</f>
        <v>#VALUE!</v>
      </c>
      <c r="BH15" t="e">
        <f>'2.4.Функции'!UF66+"BYw!OY"</f>
        <v>#VALUE!</v>
      </c>
      <c r="BI15" t="e">
        <f>'2.4.Функции'!UG66+"BYw!OZ"</f>
        <v>#VALUE!</v>
      </c>
      <c r="BJ15" t="e">
        <f>'2.4.Функции'!UH66+"BYw!O["</f>
        <v>#VALUE!</v>
      </c>
      <c r="BK15" t="e">
        <f>'2.4.Функции'!UI66+"BYw!O\"</f>
        <v>#VALUE!</v>
      </c>
      <c r="BL15" t="e">
        <f>'2.4.Функции'!UJ66+"BYw!O]"</f>
        <v>#VALUE!</v>
      </c>
      <c r="BM15" t="e">
        <f>'2.4.Функции'!UK66+"BYw!O^"</f>
        <v>#VALUE!</v>
      </c>
      <c r="BN15" t="e">
        <f>'2.4.Функции'!UL66+"BYw!O_"</f>
        <v>#VALUE!</v>
      </c>
      <c r="BO15" t="e">
        <f>'2.4.Функции'!UM66+"BYw!O`"</f>
        <v>#VALUE!</v>
      </c>
      <c r="BP15" t="e">
        <f>'2.4.Функции'!UN66+"BYw!Oa"</f>
        <v>#VALUE!</v>
      </c>
      <c r="BQ15" t="e">
        <f>'2.4.Функции'!UO66+"BYw!Ob"</f>
        <v>#VALUE!</v>
      </c>
      <c r="BR15" t="e">
        <f>'2.4.Функции'!UP66+"BYw!Oc"</f>
        <v>#VALUE!</v>
      </c>
      <c r="BS15" t="e">
        <f>'2.4.Функции'!UQ66+"BYw!Od"</f>
        <v>#VALUE!</v>
      </c>
      <c r="BT15" t="e">
        <f>'2.4.Функции'!UR66+"BYw!Oe"</f>
        <v>#VALUE!</v>
      </c>
      <c r="BU15" t="e">
        <f>'2.4.Функции'!US66+"BYw!Of"</f>
        <v>#VALUE!</v>
      </c>
      <c r="BV15" t="e">
        <f>'2.4.Функции'!UT66+"BYw!Og"</f>
        <v>#VALUE!</v>
      </c>
      <c r="BW15" t="e">
        <f>'2.4.Функции'!UU66+"BYw!Oh"</f>
        <v>#VALUE!</v>
      </c>
      <c r="BX15" t="e">
        <f>'2.4.Функции'!UV66+"BYw!Oi"</f>
        <v>#VALUE!</v>
      </c>
      <c r="BY15" t="e">
        <f>'2.4.Функции'!UW66+"BYw!Oj"</f>
        <v>#VALUE!</v>
      </c>
      <c r="BZ15" t="e">
        <f>'2.4.Функции'!UX66+"BYw!Ok"</f>
        <v>#VALUE!</v>
      </c>
      <c r="CA15" t="e">
        <f>'2.4.Функции'!UY66+"BYw!Ol"</f>
        <v>#VALUE!</v>
      </c>
      <c r="CB15" t="e">
        <f>'2.4.Функции'!UZ66+"BYw!Om"</f>
        <v>#VALUE!</v>
      </c>
      <c r="CC15" t="e">
        <f>'2.4.Функции'!VA66+"BYw!On"</f>
        <v>#VALUE!</v>
      </c>
      <c r="CD15" t="e">
        <f>'2.4.Функции'!VB66+"BYw!Oo"</f>
        <v>#VALUE!</v>
      </c>
      <c r="CE15" t="e">
        <f>'2.4.Функции'!VC66+"BYw!Op"</f>
        <v>#VALUE!</v>
      </c>
      <c r="CF15" t="e">
        <f>'2.4.Функции'!VD66+"BYw!Oq"</f>
        <v>#VALUE!</v>
      </c>
      <c r="CG15" t="e">
        <f>'2.4.Функции'!VE66+"BYw!Or"</f>
        <v>#VALUE!</v>
      </c>
      <c r="CH15" t="e">
        <f>'2.4.Функции'!VF66+"BYw!Os"</f>
        <v>#VALUE!</v>
      </c>
      <c r="CI15" t="e">
        <f>'2.4.Функции'!VG66+"BYw!Ot"</f>
        <v>#VALUE!</v>
      </c>
      <c r="CJ15" t="e">
        <f>'2.4.Функции'!VH66+"BYw!Ou"</f>
        <v>#VALUE!</v>
      </c>
      <c r="CK15" t="e">
        <f>'2.4.Функции'!VI66+"BYw!Ov"</f>
        <v>#VALUE!</v>
      </c>
      <c r="CL15" t="e">
        <f>'2.4.Функции'!VJ66+"BYw!Ow"</f>
        <v>#VALUE!</v>
      </c>
      <c r="CM15" t="e">
        <f>'2.4.Функции'!VK66+"BYw!Ox"</f>
        <v>#VALUE!</v>
      </c>
      <c r="CN15" t="e">
        <f>'2.4.Функции'!VL66+"BYw!Oy"</f>
        <v>#VALUE!</v>
      </c>
      <c r="CO15" t="e">
        <f>'2.4.Функции'!VM66+"BYw!Oz"</f>
        <v>#VALUE!</v>
      </c>
      <c r="CP15" t="e">
        <f>'2.4.Функции'!VN66+"BYw!O{"</f>
        <v>#VALUE!</v>
      </c>
      <c r="CQ15" t="e">
        <f>'2.4.Функции'!VO66+"BYw!O|"</f>
        <v>#VALUE!</v>
      </c>
      <c r="CR15" t="e">
        <f>'2.4.Функции'!VP66+"BYw!O}"</f>
        <v>#VALUE!</v>
      </c>
      <c r="CS15" t="e">
        <f>'2.4.Функции'!VQ66+"BYw!O~"</f>
        <v>#VALUE!</v>
      </c>
      <c r="CT15" t="e">
        <f>'2.4.Функции'!VR66+"BYw!P#"</f>
        <v>#VALUE!</v>
      </c>
      <c r="CU15" t="e">
        <f>'2.4.Функции'!VS66+"BYw!P$"</f>
        <v>#VALUE!</v>
      </c>
      <c r="CV15" t="e">
        <f>'2.4.Функции'!VT66+"BYw!P%"</f>
        <v>#VALUE!</v>
      </c>
      <c r="CW15" t="e">
        <f>'2.4.Функции'!VU66+"BYw!P&amp;"</f>
        <v>#VALUE!</v>
      </c>
      <c r="CX15" t="e">
        <f>'2.4.Функции'!VV66+"BYw!P'"</f>
        <v>#VALUE!</v>
      </c>
      <c r="CY15" t="e">
        <f>'2.4.Функции'!VW66+"BYw!P("</f>
        <v>#VALUE!</v>
      </c>
      <c r="CZ15" t="e">
        <f>'2.4.Функции'!VX66+"BYw!P)"</f>
        <v>#VALUE!</v>
      </c>
      <c r="DA15" t="e">
        <f>'2.4.Функции'!VY66+"BYw!P."</f>
        <v>#VALUE!</v>
      </c>
      <c r="DB15" t="e">
        <f>'2.4.Функции'!VZ66+"BYw!P/"</f>
        <v>#VALUE!</v>
      </c>
      <c r="DC15" t="e">
        <f>'2.4.Функции'!WA66+"BYw!P0"</f>
        <v>#VALUE!</v>
      </c>
      <c r="DD15" t="e">
        <f>'2.4.Функции'!WB66+"BYw!P1"</f>
        <v>#VALUE!</v>
      </c>
      <c r="DE15" t="e">
        <f>'2.4.Функции'!WC66+"BYw!P2"</f>
        <v>#VALUE!</v>
      </c>
      <c r="DF15" t="e">
        <f>'2.4.Функции'!WD66+"BYw!P3"</f>
        <v>#VALUE!</v>
      </c>
      <c r="DG15" t="e">
        <f>'2.4.Функции'!WE66+"BYw!P4"</f>
        <v>#VALUE!</v>
      </c>
      <c r="DH15" t="e">
        <f>'2.4.Функции'!WF66+"BYw!P5"</f>
        <v>#VALUE!</v>
      </c>
      <c r="DI15" t="e">
        <f>'2.4.Функции'!WG66+"BYw!P6"</f>
        <v>#VALUE!</v>
      </c>
      <c r="DJ15" t="e">
        <f>'2.4.Функции'!WH66+"BYw!P7"</f>
        <v>#VALUE!</v>
      </c>
      <c r="DK15" t="e">
        <f>'2.4.Функции'!WI66+"BYw!P8"</f>
        <v>#VALUE!</v>
      </c>
      <c r="DL15" t="e">
        <f>'2.4.Функции'!WJ66+"BYw!P9"</f>
        <v>#VALUE!</v>
      </c>
      <c r="DM15" t="e">
        <f>'2.4.Функции'!WK66+"BYw!P:"</f>
        <v>#VALUE!</v>
      </c>
      <c r="DN15" t="e">
        <f>'2.4.Функции'!WL66+"BYw!P;"</f>
        <v>#VALUE!</v>
      </c>
      <c r="DO15" t="e">
        <f>'2.4.Функции'!WM66+"BYw!P&lt;"</f>
        <v>#VALUE!</v>
      </c>
      <c r="DP15" t="e">
        <f>'2.4.Функции'!WN66+"BYw!P="</f>
        <v>#VALUE!</v>
      </c>
      <c r="DQ15" t="e">
        <f>'2.4.Функции'!WO66+"BYw!P&gt;"</f>
        <v>#VALUE!</v>
      </c>
      <c r="DR15" t="e">
        <f>'2.4.Функции'!WP66+"BYw!P?"</f>
        <v>#VALUE!</v>
      </c>
      <c r="DS15" t="e">
        <f>'2.4.Функции'!WQ66+"BYw!P@"</f>
        <v>#VALUE!</v>
      </c>
      <c r="DT15" t="e">
        <f>'2.4.Функции'!WR66+"BYw!PA"</f>
        <v>#VALUE!</v>
      </c>
      <c r="DU15" t="e">
        <f>'2.4.Функции'!WS66+"BYw!PB"</f>
        <v>#VALUE!</v>
      </c>
      <c r="DV15" t="e">
        <f>'2.4.Функции'!WT66+"BYw!PC"</f>
        <v>#VALUE!</v>
      </c>
      <c r="DW15" t="e">
        <f>'2.4.Функции'!WU66+"BYw!PD"</f>
        <v>#VALUE!</v>
      </c>
      <c r="DX15" t="e">
        <f>'2.4.Функции'!WV66+"BYw!PE"</f>
        <v>#VALUE!</v>
      </c>
      <c r="DY15" t="e">
        <f>'2.4.Функции'!WW66+"BYw!PF"</f>
        <v>#VALUE!</v>
      </c>
      <c r="DZ15" t="e">
        <f>'2.4.Функции'!WX66+"BYw!PG"</f>
        <v>#VALUE!</v>
      </c>
      <c r="EA15" t="e">
        <f>'2.4.Функции'!WY66+"BYw!PH"</f>
        <v>#VALUE!</v>
      </c>
      <c r="EB15" t="e">
        <f>'2.4.Функции'!WZ66+"BYw!PI"</f>
        <v>#VALUE!</v>
      </c>
      <c r="EC15" t="e">
        <f>'2.4.Функции'!XA66+"BYw!PJ"</f>
        <v>#VALUE!</v>
      </c>
      <c r="ED15" t="e">
        <f>'2.4.Функции'!XB66+"BYw!PK"</f>
        <v>#VALUE!</v>
      </c>
      <c r="EE15" t="e">
        <f>'2.4.Функции'!XC66+"BYw!PL"</f>
        <v>#VALUE!</v>
      </c>
      <c r="EF15" t="e">
        <f>'2.4.Функции'!XD66+"BYw!PM"</f>
        <v>#VALUE!</v>
      </c>
      <c r="EG15" t="e">
        <f>'2.4.Функции'!XE66+"BYw!PN"</f>
        <v>#VALUE!</v>
      </c>
      <c r="EH15" t="e">
        <f>'2.4.Функции'!XF66+"BYw!PO"</f>
        <v>#VALUE!</v>
      </c>
      <c r="EI15" t="e">
        <f>'2.4.Функции'!XG66+"BYw!PP"</f>
        <v>#VALUE!</v>
      </c>
      <c r="EJ15" t="e">
        <f>'2.4.Функции'!XH66+"BYw!PQ"</f>
        <v>#VALUE!</v>
      </c>
      <c r="EK15" t="e">
        <f>'2.4.Функции'!XI66+"BYw!PR"</f>
        <v>#VALUE!</v>
      </c>
      <c r="EL15" t="e">
        <f>'2.4.Функции'!XJ66+"BYw!PS"</f>
        <v>#VALUE!</v>
      </c>
      <c r="EM15" t="e">
        <f>'2.4.Функции'!XK66+"BYw!PT"</f>
        <v>#VALUE!</v>
      </c>
      <c r="EN15" t="e">
        <f>'2.4.Функции'!XL66+"BYw!PU"</f>
        <v>#VALUE!</v>
      </c>
      <c r="EO15" t="e">
        <f>'2.4.Функции'!XM66+"BYw!PV"</f>
        <v>#VALUE!</v>
      </c>
      <c r="EP15" t="e">
        <f>'2.4.Функции'!XN66+"BYw!PW"</f>
        <v>#VALUE!</v>
      </c>
      <c r="EQ15" t="e">
        <f>'2.4.Функции'!XO66+"BYw!PX"</f>
        <v>#VALUE!</v>
      </c>
      <c r="ER15" t="e">
        <f>'2.4.Функции'!XP66+"BYw!PY"</f>
        <v>#VALUE!</v>
      </c>
      <c r="ES15" t="e">
        <f>'2.4.Функции'!XQ66+"BYw!PZ"</f>
        <v>#VALUE!</v>
      </c>
      <c r="ET15" t="e">
        <f>'2.4.Функции'!XR66+"BYw!P["</f>
        <v>#VALUE!</v>
      </c>
      <c r="EU15" t="e">
        <f>'2.4.Функции'!XS66+"BYw!P\"</f>
        <v>#VALUE!</v>
      </c>
      <c r="EV15" t="e">
        <f>'2.4.Функции'!XT66+"BYw!P]"</f>
        <v>#VALUE!</v>
      </c>
      <c r="EW15" t="e">
        <f>'2.4.Функции'!XU66+"BYw!P^"</f>
        <v>#VALUE!</v>
      </c>
      <c r="EX15" t="e">
        <f>'2.4.Функции'!XV66+"BYw!P_"</f>
        <v>#VALUE!</v>
      </c>
      <c r="EY15" t="e">
        <f>'2.4.Функции'!XW66+"BYw!P`"</f>
        <v>#VALUE!</v>
      </c>
      <c r="EZ15" t="e">
        <f>'2.4.Функции'!XX66+"BYw!Pa"</f>
        <v>#VALUE!</v>
      </c>
      <c r="FA15" t="e">
        <f>'2.4.Функции'!XY66+"BYw!Pb"</f>
        <v>#VALUE!</v>
      </c>
      <c r="FB15" t="e">
        <f>'2.4.Функции'!XZ66+"BYw!Pc"</f>
        <v>#VALUE!</v>
      </c>
      <c r="FC15" t="e">
        <f>'2.4.Функции'!YA66+"BYw!Pd"</f>
        <v>#VALUE!</v>
      </c>
      <c r="FD15" t="e">
        <f>'2.4.Функции'!YB66+"BYw!Pe"</f>
        <v>#VALUE!</v>
      </c>
      <c r="FE15" t="e">
        <f>'2.4.Функции'!YC66+"BYw!Pf"</f>
        <v>#VALUE!</v>
      </c>
      <c r="FF15" t="e">
        <f>'2.4.Функции'!YD66+"BYw!Pg"</f>
        <v>#VALUE!</v>
      </c>
      <c r="FG15" t="e">
        <f>'2.4.Функции'!YE66+"BYw!Ph"</f>
        <v>#VALUE!</v>
      </c>
      <c r="FH15" t="e">
        <f>'2.4.Функции'!YF66+"BYw!Pi"</f>
        <v>#VALUE!</v>
      </c>
      <c r="FI15" t="e">
        <f>'2.4.Функции'!YG66+"BYw!Pj"</f>
        <v>#VALUE!</v>
      </c>
      <c r="FJ15" t="e">
        <f>'2.4.Функции'!YH66+"BYw!Pk"</f>
        <v>#VALUE!</v>
      </c>
      <c r="FK15" t="e">
        <f>'2.4.Функции'!YI66+"BYw!Pl"</f>
        <v>#VALUE!</v>
      </c>
      <c r="FL15" t="e">
        <f>'2.4.Функции'!YJ66+"BYw!Pm"</f>
        <v>#VALUE!</v>
      </c>
      <c r="FM15" t="e">
        <f>'2.4.Функции'!YK66+"BYw!Pn"</f>
        <v>#VALUE!</v>
      </c>
      <c r="FN15" t="e">
        <f>'2.4.Функции'!YL66+"BYw!Po"</f>
        <v>#VALUE!</v>
      </c>
      <c r="FO15" t="e">
        <f>'2.4.Функции'!YM66+"BYw!Pp"</f>
        <v>#VALUE!</v>
      </c>
      <c r="FP15" t="e">
        <f>'2.4.Функции'!YN66+"BYw!Pq"</f>
        <v>#VALUE!</v>
      </c>
      <c r="FQ15" t="e">
        <f>'2.4.Функции'!YO66+"BYw!Pr"</f>
        <v>#VALUE!</v>
      </c>
      <c r="FR15" t="e">
        <f>'2.4.Функции'!YP66+"BYw!Ps"</f>
        <v>#VALUE!</v>
      </c>
      <c r="FS15" t="e">
        <f>'2.4.Функции'!YQ66+"BYw!Pt"</f>
        <v>#VALUE!</v>
      </c>
      <c r="FT15" t="e">
        <f>'2.4.Функции'!YR66+"BYw!Pu"</f>
        <v>#VALUE!</v>
      </c>
      <c r="FU15" t="e">
        <f>'2.4.Функции'!YS66+"BYw!Pv"</f>
        <v>#VALUE!</v>
      </c>
      <c r="FV15" t="e">
        <f>'2.4.Функции'!YT66+"BYw!Pw"</f>
        <v>#VALUE!</v>
      </c>
      <c r="FW15" t="e">
        <f>'2.4.Функции'!YU66+"BYw!Px"</f>
        <v>#VALUE!</v>
      </c>
      <c r="FX15" t="e">
        <f>'2.4.Функции'!YV66+"BYw!Py"</f>
        <v>#VALUE!</v>
      </c>
      <c r="FY15" t="e">
        <f>'2.4.Функции'!YW66+"BYw!Pz"</f>
        <v>#VALUE!</v>
      </c>
      <c r="FZ15" t="e">
        <f>'2.4.Функции'!YX66+"BYw!P{"</f>
        <v>#VALUE!</v>
      </c>
      <c r="GA15" t="e">
        <f>'2.4.Функции'!YY66+"BYw!P|"</f>
        <v>#VALUE!</v>
      </c>
      <c r="GB15" t="e">
        <f>'2.4.Функции'!YZ66+"BYw!P}"</f>
        <v>#VALUE!</v>
      </c>
      <c r="GC15" t="e">
        <f>'2.4.Функции'!ZA66+"BYw!P~"</f>
        <v>#VALUE!</v>
      </c>
      <c r="GD15" t="e">
        <f>'2.4.Функции'!ZB66+"BYw!Q#"</f>
        <v>#VALUE!</v>
      </c>
      <c r="GE15" t="e">
        <f>'2.4.Функции'!ZC66+"BYw!Q$"</f>
        <v>#VALUE!</v>
      </c>
      <c r="GF15" t="e">
        <f>'2.4.Функции'!ZD66+"BYw!Q%"</f>
        <v>#VALUE!</v>
      </c>
      <c r="GG15" t="e">
        <f>'2.4.Функции'!ZE66+"BYw!Q&amp;"</f>
        <v>#VALUE!</v>
      </c>
      <c r="GH15" t="e">
        <f>'2.4.Функции'!ZF66+"BYw!Q'"</f>
        <v>#VALUE!</v>
      </c>
      <c r="GI15" t="e">
        <f>'2.4.Функции'!ZG66+"BYw!Q("</f>
        <v>#VALUE!</v>
      </c>
      <c r="GJ15" t="e">
        <f>'2.4.Функции'!ZH66+"BYw!Q)"</f>
        <v>#VALUE!</v>
      </c>
      <c r="GK15" t="e">
        <f>'2.4.Функции'!ZI66+"BYw!Q."</f>
        <v>#VALUE!</v>
      </c>
      <c r="GL15" t="e">
        <f>'2.4.Функции'!ZJ66+"BYw!Q/"</f>
        <v>#VALUE!</v>
      </c>
      <c r="GM15" t="e">
        <f>'2.4.Функции'!ZK66+"BYw!Q0"</f>
        <v>#VALUE!</v>
      </c>
      <c r="GN15" t="e">
        <f>'2.4.Функции'!ZL66+"BYw!Q1"</f>
        <v>#VALUE!</v>
      </c>
      <c r="GO15" t="e">
        <f>'2.4.Функции'!ZM66+"BYw!Q2"</f>
        <v>#VALUE!</v>
      </c>
      <c r="GP15" t="e">
        <f>'2.4.Функции'!ZN66+"BYw!Q3"</f>
        <v>#VALUE!</v>
      </c>
      <c r="GQ15" t="e">
        <f>'2.4.Функции'!ZO66+"BYw!Q4"</f>
        <v>#VALUE!</v>
      </c>
      <c r="GR15" t="e">
        <f>'2.4.Функции'!ZP66+"BYw!Q5"</f>
        <v>#VALUE!</v>
      </c>
      <c r="GS15" t="e">
        <f>'2.4.Функции'!ZQ66+"BYw!Q6"</f>
        <v>#VALUE!</v>
      </c>
      <c r="GT15" t="e">
        <f>'2.4.Функции'!ZR66+"BYw!Q7"</f>
        <v>#VALUE!</v>
      </c>
      <c r="GU15" t="e">
        <f>'2.4.Функции'!ZS66+"BYw!Q8"</f>
        <v>#VALUE!</v>
      </c>
      <c r="GV15" t="e">
        <f>'2.4.Функции'!ZT66+"BYw!Q9"</f>
        <v>#VALUE!</v>
      </c>
      <c r="GW15" t="e">
        <f>'2.4.Функции'!ZU66+"BYw!Q:"</f>
        <v>#VALUE!</v>
      </c>
      <c r="GX15" t="e">
        <f>'2.4.Функции'!ZV66+"BYw!Q;"</f>
        <v>#VALUE!</v>
      </c>
      <c r="GY15" t="e">
        <f>'2.4.Функции'!ZW66+"BYw!Q&lt;"</f>
        <v>#VALUE!</v>
      </c>
      <c r="GZ15" t="e">
        <f>'2.4.Функции'!ZX66+"BYw!Q="</f>
        <v>#VALUE!</v>
      </c>
      <c r="HA15" t="e">
        <f>'2.4.Функции'!ZY66+"BYw!Q&gt;"</f>
        <v>#VALUE!</v>
      </c>
      <c r="HB15" t="e">
        <f>'2.4.Функции'!ZZ66+"BYw!Q?"</f>
        <v>#VALUE!</v>
      </c>
      <c r="HC15" t="e">
        <f>'2.4.Функции'!AAA66+"BYw!Q@"</f>
        <v>#VALUE!</v>
      </c>
      <c r="HD15" t="e">
        <f>'2.4.Функции'!AAB66+"BYw!QA"</f>
        <v>#VALUE!</v>
      </c>
      <c r="HE15" t="e">
        <f>'2.4.Функции'!AAC66+"BYw!QB"</f>
        <v>#VALUE!</v>
      </c>
      <c r="HF15" t="e">
        <f>'2.4.Функции'!AAD66+"BYw!QC"</f>
        <v>#VALUE!</v>
      </c>
      <c r="HG15" t="e">
        <f>'2.4.Функции'!AAE66+"BYw!QD"</f>
        <v>#VALUE!</v>
      </c>
      <c r="HH15" t="e">
        <f>'2.4.Функции'!AAF66+"BYw!QE"</f>
        <v>#VALUE!</v>
      </c>
      <c r="HI15" t="e">
        <f>'2.4.Функции'!AAG66+"BYw!QF"</f>
        <v>#VALUE!</v>
      </c>
      <c r="HJ15" t="e">
        <f>'2.4.Функции'!AAH66+"BYw!QG"</f>
        <v>#VALUE!</v>
      </c>
      <c r="HK15" t="e">
        <f>'2.4.Функции'!AAI66+"BYw!QH"</f>
        <v>#VALUE!</v>
      </c>
      <c r="HL15" t="e">
        <f>'2.4.Функции'!AAJ66+"BYw!QI"</f>
        <v>#VALUE!</v>
      </c>
      <c r="HM15" t="e">
        <f>'2.4.Функции'!AAK66+"BYw!QJ"</f>
        <v>#VALUE!</v>
      </c>
      <c r="HN15" t="e">
        <f>'2.4.Функции'!AAL66+"BYw!QK"</f>
        <v>#VALUE!</v>
      </c>
      <c r="HO15" t="e">
        <f>'2.4.Функции'!AAM66+"BYw!QL"</f>
        <v>#VALUE!</v>
      </c>
      <c r="HP15" t="e">
        <f>'2.4.Функции'!AAN66+"BYw!QM"</f>
        <v>#VALUE!</v>
      </c>
      <c r="HQ15" t="e">
        <f>'2.4.Функции'!AAO66+"BYw!QN"</f>
        <v>#VALUE!</v>
      </c>
      <c r="HR15" t="e">
        <f>'2.4.Функции'!AAP66+"BYw!QO"</f>
        <v>#VALUE!</v>
      </c>
      <c r="HS15" t="e">
        <f>'2.4.Функции'!AAQ66+"BYw!QP"</f>
        <v>#VALUE!</v>
      </c>
      <c r="HT15" t="e">
        <f>'2.4.Функции'!AAR66+"BYw!QQ"</f>
        <v>#VALUE!</v>
      </c>
      <c r="HU15" t="e">
        <f>'2.4.Функции'!AAS66+"BYw!QR"</f>
        <v>#VALUE!</v>
      </c>
      <c r="HV15" t="e">
        <f>'2.4.Функции'!AAT66+"BYw!QS"</f>
        <v>#VALUE!</v>
      </c>
      <c r="HW15" t="e">
        <f>'2.4.Функции'!AAU66+"BYw!QT"</f>
        <v>#VALUE!</v>
      </c>
      <c r="HX15" t="e">
        <f>'2.4.Функции'!AAV66+"BYw!QU"</f>
        <v>#VALUE!</v>
      </c>
      <c r="HY15" t="e">
        <f>'2.4.Функции'!AAW66+"BYw!QV"</f>
        <v>#VALUE!</v>
      </c>
      <c r="HZ15" t="e">
        <f>'2.4.Функции'!AAX66+"BYw!QW"</f>
        <v>#VALUE!</v>
      </c>
      <c r="IA15" t="e">
        <f>'2.4.Функции'!AAY66+"BYw!QX"</f>
        <v>#VALUE!</v>
      </c>
      <c r="IB15" t="e">
        <f>'2.4.Функции'!AAZ66+"BYw!QY"</f>
        <v>#VALUE!</v>
      </c>
      <c r="IC15" t="e">
        <f>'2.4.Функции'!ABA66+"BYw!QZ"</f>
        <v>#VALUE!</v>
      </c>
      <c r="ID15" t="e">
        <f>'2.4.Функции'!ABB66+"BYw!Q["</f>
        <v>#VALUE!</v>
      </c>
      <c r="IE15" t="e">
        <f>'2.4.Функции'!ABC66+"BYw!Q\"</f>
        <v>#VALUE!</v>
      </c>
      <c r="IF15" t="e">
        <f>'2.4.Функции'!ABD66+"BYw!Q]"</f>
        <v>#VALUE!</v>
      </c>
      <c r="IG15" t="e">
        <f>'2.4.Функции'!ABE66+"BYw!Q^"</f>
        <v>#VALUE!</v>
      </c>
      <c r="IH15" t="e">
        <f>'2.4.Функции'!ABF66+"BYw!Q_"</f>
        <v>#VALUE!</v>
      </c>
      <c r="II15" t="e">
        <f>'2.4.Функции'!ABG66+"BYw!Q`"</f>
        <v>#VALUE!</v>
      </c>
      <c r="IJ15" t="e">
        <f>'2.4.Функции'!ABH66+"BYw!Qa"</f>
        <v>#VALUE!</v>
      </c>
      <c r="IK15" t="e">
        <f>'2.4.Функции'!ABI66+"BYw!Qb"</f>
        <v>#VALUE!</v>
      </c>
      <c r="IL15" t="e">
        <f>'2.4.Функции'!ABJ66+"BYw!Qc"</f>
        <v>#VALUE!</v>
      </c>
      <c r="IM15" t="e">
        <f>'2.4.Функции'!ABK66+"BYw!Qd"</f>
        <v>#VALUE!</v>
      </c>
      <c r="IN15" t="e">
        <f>'2.4.Функции'!ABL66+"BYw!Qe"</f>
        <v>#VALUE!</v>
      </c>
      <c r="IO15" t="e">
        <f>'2.4.Функции'!ABM66+"BYw!Qf"</f>
        <v>#VALUE!</v>
      </c>
      <c r="IP15" t="e">
        <f>'2.4.Функции'!ABN66+"BYw!Qg"</f>
        <v>#VALUE!</v>
      </c>
      <c r="IQ15" t="e">
        <f>'2.4.Функции'!ABO66+"BYw!Qh"</f>
        <v>#VALUE!</v>
      </c>
      <c r="IR15" t="e">
        <f>'2.4.Функции'!ABP66+"BYw!Qi"</f>
        <v>#VALUE!</v>
      </c>
      <c r="IS15" t="e">
        <f>'2.4.Функции'!ABQ66+"BYw!Qj"</f>
        <v>#VALUE!</v>
      </c>
      <c r="IT15" t="e">
        <f>'2.4.Функции'!ABR66+"BYw!Qk"</f>
        <v>#VALUE!</v>
      </c>
      <c r="IU15" t="e">
        <f>'2.4.Функции'!ABS66+"BYw!Ql"</f>
        <v>#VALUE!</v>
      </c>
      <c r="IV15" t="e">
        <f>'2.4.Функции'!ABT66+"BYw!Qm"</f>
        <v>#VALUE!</v>
      </c>
    </row>
    <row r="16" spans="1:256" x14ac:dyDescent="0.2">
      <c r="F16" t="e">
        <f>'2.4.Функции'!ABU66+"BYw!Qn"</f>
        <v>#VALUE!</v>
      </c>
      <c r="G16" t="e">
        <f>'2.4.Функции'!ABV66+"BYw!Qo"</f>
        <v>#VALUE!</v>
      </c>
      <c r="H16" t="e">
        <f>'2.4.Функции'!ABW66+"BYw!Qp"</f>
        <v>#VALUE!</v>
      </c>
      <c r="I16" t="e">
        <f>'2.4.Функции'!ABX66+"BYw!Qq"</f>
        <v>#VALUE!</v>
      </c>
      <c r="J16" t="e">
        <f>'2.4.Функции'!ABY66+"BYw!Qr"</f>
        <v>#VALUE!</v>
      </c>
      <c r="K16" t="e">
        <f>'2.4.Функции'!ABZ66+"BYw!Qs"</f>
        <v>#VALUE!</v>
      </c>
      <c r="L16" t="e">
        <f>'2.4.Функции'!ACA66+"BYw!Qt"</f>
        <v>#VALUE!</v>
      </c>
      <c r="M16" t="e">
        <f>'2.4.Функции'!ACB66+"BYw!Qu"</f>
        <v>#VALUE!</v>
      </c>
      <c r="N16" t="e">
        <f>'2.4.Функции'!ACC66+"BYw!Qv"</f>
        <v>#VALUE!</v>
      </c>
      <c r="O16" t="e">
        <f>'2.4.Функции'!ACD66+"BYw!Qw"</f>
        <v>#VALUE!</v>
      </c>
      <c r="P16" t="e">
        <f>'2.4.Функции'!ACE66+"BYw!Qx"</f>
        <v>#VALUE!</v>
      </c>
      <c r="Q16" t="e">
        <f>'2.4.Функции'!ACF66+"BYw!Qy"</f>
        <v>#VALUE!</v>
      </c>
      <c r="R16" t="e">
        <f>'2.4.Функции'!ACG66+"BYw!Qz"</f>
        <v>#VALUE!</v>
      </c>
      <c r="S16" t="e">
        <f>'2.4.Функции'!ACH66+"BYw!Q{"</f>
        <v>#VALUE!</v>
      </c>
      <c r="T16" t="e">
        <f>'2.4.Функции'!ACI66+"BYw!Q|"</f>
        <v>#VALUE!</v>
      </c>
      <c r="U16" t="e">
        <f>'2.4.Функции'!ACJ66+"BYw!Q}"</f>
        <v>#VALUE!</v>
      </c>
      <c r="V16" t="e">
        <f>'2.4.Функции'!ACK66+"BYw!Q~"</f>
        <v>#VALUE!</v>
      </c>
      <c r="W16" t="e">
        <f>'2.4.Функции'!ACL66+"BYw!R#"</f>
        <v>#VALUE!</v>
      </c>
      <c r="X16" t="e">
        <f>'2.4.Функции'!ACM66+"BYw!R$"</f>
        <v>#VALUE!</v>
      </c>
      <c r="Y16" t="e">
        <f>'2.4.Функции'!ACN66+"BYw!R%"</f>
        <v>#VALUE!</v>
      </c>
      <c r="Z16" t="e">
        <f>'2.4.Функции'!ACO66+"BYw!R&amp;"</f>
        <v>#VALUE!</v>
      </c>
      <c r="AA16" t="e">
        <f>'2.4.Функции'!ACP66+"BYw!R'"</f>
        <v>#VALUE!</v>
      </c>
      <c r="AB16" t="e">
        <f>'2.4.Функции'!ACQ66+"BYw!R("</f>
        <v>#VALUE!</v>
      </c>
      <c r="AC16" t="e">
        <f>'2.4.Функции'!ACR66+"BYw!R)"</f>
        <v>#VALUE!</v>
      </c>
      <c r="AD16" t="e">
        <f>'2.4.Функции'!ACS66+"BYw!R."</f>
        <v>#VALUE!</v>
      </c>
      <c r="AE16" t="e">
        <f>'2.4.Функции'!ACT66+"BYw!R/"</f>
        <v>#VALUE!</v>
      </c>
      <c r="AF16" t="e">
        <f>'2.4.Функции'!ACU66+"BYw!R0"</f>
        <v>#VALUE!</v>
      </c>
      <c r="AG16" t="e">
        <f>'2.4.Функции'!ACV66+"BYw!R1"</f>
        <v>#VALUE!</v>
      </c>
      <c r="AH16" t="e">
        <f>'2.4.Функции'!ACW66+"BYw!R2"</f>
        <v>#VALUE!</v>
      </c>
      <c r="AI16" t="e">
        <f>'2.4.Функции'!ACX66+"BYw!R3"</f>
        <v>#VALUE!</v>
      </c>
      <c r="AJ16" t="e">
        <f>'2.4.Функции'!ACY66+"BYw!R4"</f>
        <v>#VALUE!</v>
      </c>
      <c r="AK16" t="e">
        <f>'2.4.Функции'!ACZ66+"BYw!R5"</f>
        <v>#VALUE!</v>
      </c>
      <c r="AL16" t="e">
        <f>'2.4.Функции'!ADA66+"BYw!R6"</f>
        <v>#VALUE!</v>
      </c>
      <c r="AM16" t="e">
        <f>'2.4.Функции'!ADB66+"BYw!R7"</f>
        <v>#VALUE!</v>
      </c>
      <c r="AN16" t="e">
        <f>'2.4.Функции'!ADC66+"BYw!R8"</f>
        <v>#VALUE!</v>
      </c>
      <c r="AO16" t="e">
        <f>'2.4.Функции'!ADD66+"BYw!R9"</f>
        <v>#VALUE!</v>
      </c>
      <c r="AP16" t="e">
        <f>'2.4.Функции'!ADE66+"BYw!R:"</f>
        <v>#VALUE!</v>
      </c>
      <c r="AQ16" t="e">
        <f>'2.4.Функции'!ADF66+"BYw!R;"</f>
        <v>#VALUE!</v>
      </c>
      <c r="AR16" t="e">
        <f>'2.4.Функции'!ADG66+"BYw!R&lt;"</f>
        <v>#VALUE!</v>
      </c>
      <c r="AS16" t="e">
        <f>'2.4.Функции'!ADH66+"BYw!R="</f>
        <v>#VALUE!</v>
      </c>
      <c r="AT16" t="e">
        <f>'2.4.Функции'!ADI66+"BYw!R&gt;"</f>
        <v>#VALUE!</v>
      </c>
      <c r="AU16" t="e">
        <f>'2.4.Функции'!ADJ66+"BYw!R?"</f>
        <v>#VALUE!</v>
      </c>
      <c r="AV16" t="e">
        <f>'2.4.Функции'!ADK66+"BYw!R@"</f>
        <v>#VALUE!</v>
      </c>
      <c r="AW16" t="e">
        <f>'2.4.Функции'!ADL66+"BYw!RA"</f>
        <v>#VALUE!</v>
      </c>
      <c r="AX16" t="e">
        <f>'2.4.Функции'!ADM66+"BYw!RB"</f>
        <v>#VALUE!</v>
      </c>
      <c r="AY16" t="e">
        <f>'2.4.Функции'!ADN66+"BYw!RC"</f>
        <v>#VALUE!</v>
      </c>
      <c r="AZ16" t="e">
        <f>'2.4.Функции'!ADO66+"BYw!RD"</f>
        <v>#VALUE!</v>
      </c>
      <c r="BA16" t="e">
        <f>'2.4.Функции'!ADP66+"BYw!RE"</f>
        <v>#VALUE!</v>
      </c>
      <c r="BB16" t="e">
        <f>'2.4.Функции'!ADQ66+"BYw!RF"</f>
        <v>#VALUE!</v>
      </c>
      <c r="BC16" t="e">
        <f>'2.4.Функции'!ADR66+"BYw!RG"</f>
        <v>#VALUE!</v>
      </c>
      <c r="BD16" t="e">
        <f>'2.4.Функции'!ADS66+"BYw!RH"</f>
        <v>#VALUE!</v>
      </c>
      <c r="BE16" t="e">
        <f>'2.4.Функции'!ADT66+"BYw!RI"</f>
        <v>#VALUE!</v>
      </c>
      <c r="BF16" t="e">
        <f>'2.4.Функции'!ADU66+"BYw!RJ"</f>
        <v>#VALUE!</v>
      </c>
      <c r="BG16" t="e">
        <f>'2.4.Функции'!ADV66+"BYw!RK"</f>
        <v>#VALUE!</v>
      </c>
      <c r="BH16" t="e">
        <f>'2.4.Функции'!ADW66+"BYw!RL"</f>
        <v>#VALUE!</v>
      </c>
      <c r="BI16" t="e">
        <f>'2.4.Функции'!ADX66+"BYw!RM"</f>
        <v>#VALUE!</v>
      </c>
      <c r="BJ16" t="e">
        <f>'2.4.Функции'!ADY66+"BYw!RN"</f>
        <v>#VALUE!</v>
      </c>
      <c r="BK16" t="e">
        <f>'2.4.Функции'!ADZ66+"BYw!RO"</f>
        <v>#VALUE!</v>
      </c>
      <c r="BL16" t="e">
        <f>'2.4.Функции'!AEA66+"BYw!RP"</f>
        <v>#VALUE!</v>
      </c>
      <c r="BM16" t="e">
        <f>'2.4.Функции'!AEB66+"BYw!RQ"</f>
        <v>#VALUE!</v>
      </c>
      <c r="BN16" t="e">
        <f>'2.4.Функции'!AEC66+"BYw!RR"</f>
        <v>#VALUE!</v>
      </c>
      <c r="BO16" t="e">
        <f>'2.4.Функции'!AED66+"BYw!RS"</f>
        <v>#VALUE!</v>
      </c>
      <c r="BP16" t="e">
        <f>'2.4.Функции'!AEE66+"BYw!RT"</f>
        <v>#VALUE!</v>
      </c>
      <c r="BQ16" t="e">
        <f>'2.4.Функции'!AEF66+"BYw!RU"</f>
        <v>#VALUE!</v>
      </c>
      <c r="BR16" t="e">
        <f>'2.4.Функции'!AEG66+"BYw!RV"</f>
        <v>#VALUE!</v>
      </c>
      <c r="BS16" t="e">
        <f>'2.4.Функции'!AEH66+"BYw!RW"</f>
        <v>#VALUE!</v>
      </c>
      <c r="BT16" t="e">
        <f>'2.4.Функции'!AEI66+"BYw!RX"</f>
        <v>#VALUE!</v>
      </c>
      <c r="BU16" t="e">
        <f>'2.4.Функции'!AEJ66+"BYw!RY"</f>
        <v>#VALUE!</v>
      </c>
      <c r="BV16" t="e">
        <f>'2.4.Функции'!AEK66+"BYw!RZ"</f>
        <v>#VALUE!</v>
      </c>
      <c r="BW16" t="e">
        <f>'2.4.Функции'!AEL66+"BYw!R["</f>
        <v>#VALUE!</v>
      </c>
      <c r="BX16" t="e">
        <f>'2.4.Функции'!AEM66+"BYw!R\"</f>
        <v>#VALUE!</v>
      </c>
      <c r="BY16" t="e">
        <f>'2.4.Функции'!AEN66+"BYw!R]"</f>
        <v>#VALUE!</v>
      </c>
      <c r="BZ16" t="e">
        <f>'2.4.Функции'!AEO66+"BYw!R^"</f>
        <v>#VALUE!</v>
      </c>
      <c r="CA16" t="e">
        <f>'2.4.Функции'!AEP66+"BYw!R_"</f>
        <v>#VALUE!</v>
      </c>
      <c r="CB16" t="e">
        <f>'2.4.Функции'!AEQ66+"BYw!R`"</f>
        <v>#VALUE!</v>
      </c>
      <c r="CC16" t="e">
        <f>'2.4.Функции'!AER66+"BYw!Ra"</f>
        <v>#VALUE!</v>
      </c>
      <c r="CD16" t="e">
        <f>'2.4.Функции'!AES66+"BYw!Rb"</f>
        <v>#VALUE!</v>
      </c>
      <c r="CE16" t="e">
        <f>'2.4.Функции'!AET66+"BYw!Rc"</f>
        <v>#VALUE!</v>
      </c>
      <c r="CF16" t="e">
        <f>'2.4.Функции'!AEU66+"BYw!Rd"</f>
        <v>#VALUE!</v>
      </c>
      <c r="CG16" t="e">
        <f>'2.4.Функции'!AEV66+"BYw!Re"</f>
        <v>#VALUE!</v>
      </c>
      <c r="CH16" t="e">
        <f>'2.4.Функции'!AEW66+"BYw!Rf"</f>
        <v>#VALUE!</v>
      </c>
      <c r="CI16" t="e">
        <f>'2.4.Функции'!AEX66+"BYw!Rg"</f>
        <v>#VALUE!</v>
      </c>
      <c r="CJ16" t="e">
        <f>'2.4.Функции'!AEY66+"BYw!Rh"</f>
        <v>#VALUE!</v>
      </c>
      <c r="CK16" t="e">
        <f>'2.4.Функции'!AEZ66+"BYw!Ri"</f>
        <v>#VALUE!</v>
      </c>
      <c r="CL16" t="e">
        <f>'2.4.Функции'!AFA66+"BYw!Rj"</f>
        <v>#VALUE!</v>
      </c>
      <c r="CM16" t="e">
        <f>'2.4.Функции'!AFB66+"BYw!Rk"</f>
        <v>#VALUE!</v>
      </c>
      <c r="CN16" t="e">
        <f>'2.4.Функции'!AFC66+"BYw!Rl"</f>
        <v>#VALUE!</v>
      </c>
      <c r="CO16" t="e">
        <f>'2.4.Функции'!AFD66+"BYw!Rm"</f>
        <v>#VALUE!</v>
      </c>
      <c r="CP16" t="e">
        <f>'2.4.Функции'!AFE66+"BYw!Rn"</f>
        <v>#VALUE!</v>
      </c>
      <c r="CQ16" t="e">
        <f>'2.4.Функции'!AFF66+"BYw!Ro"</f>
        <v>#VALUE!</v>
      </c>
      <c r="CR16" t="e">
        <f>'2.4.Функции'!AFG66+"BYw!Rp"</f>
        <v>#VALUE!</v>
      </c>
      <c r="CS16" t="e">
        <f>'2.4.Функции'!AFH66+"BYw!Rq"</f>
        <v>#VALUE!</v>
      </c>
      <c r="CT16" t="e">
        <f>'2.4.Функции'!AFI66+"BYw!Rr"</f>
        <v>#VALUE!</v>
      </c>
      <c r="CU16" t="e">
        <f>'2.4.Функции'!AFJ66+"BYw!Rs"</f>
        <v>#VALUE!</v>
      </c>
      <c r="CV16" t="e">
        <f>'2.4.Функции'!AFK66+"BYw!Rt"</f>
        <v>#VALUE!</v>
      </c>
      <c r="CW16" t="e">
        <f>'2.4.Функции'!AFL66+"BYw!Ru"</f>
        <v>#VALUE!</v>
      </c>
      <c r="CX16" t="e">
        <f>'2.4.Функции'!AFM66+"BYw!Rv"</f>
        <v>#VALUE!</v>
      </c>
      <c r="CY16" t="e">
        <f>'2.4.Функции'!AFN66+"BYw!Rw"</f>
        <v>#VALUE!</v>
      </c>
      <c r="CZ16" t="e">
        <f>'2.4.Функции'!AFO66+"BYw!Rx"</f>
        <v>#VALUE!</v>
      </c>
      <c r="DA16" t="e">
        <f>'2.4.Функции'!AFP66+"BYw!Ry"</f>
        <v>#VALUE!</v>
      </c>
      <c r="DB16" t="e">
        <f>'2.4.Функции'!AFQ66+"BYw!Rz"</f>
        <v>#VALUE!</v>
      </c>
      <c r="DC16" t="e">
        <f>'2.4.Функции'!AFR66+"BYw!R{"</f>
        <v>#VALUE!</v>
      </c>
      <c r="DD16" t="e">
        <f>'2.4.Функции'!AFS66+"BYw!R|"</f>
        <v>#VALUE!</v>
      </c>
      <c r="DE16" t="e">
        <f>'2.4.Функции'!AFT66+"BYw!R}"</f>
        <v>#VALUE!</v>
      </c>
      <c r="DF16" t="e">
        <f>'2.4.Функции'!AFU66+"BYw!R~"</f>
        <v>#VALUE!</v>
      </c>
      <c r="DG16" t="e">
        <f>'2.4.Функции'!AFV66+"BYw!S#"</f>
        <v>#VALUE!</v>
      </c>
      <c r="DH16" t="e">
        <f>'2.4.Функции'!AFW66+"BYw!S$"</f>
        <v>#VALUE!</v>
      </c>
      <c r="DI16" t="e">
        <f>'2.4.Функции'!AFX66+"BYw!S%"</f>
        <v>#VALUE!</v>
      </c>
      <c r="DJ16" t="e">
        <f>'2.4.Функции'!AFY66+"BYw!S&amp;"</f>
        <v>#VALUE!</v>
      </c>
      <c r="DK16" t="e">
        <f>'2.4.Функции'!AFZ66+"BYw!S'"</f>
        <v>#VALUE!</v>
      </c>
      <c r="DL16" t="e">
        <f>'2.4.Функции'!AGA66+"BYw!S("</f>
        <v>#VALUE!</v>
      </c>
      <c r="DM16" t="e">
        <f>'2.4.Функции'!AGB66+"BYw!S)"</f>
        <v>#VALUE!</v>
      </c>
      <c r="DN16" t="e">
        <f>'2.4.Функции'!AGC66+"BYw!S."</f>
        <v>#VALUE!</v>
      </c>
      <c r="DO16" t="e">
        <f>'2.4.Функции'!AGD66+"BYw!S/"</f>
        <v>#VALUE!</v>
      </c>
      <c r="DP16" t="e">
        <f>'2.4.Функции'!AGE66+"BYw!S0"</f>
        <v>#VALUE!</v>
      </c>
      <c r="DQ16" t="e">
        <f>'2.4.Функции'!AGF66+"BYw!S1"</f>
        <v>#VALUE!</v>
      </c>
      <c r="DR16" t="e">
        <f>'2.4.Функции'!AGG66+"BYw!S2"</f>
        <v>#VALUE!</v>
      </c>
      <c r="DS16" t="e">
        <f>'2.4.Функции'!AGH66+"BYw!S3"</f>
        <v>#VALUE!</v>
      </c>
      <c r="DT16" t="e">
        <f>'2.4.Функции'!AGI66+"BYw!S4"</f>
        <v>#VALUE!</v>
      </c>
      <c r="DU16" t="e">
        <f>'2.4.Функции'!AGJ66+"BYw!S5"</f>
        <v>#VALUE!</v>
      </c>
      <c r="DV16" t="e">
        <f>'2.4.Функции'!AGK66+"BYw!S6"</f>
        <v>#VALUE!</v>
      </c>
      <c r="DW16" t="e">
        <f>'2.4.Функции'!AGL66+"BYw!S7"</f>
        <v>#VALUE!</v>
      </c>
      <c r="DX16" t="e">
        <f>'2.4.Функции'!AGM66+"BYw!S8"</f>
        <v>#VALUE!</v>
      </c>
      <c r="DY16" t="e">
        <f>'2.4.Функции'!AGN66+"BYw!S9"</f>
        <v>#VALUE!</v>
      </c>
      <c r="DZ16" t="e">
        <f>'2.4.Функции'!AGO66+"BYw!S:"</f>
        <v>#VALUE!</v>
      </c>
      <c r="EA16" t="e">
        <f>'2.4.Функции'!AGP66+"BYw!S;"</f>
        <v>#VALUE!</v>
      </c>
      <c r="EB16" t="e">
        <f>'2.4.Функции'!AGQ66+"BYw!S&lt;"</f>
        <v>#VALUE!</v>
      </c>
      <c r="EC16" t="e">
        <f>'2.4.Функции'!AGR66+"BYw!S="</f>
        <v>#VALUE!</v>
      </c>
      <c r="ED16" t="e">
        <f>'2.4.Функции'!AGS66+"BYw!S&gt;"</f>
        <v>#VALUE!</v>
      </c>
      <c r="EE16" t="e">
        <f>'2.4.Функции'!AGT66+"BYw!S?"</f>
        <v>#VALUE!</v>
      </c>
      <c r="EF16" t="e">
        <f>'2.4.Функции'!AGU66+"BYw!S@"</f>
        <v>#VALUE!</v>
      </c>
      <c r="EG16" t="e">
        <f>'2.4.Функции'!AGV66+"BYw!SA"</f>
        <v>#VALUE!</v>
      </c>
      <c r="EH16" t="e">
        <f>'2.4.Функции'!AGW66+"BYw!SB"</f>
        <v>#VALUE!</v>
      </c>
      <c r="EI16" t="e">
        <f>'2.4.Функции'!AGX66+"BYw!SC"</f>
        <v>#VALUE!</v>
      </c>
      <c r="EJ16" t="e">
        <f>'2.4.Функции'!AGY66+"BYw!SD"</f>
        <v>#VALUE!</v>
      </c>
      <c r="EK16" t="e">
        <f>'2.4.Функции'!AGZ66+"BYw!SE"</f>
        <v>#VALUE!</v>
      </c>
      <c r="EL16" t="e">
        <f>'2.4.Функции'!AHA66+"BYw!SF"</f>
        <v>#VALUE!</v>
      </c>
      <c r="EM16" t="e">
        <f>'2.4.Функции'!AHB66+"BYw!SG"</f>
        <v>#VALUE!</v>
      </c>
      <c r="EN16" t="e">
        <f>'2.4.Функции'!AHC66+"BYw!SH"</f>
        <v>#VALUE!</v>
      </c>
      <c r="EO16" t="e">
        <f>'2.4.Функции'!AHD66+"BYw!SI"</f>
        <v>#VALUE!</v>
      </c>
      <c r="EP16" t="e">
        <f>'2.4.Функции'!AHE66+"BYw!SJ"</f>
        <v>#VALUE!</v>
      </c>
      <c r="EQ16" t="e">
        <f>'2.4.Функции'!AHF66+"BYw!SK"</f>
        <v>#VALUE!</v>
      </c>
      <c r="ER16" t="e">
        <f>'2.4.Функции'!AHG66+"BYw!SL"</f>
        <v>#VALUE!</v>
      </c>
      <c r="ES16" t="e">
        <f>'2.4.Функции'!AHH66+"BYw!SM"</f>
        <v>#VALUE!</v>
      </c>
      <c r="ET16" t="e">
        <f>'2.4.Функции'!AHI66+"BYw!SN"</f>
        <v>#VALUE!</v>
      </c>
      <c r="EU16" t="e">
        <f>'2.4.Функции'!AHJ66+"BYw!SO"</f>
        <v>#VALUE!</v>
      </c>
      <c r="EV16" t="e">
        <f>'2.4.Функции'!AHK66+"BYw!SP"</f>
        <v>#VALUE!</v>
      </c>
      <c r="EW16" t="e">
        <f>'2.4.Функции'!AHL66+"BYw!SQ"</f>
        <v>#VALUE!</v>
      </c>
      <c r="EX16" t="e">
        <f>'2.4.Функции'!AHM66+"BYw!SR"</f>
        <v>#VALUE!</v>
      </c>
      <c r="EY16" t="e">
        <f>'2.4.Функции'!AHN66+"BYw!SS"</f>
        <v>#VALUE!</v>
      </c>
      <c r="EZ16" t="e">
        <f>'2.4.Функции'!AHO66+"BYw!ST"</f>
        <v>#VALUE!</v>
      </c>
      <c r="FA16" t="e">
        <f>'2.4.Функции'!AHP66+"BYw!SU"</f>
        <v>#VALUE!</v>
      </c>
      <c r="FB16" t="e">
        <f>'2.4.Функции'!AHQ66+"BYw!SV"</f>
        <v>#VALUE!</v>
      </c>
      <c r="FC16" t="e">
        <f>'2.4.Функции'!AHR66+"BYw!SW"</f>
        <v>#VALUE!</v>
      </c>
      <c r="FD16" t="e">
        <f>'2.4.Функции'!AHS66+"BYw!SX"</f>
        <v>#VALUE!</v>
      </c>
      <c r="FE16" t="e">
        <f>'2.4.Функции'!AHT66+"BYw!SY"</f>
        <v>#VALUE!</v>
      </c>
      <c r="FF16" t="e">
        <f>'2.4.Функции'!AHU66+"BYw!SZ"</f>
        <v>#VALUE!</v>
      </c>
      <c r="FG16" t="e">
        <f>'2.4.Функции'!AHV66+"BYw!S["</f>
        <v>#VALUE!</v>
      </c>
      <c r="FH16" t="e">
        <f>'2.4.Функции'!AHW66+"BYw!S\"</f>
        <v>#VALUE!</v>
      </c>
      <c r="FI16" t="e">
        <f>'2.4.Функции'!AHX66+"BYw!S]"</f>
        <v>#VALUE!</v>
      </c>
      <c r="FJ16" t="e">
        <f>'2.4.Функции'!AHY66+"BYw!S^"</f>
        <v>#VALUE!</v>
      </c>
      <c r="FK16" t="e">
        <f>'2.4.Функции'!AHZ66+"BYw!S_"</f>
        <v>#VALUE!</v>
      </c>
      <c r="FL16" t="e">
        <f>'2.4.Функции'!AIA66+"BYw!S`"</f>
        <v>#VALUE!</v>
      </c>
      <c r="FM16" t="e">
        <f>'2.4.Функции'!AIB66+"BYw!Sa"</f>
        <v>#VALUE!</v>
      </c>
      <c r="FN16" t="e">
        <f>'2.4.Функции'!AIC66+"BYw!Sb"</f>
        <v>#VALUE!</v>
      </c>
      <c r="FO16" t="e">
        <f>'2.4.Функции'!AID66+"BYw!Sc"</f>
        <v>#VALUE!</v>
      </c>
      <c r="FP16" t="e">
        <f>'2.4.Функции'!AIE66+"BYw!Sd"</f>
        <v>#VALUE!</v>
      </c>
      <c r="FQ16" t="e">
        <f>'2.4.Функции'!AIF66+"BYw!Se"</f>
        <v>#VALUE!</v>
      </c>
      <c r="FR16" t="e">
        <f>'2.4.Функции'!AIG66+"BYw!Sf"</f>
        <v>#VALUE!</v>
      </c>
      <c r="FS16" t="e">
        <f>'2.4.Функции'!AIH66+"BYw!Sg"</f>
        <v>#VALUE!</v>
      </c>
      <c r="FT16" t="e">
        <f>'2.4.Функции'!A67+"BYw!Sh"</f>
        <v>#VALUE!</v>
      </c>
      <c r="FU16" s="116" t="e">
        <f>'2.4.Функции'!B67+"BYw!Si"</f>
        <v>#VALUE!</v>
      </c>
      <c r="FV16" t="e">
        <f>'2.4.Функции'!C67+"BYw!Sj"</f>
        <v>#VALUE!</v>
      </c>
      <c r="FW16" s="119" t="e">
        <f>'2.4.Функции'!D67+"BYw!Sk"</f>
        <v>#VALUE!</v>
      </c>
      <c r="FX16" s="119" t="e">
        <f>'2.4.Функции'!E67+"BYw!Sl"</f>
        <v>#VALUE!</v>
      </c>
      <c r="FY16" s="119" t="e">
        <f>'2.4.Функции'!F67+"BYw!Sm"</f>
        <v>#VALUE!</v>
      </c>
      <c r="FZ16" s="119" t="e">
        <f>'2.4.Функции'!G67+"BYw!Sn"</f>
        <v>#VALUE!</v>
      </c>
      <c r="GA16" s="119" t="e">
        <f>'2.4.Функции'!H67+"BYw!So"</f>
        <v>#VALUE!</v>
      </c>
      <c r="GB16" s="119" t="e">
        <f>'2.4.Функции'!I67+"BYw!Sp"</f>
        <v>#VALUE!</v>
      </c>
      <c r="GC16" s="119" t="e">
        <f>'2.4.Функции'!J67+"BYw!Sq"</f>
        <v>#VALUE!</v>
      </c>
      <c r="GD16" s="119" t="e">
        <f>'2.4.Функции'!K67+"BYw!Sr"</f>
        <v>#VALUE!</v>
      </c>
      <c r="GE16" t="e">
        <f>'2.4.Функции'!L67+"BYw!Ss"</f>
        <v>#VALUE!</v>
      </c>
      <c r="GF16" t="e">
        <f>'2.4.Функции'!M67+"BYw!St"</f>
        <v>#VALUE!</v>
      </c>
      <c r="GG16" t="e">
        <f>'2.4.Функции'!N67+"BYw!Su"</f>
        <v>#VALUE!</v>
      </c>
      <c r="GH16" t="e">
        <f>'2.4.Функции'!O67+"BYw!Sv"</f>
        <v>#VALUE!</v>
      </c>
      <c r="GI16" t="e">
        <f>'2.4.Функции'!P67+"BYw!Sw"</f>
        <v>#VALUE!</v>
      </c>
      <c r="GJ16" t="e">
        <f>'2.4.Функции'!Q67+"BYw!Sx"</f>
        <v>#VALUE!</v>
      </c>
      <c r="GK16" t="e">
        <f>'2.4.Функции'!R67+"BYw!Sy"</f>
        <v>#VALUE!</v>
      </c>
      <c r="GL16" t="e">
        <f>'2.4.Функции'!S67+"BYw!Sz"</f>
        <v>#VALUE!</v>
      </c>
      <c r="GM16" t="e">
        <f>'2.4.Функции'!T67+"BYw!S{"</f>
        <v>#VALUE!</v>
      </c>
      <c r="GN16" t="e">
        <f>'2.4.Функции'!U67+"BYw!S|"</f>
        <v>#VALUE!</v>
      </c>
      <c r="GO16" t="e">
        <f>'2.4.Функции'!V67+"BYw!S}"</f>
        <v>#VALUE!</v>
      </c>
      <c r="GP16" t="e">
        <f>'2.4.Функции'!W67+"BYw!S~"</f>
        <v>#VALUE!</v>
      </c>
      <c r="GQ16" t="e">
        <f>'2.4.Функции'!X67+"BYw!T#"</f>
        <v>#VALUE!</v>
      </c>
      <c r="GR16" t="e">
        <f>'2.4.Функции'!Y67+"BYw!T$"</f>
        <v>#VALUE!</v>
      </c>
      <c r="GS16" t="e">
        <f>'2.4.Функции'!Z67+"BYw!T%"</f>
        <v>#VALUE!</v>
      </c>
      <c r="GT16" t="e">
        <f>'2.4.Функции'!AA67+"BYw!T&amp;"</f>
        <v>#VALUE!</v>
      </c>
      <c r="GU16" t="e">
        <f>'2.4.Функции'!AB67+"BYw!T'"</f>
        <v>#VALUE!</v>
      </c>
      <c r="GV16" t="e">
        <f>'2.4.Функции'!AC67+"BYw!T("</f>
        <v>#VALUE!</v>
      </c>
      <c r="GW16" t="e">
        <f>'2.4.Функции'!AD67+"BYw!T)"</f>
        <v>#VALUE!</v>
      </c>
      <c r="GX16" t="e">
        <f>'2.4.Функции'!AE67+"BYw!T."</f>
        <v>#VALUE!</v>
      </c>
      <c r="GY16" t="e">
        <f>'2.4.Функции'!AF67+"BYw!T/"</f>
        <v>#VALUE!</v>
      </c>
      <c r="GZ16" t="e">
        <f>'2.4.Функции'!AG67+"BYw!T0"</f>
        <v>#VALUE!</v>
      </c>
      <c r="HA16" t="e">
        <f>'2.4.Функции'!AH67+"BYw!T1"</f>
        <v>#VALUE!</v>
      </c>
      <c r="HB16" t="e">
        <f>'2.4.Функции'!AI67+"BYw!T2"</f>
        <v>#VALUE!</v>
      </c>
      <c r="HC16" t="e">
        <f>'2.4.Функции'!AJ67+"BYw!T3"</f>
        <v>#VALUE!</v>
      </c>
      <c r="HD16" t="e">
        <f>'2.4.Функции'!AK67+"BYw!T4"</f>
        <v>#VALUE!</v>
      </c>
      <c r="HE16" t="e">
        <f>'2.4.Функции'!AL67+"BYw!T5"</f>
        <v>#VALUE!</v>
      </c>
      <c r="HF16" t="e">
        <f>'2.4.Функции'!AM67+"BYw!T6"</f>
        <v>#VALUE!</v>
      </c>
      <c r="HG16" t="e">
        <f>'2.4.Функции'!AN67+"BYw!T7"</f>
        <v>#VALUE!</v>
      </c>
      <c r="HH16" t="e">
        <f>'2.4.Функции'!AO67+"BYw!T8"</f>
        <v>#VALUE!</v>
      </c>
      <c r="HI16" t="e">
        <f>'2.4.Функции'!AP67+"BYw!T9"</f>
        <v>#VALUE!</v>
      </c>
      <c r="HJ16" t="e">
        <f>'2.4.Функции'!AQ67+"BYw!T:"</f>
        <v>#VALUE!</v>
      </c>
      <c r="HK16" t="e">
        <f>'2.4.Функции'!AR67+"BYw!T;"</f>
        <v>#VALUE!</v>
      </c>
      <c r="HL16" t="e">
        <f>'2.4.Функции'!AS67+"BYw!T&lt;"</f>
        <v>#VALUE!</v>
      </c>
      <c r="HM16" t="e">
        <f>'2.4.Функции'!AT67+"BYw!T="</f>
        <v>#VALUE!</v>
      </c>
      <c r="HN16" t="e">
        <f>'2.4.Функции'!AU67+"BYw!T&gt;"</f>
        <v>#VALUE!</v>
      </c>
      <c r="HO16" t="e">
        <f>'2.4.Функции'!AV67+"BYw!T?"</f>
        <v>#VALUE!</v>
      </c>
      <c r="HP16" t="e">
        <f>'2.4.Функции'!AW67+"BYw!T@"</f>
        <v>#VALUE!</v>
      </c>
      <c r="HQ16" t="e">
        <f>'2.4.Функции'!AX67+"BYw!TA"</f>
        <v>#VALUE!</v>
      </c>
      <c r="HR16" t="e">
        <f>'2.4.Функции'!AY67+"BYw!TB"</f>
        <v>#VALUE!</v>
      </c>
      <c r="HS16" t="e">
        <f>'2.4.Функции'!AZ67+"BYw!TC"</f>
        <v>#VALUE!</v>
      </c>
      <c r="HT16" t="e">
        <f>'2.4.Функции'!BA67+"BYw!TD"</f>
        <v>#VALUE!</v>
      </c>
      <c r="HU16" t="e">
        <f>'2.4.Функции'!BB67+"BYw!TE"</f>
        <v>#VALUE!</v>
      </c>
      <c r="HV16" t="e">
        <f>'2.4.Функции'!BC67+"BYw!TF"</f>
        <v>#VALUE!</v>
      </c>
      <c r="HW16" t="e">
        <f>'2.4.Функции'!BD67+"BYw!TG"</f>
        <v>#VALUE!</v>
      </c>
      <c r="HX16" t="e">
        <f>'2.4.Функции'!BE67+"BYw!TH"</f>
        <v>#VALUE!</v>
      </c>
      <c r="HY16" t="e">
        <f>'2.4.Функции'!BF67+"BYw!TI"</f>
        <v>#VALUE!</v>
      </c>
      <c r="HZ16" t="e">
        <f>'2.4.Функции'!BG67+"BYw!TJ"</f>
        <v>#VALUE!</v>
      </c>
      <c r="IA16" t="e">
        <f>'2.4.Функции'!BH67+"BYw!TK"</f>
        <v>#VALUE!</v>
      </c>
      <c r="IB16" t="e">
        <f>'2.4.Функции'!BI67+"BYw!TL"</f>
        <v>#VALUE!</v>
      </c>
      <c r="IC16" t="e">
        <f>'2.4.Функции'!BJ67+"BYw!TM"</f>
        <v>#VALUE!</v>
      </c>
      <c r="ID16" t="e">
        <f>'2.4.Функции'!BK67+"BYw!TN"</f>
        <v>#VALUE!</v>
      </c>
      <c r="IE16" t="e">
        <f>'2.4.Функции'!BL67+"BYw!TO"</f>
        <v>#VALUE!</v>
      </c>
      <c r="IF16" t="e">
        <f>'2.4.Функции'!BM67+"BYw!TP"</f>
        <v>#VALUE!</v>
      </c>
      <c r="IG16" t="e">
        <f>'2.4.Функции'!BN67+"BYw!TQ"</f>
        <v>#VALUE!</v>
      </c>
      <c r="IH16" t="e">
        <f>'2.4.Функции'!BO67+"BYw!TR"</f>
        <v>#VALUE!</v>
      </c>
      <c r="II16" t="e">
        <f>'2.4.Функции'!BP67+"BYw!TS"</f>
        <v>#VALUE!</v>
      </c>
      <c r="IJ16" t="e">
        <f>'2.4.Функции'!BQ67+"BYw!TT"</f>
        <v>#VALUE!</v>
      </c>
      <c r="IK16" t="e">
        <f>'2.4.Функции'!BR67+"BYw!TU"</f>
        <v>#VALUE!</v>
      </c>
      <c r="IL16" t="e">
        <f>'2.4.Функции'!BS67+"BYw!TV"</f>
        <v>#VALUE!</v>
      </c>
      <c r="IM16" t="e">
        <f>'2.4.Функции'!BT67+"BYw!TW"</f>
        <v>#VALUE!</v>
      </c>
      <c r="IN16" t="e">
        <f>'2.4.Функции'!BU67+"BYw!TX"</f>
        <v>#VALUE!</v>
      </c>
      <c r="IO16" t="e">
        <f>'2.4.Функции'!BV67+"BYw!TY"</f>
        <v>#VALUE!</v>
      </c>
      <c r="IP16" t="e">
        <f>'2.4.Функции'!BW67+"BYw!TZ"</f>
        <v>#VALUE!</v>
      </c>
      <c r="IQ16" t="e">
        <f>'2.4.Функции'!BX67+"BYw!T["</f>
        <v>#VALUE!</v>
      </c>
      <c r="IR16" t="e">
        <f>'2.4.Функции'!BY67+"BYw!T\"</f>
        <v>#VALUE!</v>
      </c>
      <c r="IS16" t="e">
        <f>'2.4.Функции'!BZ67+"BYw!T]"</f>
        <v>#VALUE!</v>
      </c>
      <c r="IT16" t="e">
        <f>'2.4.Функции'!CA67+"BYw!T^"</f>
        <v>#VALUE!</v>
      </c>
      <c r="IU16" t="e">
        <f>'2.4.Функции'!CB67+"BYw!T_"</f>
        <v>#VALUE!</v>
      </c>
      <c r="IV16" t="e">
        <f>'2.4.Функции'!CC67+"BYw!T`"</f>
        <v>#VALUE!</v>
      </c>
    </row>
    <row r="17" spans="6:256" x14ac:dyDescent="0.2">
      <c r="F17" t="e">
        <f>'2.4.Функции'!CD67+"BYw!Ta"</f>
        <v>#VALUE!</v>
      </c>
      <c r="G17" t="e">
        <f>'2.4.Функции'!CE67+"BYw!Tb"</f>
        <v>#VALUE!</v>
      </c>
      <c r="H17" t="e">
        <f>'2.4.Функции'!CF67+"BYw!Tc"</f>
        <v>#VALUE!</v>
      </c>
      <c r="I17" t="e">
        <f>'2.4.Функции'!CG67+"BYw!Td"</f>
        <v>#VALUE!</v>
      </c>
      <c r="J17" t="e">
        <f>'2.4.Функции'!CH67+"BYw!Te"</f>
        <v>#VALUE!</v>
      </c>
      <c r="K17" t="e">
        <f>'2.4.Функции'!CI67+"BYw!Tf"</f>
        <v>#VALUE!</v>
      </c>
      <c r="L17" t="e">
        <f>'2.4.Функции'!CJ67+"BYw!Tg"</f>
        <v>#VALUE!</v>
      </c>
      <c r="M17" t="e">
        <f>'2.4.Функции'!CK67+"BYw!Th"</f>
        <v>#VALUE!</v>
      </c>
      <c r="N17" t="e">
        <f>'2.4.Функции'!CL67+"BYw!Ti"</f>
        <v>#VALUE!</v>
      </c>
      <c r="O17" t="e">
        <f>'2.4.Функции'!CM67+"BYw!Tj"</f>
        <v>#VALUE!</v>
      </c>
      <c r="P17" t="e">
        <f>'2.4.Функции'!CN67+"BYw!Tk"</f>
        <v>#VALUE!</v>
      </c>
      <c r="Q17" t="e">
        <f>'2.4.Функции'!CO67+"BYw!Tl"</f>
        <v>#VALUE!</v>
      </c>
      <c r="R17" t="e">
        <f>'2.4.Функции'!CP67+"BYw!Tm"</f>
        <v>#VALUE!</v>
      </c>
      <c r="S17" t="e">
        <f>'2.4.Функции'!CQ67+"BYw!Tn"</f>
        <v>#VALUE!</v>
      </c>
      <c r="T17" t="e">
        <f>'2.4.Функции'!CR67+"BYw!To"</f>
        <v>#VALUE!</v>
      </c>
      <c r="U17" t="e">
        <f>'2.4.Функции'!CS67+"BYw!Tp"</f>
        <v>#VALUE!</v>
      </c>
      <c r="V17" t="e">
        <f>'2.4.Функции'!CT67+"BYw!Tq"</f>
        <v>#VALUE!</v>
      </c>
      <c r="W17" t="e">
        <f>'2.4.Функции'!CU67+"BYw!Tr"</f>
        <v>#VALUE!</v>
      </c>
      <c r="X17" t="e">
        <f>'2.4.Функции'!CV67+"BYw!Ts"</f>
        <v>#VALUE!</v>
      </c>
      <c r="Y17" t="e">
        <f>'2.4.Функции'!CW67+"BYw!Tt"</f>
        <v>#VALUE!</v>
      </c>
      <c r="Z17" t="e">
        <f>'2.4.Функции'!CX67+"BYw!Tu"</f>
        <v>#VALUE!</v>
      </c>
      <c r="AA17" t="e">
        <f>'2.4.Функции'!CY67+"BYw!Tv"</f>
        <v>#VALUE!</v>
      </c>
      <c r="AB17" t="e">
        <f>'2.4.Функции'!CZ67+"BYw!Tw"</f>
        <v>#VALUE!</v>
      </c>
      <c r="AC17" t="e">
        <f>'2.4.Функции'!DA67+"BYw!Tx"</f>
        <v>#VALUE!</v>
      </c>
      <c r="AD17" t="e">
        <f>'2.4.Функции'!DB67+"BYw!Ty"</f>
        <v>#VALUE!</v>
      </c>
      <c r="AE17" t="e">
        <f>'2.4.Функции'!DC67+"BYw!Tz"</f>
        <v>#VALUE!</v>
      </c>
      <c r="AF17" t="e">
        <f>'2.4.Функции'!DD67+"BYw!T{"</f>
        <v>#VALUE!</v>
      </c>
      <c r="AG17" t="e">
        <f>'2.4.Функции'!DE67+"BYw!T|"</f>
        <v>#VALUE!</v>
      </c>
      <c r="AH17" t="e">
        <f>'2.4.Функции'!DF67+"BYw!T}"</f>
        <v>#VALUE!</v>
      </c>
      <c r="AI17" t="e">
        <f>'2.4.Функции'!DG67+"BYw!T~"</f>
        <v>#VALUE!</v>
      </c>
      <c r="AJ17" t="e">
        <f>'2.4.Функции'!DH67+"BYw!U#"</f>
        <v>#VALUE!</v>
      </c>
      <c r="AK17" t="e">
        <f>'2.4.Функции'!DI67+"BYw!U$"</f>
        <v>#VALUE!</v>
      </c>
      <c r="AL17" t="e">
        <f>'2.4.Функции'!DJ67+"BYw!U%"</f>
        <v>#VALUE!</v>
      </c>
      <c r="AM17" t="e">
        <f>'2.4.Функции'!DK67+"BYw!U&amp;"</f>
        <v>#VALUE!</v>
      </c>
      <c r="AN17" t="e">
        <f>'2.4.Функции'!DL67+"BYw!U'"</f>
        <v>#VALUE!</v>
      </c>
      <c r="AO17" t="e">
        <f>'2.4.Функции'!DM67+"BYw!U("</f>
        <v>#VALUE!</v>
      </c>
      <c r="AP17" t="e">
        <f>'2.4.Функции'!DN67+"BYw!U)"</f>
        <v>#VALUE!</v>
      </c>
      <c r="AQ17" t="e">
        <f>'2.4.Функции'!DO67+"BYw!U."</f>
        <v>#VALUE!</v>
      </c>
      <c r="AR17" t="e">
        <f>'2.4.Функции'!DP67+"BYw!U/"</f>
        <v>#VALUE!</v>
      </c>
      <c r="AS17" t="e">
        <f>'2.4.Функции'!DQ67+"BYw!U0"</f>
        <v>#VALUE!</v>
      </c>
      <c r="AT17" t="e">
        <f>'2.4.Функции'!DR67+"BYw!U1"</f>
        <v>#VALUE!</v>
      </c>
      <c r="AU17" t="e">
        <f>'2.4.Функции'!DS67+"BYw!U2"</f>
        <v>#VALUE!</v>
      </c>
      <c r="AV17" t="e">
        <f>'2.4.Функции'!DT67+"BYw!U3"</f>
        <v>#VALUE!</v>
      </c>
      <c r="AW17" t="e">
        <f>'2.4.Функции'!DU67+"BYw!U4"</f>
        <v>#VALUE!</v>
      </c>
      <c r="AX17" t="e">
        <f>'2.4.Функции'!DV67+"BYw!U5"</f>
        <v>#VALUE!</v>
      </c>
      <c r="AY17" t="e">
        <f>'2.4.Функции'!DW67+"BYw!U6"</f>
        <v>#VALUE!</v>
      </c>
      <c r="AZ17" t="e">
        <f>'2.4.Функции'!DX67+"BYw!U7"</f>
        <v>#VALUE!</v>
      </c>
      <c r="BA17" t="e">
        <f>'2.4.Функции'!DY67+"BYw!U8"</f>
        <v>#VALUE!</v>
      </c>
      <c r="BB17" t="e">
        <f>'2.4.Функции'!DZ67+"BYw!U9"</f>
        <v>#VALUE!</v>
      </c>
      <c r="BC17" t="e">
        <f>'2.4.Функции'!EA67+"BYw!U:"</f>
        <v>#VALUE!</v>
      </c>
      <c r="BD17" t="e">
        <f>'2.4.Функции'!EB67+"BYw!U;"</f>
        <v>#VALUE!</v>
      </c>
      <c r="BE17" t="e">
        <f>'2.4.Функции'!EC67+"BYw!U&lt;"</f>
        <v>#VALUE!</v>
      </c>
      <c r="BF17" t="e">
        <f>'2.4.Функции'!ED67+"BYw!U="</f>
        <v>#VALUE!</v>
      </c>
      <c r="BG17" t="e">
        <f>'2.4.Функции'!EE67+"BYw!U&gt;"</f>
        <v>#VALUE!</v>
      </c>
      <c r="BH17" t="e">
        <f>'2.4.Функции'!EF67+"BYw!U?"</f>
        <v>#VALUE!</v>
      </c>
      <c r="BI17" t="e">
        <f>'2.4.Функции'!EG67+"BYw!U@"</f>
        <v>#VALUE!</v>
      </c>
      <c r="BJ17" t="e">
        <f>'2.4.Функции'!EH67+"BYw!UA"</f>
        <v>#VALUE!</v>
      </c>
      <c r="BK17" t="e">
        <f>'2.4.Функции'!EI67+"BYw!UB"</f>
        <v>#VALUE!</v>
      </c>
      <c r="BL17" t="e">
        <f>'2.4.Функции'!EJ67+"BYw!UC"</f>
        <v>#VALUE!</v>
      </c>
      <c r="BM17" t="e">
        <f>'2.4.Функции'!EK67+"BYw!UD"</f>
        <v>#VALUE!</v>
      </c>
      <c r="BN17" t="e">
        <f>'2.4.Функции'!EL67+"BYw!UE"</f>
        <v>#VALUE!</v>
      </c>
      <c r="BO17" t="e">
        <f>'2.4.Функции'!EM67+"BYw!UF"</f>
        <v>#VALUE!</v>
      </c>
      <c r="BP17" t="e">
        <f>'2.4.Функции'!EN67+"BYw!UG"</f>
        <v>#VALUE!</v>
      </c>
      <c r="BQ17" t="e">
        <f>'2.4.Функции'!EO67+"BYw!UH"</f>
        <v>#VALUE!</v>
      </c>
      <c r="BR17" t="e">
        <f>'2.4.Функции'!EP67+"BYw!UI"</f>
        <v>#VALUE!</v>
      </c>
      <c r="BS17" t="e">
        <f>'2.4.Функции'!EQ67+"BYw!UJ"</f>
        <v>#VALUE!</v>
      </c>
      <c r="BT17" t="e">
        <f>'2.4.Функции'!ER67+"BYw!UK"</f>
        <v>#VALUE!</v>
      </c>
      <c r="BU17" t="e">
        <f>'2.4.Функции'!ES67+"BYw!UL"</f>
        <v>#VALUE!</v>
      </c>
      <c r="BV17" t="e">
        <f>'2.4.Функции'!ET67+"BYw!UM"</f>
        <v>#VALUE!</v>
      </c>
      <c r="BW17" t="e">
        <f>'2.4.Функции'!EU67+"BYw!UN"</f>
        <v>#VALUE!</v>
      </c>
      <c r="BX17" t="e">
        <f>'2.4.Функции'!EV67+"BYw!UO"</f>
        <v>#VALUE!</v>
      </c>
      <c r="BY17" t="e">
        <f>'2.4.Функции'!EW67+"BYw!UP"</f>
        <v>#VALUE!</v>
      </c>
      <c r="BZ17" t="e">
        <f>'2.4.Функции'!EX67+"BYw!UQ"</f>
        <v>#VALUE!</v>
      </c>
      <c r="CA17" t="e">
        <f>'2.4.Функции'!EY67+"BYw!UR"</f>
        <v>#VALUE!</v>
      </c>
      <c r="CB17" t="e">
        <f>'2.4.Функции'!EZ67+"BYw!US"</f>
        <v>#VALUE!</v>
      </c>
      <c r="CC17" t="e">
        <f>'2.4.Функции'!FA67+"BYw!UT"</f>
        <v>#VALUE!</v>
      </c>
      <c r="CD17" t="e">
        <f>'2.4.Функции'!FB67+"BYw!UU"</f>
        <v>#VALUE!</v>
      </c>
      <c r="CE17" t="e">
        <f>'2.4.Функции'!FC67+"BYw!UV"</f>
        <v>#VALUE!</v>
      </c>
      <c r="CF17" t="e">
        <f>'2.4.Функции'!FD67+"BYw!UW"</f>
        <v>#VALUE!</v>
      </c>
      <c r="CG17" t="e">
        <f>'2.4.Функции'!FE67+"BYw!UX"</f>
        <v>#VALUE!</v>
      </c>
      <c r="CH17" t="e">
        <f>'2.4.Функции'!FF67+"BYw!UY"</f>
        <v>#VALUE!</v>
      </c>
      <c r="CI17" t="e">
        <f>'2.4.Функции'!FG67+"BYw!UZ"</f>
        <v>#VALUE!</v>
      </c>
      <c r="CJ17" t="e">
        <f>'2.4.Функции'!FH67+"BYw!U["</f>
        <v>#VALUE!</v>
      </c>
      <c r="CK17" t="e">
        <f>'2.4.Функции'!FI67+"BYw!U\"</f>
        <v>#VALUE!</v>
      </c>
      <c r="CL17" t="e">
        <f>'2.4.Функции'!FJ67+"BYw!U]"</f>
        <v>#VALUE!</v>
      </c>
      <c r="CM17" t="e">
        <f>'2.4.Функции'!FK67+"BYw!U^"</f>
        <v>#VALUE!</v>
      </c>
      <c r="CN17" t="e">
        <f>'2.4.Функции'!FL67+"BYw!U_"</f>
        <v>#VALUE!</v>
      </c>
      <c r="CO17" t="e">
        <f>'2.4.Функции'!FM67+"BYw!U`"</f>
        <v>#VALUE!</v>
      </c>
      <c r="CP17" t="e">
        <f>'2.4.Функции'!FN67+"BYw!Ua"</f>
        <v>#VALUE!</v>
      </c>
      <c r="CQ17" t="e">
        <f>'2.4.Функции'!FO67+"BYw!Ub"</f>
        <v>#VALUE!</v>
      </c>
      <c r="CR17" t="e">
        <f>'2.4.Функции'!FP67+"BYw!Uc"</f>
        <v>#VALUE!</v>
      </c>
      <c r="CS17" t="e">
        <f>'2.4.Функции'!FQ67+"BYw!Ud"</f>
        <v>#VALUE!</v>
      </c>
      <c r="CT17" t="e">
        <f>'2.4.Функции'!FR67+"BYw!Ue"</f>
        <v>#VALUE!</v>
      </c>
      <c r="CU17" t="e">
        <f>'2.4.Функции'!FS67+"BYw!Uf"</f>
        <v>#VALUE!</v>
      </c>
      <c r="CV17" t="e">
        <f>'2.4.Функции'!FT67+"BYw!Ug"</f>
        <v>#VALUE!</v>
      </c>
      <c r="CW17" t="e">
        <f>'2.4.Функции'!FU67+"BYw!Uh"</f>
        <v>#VALUE!</v>
      </c>
      <c r="CX17" t="e">
        <f>'2.4.Функции'!FV67+"BYw!Ui"</f>
        <v>#VALUE!</v>
      </c>
      <c r="CY17" t="e">
        <f>'2.4.Функции'!FW67+"BYw!Uj"</f>
        <v>#VALUE!</v>
      </c>
      <c r="CZ17" t="e">
        <f>'2.4.Функции'!FX67+"BYw!Uk"</f>
        <v>#VALUE!</v>
      </c>
      <c r="DA17" t="e">
        <f>'2.4.Функции'!FY67+"BYw!Ul"</f>
        <v>#VALUE!</v>
      </c>
      <c r="DB17" t="e">
        <f>'2.4.Функции'!FZ67+"BYw!Um"</f>
        <v>#VALUE!</v>
      </c>
      <c r="DC17" t="e">
        <f>'2.4.Функции'!GA67+"BYw!Un"</f>
        <v>#VALUE!</v>
      </c>
      <c r="DD17" t="e">
        <f>'2.4.Функции'!GB67+"BYw!Uo"</f>
        <v>#VALUE!</v>
      </c>
      <c r="DE17" t="e">
        <f>'2.4.Функции'!GC67+"BYw!Up"</f>
        <v>#VALUE!</v>
      </c>
      <c r="DF17" t="e">
        <f>'2.4.Функции'!GD67+"BYw!Uq"</f>
        <v>#VALUE!</v>
      </c>
      <c r="DG17" t="e">
        <f>'2.4.Функции'!GE67+"BYw!Ur"</f>
        <v>#VALUE!</v>
      </c>
      <c r="DH17" t="e">
        <f>'2.4.Функции'!GF67+"BYw!Us"</f>
        <v>#VALUE!</v>
      </c>
      <c r="DI17" t="e">
        <f>'2.4.Функции'!GG67+"BYw!Ut"</f>
        <v>#VALUE!</v>
      </c>
      <c r="DJ17" t="e">
        <f>'2.4.Функции'!GH67+"BYw!Uu"</f>
        <v>#VALUE!</v>
      </c>
      <c r="DK17" t="e">
        <f>'2.4.Функции'!GI67+"BYw!Uv"</f>
        <v>#VALUE!</v>
      </c>
      <c r="DL17" t="e">
        <f>'2.4.Функции'!GJ67+"BYw!Uw"</f>
        <v>#VALUE!</v>
      </c>
      <c r="DM17" t="e">
        <f>'2.4.Функции'!GK67+"BYw!Ux"</f>
        <v>#VALUE!</v>
      </c>
      <c r="DN17" t="e">
        <f>'2.4.Функции'!GL67+"BYw!Uy"</f>
        <v>#VALUE!</v>
      </c>
      <c r="DO17" t="e">
        <f>'2.4.Функции'!GM67+"BYw!Uz"</f>
        <v>#VALUE!</v>
      </c>
      <c r="DP17" t="e">
        <f>'2.4.Функции'!GN67+"BYw!U{"</f>
        <v>#VALUE!</v>
      </c>
      <c r="DQ17" t="e">
        <f>'2.4.Функции'!GO67+"BYw!U|"</f>
        <v>#VALUE!</v>
      </c>
      <c r="DR17" t="e">
        <f>'2.4.Функции'!GP67+"BYw!U}"</f>
        <v>#VALUE!</v>
      </c>
      <c r="DS17" t="e">
        <f>'2.4.Функции'!GQ67+"BYw!U~"</f>
        <v>#VALUE!</v>
      </c>
      <c r="DT17" t="e">
        <f>'2.4.Функции'!GR67+"BYw!V#"</f>
        <v>#VALUE!</v>
      </c>
      <c r="DU17" t="e">
        <f>'2.4.Функции'!GS67+"BYw!V$"</f>
        <v>#VALUE!</v>
      </c>
      <c r="DV17" t="e">
        <f>'2.4.Функции'!GT67+"BYw!V%"</f>
        <v>#VALUE!</v>
      </c>
      <c r="DW17" t="e">
        <f>'2.4.Функции'!GU67+"BYw!V&amp;"</f>
        <v>#VALUE!</v>
      </c>
      <c r="DX17" t="e">
        <f>'2.4.Функции'!GV67+"BYw!V'"</f>
        <v>#VALUE!</v>
      </c>
      <c r="DY17" t="e">
        <f>'2.4.Функции'!GW67+"BYw!V("</f>
        <v>#VALUE!</v>
      </c>
      <c r="DZ17" t="e">
        <f>'2.4.Функции'!GX67+"BYw!V)"</f>
        <v>#VALUE!</v>
      </c>
      <c r="EA17" t="e">
        <f>'2.4.Функции'!GY67+"BYw!V."</f>
        <v>#VALUE!</v>
      </c>
      <c r="EB17" t="e">
        <f>'2.4.Функции'!GZ67+"BYw!V/"</f>
        <v>#VALUE!</v>
      </c>
      <c r="EC17" t="e">
        <f>'2.4.Функции'!HA67+"BYw!V0"</f>
        <v>#VALUE!</v>
      </c>
      <c r="ED17" t="e">
        <f>'2.4.Функции'!HB67+"BYw!V1"</f>
        <v>#VALUE!</v>
      </c>
      <c r="EE17" t="e">
        <f>'2.4.Функции'!HC67+"BYw!V2"</f>
        <v>#VALUE!</v>
      </c>
      <c r="EF17" t="e">
        <f>'2.4.Функции'!HD67+"BYw!V3"</f>
        <v>#VALUE!</v>
      </c>
      <c r="EG17" t="e">
        <f>'2.4.Функции'!HE67+"BYw!V4"</f>
        <v>#VALUE!</v>
      </c>
      <c r="EH17" t="e">
        <f>'2.4.Функции'!HF67+"BYw!V5"</f>
        <v>#VALUE!</v>
      </c>
      <c r="EI17" t="e">
        <f>'2.4.Функции'!HG67+"BYw!V6"</f>
        <v>#VALUE!</v>
      </c>
      <c r="EJ17" t="e">
        <f>'2.4.Функции'!HH67+"BYw!V7"</f>
        <v>#VALUE!</v>
      </c>
      <c r="EK17" t="e">
        <f>'2.4.Функции'!HI67+"BYw!V8"</f>
        <v>#VALUE!</v>
      </c>
      <c r="EL17" t="e">
        <f>'2.4.Функции'!HJ67+"BYw!V9"</f>
        <v>#VALUE!</v>
      </c>
      <c r="EM17" t="e">
        <f>'2.4.Функции'!HK67+"BYw!V:"</f>
        <v>#VALUE!</v>
      </c>
      <c r="EN17" t="e">
        <f>'2.4.Функции'!HL67+"BYw!V;"</f>
        <v>#VALUE!</v>
      </c>
      <c r="EO17" t="e">
        <f>'2.4.Функции'!HM67+"BYw!V&lt;"</f>
        <v>#VALUE!</v>
      </c>
      <c r="EP17" t="e">
        <f>'2.4.Функции'!HN67+"BYw!V="</f>
        <v>#VALUE!</v>
      </c>
      <c r="EQ17" t="e">
        <f>'2.4.Функции'!HO67+"BYw!V&gt;"</f>
        <v>#VALUE!</v>
      </c>
      <c r="ER17" t="e">
        <f>'2.4.Функции'!HP67+"BYw!V?"</f>
        <v>#VALUE!</v>
      </c>
      <c r="ES17" t="e">
        <f>'2.4.Функции'!HQ67+"BYw!V@"</f>
        <v>#VALUE!</v>
      </c>
      <c r="ET17" t="e">
        <f>'2.4.Функции'!HR67+"BYw!VA"</f>
        <v>#VALUE!</v>
      </c>
      <c r="EU17" t="e">
        <f>'2.4.Функции'!HS67+"BYw!VB"</f>
        <v>#VALUE!</v>
      </c>
      <c r="EV17" t="e">
        <f>'2.4.Функции'!HT67+"BYw!VC"</f>
        <v>#VALUE!</v>
      </c>
      <c r="EW17" t="e">
        <f>'2.4.Функции'!HU67+"BYw!VD"</f>
        <v>#VALUE!</v>
      </c>
      <c r="EX17" t="e">
        <f>'2.4.Функции'!HV67+"BYw!VE"</f>
        <v>#VALUE!</v>
      </c>
      <c r="EY17" t="e">
        <f>'2.4.Функции'!HW67+"BYw!VF"</f>
        <v>#VALUE!</v>
      </c>
      <c r="EZ17" t="e">
        <f>'2.4.Функции'!HX67+"BYw!VG"</f>
        <v>#VALUE!</v>
      </c>
      <c r="FA17" t="e">
        <f>'2.4.Функции'!HY67+"BYw!VH"</f>
        <v>#VALUE!</v>
      </c>
      <c r="FB17" t="e">
        <f>'2.4.Функции'!HZ67+"BYw!VI"</f>
        <v>#VALUE!</v>
      </c>
      <c r="FC17" t="e">
        <f>'2.4.Функции'!IA67+"BYw!VJ"</f>
        <v>#VALUE!</v>
      </c>
      <c r="FD17" t="e">
        <f>'2.4.Функции'!IB67+"BYw!VK"</f>
        <v>#VALUE!</v>
      </c>
      <c r="FE17" t="e">
        <f>'2.4.Функции'!IC67+"BYw!VL"</f>
        <v>#VALUE!</v>
      </c>
      <c r="FF17" t="e">
        <f>'2.4.Функции'!ID67+"BYw!VM"</f>
        <v>#VALUE!</v>
      </c>
      <c r="FG17" t="e">
        <f>'2.4.Функции'!IE67+"BYw!VN"</f>
        <v>#VALUE!</v>
      </c>
      <c r="FH17" t="e">
        <f>'2.4.Функции'!IF67+"BYw!VO"</f>
        <v>#VALUE!</v>
      </c>
      <c r="FI17" t="e">
        <f>'2.4.Функции'!IG67+"BYw!VP"</f>
        <v>#VALUE!</v>
      </c>
      <c r="FJ17" t="e">
        <f>'2.4.Функции'!IH67+"BYw!VQ"</f>
        <v>#VALUE!</v>
      </c>
      <c r="FK17" t="e">
        <f>'2.4.Функции'!II67+"BYw!VR"</f>
        <v>#VALUE!</v>
      </c>
      <c r="FL17" t="e">
        <f>'2.4.Функции'!IJ67+"BYw!VS"</f>
        <v>#VALUE!</v>
      </c>
      <c r="FM17" t="e">
        <f>'2.4.Функции'!IK67+"BYw!VT"</f>
        <v>#VALUE!</v>
      </c>
      <c r="FN17" t="e">
        <f>'2.4.Функции'!IL67+"BYw!VU"</f>
        <v>#VALUE!</v>
      </c>
      <c r="FO17" t="e">
        <f>'2.4.Функции'!IM67+"BYw!VV"</f>
        <v>#VALUE!</v>
      </c>
      <c r="FP17" t="e">
        <f>'2.4.Функции'!IN67+"BYw!VW"</f>
        <v>#VALUE!</v>
      </c>
      <c r="FQ17" t="e">
        <f>'2.4.Функции'!IO67+"BYw!VX"</f>
        <v>#VALUE!</v>
      </c>
      <c r="FR17" t="e">
        <f>'2.4.Функции'!IP67+"BYw!VY"</f>
        <v>#VALUE!</v>
      </c>
      <c r="FS17" t="e">
        <f>'2.4.Функции'!IQ67+"BYw!VZ"</f>
        <v>#VALUE!</v>
      </c>
      <c r="FT17" t="e">
        <f>'2.4.Функции'!IR67+"BYw!V["</f>
        <v>#VALUE!</v>
      </c>
      <c r="FU17" t="e">
        <f>'2.4.Функции'!IS67+"BYw!V\"</f>
        <v>#VALUE!</v>
      </c>
      <c r="FV17" t="e">
        <f>'2.4.Функции'!IT67+"BYw!V]"</f>
        <v>#VALUE!</v>
      </c>
      <c r="FW17" t="e">
        <f>'2.4.Функции'!IU67+"BYw!V^"</f>
        <v>#VALUE!</v>
      </c>
      <c r="FX17" t="e">
        <f>'2.4.Функции'!IV67+"BYw!V_"</f>
        <v>#VALUE!</v>
      </c>
      <c r="FY17" t="e">
        <f>'2.4.Функции'!IW67+"BYw!V`"</f>
        <v>#VALUE!</v>
      </c>
      <c r="FZ17" t="e">
        <f>'2.4.Функции'!IX67+"BYw!Va"</f>
        <v>#VALUE!</v>
      </c>
      <c r="GA17" t="e">
        <f>'2.4.Функции'!IY67+"BYw!Vb"</f>
        <v>#VALUE!</v>
      </c>
      <c r="GB17" t="e">
        <f>'2.4.Функции'!IZ67+"BYw!Vc"</f>
        <v>#VALUE!</v>
      </c>
      <c r="GC17" t="e">
        <f>'2.4.Функции'!JA67+"BYw!Vd"</f>
        <v>#VALUE!</v>
      </c>
      <c r="GD17" t="e">
        <f>'2.4.Функции'!JB67+"BYw!Ve"</f>
        <v>#VALUE!</v>
      </c>
      <c r="GE17" t="e">
        <f>'2.4.Функции'!JC67+"BYw!Vf"</f>
        <v>#VALUE!</v>
      </c>
      <c r="GF17" t="e">
        <f>'2.4.Функции'!JD67+"BYw!Vg"</f>
        <v>#VALUE!</v>
      </c>
      <c r="GG17" t="e">
        <f>'2.4.Функции'!JE67+"BYw!Vh"</f>
        <v>#VALUE!</v>
      </c>
      <c r="GH17" t="e">
        <f>'2.4.Функции'!JF67+"BYw!Vi"</f>
        <v>#VALUE!</v>
      </c>
      <c r="GI17" t="e">
        <f>'2.4.Функции'!JG67+"BYw!Vj"</f>
        <v>#VALUE!</v>
      </c>
      <c r="GJ17" t="e">
        <f>'2.4.Функции'!JH67+"BYw!Vk"</f>
        <v>#VALUE!</v>
      </c>
      <c r="GK17" t="e">
        <f>'2.4.Функции'!JI67+"BYw!Vl"</f>
        <v>#VALUE!</v>
      </c>
      <c r="GL17" t="e">
        <f>'2.4.Функции'!JJ67+"BYw!Vm"</f>
        <v>#VALUE!</v>
      </c>
      <c r="GM17" t="e">
        <f>'2.4.Функции'!JK67+"BYw!Vn"</f>
        <v>#VALUE!</v>
      </c>
      <c r="GN17" t="e">
        <f>'2.4.Функции'!JL67+"BYw!Vo"</f>
        <v>#VALUE!</v>
      </c>
      <c r="GO17" t="e">
        <f>'2.4.Функции'!JM67+"BYw!Vp"</f>
        <v>#VALUE!</v>
      </c>
      <c r="GP17" t="e">
        <f>'2.4.Функции'!JN67+"BYw!Vq"</f>
        <v>#VALUE!</v>
      </c>
      <c r="GQ17" t="e">
        <f>'2.4.Функции'!JO67+"BYw!Vr"</f>
        <v>#VALUE!</v>
      </c>
      <c r="GR17" t="e">
        <f>'2.4.Функции'!JP67+"BYw!Vs"</f>
        <v>#VALUE!</v>
      </c>
      <c r="GS17" t="e">
        <f>'2.4.Функции'!JQ67+"BYw!Vt"</f>
        <v>#VALUE!</v>
      </c>
      <c r="GT17" t="e">
        <f>'2.4.Функции'!JR67+"BYw!Vu"</f>
        <v>#VALUE!</v>
      </c>
      <c r="GU17" t="e">
        <f>'2.4.Функции'!JS67+"BYw!Vv"</f>
        <v>#VALUE!</v>
      </c>
      <c r="GV17" t="e">
        <f>'2.4.Функции'!JT67+"BYw!Vw"</f>
        <v>#VALUE!</v>
      </c>
      <c r="GW17" t="e">
        <f>'2.4.Функции'!JU67+"BYw!Vx"</f>
        <v>#VALUE!</v>
      </c>
      <c r="GX17" t="e">
        <f>'2.4.Функции'!JV67+"BYw!Vy"</f>
        <v>#VALUE!</v>
      </c>
      <c r="GY17" t="e">
        <f>'2.4.Функции'!JW67+"BYw!Vz"</f>
        <v>#VALUE!</v>
      </c>
      <c r="GZ17" t="e">
        <f>'2.4.Функции'!JX67+"BYw!V{"</f>
        <v>#VALUE!</v>
      </c>
      <c r="HA17" t="e">
        <f>'2.4.Функции'!JY67+"BYw!V|"</f>
        <v>#VALUE!</v>
      </c>
      <c r="HB17" t="e">
        <f>'2.4.Функции'!JZ67+"BYw!V}"</f>
        <v>#VALUE!</v>
      </c>
      <c r="HC17" t="e">
        <f>'2.4.Функции'!KA67+"BYw!V~"</f>
        <v>#VALUE!</v>
      </c>
      <c r="HD17" t="e">
        <f>'2.4.Функции'!KB67+"BYw!W#"</f>
        <v>#VALUE!</v>
      </c>
      <c r="HE17" t="e">
        <f>'2.4.Функции'!KC67+"BYw!W$"</f>
        <v>#VALUE!</v>
      </c>
      <c r="HF17" t="e">
        <f>'2.4.Функции'!KD67+"BYw!W%"</f>
        <v>#VALUE!</v>
      </c>
      <c r="HG17" t="e">
        <f>'2.4.Функции'!KE67+"BYw!W&amp;"</f>
        <v>#VALUE!</v>
      </c>
      <c r="HH17" t="e">
        <f>'2.4.Функции'!KF67+"BYw!W'"</f>
        <v>#VALUE!</v>
      </c>
      <c r="HI17" t="e">
        <f>'2.4.Функции'!KG67+"BYw!W("</f>
        <v>#VALUE!</v>
      </c>
      <c r="HJ17" t="e">
        <f>'2.4.Функции'!KH67+"BYw!W)"</f>
        <v>#VALUE!</v>
      </c>
      <c r="HK17" t="e">
        <f>'2.4.Функции'!KI67+"BYw!W."</f>
        <v>#VALUE!</v>
      </c>
      <c r="HL17" t="e">
        <f>'2.4.Функции'!KJ67+"BYw!W/"</f>
        <v>#VALUE!</v>
      </c>
      <c r="HM17" t="e">
        <f>'2.4.Функции'!KK67+"BYw!W0"</f>
        <v>#VALUE!</v>
      </c>
      <c r="HN17" t="e">
        <f>'2.4.Функции'!KL67+"BYw!W1"</f>
        <v>#VALUE!</v>
      </c>
      <c r="HO17" t="e">
        <f>'2.4.Функции'!KM67+"BYw!W2"</f>
        <v>#VALUE!</v>
      </c>
      <c r="HP17" t="e">
        <f>'2.4.Функции'!KN67+"BYw!W3"</f>
        <v>#VALUE!</v>
      </c>
      <c r="HQ17" t="e">
        <f>'2.4.Функции'!KO67+"BYw!W4"</f>
        <v>#VALUE!</v>
      </c>
      <c r="HR17" t="e">
        <f>'2.4.Функции'!KP67+"BYw!W5"</f>
        <v>#VALUE!</v>
      </c>
      <c r="HS17" t="e">
        <f>'2.4.Функции'!KQ67+"BYw!W6"</f>
        <v>#VALUE!</v>
      </c>
      <c r="HT17" t="e">
        <f>'2.4.Функции'!KR67+"BYw!W7"</f>
        <v>#VALUE!</v>
      </c>
      <c r="HU17" t="e">
        <f>'2.4.Функции'!KS67+"BYw!W8"</f>
        <v>#VALUE!</v>
      </c>
      <c r="HV17" t="e">
        <f>'2.4.Функции'!KT67+"BYw!W9"</f>
        <v>#VALUE!</v>
      </c>
      <c r="HW17" t="e">
        <f>'2.4.Функции'!KU67+"BYw!W:"</f>
        <v>#VALUE!</v>
      </c>
      <c r="HX17" t="e">
        <f>'2.4.Функции'!KV67+"BYw!W;"</f>
        <v>#VALUE!</v>
      </c>
      <c r="HY17" t="e">
        <f>'2.4.Функции'!KW67+"BYw!W&lt;"</f>
        <v>#VALUE!</v>
      </c>
      <c r="HZ17" t="e">
        <f>'2.4.Функции'!KX67+"BYw!W="</f>
        <v>#VALUE!</v>
      </c>
      <c r="IA17" t="e">
        <f>'2.4.Функции'!KY67+"BYw!W&gt;"</f>
        <v>#VALUE!</v>
      </c>
      <c r="IB17" t="e">
        <f>'2.4.Функции'!KZ67+"BYw!W?"</f>
        <v>#VALUE!</v>
      </c>
      <c r="IC17" t="e">
        <f>'2.4.Функции'!LA67+"BYw!W@"</f>
        <v>#VALUE!</v>
      </c>
      <c r="ID17" t="e">
        <f>'2.4.Функции'!LB67+"BYw!WA"</f>
        <v>#VALUE!</v>
      </c>
      <c r="IE17" t="e">
        <f>'2.4.Функции'!LC67+"BYw!WB"</f>
        <v>#VALUE!</v>
      </c>
      <c r="IF17" t="e">
        <f>'2.4.Функции'!LD67+"BYw!WC"</f>
        <v>#VALUE!</v>
      </c>
      <c r="IG17" t="e">
        <f>'2.4.Функции'!LE67+"BYw!WD"</f>
        <v>#VALUE!</v>
      </c>
      <c r="IH17" t="e">
        <f>'2.4.Функции'!LF67+"BYw!WE"</f>
        <v>#VALUE!</v>
      </c>
      <c r="II17" t="e">
        <f>'2.4.Функции'!LG67+"BYw!WF"</f>
        <v>#VALUE!</v>
      </c>
      <c r="IJ17" t="e">
        <f>'2.4.Функции'!LH67+"BYw!WG"</f>
        <v>#VALUE!</v>
      </c>
      <c r="IK17" t="e">
        <f>'2.4.Функции'!LI67+"BYw!WH"</f>
        <v>#VALUE!</v>
      </c>
      <c r="IL17" t="e">
        <f>'2.4.Функции'!LJ67+"BYw!WI"</f>
        <v>#VALUE!</v>
      </c>
      <c r="IM17" t="e">
        <f>'2.4.Функции'!LK67+"BYw!WJ"</f>
        <v>#VALUE!</v>
      </c>
      <c r="IN17" t="e">
        <f>'2.4.Функции'!LL67+"BYw!WK"</f>
        <v>#VALUE!</v>
      </c>
      <c r="IO17" t="e">
        <f>'2.4.Функции'!LM67+"BYw!WL"</f>
        <v>#VALUE!</v>
      </c>
      <c r="IP17" t="e">
        <f>'2.4.Функции'!LN67+"BYw!WM"</f>
        <v>#VALUE!</v>
      </c>
      <c r="IQ17" t="e">
        <f>'2.4.Функции'!LO67+"BYw!WN"</f>
        <v>#VALUE!</v>
      </c>
      <c r="IR17" t="e">
        <f>'2.4.Функции'!LP67+"BYw!WO"</f>
        <v>#VALUE!</v>
      </c>
      <c r="IS17" t="e">
        <f>'2.4.Функции'!LQ67+"BYw!WP"</f>
        <v>#VALUE!</v>
      </c>
      <c r="IT17" t="e">
        <f>'2.4.Функции'!LR67+"BYw!WQ"</f>
        <v>#VALUE!</v>
      </c>
      <c r="IU17" t="e">
        <f>'2.4.Функции'!LS67+"BYw!WR"</f>
        <v>#VALUE!</v>
      </c>
      <c r="IV17" t="e">
        <f>'2.4.Функции'!LT67+"BYw!WS"</f>
        <v>#VALUE!</v>
      </c>
    </row>
    <row r="18" spans="6:256" x14ac:dyDescent="0.2">
      <c r="F18" t="e">
        <f>'2.4.Функции'!LU67+"BYw!WT"</f>
        <v>#VALUE!</v>
      </c>
      <c r="G18" t="e">
        <f>'2.4.Функции'!LV67+"BYw!WU"</f>
        <v>#VALUE!</v>
      </c>
      <c r="H18" t="e">
        <f>'2.4.Функции'!LW67+"BYw!WV"</f>
        <v>#VALUE!</v>
      </c>
      <c r="I18" t="e">
        <f>'2.4.Функции'!LX67+"BYw!WW"</f>
        <v>#VALUE!</v>
      </c>
      <c r="J18" t="e">
        <f>'2.4.Функции'!LY67+"BYw!WX"</f>
        <v>#VALUE!</v>
      </c>
      <c r="K18" t="e">
        <f>'2.4.Функции'!LZ67+"BYw!WY"</f>
        <v>#VALUE!</v>
      </c>
      <c r="L18" t="e">
        <f>'2.4.Функции'!MA67+"BYw!WZ"</f>
        <v>#VALUE!</v>
      </c>
      <c r="M18" t="e">
        <f>'2.4.Функции'!MB67+"BYw!W["</f>
        <v>#VALUE!</v>
      </c>
      <c r="N18" t="e">
        <f>'2.4.Функции'!MC67+"BYw!W\"</f>
        <v>#VALUE!</v>
      </c>
      <c r="O18" t="e">
        <f>'2.4.Функции'!MD67+"BYw!W]"</f>
        <v>#VALUE!</v>
      </c>
      <c r="P18" t="e">
        <f>'2.4.Функции'!ME67+"BYw!W^"</f>
        <v>#VALUE!</v>
      </c>
      <c r="Q18" t="e">
        <f>'2.4.Функции'!MF67+"BYw!W_"</f>
        <v>#VALUE!</v>
      </c>
      <c r="R18" t="e">
        <f>'2.4.Функции'!MG67+"BYw!W`"</f>
        <v>#VALUE!</v>
      </c>
      <c r="S18" t="e">
        <f>'2.4.Функции'!MH67+"BYw!Wa"</f>
        <v>#VALUE!</v>
      </c>
      <c r="T18" t="e">
        <f>'2.4.Функции'!MI67+"BYw!Wb"</f>
        <v>#VALUE!</v>
      </c>
      <c r="U18" t="e">
        <f>'2.4.Функции'!MJ67+"BYw!Wc"</f>
        <v>#VALUE!</v>
      </c>
      <c r="V18" t="e">
        <f>'2.4.Функции'!MK67+"BYw!Wd"</f>
        <v>#VALUE!</v>
      </c>
      <c r="W18" t="e">
        <f>'2.4.Функции'!ML67+"BYw!We"</f>
        <v>#VALUE!</v>
      </c>
      <c r="X18" t="e">
        <f>'2.4.Функции'!MM67+"BYw!Wf"</f>
        <v>#VALUE!</v>
      </c>
      <c r="Y18" t="e">
        <f>'2.4.Функции'!MN67+"BYw!Wg"</f>
        <v>#VALUE!</v>
      </c>
      <c r="Z18" t="e">
        <f>'2.4.Функции'!MO67+"BYw!Wh"</f>
        <v>#VALUE!</v>
      </c>
      <c r="AA18" t="e">
        <f>'2.4.Функции'!MP67+"BYw!Wi"</f>
        <v>#VALUE!</v>
      </c>
      <c r="AB18" t="e">
        <f>'2.4.Функции'!MQ67+"BYw!Wj"</f>
        <v>#VALUE!</v>
      </c>
      <c r="AC18" t="e">
        <f>'2.4.Функции'!MR67+"BYw!Wk"</f>
        <v>#VALUE!</v>
      </c>
      <c r="AD18" t="e">
        <f>'2.4.Функции'!MS67+"BYw!Wl"</f>
        <v>#VALUE!</v>
      </c>
      <c r="AE18" t="e">
        <f>'2.4.Функции'!MT67+"BYw!Wm"</f>
        <v>#VALUE!</v>
      </c>
      <c r="AF18" t="e">
        <f>'2.4.Функции'!MU67+"BYw!Wn"</f>
        <v>#VALUE!</v>
      </c>
      <c r="AG18" t="e">
        <f>'2.4.Функции'!MV67+"BYw!Wo"</f>
        <v>#VALUE!</v>
      </c>
      <c r="AH18" t="e">
        <f>'2.4.Функции'!MW67+"BYw!Wp"</f>
        <v>#VALUE!</v>
      </c>
      <c r="AI18" t="e">
        <f>'2.4.Функции'!MX67+"BYw!Wq"</f>
        <v>#VALUE!</v>
      </c>
      <c r="AJ18" t="e">
        <f>'2.4.Функции'!MY67+"BYw!Wr"</f>
        <v>#VALUE!</v>
      </c>
      <c r="AK18" t="e">
        <f>'2.4.Функции'!MZ67+"BYw!Ws"</f>
        <v>#VALUE!</v>
      </c>
      <c r="AL18" t="e">
        <f>'2.4.Функции'!NA67+"BYw!Wt"</f>
        <v>#VALUE!</v>
      </c>
      <c r="AM18" t="e">
        <f>'2.4.Функции'!NB67+"BYw!Wu"</f>
        <v>#VALUE!</v>
      </c>
      <c r="AN18" t="e">
        <f>'2.4.Функции'!NC67+"BYw!Wv"</f>
        <v>#VALUE!</v>
      </c>
      <c r="AO18" t="e">
        <f>'2.4.Функции'!ND67+"BYw!Ww"</f>
        <v>#VALUE!</v>
      </c>
      <c r="AP18" t="e">
        <f>'2.4.Функции'!NE67+"BYw!Wx"</f>
        <v>#VALUE!</v>
      </c>
      <c r="AQ18" t="e">
        <f>'2.4.Функции'!NF67+"BYw!Wy"</f>
        <v>#VALUE!</v>
      </c>
      <c r="AR18" t="e">
        <f>'2.4.Функции'!NG67+"BYw!Wz"</f>
        <v>#VALUE!</v>
      </c>
      <c r="AS18" t="e">
        <f>'2.4.Функции'!NH67+"BYw!W{"</f>
        <v>#VALUE!</v>
      </c>
      <c r="AT18" t="e">
        <f>'2.4.Функции'!NI67+"BYw!W|"</f>
        <v>#VALUE!</v>
      </c>
      <c r="AU18" t="e">
        <f>'2.4.Функции'!NJ67+"BYw!W}"</f>
        <v>#VALUE!</v>
      </c>
      <c r="AV18" t="e">
        <f>'2.4.Функции'!NK67+"BYw!W~"</f>
        <v>#VALUE!</v>
      </c>
      <c r="AW18" t="e">
        <f>'2.4.Функции'!NL67+"BYw!X#"</f>
        <v>#VALUE!</v>
      </c>
      <c r="AX18" t="e">
        <f>'2.4.Функции'!NM67+"BYw!X$"</f>
        <v>#VALUE!</v>
      </c>
      <c r="AY18" t="e">
        <f>'2.4.Функции'!NN67+"BYw!X%"</f>
        <v>#VALUE!</v>
      </c>
      <c r="AZ18" t="e">
        <f>'2.4.Функции'!NO67+"BYw!X&amp;"</f>
        <v>#VALUE!</v>
      </c>
      <c r="BA18" t="e">
        <f>'2.4.Функции'!NP67+"BYw!X'"</f>
        <v>#VALUE!</v>
      </c>
      <c r="BB18" t="e">
        <f>'2.4.Функции'!NQ67+"BYw!X("</f>
        <v>#VALUE!</v>
      </c>
      <c r="BC18" t="e">
        <f>'2.4.Функции'!NR67+"BYw!X)"</f>
        <v>#VALUE!</v>
      </c>
      <c r="BD18" t="e">
        <f>'2.4.Функции'!NS67+"BYw!X."</f>
        <v>#VALUE!</v>
      </c>
      <c r="BE18" t="e">
        <f>'2.4.Функции'!NT67+"BYw!X/"</f>
        <v>#VALUE!</v>
      </c>
      <c r="BF18" t="e">
        <f>'2.4.Функции'!NU67+"BYw!X0"</f>
        <v>#VALUE!</v>
      </c>
      <c r="BG18" t="e">
        <f>'2.4.Функции'!NV67+"BYw!X1"</f>
        <v>#VALUE!</v>
      </c>
      <c r="BH18" t="e">
        <f>'2.4.Функции'!NW67+"BYw!X2"</f>
        <v>#VALUE!</v>
      </c>
      <c r="BI18" t="e">
        <f>'2.4.Функции'!NX67+"BYw!X3"</f>
        <v>#VALUE!</v>
      </c>
      <c r="BJ18" t="e">
        <f>'2.4.Функции'!NY67+"BYw!X4"</f>
        <v>#VALUE!</v>
      </c>
      <c r="BK18" t="e">
        <f>'2.4.Функции'!NZ67+"BYw!X5"</f>
        <v>#VALUE!</v>
      </c>
      <c r="BL18" t="e">
        <f>'2.4.Функции'!OA67+"BYw!X6"</f>
        <v>#VALUE!</v>
      </c>
      <c r="BM18" t="e">
        <f>'2.4.Функции'!OB67+"BYw!X7"</f>
        <v>#VALUE!</v>
      </c>
      <c r="BN18" t="e">
        <f>'2.4.Функции'!OC67+"BYw!X8"</f>
        <v>#VALUE!</v>
      </c>
      <c r="BO18" t="e">
        <f>'2.4.Функции'!OD67+"BYw!X9"</f>
        <v>#VALUE!</v>
      </c>
      <c r="BP18" t="e">
        <f>'2.4.Функции'!OE67+"BYw!X:"</f>
        <v>#VALUE!</v>
      </c>
      <c r="BQ18" t="e">
        <f>'2.4.Функции'!OF67+"BYw!X;"</f>
        <v>#VALUE!</v>
      </c>
      <c r="BR18" t="e">
        <f>'2.4.Функции'!OG67+"BYw!X&lt;"</f>
        <v>#VALUE!</v>
      </c>
      <c r="BS18" t="e">
        <f>'2.4.Функции'!OH67+"BYw!X="</f>
        <v>#VALUE!</v>
      </c>
      <c r="BT18" t="e">
        <f>'2.4.Функции'!OI67+"BYw!X&gt;"</f>
        <v>#VALUE!</v>
      </c>
      <c r="BU18" t="e">
        <f>'2.4.Функции'!OJ67+"BYw!X?"</f>
        <v>#VALUE!</v>
      </c>
      <c r="BV18" t="e">
        <f>'2.4.Функции'!OK67+"BYw!X@"</f>
        <v>#VALUE!</v>
      </c>
      <c r="BW18" t="e">
        <f>'2.4.Функции'!OL67+"BYw!XA"</f>
        <v>#VALUE!</v>
      </c>
      <c r="BX18" t="e">
        <f>'2.4.Функции'!OM67+"BYw!XB"</f>
        <v>#VALUE!</v>
      </c>
      <c r="BY18" t="e">
        <f>'2.4.Функции'!ON67+"BYw!XC"</f>
        <v>#VALUE!</v>
      </c>
      <c r="BZ18" t="e">
        <f>'2.4.Функции'!OO67+"BYw!XD"</f>
        <v>#VALUE!</v>
      </c>
      <c r="CA18" t="e">
        <f>'2.4.Функции'!OP67+"BYw!XE"</f>
        <v>#VALUE!</v>
      </c>
      <c r="CB18" t="e">
        <f>'2.4.Функции'!OQ67+"BYw!XF"</f>
        <v>#VALUE!</v>
      </c>
      <c r="CC18" t="e">
        <f>'2.4.Функции'!OR67+"BYw!XG"</f>
        <v>#VALUE!</v>
      </c>
      <c r="CD18" t="e">
        <f>'2.4.Функции'!OS67+"BYw!XH"</f>
        <v>#VALUE!</v>
      </c>
      <c r="CE18" t="e">
        <f>'2.4.Функции'!OT67+"BYw!XI"</f>
        <v>#VALUE!</v>
      </c>
      <c r="CF18" t="e">
        <f>'2.4.Функции'!OU67+"BYw!XJ"</f>
        <v>#VALUE!</v>
      </c>
      <c r="CG18" t="e">
        <f>'2.4.Функции'!OV67+"BYw!XK"</f>
        <v>#VALUE!</v>
      </c>
      <c r="CH18" t="e">
        <f>'2.4.Функции'!OW67+"BYw!XL"</f>
        <v>#VALUE!</v>
      </c>
      <c r="CI18" t="e">
        <f>'2.4.Функции'!OX67+"BYw!XM"</f>
        <v>#VALUE!</v>
      </c>
      <c r="CJ18" t="e">
        <f>'2.4.Функции'!OY67+"BYw!XN"</f>
        <v>#VALUE!</v>
      </c>
      <c r="CK18" t="e">
        <f>'2.4.Функции'!OZ67+"BYw!XO"</f>
        <v>#VALUE!</v>
      </c>
      <c r="CL18" t="e">
        <f>'2.4.Функции'!PA67+"BYw!XP"</f>
        <v>#VALUE!</v>
      </c>
      <c r="CM18" t="e">
        <f>'2.4.Функции'!PB67+"BYw!XQ"</f>
        <v>#VALUE!</v>
      </c>
      <c r="CN18" t="e">
        <f>'2.4.Функции'!PC67+"BYw!XR"</f>
        <v>#VALUE!</v>
      </c>
      <c r="CO18" t="e">
        <f>'2.4.Функции'!PD67+"BYw!XS"</f>
        <v>#VALUE!</v>
      </c>
      <c r="CP18" t="e">
        <f>'2.4.Функции'!PE67+"BYw!XT"</f>
        <v>#VALUE!</v>
      </c>
      <c r="CQ18" t="e">
        <f>'2.4.Функции'!PF67+"BYw!XU"</f>
        <v>#VALUE!</v>
      </c>
      <c r="CR18" t="e">
        <f>'2.4.Функции'!PG67+"BYw!XV"</f>
        <v>#VALUE!</v>
      </c>
      <c r="CS18" t="e">
        <f>'2.4.Функции'!PH67+"BYw!XW"</f>
        <v>#VALUE!</v>
      </c>
      <c r="CT18" t="e">
        <f>'2.4.Функции'!PI67+"BYw!XX"</f>
        <v>#VALUE!</v>
      </c>
      <c r="CU18" t="e">
        <f>'2.4.Функции'!PJ67+"BYw!XY"</f>
        <v>#VALUE!</v>
      </c>
      <c r="CV18" t="e">
        <f>'2.4.Функции'!PK67+"BYw!XZ"</f>
        <v>#VALUE!</v>
      </c>
      <c r="CW18" t="e">
        <f>'2.4.Функции'!PL67+"BYw!X["</f>
        <v>#VALUE!</v>
      </c>
      <c r="CX18" t="e">
        <f>'2.4.Функции'!PM67+"BYw!X\"</f>
        <v>#VALUE!</v>
      </c>
      <c r="CY18" t="e">
        <f>'2.4.Функции'!PN67+"BYw!X]"</f>
        <v>#VALUE!</v>
      </c>
      <c r="CZ18" t="e">
        <f>'2.4.Функции'!PO67+"BYw!X^"</f>
        <v>#VALUE!</v>
      </c>
      <c r="DA18" t="e">
        <f>'2.4.Функции'!PP67+"BYw!X_"</f>
        <v>#VALUE!</v>
      </c>
      <c r="DB18" t="e">
        <f>'2.4.Функции'!PQ67+"BYw!X`"</f>
        <v>#VALUE!</v>
      </c>
      <c r="DC18" t="e">
        <f>'2.4.Функции'!PR67+"BYw!Xa"</f>
        <v>#VALUE!</v>
      </c>
      <c r="DD18" t="e">
        <f>'2.4.Функции'!PS67+"BYw!Xb"</f>
        <v>#VALUE!</v>
      </c>
      <c r="DE18" t="e">
        <f>'2.4.Функции'!PT67+"BYw!Xc"</f>
        <v>#VALUE!</v>
      </c>
      <c r="DF18" t="e">
        <f>'2.4.Функции'!PU67+"BYw!Xd"</f>
        <v>#VALUE!</v>
      </c>
      <c r="DG18" t="e">
        <f>'2.4.Функции'!PV67+"BYw!Xe"</f>
        <v>#VALUE!</v>
      </c>
      <c r="DH18" t="e">
        <f>'2.4.Функции'!PW67+"BYw!Xf"</f>
        <v>#VALUE!</v>
      </c>
      <c r="DI18" t="e">
        <f>'2.4.Функции'!PX67+"BYw!Xg"</f>
        <v>#VALUE!</v>
      </c>
      <c r="DJ18" t="e">
        <f>'2.4.Функции'!PY67+"BYw!Xh"</f>
        <v>#VALUE!</v>
      </c>
      <c r="DK18" t="e">
        <f>'2.4.Функции'!PZ67+"BYw!Xi"</f>
        <v>#VALUE!</v>
      </c>
      <c r="DL18" t="e">
        <f>'2.4.Функции'!QA67+"BYw!Xj"</f>
        <v>#VALUE!</v>
      </c>
      <c r="DM18" t="e">
        <f>'2.4.Функции'!QB67+"BYw!Xk"</f>
        <v>#VALUE!</v>
      </c>
      <c r="DN18" t="e">
        <f>'2.4.Функции'!QC67+"BYw!Xl"</f>
        <v>#VALUE!</v>
      </c>
      <c r="DO18" t="e">
        <f>'2.4.Функции'!QD67+"BYw!Xm"</f>
        <v>#VALUE!</v>
      </c>
      <c r="DP18" t="e">
        <f>'2.4.Функции'!QE67+"BYw!Xn"</f>
        <v>#VALUE!</v>
      </c>
      <c r="DQ18" t="e">
        <f>'2.4.Функции'!QF67+"BYw!Xo"</f>
        <v>#VALUE!</v>
      </c>
      <c r="DR18" t="e">
        <f>'2.4.Функции'!QG67+"BYw!Xp"</f>
        <v>#VALUE!</v>
      </c>
      <c r="DS18" t="e">
        <f>'2.4.Функции'!QH67+"BYw!Xq"</f>
        <v>#VALUE!</v>
      </c>
      <c r="DT18" t="e">
        <f>'2.4.Функции'!QI67+"BYw!Xr"</f>
        <v>#VALUE!</v>
      </c>
      <c r="DU18" t="e">
        <f>'2.4.Функции'!QJ67+"BYw!Xs"</f>
        <v>#VALUE!</v>
      </c>
      <c r="DV18" t="e">
        <f>'2.4.Функции'!QK67+"BYw!Xt"</f>
        <v>#VALUE!</v>
      </c>
      <c r="DW18" t="e">
        <f>'2.4.Функции'!QL67+"BYw!Xu"</f>
        <v>#VALUE!</v>
      </c>
      <c r="DX18" t="e">
        <f>'2.4.Функции'!QM67+"BYw!Xv"</f>
        <v>#VALUE!</v>
      </c>
      <c r="DY18" t="e">
        <f>'2.4.Функции'!QN67+"BYw!Xw"</f>
        <v>#VALUE!</v>
      </c>
      <c r="DZ18" t="e">
        <f>'2.4.Функции'!QO67+"BYw!Xx"</f>
        <v>#VALUE!</v>
      </c>
      <c r="EA18" t="e">
        <f>'2.4.Функции'!QP67+"BYw!Xy"</f>
        <v>#VALUE!</v>
      </c>
      <c r="EB18" t="e">
        <f>'2.4.Функции'!QQ67+"BYw!Xz"</f>
        <v>#VALUE!</v>
      </c>
      <c r="EC18" t="e">
        <f>'2.4.Функции'!QR67+"BYw!X{"</f>
        <v>#VALUE!</v>
      </c>
      <c r="ED18" t="e">
        <f>'2.4.Функции'!QS67+"BYw!X|"</f>
        <v>#VALUE!</v>
      </c>
      <c r="EE18" t="e">
        <f>'2.4.Функции'!QT67+"BYw!X}"</f>
        <v>#VALUE!</v>
      </c>
      <c r="EF18" t="e">
        <f>'2.4.Функции'!QU67+"BYw!X~"</f>
        <v>#VALUE!</v>
      </c>
      <c r="EG18" t="e">
        <f>'2.4.Функции'!QV67+"BYw!Y#"</f>
        <v>#VALUE!</v>
      </c>
      <c r="EH18" t="e">
        <f>'2.4.Функции'!QW67+"BYw!Y$"</f>
        <v>#VALUE!</v>
      </c>
      <c r="EI18" t="e">
        <f>'2.4.Функции'!QX67+"BYw!Y%"</f>
        <v>#VALUE!</v>
      </c>
      <c r="EJ18" t="e">
        <f>'2.4.Функции'!QY67+"BYw!Y&amp;"</f>
        <v>#VALUE!</v>
      </c>
      <c r="EK18" t="e">
        <f>'2.4.Функции'!QZ67+"BYw!Y'"</f>
        <v>#VALUE!</v>
      </c>
      <c r="EL18" t="e">
        <f>'2.4.Функции'!RA67+"BYw!Y("</f>
        <v>#VALUE!</v>
      </c>
      <c r="EM18" t="e">
        <f>'2.4.Функции'!RB67+"BYw!Y)"</f>
        <v>#VALUE!</v>
      </c>
      <c r="EN18" t="e">
        <f>'2.4.Функции'!RC67+"BYw!Y."</f>
        <v>#VALUE!</v>
      </c>
      <c r="EO18" t="e">
        <f>'2.4.Функции'!RD67+"BYw!Y/"</f>
        <v>#VALUE!</v>
      </c>
      <c r="EP18" t="e">
        <f>'2.4.Функции'!RE67+"BYw!Y0"</f>
        <v>#VALUE!</v>
      </c>
      <c r="EQ18" t="e">
        <f>'2.4.Функции'!RF67+"BYw!Y1"</f>
        <v>#VALUE!</v>
      </c>
      <c r="ER18" t="e">
        <f>'2.4.Функции'!RG67+"BYw!Y2"</f>
        <v>#VALUE!</v>
      </c>
      <c r="ES18" t="e">
        <f>'2.4.Функции'!RH67+"BYw!Y3"</f>
        <v>#VALUE!</v>
      </c>
      <c r="ET18" t="e">
        <f>'2.4.Функции'!RI67+"BYw!Y4"</f>
        <v>#VALUE!</v>
      </c>
      <c r="EU18" t="e">
        <f>'2.4.Функции'!RJ67+"BYw!Y5"</f>
        <v>#VALUE!</v>
      </c>
      <c r="EV18" t="e">
        <f>'2.4.Функции'!RK67+"BYw!Y6"</f>
        <v>#VALUE!</v>
      </c>
      <c r="EW18" t="e">
        <f>'2.4.Функции'!RL67+"BYw!Y7"</f>
        <v>#VALUE!</v>
      </c>
      <c r="EX18" t="e">
        <f>'2.4.Функции'!RM67+"BYw!Y8"</f>
        <v>#VALUE!</v>
      </c>
      <c r="EY18" t="e">
        <f>'2.4.Функции'!RN67+"BYw!Y9"</f>
        <v>#VALUE!</v>
      </c>
      <c r="EZ18" t="e">
        <f>'2.4.Функции'!RO67+"BYw!Y:"</f>
        <v>#VALUE!</v>
      </c>
      <c r="FA18" t="e">
        <f>'2.4.Функции'!RP67+"BYw!Y;"</f>
        <v>#VALUE!</v>
      </c>
      <c r="FB18" t="e">
        <f>'2.4.Функции'!RQ67+"BYw!Y&lt;"</f>
        <v>#VALUE!</v>
      </c>
      <c r="FC18" t="e">
        <f>'2.4.Функции'!RR67+"BYw!Y="</f>
        <v>#VALUE!</v>
      </c>
      <c r="FD18" t="e">
        <f>'2.4.Функции'!RS67+"BYw!Y&gt;"</f>
        <v>#VALUE!</v>
      </c>
      <c r="FE18" t="e">
        <f>'2.4.Функции'!RT67+"BYw!Y?"</f>
        <v>#VALUE!</v>
      </c>
      <c r="FF18" t="e">
        <f>'2.4.Функции'!RU67+"BYw!Y@"</f>
        <v>#VALUE!</v>
      </c>
      <c r="FG18" t="e">
        <f>'2.4.Функции'!RV67+"BYw!YA"</f>
        <v>#VALUE!</v>
      </c>
      <c r="FH18" t="e">
        <f>'2.4.Функции'!RW67+"BYw!YB"</f>
        <v>#VALUE!</v>
      </c>
      <c r="FI18" t="e">
        <f>'2.4.Функции'!RX67+"BYw!YC"</f>
        <v>#VALUE!</v>
      </c>
      <c r="FJ18" t="e">
        <f>'2.4.Функции'!RY67+"BYw!YD"</f>
        <v>#VALUE!</v>
      </c>
      <c r="FK18" t="e">
        <f>'2.4.Функции'!RZ67+"BYw!YE"</f>
        <v>#VALUE!</v>
      </c>
      <c r="FL18" t="e">
        <f>'2.4.Функции'!SA67+"BYw!YF"</f>
        <v>#VALUE!</v>
      </c>
      <c r="FM18" t="e">
        <f>'2.4.Функции'!SB67+"BYw!YG"</f>
        <v>#VALUE!</v>
      </c>
      <c r="FN18" t="e">
        <f>'2.4.Функции'!SC67+"BYw!YH"</f>
        <v>#VALUE!</v>
      </c>
      <c r="FO18" t="e">
        <f>'2.4.Функции'!SD67+"BYw!YI"</f>
        <v>#VALUE!</v>
      </c>
      <c r="FP18" t="e">
        <f>'2.4.Функции'!SE67+"BYw!YJ"</f>
        <v>#VALUE!</v>
      </c>
      <c r="FQ18" t="e">
        <f>'2.4.Функции'!SF67+"BYw!YK"</f>
        <v>#VALUE!</v>
      </c>
      <c r="FR18" t="e">
        <f>'2.4.Функции'!SG67+"BYw!YL"</f>
        <v>#VALUE!</v>
      </c>
      <c r="FS18" t="e">
        <f>'2.4.Функции'!SH67+"BYw!YM"</f>
        <v>#VALUE!</v>
      </c>
      <c r="FT18" t="e">
        <f>'2.4.Функции'!SI67+"BYw!YN"</f>
        <v>#VALUE!</v>
      </c>
      <c r="FU18" t="e">
        <f>'2.4.Функции'!SJ67+"BYw!YO"</f>
        <v>#VALUE!</v>
      </c>
      <c r="FV18" t="e">
        <f>'2.4.Функции'!SK67+"BYw!YP"</f>
        <v>#VALUE!</v>
      </c>
      <c r="FW18" t="e">
        <f>'2.4.Функции'!SL67+"BYw!YQ"</f>
        <v>#VALUE!</v>
      </c>
      <c r="FX18" t="e">
        <f>'2.4.Функции'!SM67+"BYw!YR"</f>
        <v>#VALUE!</v>
      </c>
      <c r="FY18" t="e">
        <f>'2.4.Функции'!SN67+"BYw!YS"</f>
        <v>#VALUE!</v>
      </c>
      <c r="FZ18" t="e">
        <f>'2.4.Функции'!SO67+"BYw!YT"</f>
        <v>#VALUE!</v>
      </c>
      <c r="GA18" t="e">
        <f>'2.4.Функции'!SP67+"BYw!YU"</f>
        <v>#VALUE!</v>
      </c>
      <c r="GB18" t="e">
        <f>'2.4.Функции'!SQ67+"BYw!YV"</f>
        <v>#VALUE!</v>
      </c>
      <c r="GC18" t="e">
        <f>'2.4.Функции'!SR67+"BYw!YW"</f>
        <v>#VALUE!</v>
      </c>
      <c r="GD18" t="e">
        <f>'2.4.Функции'!SS67+"BYw!YX"</f>
        <v>#VALUE!</v>
      </c>
      <c r="GE18" t="e">
        <f>'2.4.Функции'!ST67+"BYw!YY"</f>
        <v>#VALUE!</v>
      </c>
      <c r="GF18" t="e">
        <f>'2.4.Функции'!SU67+"BYw!YZ"</f>
        <v>#VALUE!</v>
      </c>
      <c r="GG18" t="e">
        <f>'2.4.Функции'!SV67+"BYw!Y["</f>
        <v>#VALUE!</v>
      </c>
      <c r="GH18" t="e">
        <f>'2.4.Функции'!SW67+"BYw!Y\"</f>
        <v>#VALUE!</v>
      </c>
      <c r="GI18" t="e">
        <f>'2.4.Функции'!SX67+"BYw!Y]"</f>
        <v>#VALUE!</v>
      </c>
      <c r="GJ18" t="e">
        <f>'2.4.Функции'!SY67+"BYw!Y^"</f>
        <v>#VALUE!</v>
      </c>
      <c r="GK18" t="e">
        <f>'2.4.Функции'!SZ67+"BYw!Y_"</f>
        <v>#VALUE!</v>
      </c>
      <c r="GL18" t="e">
        <f>'2.4.Функции'!TA67+"BYw!Y`"</f>
        <v>#VALUE!</v>
      </c>
      <c r="GM18" t="e">
        <f>'2.4.Функции'!TB67+"BYw!Ya"</f>
        <v>#VALUE!</v>
      </c>
      <c r="GN18" t="e">
        <f>'2.4.Функции'!TC67+"BYw!Yb"</f>
        <v>#VALUE!</v>
      </c>
      <c r="GO18" t="e">
        <f>'2.4.Функции'!TD67+"BYw!Yc"</f>
        <v>#VALUE!</v>
      </c>
      <c r="GP18" t="e">
        <f>'2.4.Функции'!TE67+"BYw!Yd"</f>
        <v>#VALUE!</v>
      </c>
      <c r="GQ18" t="e">
        <f>'2.4.Функции'!TF67+"BYw!Ye"</f>
        <v>#VALUE!</v>
      </c>
      <c r="GR18" t="e">
        <f>'2.4.Функции'!TG67+"BYw!Yf"</f>
        <v>#VALUE!</v>
      </c>
      <c r="GS18" t="e">
        <f>'2.4.Функции'!TH67+"BYw!Yg"</f>
        <v>#VALUE!</v>
      </c>
      <c r="GT18" t="e">
        <f>'2.4.Функции'!TI67+"BYw!Yh"</f>
        <v>#VALUE!</v>
      </c>
      <c r="GU18" t="e">
        <f>'2.4.Функции'!TJ67+"BYw!Yi"</f>
        <v>#VALUE!</v>
      </c>
      <c r="GV18" t="e">
        <f>'2.4.Функции'!TK67+"BYw!Yj"</f>
        <v>#VALUE!</v>
      </c>
      <c r="GW18" t="e">
        <f>'2.4.Функции'!TL67+"BYw!Yk"</f>
        <v>#VALUE!</v>
      </c>
      <c r="GX18" t="e">
        <f>'2.4.Функции'!TM67+"BYw!Yl"</f>
        <v>#VALUE!</v>
      </c>
      <c r="GY18" t="e">
        <f>'2.4.Функции'!TN67+"BYw!Ym"</f>
        <v>#VALUE!</v>
      </c>
      <c r="GZ18" t="e">
        <f>'2.4.Функции'!TO67+"BYw!Yn"</f>
        <v>#VALUE!</v>
      </c>
      <c r="HA18" t="e">
        <f>'2.4.Функции'!TP67+"BYw!Yo"</f>
        <v>#VALUE!</v>
      </c>
      <c r="HB18" t="e">
        <f>'2.4.Функции'!TQ67+"BYw!Yp"</f>
        <v>#VALUE!</v>
      </c>
      <c r="HC18" t="e">
        <f>'2.4.Функции'!TR67+"BYw!Yq"</f>
        <v>#VALUE!</v>
      </c>
      <c r="HD18" t="e">
        <f>'2.4.Функции'!TS67+"BYw!Yr"</f>
        <v>#VALUE!</v>
      </c>
      <c r="HE18" t="e">
        <f>'2.4.Функции'!TT67+"BYw!Ys"</f>
        <v>#VALUE!</v>
      </c>
      <c r="HF18" t="e">
        <f>'2.4.Функции'!TU67+"BYw!Yt"</f>
        <v>#VALUE!</v>
      </c>
      <c r="HG18" t="e">
        <f>'2.4.Функции'!TV67+"BYw!Yu"</f>
        <v>#VALUE!</v>
      </c>
      <c r="HH18" t="e">
        <f>'2.4.Функции'!TW67+"BYw!Yv"</f>
        <v>#VALUE!</v>
      </c>
      <c r="HI18" t="e">
        <f>'2.4.Функции'!TX67+"BYw!Yw"</f>
        <v>#VALUE!</v>
      </c>
      <c r="HJ18" t="e">
        <f>'2.4.Функции'!TY67+"BYw!Yx"</f>
        <v>#VALUE!</v>
      </c>
      <c r="HK18" t="e">
        <f>'2.4.Функции'!TZ67+"BYw!Yy"</f>
        <v>#VALUE!</v>
      </c>
      <c r="HL18" t="e">
        <f>'2.4.Функции'!UA67+"BYw!Yz"</f>
        <v>#VALUE!</v>
      </c>
      <c r="HM18" t="e">
        <f>'2.4.Функции'!UB67+"BYw!Y{"</f>
        <v>#VALUE!</v>
      </c>
      <c r="HN18" t="e">
        <f>'2.4.Функции'!UC67+"BYw!Y|"</f>
        <v>#VALUE!</v>
      </c>
      <c r="HO18" t="e">
        <f>'2.4.Функции'!UD67+"BYw!Y}"</f>
        <v>#VALUE!</v>
      </c>
      <c r="HP18" t="e">
        <f>'2.4.Функции'!UE67+"BYw!Y~"</f>
        <v>#VALUE!</v>
      </c>
      <c r="HQ18" t="e">
        <f>'2.4.Функции'!UF67+"BYw!Z#"</f>
        <v>#VALUE!</v>
      </c>
      <c r="HR18" t="e">
        <f>'2.4.Функции'!UG67+"BYw!Z$"</f>
        <v>#VALUE!</v>
      </c>
      <c r="HS18" t="e">
        <f>'2.4.Функции'!UH67+"BYw!Z%"</f>
        <v>#VALUE!</v>
      </c>
      <c r="HT18" t="e">
        <f>'2.4.Функции'!UI67+"BYw!Z&amp;"</f>
        <v>#VALUE!</v>
      </c>
      <c r="HU18" t="e">
        <f>'2.4.Функции'!UJ67+"BYw!Z'"</f>
        <v>#VALUE!</v>
      </c>
      <c r="HV18" t="e">
        <f>'2.4.Функции'!UK67+"BYw!Z("</f>
        <v>#VALUE!</v>
      </c>
      <c r="HW18" t="e">
        <f>'2.4.Функции'!UL67+"BYw!Z)"</f>
        <v>#VALUE!</v>
      </c>
      <c r="HX18" t="e">
        <f>'2.4.Функции'!UM67+"BYw!Z."</f>
        <v>#VALUE!</v>
      </c>
      <c r="HY18" t="e">
        <f>'2.4.Функции'!UN67+"BYw!Z/"</f>
        <v>#VALUE!</v>
      </c>
      <c r="HZ18" t="e">
        <f>'2.4.Функции'!UO67+"BYw!Z0"</f>
        <v>#VALUE!</v>
      </c>
      <c r="IA18" t="e">
        <f>'2.4.Функции'!UP67+"BYw!Z1"</f>
        <v>#VALUE!</v>
      </c>
      <c r="IB18" t="e">
        <f>'2.4.Функции'!UQ67+"BYw!Z2"</f>
        <v>#VALUE!</v>
      </c>
      <c r="IC18" t="e">
        <f>'2.4.Функции'!UR67+"BYw!Z3"</f>
        <v>#VALUE!</v>
      </c>
      <c r="ID18" t="e">
        <f>'2.4.Функции'!US67+"BYw!Z4"</f>
        <v>#VALUE!</v>
      </c>
      <c r="IE18" t="e">
        <f>'2.4.Функции'!UT67+"BYw!Z5"</f>
        <v>#VALUE!</v>
      </c>
      <c r="IF18" t="e">
        <f>'2.4.Функции'!UU67+"BYw!Z6"</f>
        <v>#VALUE!</v>
      </c>
      <c r="IG18" t="e">
        <f>'2.4.Функции'!UV67+"BYw!Z7"</f>
        <v>#VALUE!</v>
      </c>
      <c r="IH18" t="e">
        <f>'2.4.Функции'!UW67+"BYw!Z8"</f>
        <v>#VALUE!</v>
      </c>
      <c r="II18" t="e">
        <f>'2.4.Функции'!UX67+"BYw!Z9"</f>
        <v>#VALUE!</v>
      </c>
      <c r="IJ18" t="e">
        <f>'2.4.Функции'!UY67+"BYw!Z:"</f>
        <v>#VALUE!</v>
      </c>
      <c r="IK18" t="e">
        <f>'2.4.Функции'!UZ67+"BYw!Z;"</f>
        <v>#VALUE!</v>
      </c>
      <c r="IL18" t="e">
        <f>'2.4.Функции'!VA67+"BYw!Z&lt;"</f>
        <v>#VALUE!</v>
      </c>
      <c r="IM18" t="e">
        <f>'2.4.Функции'!VB67+"BYw!Z="</f>
        <v>#VALUE!</v>
      </c>
      <c r="IN18" t="e">
        <f>'2.4.Функции'!VC67+"BYw!Z&gt;"</f>
        <v>#VALUE!</v>
      </c>
      <c r="IO18" t="e">
        <f>'2.4.Функции'!VD67+"BYw!Z?"</f>
        <v>#VALUE!</v>
      </c>
      <c r="IP18" t="e">
        <f>'2.4.Функции'!VE67+"BYw!Z@"</f>
        <v>#VALUE!</v>
      </c>
      <c r="IQ18" t="e">
        <f>'2.4.Функции'!VF67+"BYw!ZA"</f>
        <v>#VALUE!</v>
      </c>
      <c r="IR18" t="e">
        <f>'2.4.Функции'!VG67+"BYw!ZB"</f>
        <v>#VALUE!</v>
      </c>
      <c r="IS18" t="e">
        <f>'2.4.Функции'!VH67+"BYw!ZC"</f>
        <v>#VALUE!</v>
      </c>
      <c r="IT18" t="e">
        <f>'2.4.Функции'!VI67+"BYw!ZD"</f>
        <v>#VALUE!</v>
      </c>
      <c r="IU18" t="e">
        <f>'2.4.Функции'!VJ67+"BYw!ZE"</f>
        <v>#VALUE!</v>
      </c>
      <c r="IV18" t="e">
        <f>'2.4.Функции'!VK67+"BYw!ZF"</f>
        <v>#VALUE!</v>
      </c>
    </row>
    <row r="19" spans="6:256" x14ac:dyDescent="0.2">
      <c r="F19" t="e">
        <f>'2.4.Функции'!VL67+"BYw!ZG"</f>
        <v>#VALUE!</v>
      </c>
      <c r="G19" t="e">
        <f>'2.4.Функции'!VM67+"BYw!ZH"</f>
        <v>#VALUE!</v>
      </c>
      <c r="H19" t="e">
        <f>'2.4.Функции'!VN67+"BYw!ZI"</f>
        <v>#VALUE!</v>
      </c>
      <c r="I19" t="e">
        <f>'2.4.Функции'!VO67+"BYw!ZJ"</f>
        <v>#VALUE!</v>
      </c>
      <c r="J19" t="e">
        <f>'2.4.Функции'!VP67+"BYw!ZK"</f>
        <v>#VALUE!</v>
      </c>
      <c r="K19" t="e">
        <f>'2.4.Функции'!VQ67+"BYw!ZL"</f>
        <v>#VALUE!</v>
      </c>
      <c r="L19" t="e">
        <f>'2.4.Функции'!VR67+"BYw!ZM"</f>
        <v>#VALUE!</v>
      </c>
      <c r="M19" t="e">
        <f>'2.4.Функции'!VS67+"BYw!ZN"</f>
        <v>#VALUE!</v>
      </c>
      <c r="N19" t="e">
        <f>'2.4.Функции'!VT67+"BYw!ZO"</f>
        <v>#VALUE!</v>
      </c>
      <c r="O19" t="e">
        <f>'2.4.Функции'!VU67+"BYw!ZP"</f>
        <v>#VALUE!</v>
      </c>
      <c r="P19" t="e">
        <f>'2.4.Функции'!VV67+"BYw!ZQ"</f>
        <v>#VALUE!</v>
      </c>
      <c r="Q19" t="e">
        <f>'2.4.Функции'!VW67+"BYw!ZR"</f>
        <v>#VALUE!</v>
      </c>
      <c r="R19" t="e">
        <f>'2.4.Функции'!VX67+"BYw!ZS"</f>
        <v>#VALUE!</v>
      </c>
      <c r="S19" t="e">
        <f>'2.4.Функции'!VY67+"BYw!ZT"</f>
        <v>#VALUE!</v>
      </c>
      <c r="T19" t="e">
        <f>'2.4.Функции'!VZ67+"BYw!ZU"</f>
        <v>#VALUE!</v>
      </c>
      <c r="U19" t="e">
        <f>'2.4.Функции'!WA67+"BYw!ZV"</f>
        <v>#VALUE!</v>
      </c>
      <c r="V19" t="e">
        <f>'2.4.Функции'!WB67+"BYw!ZW"</f>
        <v>#VALUE!</v>
      </c>
      <c r="W19" t="e">
        <f>'2.4.Функции'!WC67+"BYw!ZX"</f>
        <v>#VALUE!</v>
      </c>
      <c r="X19" t="e">
        <f>'2.4.Функции'!WD67+"BYw!ZY"</f>
        <v>#VALUE!</v>
      </c>
      <c r="Y19" t="e">
        <f>'2.4.Функции'!WE67+"BYw!ZZ"</f>
        <v>#VALUE!</v>
      </c>
      <c r="Z19" t="e">
        <f>'2.4.Функции'!WF67+"BYw!Z["</f>
        <v>#VALUE!</v>
      </c>
      <c r="AA19" t="e">
        <f>'2.4.Функции'!WG67+"BYw!Z\"</f>
        <v>#VALUE!</v>
      </c>
      <c r="AB19" t="e">
        <f>'2.4.Функции'!WH67+"BYw!Z]"</f>
        <v>#VALUE!</v>
      </c>
      <c r="AC19" t="e">
        <f>'2.4.Функции'!WI67+"BYw!Z^"</f>
        <v>#VALUE!</v>
      </c>
      <c r="AD19" t="e">
        <f>'2.4.Функции'!WJ67+"BYw!Z_"</f>
        <v>#VALUE!</v>
      </c>
      <c r="AE19" t="e">
        <f>'2.4.Функции'!WK67+"BYw!Z`"</f>
        <v>#VALUE!</v>
      </c>
      <c r="AF19" t="e">
        <f>'2.4.Функции'!WL67+"BYw!Za"</f>
        <v>#VALUE!</v>
      </c>
      <c r="AG19" t="e">
        <f>'2.4.Функции'!WM67+"BYw!Zb"</f>
        <v>#VALUE!</v>
      </c>
      <c r="AH19" t="e">
        <f>'2.4.Функции'!WN67+"BYw!Zc"</f>
        <v>#VALUE!</v>
      </c>
      <c r="AI19" t="e">
        <f>'2.4.Функции'!WO67+"BYw!Zd"</f>
        <v>#VALUE!</v>
      </c>
      <c r="AJ19" t="e">
        <f>'2.4.Функции'!WP67+"BYw!Ze"</f>
        <v>#VALUE!</v>
      </c>
      <c r="AK19" t="e">
        <f>'2.4.Функции'!WQ67+"BYw!Zf"</f>
        <v>#VALUE!</v>
      </c>
      <c r="AL19" t="e">
        <f>'2.4.Функции'!WR67+"BYw!Zg"</f>
        <v>#VALUE!</v>
      </c>
      <c r="AM19" t="e">
        <f>'2.4.Функции'!WS67+"BYw!Zh"</f>
        <v>#VALUE!</v>
      </c>
      <c r="AN19" t="e">
        <f>'2.4.Функции'!WT67+"BYw!Zi"</f>
        <v>#VALUE!</v>
      </c>
      <c r="AO19" t="e">
        <f>'2.4.Функции'!WU67+"BYw!Zj"</f>
        <v>#VALUE!</v>
      </c>
      <c r="AP19" t="e">
        <f>'2.4.Функции'!WV67+"BYw!Zk"</f>
        <v>#VALUE!</v>
      </c>
      <c r="AQ19" t="e">
        <f>'2.4.Функции'!WW67+"BYw!Zl"</f>
        <v>#VALUE!</v>
      </c>
      <c r="AR19" t="e">
        <f>'2.4.Функции'!WX67+"BYw!Zm"</f>
        <v>#VALUE!</v>
      </c>
      <c r="AS19" t="e">
        <f>'2.4.Функции'!WY67+"BYw!Zn"</f>
        <v>#VALUE!</v>
      </c>
      <c r="AT19" t="e">
        <f>'2.4.Функции'!WZ67+"BYw!Zo"</f>
        <v>#VALUE!</v>
      </c>
      <c r="AU19" t="e">
        <f>'2.4.Функции'!XA67+"BYw!Zp"</f>
        <v>#VALUE!</v>
      </c>
      <c r="AV19" t="e">
        <f>'2.4.Функции'!XB67+"BYw!Zq"</f>
        <v>#VALUE!</v>
      </c>
      <c r="AW19" t="e">
        <f>'2.4.Функции'!XC67+"BYw!Zr"</f>
        <v>#VALUE!</v>
      </c>
      <c r="AX19" t="e">
        <f>'2.4.Функции'!XD67+"BYw!Zs"</f>
        <v>#VALUE!</v>
      </c>
      <c r="AY19" t="e">
        <f>'2.4.Функции'!XE67+"BYw!Zt"</f>
        <v>#VALUE!</v>
      </c>
      <c r="AZ19" t="e">
        <f>'2.4.Функции'!XF67+"BYw!Zu"</f>
        <v>#VALUE!</v>
      </c>
      <c r="BA19" t="e">
        <f>'2.4.Функции'!XG67+"BYw!Zv"</f>
        <v>#VALUE!</v>
      </c>
      <c r="BB19" t="e">
        <f>'2.4.Функции'!XH67+"BYw!Zw"</f>
        <v>#VALUE!</v>
      </c>
      <c r="BC19" t="e">
        <f>'2.4.Функции'!XI67+"BYw!Zx"</f>
        <v>#VALUE!</v>
      </c>
      <c r="BD19" t="e">
        <f>'2.4.Функции'!XJ67+"BYw!Zy"</f>
        <v>#VALUE!</v>
      </c>
      <c r="BE19" t="e">
        <f>'2.4.Функции'!XK67+"BYw!Zz"</f>
        <v>#VALUE!</v>
      </c>
      <c r="BF19" t="e">
        <f>'2.4.Функции'!XL67+"BYw!Z{"</f>
        <v>#VALUE!</v>
      </c>
      <c r="BG19" t="e">
        <f>'2.4.Функции'!XM67+"BYw!Z|"</f>
        <v>#VALUE!</v>
      </c>
      <c r="BH19" t="e">
        <f>'2.4.Функции'!XN67+"BYw!Z}"</f>
        <v>#VALUE!</v>
      </c>
      <c r="BI19" t="e">
        <f>'2.4.Функции'!XO67+"BYw!Z~"</f>
        <v>#VALUE!</v>
      </c>
      <c r="BJ19" t="e">
        <f>'2.4.Функции'!XP67+"BYw![#"</f>
        <v>#VALUE!</v>
      </c>
      <c r="BK19" t="e">
        <f>'2.4.Функции'!XQ67+"BYw![$"</f>
        <v>#VALUE!</v>
      </c>
      <c r="BL19" t="e">
        <f>'2.4.Функции'!XR67+"BYw![%"</f>
        <v>#VALUE!</v>
      </c>
      <c r="BM19" t="e">
        <f>'2.4.Функции'!XS67+"BYw![&amp;"</f>
        <v>#VALUE!</v>
      </c>
      <c r="BN19" t="e">
        <f>'2.4.Функции'!XT67+"BYw!['"</f>
        <v>#VALUE!</v>
      </c>
      <c r="BO19" t="e">
        <f>'2.4.Функции'!XU67+"BYw![("</f>
        <v>#VALUE!</v>
      </c>
      <c r="BP19" t="e">
        <f>'2.4.Функции'!XV67+"BYw![)"</f>
        <v>#VALUE!</v>
      </c>
      <c r="BQ19" t="e">
        <f>'2.4.Функции'!XW67+"BYw![."</f>
        <v>#VALUE!</v>
      </c>
      <c r="BR19" t="e">
        <f>'2.4.Функции'!XX67+"BYw![/"</f>
        <v>#VALUE!</v>
      </c>
      <c r="BS19" t="e">
        <f>'2.4.Функции'!XY67+"BYw![0"</f>
        <v>#VALUE!</v>
      </c>
      <c r="BT19" t="e">
        <f>'2.4.Функции'!XZ67+"BYw![1"</f>
        <v>#VALUE!</v>
      </c>
      <c r="BU19" t="e">
        <f>'2.4.Функции'!YA67+"BYw![2"</f>
        <v>#VALUE!</v>
      </c>
      <c r="BV19" t="e">
        <f>'2.4.Функции'!YB67+"BYw![3"</f>
        <v>#VALUE!</v>
      </c>
      <c r="BW19" t="e">
        <f>'2.4.Функции'!YC67+"BYw![4"</f>
        <v>#VALUE!</v>
      </c>
      <c r="BX19" t="e">
        <f>'2.4.Функции'!YD67+"BYw![5"</f>
        <v>#VALUE!</v>
      </c>
      <c r="BY19" t="e">
        <f>'2.4.Функции'!YE67+"BYw![6"</f>
        <v>#VALUE!</v>
      </c>
      <c r="BZ19" t="e">
        <f>'2.4.Функции'!YF67+"BYw![7"</f>
        <v>#VALUE!</v>
      </c>
      <c r="CA19" t="e">
        <f>'2.4.Функции'!YG67+"BYw![8"</f>
        <v>#VALUE!</v>
      </c>
      <c r="CB19" t="e">
        <f>'2.4.Функции'!YH67+"BYw![9"</f>
        <v>#VALUE!</v>
      </c>
      <c r="CC19" t="e">
        <f>'2.4.Функции'!YI67+"BYw![:"</f>
        <v>#VALUE!</v>
      </c>
      <c r="CD19" t="e">
        <f>'2.4.Функции'!YJ67+"BYw![;"</f>
        <v>#VALUE!</v>
      </c>
      <c r="CE19" t="e">
        <f>'2.4.Функции'!YK67+"BYw![&lt;"</f>
        <v>#VALUE!</v>
      </c>
      <c r="CF19" t="e">
        <f>'2.4.Функции'!YL67+"BYw![="</f>
        <v>#VALUE!</v>
      </c>
      <c r="CG19" t="e">
        <f>'2.4.Функции'!YM67+"BYw![&gt;"</f>
        <v>#VALUE!</v>
      </c>
      <c r="CH19" t="e">
        <f>'2.4.Функции'!YN67+"BYw![?"</f>
        <v>#VALUE!</v>
      </c>
      <c r="CI19" t="e">
        <f>'2.4.Функции'!YO67+"BYw![@"</f>
        <v>#VALUE!</v>
      </c>
      <c r="CJ19" t="e">
        <f>'2.4.Функции'!YP67+"BYw![A"</f>
        <v>#VALUE!</v>
      </c>
      <c r="CK19" t="e">
        <f>'2.4.Функции'!YQ67+"BYw![B"</f>
        <v>#VALUE!</v>
      </c>
      <c r="CL19" t="e">
        <f>'2.4.Функции'!YR67+"BYw![C"</f>
        <v>#VALUE!</v>
      </c>
      <c r="CM19" t="e">
        <f>'2.4.Функции'!YS67+"BYw![D"</f>
        <v>#VALUE!</v>
      </c>
      <c r="CN19" t="e">
        <f>'2.4.Функции'!YT67+"BYw![E"</f>
        <v>#VALUE!</v>
      </c>
      <c r="CO19" t="e">
        <f>'2.4.Функции'!YU67+"BYw![F"</f>
        <v>#VALUE!</v>
      </c>
      <c r="CP19" t="e">
        <f>'2.4.Функции'!YV67+"BYw![G"</f>
        <v>#VALUE!</v>
      </c>
      <c r="CQ19" t="e">
        <f>'2.4.Функции'!YW67+"BYw![H"</f>
        <v>#VALUE!</v>
      </c>
      <c r="CR19" t="e">
        <f>'2.4.Функции'!YX67+"BYw![I"</f>
        <v>#VALUE!</v>
      </c>
      <c r="CS19" t="e">
        <f>'2.4.Функции'!YY67+"BYw![J"</f>
        <v>#VALUE!</v>
      </c>
      <c r="CT19" t="e">
        <f>'2.4.Функции'!YZ67+"BYw![K"</f>
        <v>#VALUE!</v>
      </c>
      <c r="CU19" t="e">
        <f>'2.4.Функции'!ZA67+"BYw![L"</f>
        <v>#VALUE!</v>
      </c>
      <c r="CV19" t="e">
        <f>'2.4.Функции'!ZB67+"BYw![M"</f>
        <v>#VALUE!</v>
      </c>
      <c r="CW19" t="e">
        <f>'2.4.Функции'!ZC67+"BYw![N"</f>
        <v>#VALUE!</v>
      </c>
      <c r="CX19" t="e">
        <f>'2.4.Функции'!ZD67+"BYw![O"</f>
        <v>#VALUE!</v>
      </c>
      <c r="CY19" t="e">
        <f>'2.4.Функции'!ZE67+"BYw![P"</f>
        <v>#VALUE!</v>
      </c>
      <c r="CZ19" t="e">
        <f>'2.4.Функции'!ZF67+"BYw![Q"</f>
        <v>#VALUE!</v>
      </c>
      <c r="DA19" t="e">
        <f>'2.4.Функции'!ZG67+"BYw![R"</f>
        <v>#VALUE!</v>
      </c>
      <c r="DB19" t="e">
        <f>'2.4.Функции'!ZH67+"BYw![S"</f>
        <v>#VALUE!</v>
      </c>
      <c r="DC19" t="e">
        <f>'2.4.Функции'!ZI67+"BYw![T"</f>
        <v>#VALUE!</v>
      </c>
      <c r="DD19" t="e">
        <f>'2.4.Функции'!ZJ67+"BYw![U"</f>
        <v>#VALUE!</v>
      </c>
      <c r="DE19" t="e">
        <f>'2.4.Функции'!ZK67+"BYw![V"</f>
        <v>#VALUE!</v>
      </c>
      <c r="DF19" t="e">
        <f>'2.4.Функции'!ZL67+"BYw![W"</f>
        <v>#VALUE!</v>
      </c>
      <c r="DG19" t="e">
        <f>'2.4.Функции'!ZM67+"BYw![X"</f>
        <v>#VALUE!</v>
      </c>
      <c r="DH19" t="e">
        <f>'2.4.Функции'!ZN67+"BYw![Y"</f>
        <v>#VALUE!</v>
      </c>
      <c r="DI19" t="e">
        <f>'2.4.Функции'!ZO67+"BYw![Z"</f>
        <v>#VALUE!</v>
      </c>
      <c r="DJ19" t="e">
        <f>'2.4.Функции'!ZP67+"BYw![["</f>
        <v>#VALUE!</v>
      </c>
      <c r="DK19" t="e">
        <f>'2.4.Функции'!ZQ67+"BYw![\"</f>
        <v>#VALUE!</v>
      </c>
      <c r="DL19" t="e">
        <f>'2.4.Функции'!ZR67+"BYw![]"</f>
        <v>#VALUE!</v>
      </c>
      <c r="DM19" t="e">
        <f>'2.4.Функции'!ZS67+"BYw![^"</f>
        <v>#VALUE!</v>
      </c>
      <c r="DN19" t="e">
        <f>'2.4.Функции'!ZT67+"BYw![_"</f>
        <v>#VALUE!</v>
      </c>
      <c r="DO19" t="e">
        <f>'2.4.Функции'!ZU67+"BYw![`"</f>
        <v>#VALUE!</v>
      </c>
      <c r="DP19" t="e">
        <f>'2.4.Функции'!ZV67+"BYw![a"</f>
        <v>#VALUE!</v>
      </c>
      <c r="DQ19" t="e">
        <f>'2.4.Функции'!ZW67+"BYw![b"</f>
        <v>#VALUE!</v>
      </c>
      <c r="DR19" t="e">
        <f>'2.4.Функции'!ZX67+"BYw![c"</f>
        <v>#VALUE!</v>
      </c>
      <c r="DS19" t="e">
        <f>'2.4.Функции'!ZY67+"BYw![d"</f>
        <v>#VALUE!</v>
      </c>
      <c r="DT19" t="e">
        <f>'2.4.Функции'!ZZ67+"BYw![e"</f>
        <v>#VALUE!</v>
      </c>
      <c r="DU19" t="e">
        <f>'2.4.Функции'!AAA67+"BYw![f"</f>
        <v>#VALUE!</v>
      </c>
      <c r="DV19" t="e">
        <f>'2.4.Функции'!AAB67+"BYw![g"</f>
        <v>#VALUE!</v>
      </c>
      <c r="DW19" t="e">
        <f>'2.4.Функции'!AAC67+"BYw![h"</f>
        <v>#VALUE!</v>
      </c>
      <c r="DX19" t="e">
        <f>'2.4.Функции'!AAD67+"BYw![i"</f>
        <v>#VALUE!</v>
      </c>
      <c r="DY19" t="e">
        <f>'2.4.Функции'!AAE67+"BYw![j"</f>
        <v>#VALUE!</v>
      </c>
      <c r="DZ19" t="e">
        <f>'2.4.Функции'!AAF67+"BYw![k"</f>
        <v>#VALUE!</v>
      </c>
      <c r="EA19" t="e">
        <f>'2.4.Функции'!AAG67+"BYw![l"</f>
        <v>#VALUE!</v>
      </c>
      <c r="EB19" t="e">
        <f>'2.4.Функции'!AAH67+"BYw![m"</f>
        <v>#VALUE!</v>
      </c>
      <c r="EC19" t="e">
        <f>'2.4.Функции'!AAI67+"BYw![n"</f>
        <v>#VALUE!</v>
      </c>
      <c r="ED19" t="e">
        <f>'2.4.Функции'!AAJ67+"BYw![o"</f>
        <v>#VALUE!</v>
      </c>
      <c r="EE19" t="e">
        <f>'2.4.Функции'!AAK67+"BYw![p"</f>
        <v>#VALUE!</v>
      </c>
      <c r="EF19" t="e">
        <f>'2.4.Функции'!AAL67+"BYw![q"</f>
        <v>#VALUE!</v>
      </c>
      <c r="EG19" t="e">
        <f>'2.4.Функции'!AAM67+"BYw![r"</f>
        <v>#VALUE!</v>
      </c>
      <c r="EH19" t="e">
        <f>'2.4.Функции'!AAN67+"BYw![s"</f>
        <v>#VALUE!</v>
      </c>
      <c r="EI19" t="e">
        <f>'2.4.Функции'!AAO67+"BYw![t"</f>
        <v>#VALUE!</v>
      </c>
      <c r="EJ19" t="e">
        <f>'2.4.Функции'!AAP67+"BYw![u"</f>
        <v>#VALUE!</v>
      </c>
      <c r="EK19" t="e">
        <f>'2.4.Функции'!AAQ67+"BYw![v"</f>
        <v>#VALUE!</v>
      </c>
      <c r="EL19" t="e">
        <f>'2.4.Функции'!AAR67+"BYw![w"</f>
        <v>#VALUE!</v>
      </c>
      <c r="EM19" t="e">
        <f>'2.4.Функции'!AAS67+"BYw![x"</f>
        <v>#VALUE!</v>
      </c>
      <c r="EN19" t="e">
        <f>'2.4.Функции'!AAT67+"BYw![y"</f>
        <v>#VALUE!</v>
      </c>
      <c r="EO19" t="e">
        <f>'2.4.Функции'!AAU67+"BYw![z"</f>
        <v>#VALUE!</v>
      </c>
      <c r="EP19" t="e">
        <f>'2.4.Функции'!AAV67+"BYw![{"</f>
        <v>#VALUE!</v>
      </c>
      <c r="EQ19" t="e">
        <f>'2.4.Функции'!AAW67+"BYw![|"</f>
        <v>#VALUE!</v>
      </c>
      <c r="ER19" t="e">
        <f>'2.4.Функции'!AAX67+"BYw![}"</f>
        <v>#VALUE!</v>
      </c>
      <c r="ES19" t="e">
        <f>'2.4.Функции'!AAY67+"BYw![~"</f>
        <v>#VALUE!</v>
      </c>
      <c r="ET19" t="e">
        <f>'2.4.Функции'!AAZ67+"BYw!\#"</f>
        <v>#VALUE!</v>
      </c>
      <c r="EU19" t="e">
        <f>'2.4.Функции'!ABA67+"BYw!\$"</f>
        <v>#VALUE!</v>
      </c>
      <c r="EV19" t="e">
        <f>'2.4.Функции'!ABB67+"BYw!\%"</f>
        <v>#VALUE!</v>
      </c>
      <c r="EW19" t="e">
        <f>'2.4.Функции'!ABC67+"BYw!\&amp;"</f>
        <v>#VALUE!</v>
      </c>
      <c r="EX19" t="e">
        <f>'2.4.Функции'!ABD67+"BYw!\'"</f>
        <v>#VALUE!</v>
      </c>
      <c r="EY19" t="e">
        <f>'2.4.Функции'!ABE67+"BYw!\("</f>
        <v>#VALUE!</v>
      </c>
      <c r="EZ19" t="e">
        <f>'2.4.Функции'!ABF67+"BYw!\)"</f>
        <v>#VALUE!</v>
      </c>
      <c r="FA19" t="e">
        <f>'2.4.Функции'!ABG67+"BYw!\."</f>
        <v>#VALUE!</v>
      </c>
      <c r="FB19" t="e">
        <f>'2.4.Функции'!ABH67+"BYw!\/"</f>
        <v>#VALUE!</v>
      </c>
      <c r="FC19" t="e">
        <f>'2.4.Функции'!ABI67+"BYw!\0"</f>
        <v>#VALUE!</v>
      </c>
      <c r="FD19" t="e">
        <f>'2.4.Функции'!ABJ67+"BYw!\1"</f>
        <v>#VALUE!</v>
      </c>
      <c r="FE19" t="e">
        <f>'2.4.Функции'!ABK67+"BYw!\2"</f>
        <v>#VALUE!</v>
      </c>
      <c r="FF19" t="e">
        <f>'2.4.Функции'!ABL67+"BYw!\3"</f>
        <v>#VALUE!</v>
      </c>
      <c r="FG19" t="e">
        <f>'2.4.Функции'!ABM67+"BYw!\4"</f>
        <v>#VALUE!</v>
      </c>
      <c r="FH19" t="e">
        <f>'2.4.Функции'!ABN67+"BYw!\5"</f>
        <v>#VALUE!</v>
      </c>
      <c r="FI19" t="e">
        <f>'2.4.Функции'!ABO67+"BYw!\6"</f>
        <v>#VALUE!</v>
      </c>
      <c r="FJ19" t="e">
        <f>'2.4.Функции'!ABP67+"BYw!\7"</f>
        <v>#VALUE!</v>
      </c>
      <c r="FK19" t="e">
        <f>'2.4.Функции'!ABQ67+"BYw!\8"</f>
        <v>#VALUE!</v>
      </c>
      <c r="FL19" t="e">
        <f>'2.4.Функции'!ABR67+"BYw!\9"</f>
        <v>#VALUE!</v>
      </c>
      <c r="FM19" t="e">
        <f>'2.4.Функции'!ABS67+"BYw!\:"</f>
        <v>#VALUE!</v>
      </c>
      <c r="FN19" t="e">
        <f>'2.4.Функции'!ABT67+"BYw!\;"</f>
        <v>#VALUE!</v>
      </c>
      <c r="FO19" t="e">
        <f>'2.4.Функции'!ABU67+"BYw!\&lt;"</f>
        <v>#VALUE!</v>
      </c>
      <c r="FP19" t="e">
        <f>'2.4.Функции'!ABV67+"BYw!\="</f>
        <v>#VALUE!</v>
      </c>
      <c r="FQ19" t="e">
        <f>'2.4.Функции'!ABW67+"BYw!\&gt;"</f>
        <v>#VALUE!</v>
      </c>
      <c r="FR19" t="e">
        <f>'2.4.Функции'!ABX67+"BYw!\?"</f>
        <v>#VALUE!</v>
      </c>
      <c r="FS19" t="e">
        <f>'2.4.Функции'!ABY67+"BYw!\@"</f>
        <v>#VALUE!</v>
      </c>
      <c r="FT19" t="e">
        <f>'2.4.Функции'!ABZ67+"BYw!\A"</f>
        <v>#VALUE!</v>
      </c>
      <c r="FU19" t="e">
        <f>'2.4.Функции'!ACA67+"BYw!\B"</f>
        <v>#VALUE!</v>
      </c>
      <c r="FV19" t="e">
        <f>'2.4.Функции'!ACB67+"BYw!\C"</f>
        <v>#VALUE!</v>
      </c>
      <c r="FW19" t="e">
        <f>'2.4.Функции'!ACC67+"BYw!\D"</f>
        <v>#VALUE!</v>
      </c>
      <c r="FX19" t="e">
        <f>'2.4.Функции'!ACD67+"BYw!\E"</f>
        <v>#VALUE!</v>
      </c>
      <c r="FY19" t="e">
        <f>'2.4.Функции'!ACE67+"BYw!\F"</f>
        <v>#VALUE!</v>
      </c>
      <c r="FZ19" t="e">
        <f>'2.4.Функции'!ACF67+"BYw!\G"</f>
        <v>#VALUE!</v>
      </c>
      <c r="GA19" t="e">
        <f>'2.4.Функции'!ACG67+"BYw!\H"</f>
        <v>#VALUE!</v>
      </c>
      <c r="GB19" t="e">
        <f>'2.4.Функции'!ACH67+"BYw!\I"</f>
        <v>#VALUE!</v>
      </c>
      <c r="GC19" t="e">
        <f>'2.4.Функции'!ACI67+"BYw!\J"</f>
        <v>#VALUE!</v>
      </c>
      <c r="GD19" t="e">
        <f>'2.4.Функции'!ACJ67+"BYw!\K"</f>
        <v>#VALUE!</v>
      </c>
      <c r="GE19" t="e">
        <f>'2.4.Функции'!ACK67+"BYw!\L"</f>
        <v>#VALUE!</v>
      </c>
      <c r="GF19" t="e">
        <f>'2.4.Функции'!ACL67+"BYw!\M"</f>
        <v>#VALUE!</v>
      </c>
      <c r="GG19" t="e">
        <f>'2.4.Функции'!ACM67+"BYw!\N"</f>
        <v>#VALUE!</v>
      </c>
      <c r="GH19" t="e">
        <f>'2.4.Функции'!ACN67+"BYw!\O"</f>
        <v>#VALUE!</v>
      </c>
      <c r="GI19" t="e">
        <f>'2.4.Функции'!ACO67+"BYw!\P"</f>
        <v>#VALUE!</v>
      </c>
      <c r="GJ19" t="e">
        <f>'2.4.Функции'!ACP67+"BYw!\Q"</f>
        <v>#VALUE!</v>
      </c>
      <c r="GK19" t="e">
        <f>'2.4.Функции'!ACQ67+"BYw!\R"</f>
        <v>#VALUE!</v>
      </c>
      <c r="GL19" t="e">
        <f>'2.4.Функции'!ACR67+"BYw!\S"</f>
        <v>#VALUE!</v>
      </c>
      <c r="GM19" t="e">
        <f>'2.4.Функции'!ACS67+"BYw!\T"</f>
        <v>#VALUE!</v>
      </c>
      <c r="GN19" t="e">
        <f>'2.4.Функции'!ACT67+"BYw!\U"</f>
        <v>#VALUE!</v>
      </c>
      <c r="GO19" t="e">
        <f>'2.4.Функции'!ACU67+"BYw!\V"</f>
        <v>#VALUE!</v>
      </c>
      <c r="GP19" t="e">
        <f>'2.4.Функции'!ACV67+"BYw!\W"</f>
        <v>#VALUE!</v>
      </c>
      <c r="GQ19" t="e">
        <f>'2.4.Функции'!ACW67+"BYw!\X"</f>
        <v>#VALUE!</v>
      </c>
      <c r="GR19" t="e">
        <f>'2.4.Функции'!ACX67+"BYw!\Y"</f>
        <v>#VALUE!</v>
      </c>
      <c r="GS19" t="e">
        <f>'2.4.Функции'!ACY67+"BYw!\Z"</f>
        <v>#VALUE!</v>
      </c>
      <c r="GT19" t="e">
        <f>'2.4.Функции'!ACZ67+"BYw!\["</f>
        <v>#VALUE!</v>
      </c>
      <c r="GU19" t="e">
        <f>'2.4.Функции'!ADA67+"BYw!\\"</f>
        <v>#VALUE!</v>
      </c>
      <c r="GV19" t="e">
        <f>'2.4.Функции'!ADB67+"BYw!\]"</f>
        <v>#VALUE!</v>
      </c>
      <c r="GW19" t="e">
        <f>'2.4.Функции'!ADC67+"BYw!\^"</f>
        <v>#VALUE!</v>
      </c>
      <c r="GX19" t="e">
        <f>'2.4.Функции'!ADD67+"BYw!\_"</f>
        <v>#VALUE!</v>
      </c>
      <c r="GY19" t="e">
        <f>'2.4.Функции'!ADE67+"BYw!\`"</f>
        <v>#VALUE!</v>
      </c>
      <c r="GZ19" t="e">
        <f>'2.4.Функции'!ADF67+"BYw!\a"</f>
        <v>#VALUE!</v>
      </c>
      <c r="HA19" t="e">
        <f>'2.4.Функции'!ADG67+"BYw!\b"</f>
        <v>#VALUE!</v>
      </c>
      <c r="HB19" t="e">
        <f>'2.4.Функции'!ADH67+"BYw!\c"</f>
        <v>#VALUE!</v>
      </c>
      <c r="HC19" t="e">
        <f>'2.4.Функции'!ADI67+"BYw!\d"</f>
        <v>#VALUE!</v>
      </c>
      <c r="HD19" t="e">
        <f>'2.4.Функции'!ADJ67+"BYw!\e"</f>
        <v>#VALUE!</v>
      </c>
      <c r="HE19" t="e">
        <f>'2.4.Функции'!ADK67+"BYw!\f"</f>
        <v>#VALUE!</v>
      </c>
      <c r="HF19" t="e">
        <f>'2.4.Функции'!ADL67+"BYw!\g"</f>
        <v>#VALUE!</v>
      </c>
      <c r="HG19" t="e">
        <f>'2.4.Функции'!ADM67+"BYw!\h"</f>
        <v>#VALUE!</v>
      </c>
      <c r="HH19" t="e">
        <f>'2.4.Функции'!ADN67+"BYw!\i"</f>
        <v>#VALUE!</v>
      </c>
      <c r="HI19" t="e">
        <f>'2.4.Функции'!ADO67+"BYw!\j"</f>
        <v>#VALUE!</v>
      </c>
      <c r="HJ19" t="e">
        <f>'2.4.Функции'!ADP67+"BYw!\k"</f>
        <v>#VALUE!</v>
      </c>
      <c r="HK19" t="e">
        <f>'2.4.Функции'!ADQ67+"BYw!\l"</f>
        <v>#VALUE!</v>
      </c>
      <c r="HL19" t="e">
        <f>'2.4.Функции'!ADR67+"BYw!\m"</f>
        <v>#VALUE!</v>
      </c>
      <c r="HM19" t="e">
        <f>'2.4.Функции'!ADS67+"BYw!\n"</f>
        <v>#VALUE!</v>
      </c>
      <c r="HN19" t="e">
        <f>'2.4.Функции'!ADT67+"BYw!\o"</f>
        <v>#VALUE!</v>
      </c>
      <c r="HO19" t="e">
        <f>'2.4.Функции'!ADU67+"BYw!\p"</f>
        <v>#VALUE!</v>
      </c>
      <c r="HP19" t="e">
        <f>'2.4.Функции'!ADV67+"BYw!\q"</f>
        <v>#VALUE!</v>
      </c>
      <c r="HQ19" t="e">
        <f>'2.4.Функции'!ADW67+"BYw!\r"</f>
        <v>#VALUE!</v>
      </c>
      <c r="HR19" t="e">
        <f>'2.4.Функции'!ADX67+"BYw!\s"</f>
        <v>#VALUE!</v>
      </c>
      <c r="HS19" t="e">
        <f>'2.4.Функции'!ADY67+"BYw!\t"</f>
        <v>#VALUE!</v>
      </c>
      <c r="HT19" t="e">
        <f>'2.4.Функции'!ADZ67+"BYw!\u"</f>
        <v>#VALUE!</v>
      </c>
      <c r="HU19" t="e">
        <f>'2.4.Функции'!AEA67+"BYw!\v"</f>
        <v>#VALUE!</v>
      </c>
      <c r="HV19" t="e">
        <f>'2.4.Функции'!AEB67+"BYw!\w"</f>
        <v>#VALUE!</v>
      </c>
      <c r="HW19" t="e">
        <f>'2.4.Функции'!AEC67+"BYw!\x"</f>
        <v>#VALUE!</v>
      </c>
      <c r="HX19" t="e">
        <f>'2.4.Функции'!AED67+"BYw!\y"</f>
        <v>#VALUE!</v>
      </c>
      <c r="HY19" t="e">
        <f>'2.4.Функции'!AEE67+"BYw!\z"</f>
        <v>#VALUE!</v>
      </c>
      <c r="HZ19" t="e">
        <f>'2.4.Функции'!AEF67+"BYw!\{"</f>
        <v>#VALUE!</v>
      </c>
      <c r="IA19" t="e">
        <f>'2.4.Функции'!AEG67+"BYw!\|"</f>
        <v>#VALUE!</v>
      </c>
      <c r="IB19" t="e">
        <f>'2.4.Функции'!AEH67+"BYw!\}"</f>
        <v>#VALUE!</v>
      </c>
      <c r="IC19" t="e">
        <f>'2.4.Функции'!AEI67+"BYw!\~"</f>
        <v>#VALUE!</v>
      </c>
      <c r="ID19" t="e">
        <f>'2.4.Функции'!AEJ67+"BYw!]#"</f>
        <v>#VALUE!</v>
      </c>
      <c r="IE19" t="e">
        <f>'2.4.Функции'!AEK67+"BYw!]$"</f>
        <v>#VALUE!</v>
      </c>
      <c r="IF19" t="e">
        <f>'2.4.Функции'!AEL67+"BYw!]%"</f>
        <v>#VALUE!</v>
      </c>
      <c r="IG19" t="e">
        <f>'2.4.Функции'!AEM67+"BYw!]&amp;"</f>
        <v>#VALUE!</v>
      </c>
      <c r="IH19" t="e">
        <f>'2.4.Функции'!AEN67+"BYw!]'"</f>
        <v>#VALUE!</v>
      </c>
      <c r="II19" t="e">
        <f>'2.4.Функции'!AEO67+"BYw!]("</f>
        <v>#VALUE!</v>
      </c>
      <c r="IJ19" t="e">
        <f>'2.4.Функции'!AEP67+"BYw!])"</f>
        <v>#VALUE!</v>
      </c>
      <c r="IK19" t="e">
        <f>'2.4.Функции'!AEQ67+"BYw!]."</f>
        <v>#VALUE!</v>
      </c>
      <c r="IL19" t="e">
        <f>'2.4.Функции'!AER67+"BYw!]/"</f>
        <v>#VALUE!</v>
      </c>
      <c r="IM19" t="e">
        <f>'2.4.Функции'!AES67+"BYw!]0"</f>
        <v>#VALUE!</v>
      </c>
      <c r="IN19" t="e">
        <f>'2.4.Функции'!AET67+"BYw!]1"</f>
        <v>#VALUE!</v>
      </c>
      <c r="IO19" t="e">
        <f>'2.4.Функции'!AEU67+"BYw!]2"</f>
        <v>#VALUE!</v>
      </c>
      <c r="IP19" t="e">
        <f>'2.4.Функции'!AEV67+"BYw!]3"</f>
        <v>#VALUE!</v>
      </c>
      <c r="IQ19" t="e">
        <f>'2.4.Функции'!AEW67+"BYw!]4"</f>
        <v>#VALUE!</v>
      </c>
      <c r="IR19" t="e">
        <f>'2.4.Функции'!AEX67+"BYw!]5"</f>
        <v>#VALUE!</v>
      </c>
      <c r="IS19" t="e">
        <f>'2.4.Функции'!AEY67+"BYw!]6"</f>
        <v>#VALUE!</v>
      </c>
      <c r="IT19" t="e">
        <f>'2.4.Функции'!AEZ67+"BYw!]7"</f>
        <v>#VALUE!</v>
      </c>
      <c r="IU19" t="e">
        <f>'2.4.Функции'!AFA67+"BYw!]8"</f>
        <v>#VALUE!</v>
      </c>
      <c r="IV19" t="e">
        <f>'2.4.Функции'!AFB67+"BYw!]9"</f>
        <v>#VALUE!</v>
      </c>
    </row>
    <row r="20" spans="6:256" x14ac:dyDescent="0.2">
      <c r="F20" t="e">
        <f>'2.4.Функции'!AFC67+"BYw!]:"</f>
        <v>#VALUE!</v>
      </c>
      <c r="G20" t="e">
        <f>'2.4.Функции'!AFD67+"BYw!];"</f>
        <v>#VALUE!</v>
      </c>
      <c r="H20" t="e">
        <f>'2.4.Функции'!AFE67+"BYw!]&lt;"</f>
        <v>#VALUE!</v>
      </c>
      <c r="I20" t="e">
        <f>'2.4.Функции'!AFF67+"BYw!]="</f>
        <v>#VALUE!</v>
      </c>
      <c r="J20" t="e">
        <f>'2.4.Функции'!AFG67+"BYw!]&gt;"</f>
        <v>#VALUE!</v>
      </c>
      <c r="K20" t="e">
        <f>'2.4.Функции'!AFH67+"BYw!]?"</f>
        <v>#VALUE!</v>
      </c>
      <c r="L20" t="e">
        <f>'2.4.Функции'!AFI67+"BYw!]@"</f>
        <v>#VALUE!</v>
      </c>
      <c r="M20" t="e">
        <f>'2.4.Функции'!AFJ67+"BYw!]A"</f>
        <v>#VALUE!</v>
      </c>
      <c r="N20" t="e">
        <f>'2.4.Функции'!AFK67+"BYw!]B"</f>
        <v>#VALUE!</v>
      </c>
      <c r="O20" t="e">
        <f>'2.4.Функции'!AFL67+"BYw!]C"</f>
        <v>#VALUE!</v>
      </c>
      <c r="P20" t="e">
        <f>'2.4.Функции'!AFM67+"BYw!]D"</f>
        <v>#VALUE!</v>
      </c>
      <c r="Q20" t="e">
        <f>'2.4.Функции'!AFN67+"BYw!]E"</f>
        <v>#VALUE!</v>
      </c>
      <c r="R20" t="e">
        <f>'2.4.Функции'!AFO67+"BYw!]F"</f>
        <v>#VALUE!</v>
      </c>
      <c r="S20" t="e">
        <f>'2.4.Функции'!AFP67+"BYw!]G"</f>
        <v>#VALUE!</v>
      </c>
      <c r="T20" t="e">
        <f>'2.4.Функции'!AFQ67+"BYw!]H"</f>
        <v>#VALUE!</v>
      </c>
      <c r="U20" t="e">
        <f>'2.4.Функции'!AFR67+"BYw!]I"</f>
        <v>#VALUE!</v>
      </c>
      <c r="V20" t="e">
        <f>'2.4.Функции'!AFS67+"BYw!]J"</f>
        <v>#VALUE!</v>
      </c>
      <c r="W20" t="e">
        <f>'2.4.Функции'!AFT67+"BYw!]K"</f>
        <v>#VALUE!</v>
      </c>
      <c r="X20" t="e">
        <f>'2.4.Функции'!AFU67+"BYw!]L"</f>
        <v>#VALUE!</v>
      </c>
      <c r="Y20" t="e">
        <f>'2.4.Функции'!AFV67+"BYw!]M"</f>
        <v>#VALUE!</v>
      </c>
      <c r="Z20" t="e">
        <f>'2.4.Функции'!AFW67+"BYw!]N"</f>
        <v>#VALUE!</v>
      </c>
      <c r="AA20" t="e">
        <f>'2.4.Функции'!AFX67+"BYw!]O"</f>
        <v>#VALUE!</v>
      </c>
      <c r="AB20" t="e">
        <f>'2.4.Функции'!AFY67+"BYw!]P"</f>
        <v>#VALUE!</v>
      </c>
      <c r="AC20" t="e">
        <f>'2.4.Функции'!AFZ67+"BYw!]Q"</f>
        <v>#VALUE!</v>
      </c>
      <c r="AD20" t="e">
        <f>'2.4.Функции'!AGA67+"BYw!]R"</f>
        <v>#VALUE!</v>
      </c>
      <c r="AE20" t="e">
        <f>'2.4.Функции'!AGB67+"BYw!]S"</f>
        <v>#VALUE!</v>
      </c>
      <c r="AF20" t="e">
        <f>'2.4.Функции'!AGC67+"BYw!]T"</f>
        <v>#VALUE!</v>
      </c>
      <c r="AG20" t="e">
        <f>'2.4.Функции'!AGD67+"BYw!]U"</f>
        <v>#VALUE!</v>
      </c>
      <c r="AH20" t="e">
        <f>'2.4.Функции'!AGE67+"BYw!]V"</f>
        <v>#VALUE!</v>
      </c>
      <c r="AI20" t="e">
        <f>'2.4.Функции'!AGF67+"BYw!]W"</f>
        <v>#VALUE!</v>
      </c>
      <c r="AJ20" t="e">
        <f>'2.4.Функции'!AGG67+"BYw!]X"</f>
        <v>#VALUE!</v>
      </c>
      <c r="AK20" t="e">
        <f>'2.4.Функции'!AGH67+"BYw!]Y"</f>
        <v>#VALUE!</v>
      </c>
      <c r="AL20" t="e">
        <f>'2.4.Функции'!AGI67+"BYw!]Z"</f>
        <v>#VALUE!</v>
      </c>
      <c r="AM20" t="e">
        <f>'2.4.Функции'!AGJ67+"BYw!]["</f>
        <v>#VALUE!</v>
      </c>
      <c r="AN20" t="e">
        <f>'2.4.Функции'!AGK67+"BYw!]\"</f>
        <v>#VALUE!</v>
      </c>
      <c r="AO20" t="e">
        <f>'2.4.Функции'!AGL67+"BYw!]]"</f>
        <v>#VALUE!</v>
      </c>
      <c r="AP20" t="e">
        <f>'2.4.Функции'!AGM67+"BYw!]^"</f>
        <v>#VALUE!</v>
      </c>
      <c r="AQ20" t="e">
        <f>'2.4.Функции'!AGN67+"BYw!]_"</f>
        <v>#VALUE!</v>
      </c>
      <c r="AR20" t="e">
        <f>'2.4.Функции'!AGO67+"BYw!]`"</f>
        <v>#VALUE!</v>
      </c>
      <c r="AS20" t="e">
        <f>'2.4.Функции'!AGP67+"BYw!]a"</f>
        <v>#VALUE!</v>
      </c>
      <c r="AT20" t="e">
        <f>'2.4.Функции'!AGQ67+"BYw!]b"</f>
        <v>#VALUE!</v>
      </c>
      <c r="AU20" t="e">
        <f>'2.4.Функции'!AGR67+"BYw!]c"</f>
        <v>#VALUE!</v>
      </c>
      <c r="AV20" t="e">
        <f>'2.4.Функции'!AGS67+"BYw!]d"</f>
        <v>#VALUE!</v>
      </c>
      <c r="AW20" t="e">
        <f>'2.4.Функции'!AGT67+"BYw!]e"</f>
        <v>#VALUE!</v>
      </c>
      <c r="AX20" t="e">
        <f>'2.4.Функции'!AGU67+"BYw!]f"</f>
        <v>#VALUE!</v>
      </c>
      <c r="AY20" t="e">
        <f>'2.4.Функции'!AGV67+"BYw!]g"</f>
        <v>#VALUE!</v>
      </c>
      <c r="AZ20" t="e">
        <f>'2.4.Функции'!AGW67+"BYw!]h"</f>
        <v>#VALUE!</v>
      </c>
      <c r="BA20" t="e">
        <f>'2.4.Функции'!AGX67+"BYw!]i"</f>
        <v>#VALUE!</v>
      </c>
      <c r="BB20" t="e">
        <f>'2.4.Функции'!AGY67+"BYw!]j"</f>
        <v>#VALUE!</v>
      </c>
      <c r="BC20" t="e">
        <f>'2.4.Функции'!AGZ67+"BYw!]k"</f>
        <v>#VALUE!</v>
      </c>
      <c r="BD20" t="e">
        <f>'2.4.Функции'!AHA67+"BYw!]l"</f>
        <v>#VALUE!</v>
      </c>
      <c r="BE20" t="e">
        <f>'2.4.Функции'!AHB67+"BYw!]m"</f>
        <v>#VALUE!</v>
      </c>
      <c r="BF20" t="e">
        <f>'2.4.Функции'!AHC67+"BYw!]n"</f>
        <v>#VALUE!</v>
      </c>
      <c r="BG20" t="e">
        <f>'2.4.Функции'!AHD67+"BYw!]o"</f>
        <v>#VALUE!</v>
      </c>
      <c r="BH20" t="e">
        <f>'2.4.Функции'!AHE67+"BYw!]p"</f>
        <v>#VALUE!</v>
      </c>
      <c r="BI20" t="e">
        <f>'2.4.Функции'!AHF67+"BYw!]q"</f>
        <v>#VALUE!</v>
      </c>
      <c r="BJ20" t="e">
        <f>'2.4.Функции'!AHG67+"BYw!]r"</f>
        <v>#VALUE!</v>
      </c>
      <c r="BK20" t="e">
        <f>'2.4.Функции'!AHH67+"BYw!]s"</f>
        <v>#VALUE!</v>
      </c>
      <c r="BL20" t="e">
        <f>'2.4.Функции'!AHI67+"BYw!]t"</f>
        <v>#VALUE!</v>
      </c>
      <c r="BM20" t="e">
        <f>'2.4.Функции'!AHJ67+"BYw!]u"</f>
        <v>#VALUE!</v>
      </c>
      <c r="BN20" t="e">
        <f>'2.4.Функции'!AHK67+"BYw!]v"</f>
        <v>#VALUE!</v>
      </c>
      <c r="BO20" t="e">
        <f>'2.4.Функции'!AHL67+"BYw!]w"</f>
        <v>#VALUE!</v>
      </c>
      <c r="BP20" t="e">
        <f>'2.4.Функции'!AHM67+"BYw!]x"</f>
        <v>#VALUE!</v>
      </c>
      <c r="BQ20" t="e">
        <f>'2.4.Функции'!AHN67+"BYw!]y"</f>
        <v>#VALUE!</v>
      </c>
      <c r="BR20" t="e">
        <f>'2.4.Функции'!AHO67+"BYw!]z"</f>
        <v>#VALUE!</v>
      </c>
      <c r="BS20" t="e">
        <f>'2.4.Функции'!AHP67+"BYw!]{"</f>
        <v>#VALUE!</v>
      </c>
      <c r="BT20" t="e">
        <f>'2.4.Функции'!AHQ67+"BYw!]|"</f>
        <v>#VALUE!</v>
      </c>
      <c r="BU20" t="e">
        <f>'2.4.Функции'!AHR67+"BYw!]}"</f>
        <v>#VALUE!</v>
      </c>
      <c r="BV20" t="e">
        <f>'2.4.Функции'!AHS67+"BYw!]~"</f>
        <v>#VALUE!</v>
      </c>
      <c r="BW20" t="e">
        <f>'2.4.Функции'!AHT67+"BYw!^#"</f>
        <v>#VALUE!</v>
      </c>
      <c r="BX20" t="e">
        <f>'2.4.Функции'!AHU67+"BYw!^$"</f>
        <v>#VALUE!</v>
      </c>
      <c r="BY20" t="e">
        <f>'2.4.Функции'!AHV67+"BYw!^%"</f>
        <v>#VALUE!</v>
      </c>
      <c r="BZ20" t="e">
        <f>'2.4.Функции'!AHW67+"BYw!^&amp;"</f>
        <v>#VALUE!</v>
      </c>
      <c r="CA20" t="e">
        <f>'2.4.Функции'!AHX67+"BYw!^'"</f>
        <v>#VALUE!</v>
      </c>
      <c r="CB20" t="e">
        <f>'2.4.Функции'!AHY67+"BYw!^("</f>
        <v>#VALUE!</v>
      </c>
      <c r="CC20" t="e">
        <f>'2.4.Функции'!AHZ67+"BYw!^)"</f>
        <v>#VALUE!</v>
      </c>
      <c r="CD20" t="e">
        <f>'2.4.Функции'!AIA67+"BYw!^."</f>
        <v>#VALUE!</v>
      </c>
      <c r="CE20" t="e">
        <f>'2.4.Функции'!AIB67+"BYw!^/"</f>
        <v>#VALUE!</v>
      </c>
      <c r="CF20" t="e">
        <f>'2.4.Функции'!AIC67+"BYw!^0"</f>
        <v>#VALUE!</v>
      </c>
      <c r="CG20" t="e">
        <f>'2.4.Функции'!AID67+"BYw!^1"</f>
        <v>#VALUE!</v>
      </c>
      <c r="CH20" t="e">
        <f>'2.4.Функции'!AIE67+"BYw!^2"</f>
        <v>#VALUE!</v>
      </c>
      <c r="CI20" t="e">
        <f>'2.4.Функции'!AIF67+"BYw!^3"</f>
        <v>#VALUE!</v>
      </c>
      <c r="CJ20" t="e">
        <f>'2.4.Функции'!AIG67+"BYw!^4"</f>
        <v>#VALUE!</v>
      </c>
      <c r="CK20" t="e">
        <f>'2.4.Функции'!AIH67+"BYw!^5"</f>
        <v>#VALUE!</v>
      </c>
      <c r="CL20" t="e">
        <f>'2.4.Функции'!A68+"BYw!^6"</f>
        <v>#VALUE!</v>
      </c>
      <c r="CM20" s="116" t="e">
        <f>'2.4.Функции'!B68+"BYw!^7"</f>
        <v>#VALUE!</v>
      </c>
      <c r="CN20" t="e">
        <f>'2.4.Функции'!C68+"BYw!^8"</f>
        <v>#VALUE!</v>
      </c>
      <c r="CO20" s="119" t="e">
        <f>'2.4.Функции'!D68+"BYw!^9"</f>
        <v>#VALUE!</v>
      </c>
      <c r="CP20" s="119" t="e">
        <f>'2.4.Функции'!E68+"BYw!^:"</f>
        <v>#VALUE!</v>
      </c>
      <c r="CQ20" s="119" t="e">
        <f>'2.4.Функции'!F68+"BYw!^;"</f>
        <v>#VALUE!</v>
      </c>
      <c r="CR20" s="119" t="e">
        <f>'2.4.Функции'!G68+"BYw!^&lt;"</f>
        <v>#VALUE!</v>
      </c>
      <c r="CS20" s="119" t="e">
        <f>'2.4.Функции'!H68+"BYw!^="</f>
        <v>#VALUE!</v>
      </c>
      <c r="CT20" s="119" t="e">
        <f>'2.4.Функции'!I68+"BYw!^&gt;"</f>
        <v>#VALUE!</v>
      </c>
      <c r="CU20" s="119" t="e">
        <f>'2.4.Функции'!J68+"BYw!^?"</f>
        <v>#VALUE!</v>
      </c>
      <c r="CV20" s="119" t="e">
        <f>'2.4.Функции'!K68+"BYw!^@"</f>
        <v>#VALUE!</v>
      </c>
      <c r="CW20" t="e">
        <f>'2.4.Функции'!L68+"BYw!^A"</f>
        <v>#VALUE!</v>
      </c>
      <c r="CX20" t="e">
        <f>'2.4.Функции'!M68+"BYw!^B"</f>
        <v>#VALUE!</v>
      </c>
      <c r="CY20" t="e">
        <f>'2.4.Функции'!N68+"BYw!^C"</f>
        <v>#VALUE!</v>
      </c>
      <c r="CZ20" t="e">
        <f>'2.4.Функции'!O68+"BYw!^D"</f>
        <v>#VALUE!</v>
      </c>
      <c r="DA20" t="e">
        <f>'2.4.Функции'!P68+"BYw!^E"</f>
        <v>#VALUE!</v>
      </c>
      <c r="DB20" t="e">
        <f>'2.4.Функции'!Q68+"BYw!^F"</f>
        <v>#VALUE!</v>
      </c>
      <c r="DC20" t="e">
        <f>'2.4.Функции'!R68+"BYw!^G"</f>
        <v>#VALUE!</v>
      </c>
      <c r="DD20" t="e">
        <f>'2.4.Функции'!S68+"BYw!^H"</f>
        <v>#VALUE!</v>
      </c>
      <c r="DE20" t="e">
        <f>'2.4.Функции'!T68+"BYw!^I"</f>
        <v>#VALUE!</v>
      </c>
      <c r="DF20" t="e">
        <f>'2.4.Функции'!U68+"BYw!^J"</f>
        <v>#VALUE!</v>
      </c>
      <c r="DG20" t="e">
        <f>'2.4.Функции'!V68+"BYw!^K"</f>
        <v>#VALUE!</v>
      </c>
      <c r="DH20" t="e">
        <f>'2.4.Функции'!W68+"BYw!^L"</f>
        <v>#VALUE!</v>
      </c>
      <c r="DI20" t="e">
        <f>'2.4.Функции'!X68+"BYw!^M"</f>
        <v>#VALUE!</v>
      </c>
      <c r="DJ20" t="e">
        <f>'2.4.Функции'!Y68+"BYw!^N"</f>
        <v>#VALUE!</v>
      </c>
      <c r="DK20" t="e">
        <f>'2.4.Функции'!Z68+"BYw!^O"</f>
        <v>#VALUE!</v>
      </c>
      <c r="DL20" t="e">
        <f>'2.4.Функции'!AA68+"BYw!^P"</f>
        <v>#VALUE!</v>
      </c>
      <c r="DM20" t="e">
        <f>'2.4.Функции'!AB68+"BYw!^Q"</f>
        <v>#VALUE!</v>
      </c>
      <c r="DN20" t="e">
        <f>'2.4.Функции'!AC68+"BYw!^R"</f>
        <v>#VALUE!</v>
      </c>
      <c r="DO20" t="e">
        <f>'2.4.Функции'!AD68+"BYw!^S"</f>
        <v>#VALUE!</v>
      </c>
      <c r="DP20" t="e">
        <f>'2.4.Функции'!AE68+"BYw!^T"</f>
        <v>#VALUE!</v>
      </c>
      <c r="DQ20" t="e">
        <f>'2.4.Функции'!AF68+"BYw!^U"</f>
        <v>#VALUE!</v>
      </c>
      <c r="DR20" t="e">
        <f>'2.4.Функции'!AG68+"BYw!^V"</f>
        <v>#VALUE!</v>
      </c>
      <c r="DS20" t="e">
        <f>'2.4.Функции'!AH68+"BYw!^W"</f>
        <v>#VALUE!</v>
      </c>
      <c r="DT20" t="e">
        <f>'2.4.Функции'!AI68+"BYw!^X"</f>
        <v>#VALUE!</v>
      </c>
      <c r="DU20" t="e">
        <f>'2.4.Функции'!AJ68+"BYw!^Y"</f>
        <v>#VALUE!</v>
      </c>
      <c r="DV20" t="e">
        <f>'2.4.Функции'!AK68+"BYw!^Z"</f>
        <v>#VALUE!</v>
      </c>
      <c r="DW20" t="e">
        <f>'2.4.Функции'!AL68+"BYw!^["</f>
        <v>#VALUE!</v>
      </c>
      <c r="DX20" t="e">
        <f>'2.4.Функции'!AM68+"BYw!^\"</f>
        <v>#VALUE!</v>
      </c>
      <c r="DY20" t="e">
        <f>'2.4.Функции'!AN68+"BYw!^]"</f>
        <v>#VALUE!</v>
      </c>
      <c r="DZ20" t="e">
        <f>'2.4.Функции'!AO68+"BYw!^^"</f>
        <v>#VALUE!</v>
      </c>
      <c r="EA20" t="e">
        <f>'2.4.Функции'!AP68+"BYw!^_"</f>
        <v>#VALUE!</v>
      </c>
      <c r="EB20" t="e">
        <f>'2.4.Функции'!AQ68+"BYw!^`"</f>
        <v>#VALUE!</v>
      </c>
      <c r="EC20" t="e">
        <f>'2.4.Функции'!AR68+"BYw!^a"</f>
        <v>#VALUE!</v>
      </c>
      <c r="ED20" t="e">
        <f>'2.4.Функции'!AS68+"BYw!^b"</f>
        <v>#VALUE!</v>
      </c>
      <c r="EE20" t="e">
        <f>'2.4.Функции'!AT68+"BYw!^c"</f>
        <v>#VALUE!</v>
      </c>
      <c r="EF20" t="e">
        <f>'2.4.Функции'!AU68+"BYw!^d"</f>
        <v>#VALUE!</v>
      </c>
      <c r="EG20" t="e">
        <f>'2.4.Функции'!AV68+"BYw!^e"</f>
        <v>#VALUE!</v>
      </c>
      <c r="EH20" t="e">
        <f>'2.4.Функции'!AW68+"BYw!^f"</f>
        <v>#VALUE!</v>
      </c>
      <c r="EI20" t="e">
        <f>'2.4.Функции'!AX68+"BYw!^g"</f>
        <v>#VALUE!</v>
      </c>
      <c r="EJ20" t="e">
        <f>'2.4.Функции'!AY68+"BYw!^h"</f>
        <v>#VALUE!</v>
      </c>
      <c r="EK20" t="e">
        <f>'2.4.Функции'!AZ68+"BYw!^i"</f>
        <v>#VALUE!</v>
      </c>
      <c r="EL20" t="e">
        <f>'2.4.Функции'!BA68+"BYw!^j"</f>
        <v>#VALUE!</v>
      </c>
      <c r="EM20" t="e">
        <f>'2.4.Функции'!BB68+"BYw!^k"</f>
        <v>#VALUE!</v>
      </c>
      <c r="EN20" t="e">
        <f>'2.4.Функции'!BC68+"BYw!^l"</f>
        <v>#VALUE!</v>
      </c>
      <c r="EO20" t="e">
        <f>'2.4.Функции'!BD68+"BYw!^m"</f>
        <v>#VALUE!</v>
      </c>
      <c r="EP20" t="e">
        <f>'2.4.Функции'!BE68+"BYw!^n"</f>
        <v>#VALUE!</v>
      </c>
      <c r="EQ20" t="e">
        <f>'2.4.Функции'!BF68+"BYw!^o"</f>
        <v>#VALUE!</v>
      </c>
      <c r="ER20" t="e">
        <f>'2.4.Функции'!BG68+"BYw!^p"</f>
        <v>#VALUE!</v>
      </c>
      <c r="ES20" t="e">
        <f>'2.4.Функции'!BH68+"BYw!^q"</f>
        <v>#VALUE!</v>
      </c>
      <c r="ET20" t="e">
        <f>'2.4.Функции'!BI68+"BYw!^r"</f>
        <v>#VALUE!</v>
      </c>
      <c r="EU20" t="e">
        <f>'2.4.Функции'!BJ68+"BYw!^s"</f>
        <v>#VALUE!</v>
      </c>
      <c r="EV20" t="e">
        <f>'2.4.Функции'!BK68+"BYw!^t"</f>
        <v>#VALUE!</v>
      </c>
      <c r="EW20" t="e">
        <f>'2.4.Функции'!BL68+"BYw!^u"</f>
        <v>#VALUE!</v>
      </c>
      <c r="EX20" t="e">
        <f>'2.4.Функции'!BM68+"BYw!^v"</f>
        <v>#VALUE!</v>
      </c>
      <c r="EY20" t="e">
        <f>'2.4.Функции'!BN68+"BYw!^w"</f>
        <v>#VALUE!</v>
      </c>
      <c r="EZ20" t="e">
        <f>'2.4.Функции'!BO68+"BYw!^x"</f>
        <v>#VALUE!</v>
      </c>
      <c r="FA20" t="e">
        <f>'2.4.Функции'!BP68+"BYw!^y"</f>
        <v>#VALUE!</v>
      </c>
      <c r="FB20" t="e">
        <f>'2.4.Функции'!BQ68+"BYw!^z"</f>
        <v>#VALUE!</v>
      </c>
      <c r="FC20" t="e">
        <f>'2.4.Функции'!BR68+"BYw!^{"</f>
        <v>#VALUE!</v>
      </c>
      <c r="FD20" t="e">
        <f>'2.4.Функции'!BS68+"BYw!^|"</f>
        <v>#VALUE!</v>
      </c>
      <c r="FE20" t="e">
        <f>'2.4.Функции'!BT68+"BYw!^}"</f>
        <v>#VALUE!</v>
      </c>
      <c r="FF20" t="e">
        <f>'2.4.Функции'!BU68+"BYw!^~"</f>
        <v>#VALUE!</v>
      </c>
      <c r="FG20" t="e">
        <f>'2.4.Функции'!BV68+"BYw!_#"</f>
        <v>#VALUE!</v>
      </c>
      <c r="FH20" t="e">
        <f>'2.4.Функции'!BW68+"BYw!_$"</f>
        <v>#VALUE!</v>
      </c>
      <c r="FI20" t="e">
        <f>'2.4.Функции'!BX68+"BYw!_%"</f>
        <v>#VALUE!</v>
      </c>
      <c r="FJ20" t="e">
        <f>'2.4.Функции'!BY68+"BYw!_&amp;"</f>
        <v>#VALUE!</v>
      </c>
      <c r="FK20" t="e">
        <f>'2.4.Функции'!BZ68+"BYw!_'"</f>
        <v>#VALUE!</v>
      </c>
      <c r="FL20" t="e">
        <f>'2.4.Функции'!CA68+"BYw!_("</f>
        <v>#VALUE!</v>
      </c>
      <c r="FM20" t="e">
        <f>'2.4.Функции'!CB68+"BYw!_)"</f>
        <v>#VALUE!</v>
      </c>
      <c r="FN20" t="e">
        <f>'2.4.Функции'!CC68+"BYw!_."</f>
        <v>#VALUE!</v>
      </c>
      <c r="FO20" t="e">
        <f>'2.4.Функции'!CD68+"BYw!_/"</f>
        <v>#VALUE!</v>
      </c>
      <c r="FP20" t="e">
        <f>'2.4.Функции'!CE68+"BYw!_0"</f>
        <v>#VALUE!</v>
      </c>
      <c r="FQ20" t="e">
        <f>'2.4.Функции'!CF68+"BYw!_1"</f>
        <v>#VALUE!</v>
      </c>
      <c r="FR20" t="e">
        <f>'2.4.Функции'!CG68+"BYw!_2"</f>
        <v>#VALUE!</v>
      </c>
      <c r="FS20" t="e">
        <f>'2.4.Функции'!CH68+"BYw!_3"</f>
        <v>#VALUE!</v>
      </c>
      <c r="FT20" t="e">
        <f>'2.4.Функции'!CI68+"BYw!_4"</f>
        <v>#VALUE!</v>
      </c>
      <c r="FU20" t="e">
        <f>'2.4.Функции'!CJ68+"BYw!_5"</f>
        <v>#VALUE!</v>
      </c>
      <c r="FV20" t="e">
        <f>'2.4.Функции'!CK68+"BYw!_6"</f>
        <v>#VALUE!</v>
      </c>
      <c r="FW20" t="e">
        <f>'2.4.Функции'!CL68+"BYw!_7"</f>
        <v>#VALUE!</v>
      </c>
      <c r="FX20" t="e">
        <f>'2.4.Функции'!CM68+"BYw!_8"</f>
        <v>#VALUE!</v>
      </c>
      <c r="FY20" t="e">
        <f>'2.4.Функции'!CN68+"BYw!_9"</f>
        <v>#VALUE!</v>
      </c>
      <c r="FZ20" t="e">
        <f>'2.4.Функции'!CO68+"BYw!_:"</f>
        <v>#VALUE!</v>
      </c>
      <c r="GA20" t="e">
        <f>'2.4.Функции'!CP68+"BYw!_;"</f>
        <v>#VALUE!</v>
      </c>
      <c r="GB20" t="e">
        <f>'2.4.Функции'!CQ68+"BYw!_&lt;"</f>
        <v>#VALUE!</v>
      </c>
      <c r="GC20" t="e">
        <f>'2.4.Функции'!CR68+"BYw!_="</f>
        <v>#VALUE!</v>
      </c>
      <c r="GD20" t="e">
        <f>'2.4.Функции'!CS68+"BYw!_&gt;"</f>
        <v>#VALUE!</v>
      </c>
      <c r="GE20" t="e">
        <f>'2.4.Функции'!CT68+"BYw!_?"</f>
        <v>#VALUE!</v>
      </c>
      <c r="GF20" t="e">
        <f>'2.4.Функции'!CU68+"BYw!_@"</f>
        <v>#VALUE!</v>
      </c>
      <c r="GG20" t="e">
        <f>'2.4.Функции'!CV68+"BYw!_A"</f>
        <v>#VALUE!</v>
      </c>
      <c r="GH20" t="e">
        <f>'2.4.Функции'!CW68+"BYw!_B"</f>
        <v>#VALUE!</v>
      </c>
      <c r="GI20" t="e">
        <f>'2.4.Функции'!CX68+"BYw!_C"</f>
        <v>#VALUE!</v>
      </c>
      <c r="GJ20" t="e">
        <f>'2.4.Функции'!CY68+"BYw!_D"</f>
        <v>#VALUE!</v>
      </c>
      <c r="GK20" t="e">
        <f>'2.4.Функции'!CZ68+"BYw!_E"</f>
        <v>#VALUE!</v>
      </c>
      <c r="GL20" t="e">
        <f>'2.4.Функции'!DA68+"BYw!_F"</f>
        <v>#VALUE!</v>
      </c>
      <c r="GM20" t="e">
        <f>'2.4.Функции'!DB68+"BYw!_G"</f>
        <v>#VALUE!</v>
      </c>
      <c r="GN20" t="e">
        <f>'2.4.Функции'!DC68+"BYw!_H"</f>
        <v>#VALUE!</v>
      </c>
      <c r="GO20" t="e">
        <f>'2.4.Функции'!DD68+"BYw!_I"</f>
        <v>#VALUE!</v>
      </c>
      <c r="GP20" t="e">
        <f>'2.4.Функции'!DE68+"BYw!_J"</f>
        <v>#VALUE!</v>
      </c>
      <c r="GQ20" t="e">
        <f>'2.4.Функции'!DF68+"BYw!_K"</f>
        <v>#VALUE!</v>
      </c>
      <c r="GR20" t="e">
        <f>'2.4.Функции'!DG68+"BYw!_L"</f>
        <v>#VALUE!</v>
      </c>
      <c r="GS20" t="e">
        <f>'2.4.Функции'!DH68+"BYw!_M"</f>
        <v>#VALUE!</v>
      </c>
      <c r="GT20" t="e">
        <f>'2.4.Функции'!DI68+"BYw!_N"</f>
        <v>#VALUE!</v>
      </c>
      <c r="GU20" t="e">
        <f>'2.4.Функции'!DJ68+"BYw!_O"</f>
        <v>#VALUE!</v>
      </c>
      <c r="GV20" t="e">
        <f>'2.4.Функции'!DK68+"BYw!_P"</f>
        <v>#VALUE!</v>
      </c>
      <c r="GW20" t="e">
        <f>'2.4.Функции'!DL68+"BYw!_Q"</f>
        <v>#VALUE!</v>
      </c>
      <c r="GX20" t="e">
        <f>'2.4.Функции'!DM68+"BYw!_R"</f>
        <v>#VALUE!</v>
      </c>
      <c r="GY20" t="e">
        <f>'2.4.Функции'!DN68+"BYw!_S"</f>
        <v>#VALUE!</v>
      </c>
      <c r="GZ20" t="e">
        <f>'2.4.Функции'!DO68+"BYw!_T"</f>
        <v>#VALUE!</v>
      </c>
      <c r="HA20" t="e">
        <f>'2.4.Функции'!DP68+"BYw!_U"</f>
        <v>#VALUE!</v>
      </c>
      <c r="HB20" t="e">
        <f>'2.4.Функции'!DQ68+"BYw!_V"</f>
        <v>#VALUE!</v>
      </c>
      <c r="HC20" t="e">
        <f>'2.4.Функции'!DR68+"BYw!_W"</f>
        <v>#VALUE!</v>
      </c>
      <c r="HD20" t="e">
        <f>'2.4.Функции'!DS68+"BYw!_X"</f>
        <v>#VALUE!</v>
      </c>
      <c r="HE20" t="e">
        <f>'2.4.Функции'!DT68+"BYw!_Y"</f>
        <v>#VALUE!</v>
      </c>
      <c r="HF20" t="e">
        <f>'2.4.Функции'!DU68+"BYw!_Z"</f>
        <v>#VALUE!</v>
      </c>
      <c r="HG20" t="e">
        <f>'2.4.Функции'!DV68+"BYw!_["</f>
        <v>#VALUE!</v>
      </c>
      <c r="HH20" t="e">
        <f>'2.4.Функции'!DW68+"BYw!_\"</f>
        <v>#VALUE!</v>
      </c>
      <c r="HI20" t="e">
        <f>'2.4.Функции'!DX68+"BYw!_]"</f>
        <v>#VALUE!</v>
      </c>
      <c r="HJ20" t="e">
        <f>'2.4.Функции'!DY68+"BYw!_^"</f>
        <v>#VALUE!</v>
      </c>
      <c r="HK20" t="e">
        <f>'2.4.Функции'!DZ68+"BYw!__"</f>
        <v>#VALUE!</v>
      </c>
      <c r="HL20" t="e">
        <f>'2.4.Функции'!EA68+"BYw!_`"</f>
        <v>#VALUE!</v>
      </c>
      <c r="HM20" t="e">
        <f>'2.4.Функции'!EB68+"BYw!_a"</f>
        <v>#VALUE!</v>
      </c>
      <c r="HN20" t="e">
        <f>'2.4.Функции'!EC68+"BYw!_b"</f>
        <v>#VALUE!</v>
      </c>
      <c r="HO20" t="e">
        <f>'2.4.Функции'!ED68+"BYw!_c"</f>
        <v>#VALUE!</v>
      </c>
      <c r="HP20" t="e">
        <f>'2.4.Функции'!EE68+"BYw!_d"</f>
        <v>#VALUE!</v>
      </c>
      <c r="HQ20" t="e">
        <f>'2.4.Функции'!EF68+"BYw!_e"</f>
        <v>#VALUE!</v>
      </c>
      <c r="HR20" t="e">
        <f>'2.4.Функции'!EG68+"BYw!_f"</f>
        <v>#VALUE!</v>
      </c>
      <c r="HS20" t="e">
        <f>'2.4.Функции'!EH68+"BYw!_g"</f>
        <v>#VALUE!</v>
      </c>
      <c r="HT20" t="e">
        <f>'2.4.Функции'!EI68+"BYw!_h"</f>
        <v>#VALUE!</v>
      </c>
      <c r="HU20" t="e">
        <f>'2.4.Функции'!EJ68+"BYw!_i"</f>
        <v>#VALUE!</v>
      </c>
      <c r="HV20" t="e">
        <f>'2.4.Функции'!EK68+"BYw!_j"</f>
        <v>#VALUE!</v>
      </c>
      <c r="HW20" t="e">
        <f>'2.4.Функции'!EL68+"BYw!_k"</f>
        <v>#VALUE!</v>
      </c>
      <c r="HX20" t="e">
        <f>'2.4.Функции'!EM68+"BYw!_l"</f>
        <v>#VALUE!</v>
      </c>
      <c r="HY20" t="e">
        <f>'2.4.Функции'!EN68+"BYw!_m"</f>
        <v>#VALUE!</v>
      </c>
      <c r="HZ20" t="e">
        <f>'2.4.Функции'!EO68+"BYw!_n"</f>
        <v>#VALUE!</v>
      </c>
      <c r="IA20" t="e">
        <f>'2.4.Функции'!EP68+"BYw!_o"</f>
        <v>#VALUE!</v>
      </c>
      <c r="IB20" t="e">
        <f>'2.4.Функции'!EQ68+"BYw!_p"</f>
        <v>#VALUE!</v>
      </c>
      <c r="IC20" t="e">
        <f>'2.4.Функции'!ER68+"BYw!_q"</f>
        <v>#VALUE!</v>
      </c>
      <c r="ID20" t="e">
        <f>'2.4.Функции'!ES68+"BYw!_r"</f>
        <v>#VALUE!</v>
      </c>
      <c r="IE20" t="e">
        <f>'2.4.Функции'!ET68+"BYw!_s"</f>
        <v>#VALUE!</v>
      </c>
      <c r="IF20" t="e">
        <f>'2.4.Функции'!EU68+"BYw!_t"</f>
        <v>#VALUE!</v>
      </c>
      <c r="IG20" t="e">
        <f>'2.4.Функции'!EV68+"BYw!_u"</f>
        <v>#VALUE!</v>
      </c>
      <c r="IH20" t="e">
        <f>'2.4.Функции'!EW68+"BYw!_v"</f>
        <v>#VALUE!</v>
      </c>
      <c r="II20" t="e">
        <f>'2.4.Функции'!EX68+"BYw!_w"</f>
        <v>#VALUE!</v>
      </c>
      <c r="IJ20" t="e">
        <f>'2.4.Функции'!EY68+"BYw!_x"</f>
        <v>#VALUE!</v>
      </c>
      <c r="IK20" t="e">
        <f>'2.4.Функции'!EZ68+"BYw!_y"</f>
        <v>#VALUE!</v>
      </c>
      <c r="IL20" t="e">
        <f>'2.4.Функции'!FA68+"BYw!_z"</f>
        <v>#VALUE!</v>
      </c>
      <c r="IM20" t="e">
        <f>'2.4.Функции'!FB68+"BYw!_{"</f>
        <v>#VALUE!</v>
      </c>
      <c r="IN20" t="e">
        <f>'2.4.Функции'!FC68+"BYw!_|"</f>
        <v>#VALUE!</v>
      </c>
      <c r="IO20" t="e">
        <f>'2.4.Функции'!FD68+"BYw!_}"</f>
        <v>#VALUE!</v>
      </c>
      <c r="IP20" t="e">
        <f>'2.4.Функции'!FE68+"BYw!_~"</f>
        <v>#VALUE!</v>
      </c>
      <c r="IQ20" t="e">
        <f>'2.4.Функции'!FF68+"BYw!`#"</f>
        <v>#VALUE!</v>
      </c>
      <c r="IR20" t="e">
        <f>'2.4.Функции'!FG68+"BYw!`$"</f>
        <v>#VALUE!</v>
      </c>
      <c r="IS20" t="e">
        <f>'2.4.Функции'!FH68+"BYw!`%"</f>
        <v>#VALUE!</v>
      </c>
      <c r="IT20" t="e">
        <f>'2.4.Функции'!FI68+"BYw!`&amp;"</f>
        <v>#VALUE!</v>
      </c>
      <c r="IU20" t="e">
        <f>'2.4.Функции'!FJ68+"BYw!`'"</f>
        <v>#VALUE!</v>
      </c>
      <c r="IV20" t="e">
        <f>'2.4.Функции'!FK68+"BYw!`("</f>
        <v>#VALUE!</v>
      </c>
    </row>
    <row r="21" spans="6:256" x14ac:dyDescent="0.2">
      <c r="F21" t="e">
        <f>'2.4.Функции'!FL68+"BYw!`)"</f>
        <v>#VALUE!</v>
      </c>
      <c r="G21" t="e">
        <f>'2.4.Функции'!FM68+"BYw!`."</f>
        <v>#VALUE!</v>
      </c>
      <c r="H21" t="e">
        <f>'2.4.Функции'!FN68+"BYw!`/"</f>
        <v>#VALUE!</v>
      </c>
      <c r="I21" t="e">
        <f>'2.4.Функции'!FO68+"BYw!`0"</f>
        <v>#VALUE!</v>
      </c>
      <c r="J21" t="e">
        <f>'2.4.Функции'!FP68+"BYw!`1"</f>
        <v>#VALUE!</v>
      </c>
      <c r="K21" t="e">
        <f>'2.4.Функции'!FQ68+"BYw!`2"</f>
        <v>#VALUE!</v>
      </c>
      <c r="L21" t="e">
        <f>'2.4.Функции'!FR68+"BYw!`3"</f>
        <v>#VALUE!</v>
      </c>
      <c r="M21" t="e">
        <f>'2.4.Функции'!FS68+"BYw!`4"</f>
        <v>#VALUE!</v>
      </c>
      <c r="N21" t="e">
        <f>'2.4.Функции'!FT68+"BYw!`5"</f>
        <v>#VALUE!</v>
      </c>
      <c r="O21" t="e">
        <f>'2.4.Функции'!FU68+"BYw!`6"</f>
        <v>#VALUE!</v>
      </c>
      <c r="P21" t="e">
        <f>'2.4.Функции'!FV68+"BYw!`7"</f>
        <v>#VALUE!</v>
      </c>
      <c r="Q21" t="e">
        <f>'2.4.Функции'!FW68+"BYw!`8"</f>
        <v>#VALUE!</v>
      </c>
      <c r="R21" t="e">
        <f>'2.4.Функции'!FX68+"BYw!`9"</f>
        <v>#VALUE!</v>
      </c>
      <c r="S21" t="e">
        <f>'2.4.Функции'!FY68+"BYw!`:"</f>
        <v>#VALUE!</v>
      </c>
      <c r="T21" t="e">
        <f>'2.4.Функции'!FZ68+"BYw!`;"</f>
        <v>#VALUE!</v>
      </c>
      <c r="U21" t="e">
        <f>'2.4.Функции'!GA68+"BYw!`&lt;"</f>
        <v>#VALUE!</v>
      </c>
      <c r="V21" t="e">
        <f>'2.4.Функции'!GB68+"BYw!`="</f>
        <v>#VALUE!</v>
      </c>
      <c r="W21" t="e">
        <f>'2.4.Функции'!GC68+"BYw!`&gt;"</f>
        <v>#VALUE!</v>
      </c>
      <c r="X21" t="e">
        <f>'2.4.Функции'!GD68+"BYw!`?"</f>
        <v>#VALUE!</v>
      </c>
      <c r="Y21" t="e">
        <f>'2.4.Функции'!GE68+"BYw!`@"</f>
        <v>#VALUE!</v>
      </c>
      <c r="Z21" t="e">
        <f>'2.4.Функции'!GF68+"BYw!`A"</f>
        <v>#VALUE!</v>
      </c>
      <c r="AA21" t="e">
        <f>'2.4.Функции'!GG68+"BYw!`B"</f>
        <v>#VALUE!</v>
      </c>
      <c r="AB21" t="e">
        <f>'2.4.Функции'!GH68+"BYw!`C"</f>
        <v>#VALUE!</v>
      </c>
      <c r="AC21" t="e">
        <f>'2.4.Функции'!GI68+"BYw!`D"</f>
        <v>#VALUE!</v>
      </c>
      <c r="AD21" t="e">
        <f>'2.4.Функции'!GJ68+"BYw!`E"</f>
        <v>#VALUE!</v>
      </c>
      <c r="AE21" t="e">
        <f>'2.4.Функции'!GK68+"BYw!`F"</f>
        <v>#VALUE!</v>
      </c>
      <c r="AF21" t="e">
        <f>'2.4.Функции'!GL68+"BYw!`G"</f>
        <v>#VALUE!</v>
      </c>
      <c r="AG21" t="e">
        <f>'2.4.Функции'!GM68+"BYw!`H"</f>
        <v>#VALUE!</v>
      </c>
      <c r="AH21" t="e">
        <f>'2.4.Функции'!GN68+"BYw!`I"</f>
        <v>#VALUE!</v>
      </c>
      <c r="AI21" t="e">
        <f>'2.4.Функции'!GO68+"BYw!`J"</f>
        <v>#VALUE!</v>
      </c>
      <c r="AJ21" t="e">
        <f>'2.4.Функции'!GP68+"BYw!`K"</f>
        <v>#VALUE!</v>
      </c>
      <c r="AK21" t="e">
        <f>'2.4.Функции'!GQ68+"BYw!`L"</f>
        <v>#VALUE!</v>
      </c>
      <c r="AL21" t="e">
        <f>'2.4.Функции'!GR68+"BYw!`M"</f>
        <v>#VALUE!</v>
      </c>
      <c r="AM21" t="e">
        <f>'2.4.Функции'!GS68+"BYw!`N"</f>
        <v>#VALUE!</v>
      </c>
      <c r="AN21" t="e">
        <f>'2.4.Функции'!GT68+"BYw!`O"</f>
        <v>#VALUE!</v>
      </c>
      <c r="AO21" t="e">
        <f>'2.4.Функции'!GU68+"BYw!`P"</f>
        <v>#VALUE!</v>
      </c>
      <c r="AP21" t="e">
        <f>'2.4.Функции'!GV68+"BYw!`Q"</f>
        <v>#VALUE!</v>
      </c>
      <c r="AQ21" t="e">
        <f>'2.4.Функции'!GW68+"BYw!`R"</f>
        <v>#VALUE!</v>
      </c>
      <c r="AR21" t="e">
        <f>'2.4.Функции'!GX68+"BYw!`S"</f>
        <v>#VALUE!</v>
      </c>
      <c r="AS21" t="e">
        <f>'2.4.Функции'!GY68+"BYw!`T"</f>
        <v>#VALUE!</v>
      </c>
      <c r="AT21" t="e">
        <f>'2.4.Функции'!GZ68+"BYw!`U"</f>
        <v>#VALUE!</v>
      </c>
      <c r="AU21" t="e">
        <f>'2.4.Функции'!HA68+"BYw!`V"</f>
        <v>#VALUE!</v>
      </c>
      <c r="AV21" t="e">
        <f>'2.4.Функции'!HB68+"BYw!`W"</f>
        <v>#VALUE!</v>
      </c>
      <c r="AW21" t="e">
        <f>'2.4.Функции'!HC68+"BYw!`X"</f>
        <v>#VALUE!</v>
      </c>
      <c r="AX21" t="e">
        <f>'2.4.Функции'!HD68+"BYw!`Y"</f>
        <v>#VALUE!</v>
      </c>
      <c r="AY21" t="e">
        <f>'2.4.Функции'!HE68+"BYw!`Z"</f>
        <v>#VALUE!</v>
      </c>
      <c r="AZ21" t="e">
        <f>'2.4.Функции'!HF68+"BYw!`["</f>
        <v>#VALUE!</v>
      </c>
      <c r="BA21" t="e">
        <f>'2.4.Функции'!HG68+"BYw!`\"</f>
        <v>#VALUE!</v>
      </c>
      <c r="BB21" t="e">
        <f>'2.4.Функции'!HH68+"BYw!`]"</f>
        <v>#VALUE!</v>
      </c>
      <c r="BC21" t="e">
        <f>'2.4.Функции'!HI68+"BYw!`^"</f>
        <v>#VALUE!</v>
      </c>
      <c r="BD21" t="e">
        <f>'2.4.Функции'!HJ68+"BYw!`_"</f>
        <v>#VALUE!</v>
      </c>
      <c r="BE21" t="e">
        <f>'2.4.Функции'!HK68+"BYw!``"</f>
        <v>#VALUE!</v>
      </c>
      <c r="BF21" t="e">
        <f>'2.4.Функции'!HL68+"BYw!`a"</f>
        <v>#VALUE!</v>
      </c>
      <c r="BG21" t="e">
        <f>'2.4.Функции'!HM68+"BYw!`b"</f>
        <v>#VALUE!</v>
      </c>
      <c r="BH21" t="e">
        <f>'2.4.Функции'!HN68+"BYw!`c"</f>
        <v>#VALUE!</v>
      </c>
      <c r="BI21" t="e">
        <f>'2.4.Функции'!HO68+"BYw!`d"</f>
        <v>#VALUE!</v>
      </c>
      <c r="BJ21" t="e">
        <f>'2.4.Функции'!HP68+"BYw!`e"</f>
        <v>#VALUE!</v>
      </c>
      <c r="BK21" t="e">
        <f>'2.4.Функции'!HQ68+"BYw!`f"</f>
        <v>#VALUE!</v>
      </c>
      <c r="BL21" t="e">
        <f>'2.4.Функции'!HR68+"BYw!`g"</f>
        <v>#VALUE!</v>
      </c>
      <c r="BM21" t="e">
        <f>'2.4.Функции'!HS68+"BYw!`h"</f>
        <v>#VALUE!</v>
      </c>
      <c r="BN21" t="e">
        <f>'2.4.Функции'!HT68+"BYw!`i"</f>
        <v>#VALUE!</v>
      </c>
      <c r="BO21" t="e">
        <f>'2.4.Функции'!HU68+"BYw!`j"</f>
        <v>#VALUE!</v>
      </c>
      <c r="BP21" t="e">
        <f>'2.4.Функции'!HV68+"BYw!`k"</f>
        <v>#VALUE!</v>
      </c>
      <c r="BQ21" t="e">
        <f>'2.4.Функции'!HW68+"BYw!`l"</f>
        <v>#VALUE!</v>
      </c>
      <c r="BR21" t="e">
        <f>'2.4.Функции'!HX68+"BYw!`m"</f>
        <v>#VALUE!</v>
      </c>
      <c r="BS21" t="e">
        <f>'2.4.Функции'!HY68+"BYw!`n"</f>
        <v>#VALUE!</v>
      </c>
      <c r="BT21" t="e">
        <f>'2.4.Функции'!HZ68+"BYw!`o"</f>
        <v>#VALUE!</v>
      </c>
      <c r="BU21" t="e">
        <f>'2.4.Функции'!IA68+"BYw!`p"</f>
        <v>#VALUE!</v>
      </c>
      <c r="BV21" t="e">
        <f>'2.4.Функции'!IB68+"BYw!`q"</f>
        <v>#VALUE!</v>
      </c>
      <c r="BW21" t="e">
        <f>'2.4.Функции'!IC68+"BYw!`r"</f>
        <v>#VALUE!</v>
      </c>
      <c r="BX21" t="e">
        <f>'2.4.Функции'!ID68+"BYw!`s"</f>
        <v>#VALUE!</v>
      </c>
      <c r="BY21" t="e">
        <f>'2.4.Функции'!IE68+"BYw!`t"</f>
        <v>#VALUE!</v>
      </c>
      <c r="BZ21" t="e">
        <f>'2.4.Функции'!IF68+"BYw!`u"</f>
        <v>#VALUE!</v>
      </c>
      <c r="CA21" t="e">
        <f>'2.4.Функции'!IG68+"BYw!`v"</f>
        <v>#VALUE!</v>
      </c>
      <c r="CB21" t="e">
        <f>'2.4.Функции'!IH68+"BYw!`w"</f>
        <v>#VALUE!</v>
      </c>
      <c r="CC21" t="e">
        <f>'2.4.Функции'!II68+"BYw!`x"</f>
        <v>#VALUE!</v>
      </c>
      <c r="CD21" t="e">
        <f>'2.4.Функции'!IJ68+"BYw!`y"</f>
        <v>#VALUE!</v>
      </c>
      <c r="CE21" t="e">
        <f>'2.4.Функции'!IK68+"BYw!`z"</f>
        <v>#VALUE!</v>
      </c>
      <c r="CF21" t="e">
        <f>'2.4.Функции'!IL68+"BYw!`{"</f>
        <v>#VALUE!</v>
      </c>
      <c r="CG21" t="e">
        <f>'2.4.Функции'!IM68+"BYw!`|"</f>
        <v>#VALUE!</v>
      </c>
      <c r="CH21" t="e">
        <f>'2.4.Функции'!IN68+"BYw!`}"</f>
        <v>#VALUE!</v>
      </c>
      <c r="CI21" t="e">
        <f>'2.4.Функции'!IO68+"BYw!`~"</f>
        <v>#VALUE!</v>
      </c>
      <c r="CJ21" t="e">
        <f>'2.4.Функции'!IP68+"BYw!a#"</f>
        <v>#VALUE!</v>
      </c>
      <c r="CK21" t="e">
        <f>'2.4.Функции'!IQ68+"BYw!a$"</f>
        <v>#VALUE!</v>
      </c>
      <c r="CL21" t="e">
        <f>'2.4.Функции'!IR68+"BYw!a%"</f>
        <v>#VALUE!</v>
      </c>
      <c r="CM21" t="e">
        <f>'2.4.Функции'!IS68+"BYw!a&amp;"</f>
        <v>#VALUE!</v>
      </c>
      <c r="CN21" t="e">
        <f>'2.4.Функции'!IT68+"BYw!a'"</f>
        <v>#VALUE!</v>
      </c>
      <c r="CO21" t="e">
        <f>'2.4.Функции'!IU68+"BYw!a("</f>
        <v>#VALUE!</v>
      </c>
      <c r="CP21" t="e">
        <f>'2.4.Функции'!IV68+"BYw!a)"</f>
        <v>#VALUE!</v>
      </c>
      <c r="CQ21" t="e">
        <f>'2.4.Функции'!IW68+"BYw!a."</f>
        <v>#VALUE!</v>
      </c>
      <c r="CR21" t="e">
        <f>'2.4.Функции'!IX68+"BYw!a/"</f>
        <v>#VALUE!</v>
      </c>
      <c r="CS21" t="e">
        <f>'2.4.Функции'!IY68+"BYw!a0"</f>
        <v>#VALUE!</v>
      </c>
      <c r="CT21" t="e">
        <f>'2.4.Функции'!IZ68+"BYw!a1"</f>
        <v>#VALUE!</v>
      </c>
      <c r="CU21" t="e">
        <f>'2.4.Функции'!JA68+"BYw!a2"</f>
        <v>#VALUE!</v>
      </c>
      <c r="CV21" t="e">
        <f>'2.4.Функции'!JB68+"BYw!a3"</f>
        <v>#VALUE!</v>
      </c>
      <c r="CW21" t="e">
        <f>'2.4.Функции'!JC68+"BYw!a4"</f>
        <v>#VALUE!</v>
      </c>
      <c r="CX21" t="e">
        <f>'2.4.Функции'!JD68+"BYw!a5"</f>
        <v>#VALUE!</v>
      </c>
      <c r="CY21" t="e">
        <f>'2.4.Функции'!JE68+"BYw!a6"</f>
        <v>#VALUE!</v>
      </c>
      <c r="CZ21" t="e">
        <f>'2.4.Функции'!JF68+"BYw!a7"</f>
        <v>#VALUE!</v>
      </c>
      <c r="DA21" t="e">
        <f>'2.4.Функции'!JG68+"BYw!a8"</f>
        <v>#VALUE!</v>
      </c>
      <c r="DB21" t="e">
        <f>'2.4.Функции'!JH68+"BYw!a9"</f>
        <v>#VALUE!</v>
      </c>
      <c r="DC21" t="e">
        <f>'2.4.Функции'!JI68+"BYw!a:"</f>
        <v>#VALUE!</v>
      </c>
      <c r="DD21" t="e">
        <f>'2.4.Функции'!JJ68+"BYw!a;"</f>
        <v>#VALUE!</v>
      </c>
      <c r="DE21" t="e">
        <f>'2.4.Функции'!JK68+"BYw!a&lt;"</f>
        <v>#VALUE!</v>
      </c>
      <c r="DF21" t="e">
        <f>'2.4.Функции'!JL68+"BYw!a="</f>
        <v>#VALUE!</v>
      </c>
      <c r="DG21" t="e">
        <f>'2.4.Функции'!JM68+"BYw!a&gt;"</f>
        <v>#VALUE!</v>
      </c>
      <c r="DH21" t="e">
        <f>'2.4.Функции'!JN68+"BYw!a?"</f>
        <v>#VALUE!</v>
      </c>
      <c r="DI21" t="e">
        <f>'2.4.Функции'!JO68+"BYw!a@"</f>
        <v>#VALUE!</v>
      </c>
      <c r="DJ21" t="e">
        <f>'2.4.Функции'!JP68+"BYw!aA"</f>
        <v>#VALUE!</v>
      </c>
      <c r="DK21" t="e">
        <f>'2.4.Функции'!JQ68+"BYw!aB"</f>
        <v>#VALUE!</v>
      </c>
      <c r="DL21" t="e">
        <f>'2.4.Функции'!JR68+"BYw!aC"</f>
        <v>#VALUE!</v>
      </c>
      <c r="DM21" t="e">
        <f>'2.4.Функции'!JS68+"BYw!aD"</f>
        <v>#VALUE!</v>
      </c>
      <c r="DN21" t="e">
        <f>'2.4.Функции'!JT68+"BYw!aE"</f>
        <v>#VALUE!</v>
      </c>
      <c r="DO21" t="e">
        <f>'2.4.Функции'!JU68+"BYw!aF"</f>
        <v>#VALUE!</v>
      </c>
      <c r="DP21" t="e">
        <f>'2.4.Функции'!JV68+"BYw!aG"</f>
        <v>#VALUE!</v>
      </c>
      <c r="DQ21" t="e">
        <f>'2.4.Функции'!JW68+"BYw!aH"</f>
        <v>#VALUE!</v>
      </c>
      <c r="DR21" t="e">
        <f>'2.4.Функции'!JX68+"BYw!aI"</f>
        <v>#VALUE!</v>
      </c>
      <c r="DS21" t="e">
        <f>'2.4.Функции'!JY68+"BYw!aJ"</f>
        <v>#VALUE!</v>
      </c>
      <c r="DT21" t="e">
        <f>'2.4.Функции'!JZ68+"BYw!aK"</f>
        <v>#VALUE!</v>
      </c>
      <c r="DU21" t="e">
        <f>'2.4.Функции'!KA68+"BYw!aL"</f>
        <v>#VALUE!</v>
      </c>
      <c r="DV21" t="e">
        <f>'2.4.Функции'!KB68+"BYw!aM"</f>
        <v>#VALUE!</v>
      </c>
      <c r="DW21" t="e">
        <f>'2.4.Функции'!KC68+"BYw!aN"</f>
        <v>#VALUE!</v>
      </c>
      <c r="DX21" t="e">
        <f>'2.4.Функции'!KD68+"BYw!aO"</f>
        <v>#VALUE!</v>
      </c>
      <c r="DY21" t="e">
        <f>'2.4.Функции'!KE68+"BYw!aP"</f>
        <v>#VALUE!</v>
      </c>
      <c r="DZ21" t="e">
        <f>'2.4.Функции'!KF68+"BYw!aQ"</f>
        <v>#VALUE!</v>
      </c>
      <c r="EA21" t="e">
        <f>'2.4.Функции'!KG68+"BYw!aR"</f>
        <v>#VALUE!</v>
      </c>
      <c r="EB21" t="e">
        <f>'2.4.Функции'!KH68+"BYw!aS"</f>
        <v>#VALUE!</v>
      </c>
      <c r="EC21" t="e">
        <f>'2.4.Функции'!KI68+"BYw!aT"</f>
        <v>#VALUE!</v>
      </c>
      <c r="ED21" t="e">
        <f>'2.4.Функции'!KJ68+"BYw!aU"</f>
        <v>#VALUE!</v>
      </c>
      <c r="EE21" t="e">
        <f>'2.4.Функции'!KK68+"BYw!aV"</f>
        <v>#VALUE!</v>
      </c>
      <c r="EF21" t="e">
        <f>'2.4.Функции'!KL68+"BYw!aW"</f>
        <v>#VALUE!</v>
      </c>
      <c r="EG21" t="e">
        <f>'2.4.Функции'!KM68+"BYw!aX"</f>
        <v>#VALUE!</v>
      </c>
      <c r="EH21" t="e">
        <f>'2.4.Функции'!KN68+"BYw!aY"</f>
        <v>#VALUE!</v>
      </c>
      <c r="EI21" t="e">
        <f>'2.4.Функции'!KO68+"BYw!aZ"</f>
        <v>#VALUE!</v>
      </c>
      <c r="EJ21" t="e">
        <f>'2.4.Функции'!KP68+"BYw!a["</f>
        <v>#VALUE!</v>
      </c>
      <c r="EK21" t="e">
        <f>'2.4.Функции'!KQ68+"BYw!a\"</f>
        <v>#VALUE!</v>
      </c>
      <c r="EL21" t="e">
        <f>'2.4.Функции'!KR68+"BYw!a]"</f>
        <v>#VALUE!</v>
      </c>
      <c r="EM21" t="e">
        <f>'2.4.Функции'!KS68+"BYw!a^"</f>
        <v>#VALUE!</v>
      </c>
      <c r="EN21" t="e">
        <f>'2.4.Функции'!KT68+"BYw!a_"</f>
        <v>#VALUE!</v>
      </c>
      <c r="EO21" t="e">
        <f>'2.4.Функции'!KU68+"BYw!a`"</f>
        <v>#VALUE!</v>
      </c>
      <c r="EP21" t="e">
        <f>'2.4.Функции'!KV68+"BYw!aa"</f>
        <v>#VALUE!</v>
      </c>
      <c r="EQ21" t="e">
        <f>'2.4.Функции'!KW68+"BYw!ab"</f>
        <v>#VALUE!</v>
      </c>
      <c r="ER21" t="e">
        <f>'2.4.Функции'!KX68+"BYw!ac"</f>
        <v>#VALUE!</v>
      </c>
      <c r="ES21" t="e">
        <f>'2.4.Функции'!KY68+"BYw!ad"</f>
        <v>#VALUE!</v>
      </c>
      <c r="ET21" t="e">
        <f>'2.4.Функции'!KZ68+"BYw!ae"</f>
        <v>#VALUE!</v>
      </c>
      <c r="EU21" t="e">
        <f>'2.4.Функции'!LA68+"BYw!af"</f>
        <v>#VALUE!</v>
      </c>
      <c r="EV21" t="e">
        <f>'2.4.Функции'!LB68+"BYw!ag"</f>
        <v>#VALUE!</v>
      </c>
      <c r="EW21" t="e">
        <f>'2.4.Функции'!LC68+"BYw!ah"</f>
        <v>#VALUE!</v>
      </c>
      <c r="EX21" t="e">
        <f>'2.4.Функции'!LD68+"BYw!ai"</f>
        <v>#VALUE!</v>
      </c>
      <c r="EY21" t="e">
        <f>'2.4.Функции'!LE68+"BYw!aj"</f>
        <v>#VALUE!</v>
      </c>
      <c r="EZ21" t="e">
        <f>'2.4.Функции'!LF68+"BYw!ak"</f>
        <v>#VALUE!</v>
      </c>
      <c r="FA21" t="e">
        <f>'2.4.Функции'!LG68+"BYw!al"</f>
        <v>#VALUE!</v>
      </c>
      <c r="FB21" t="e">
        <f>'2.4.Функции'!LH68+"BYw!am"</f>
        <v>#VALUE!</v>
      </c>
      <c r="FC21" t="e">
        <f>'2.4.Функции'!LI68+"BYw!an"</f>
        <v>#VALUE!</v>
      </c>
      <c r="FD21" t="e">
        <f>'2.4.Функции'!LJ68+"BYw!ao"</f>
        <v>#VALUE!</v>
      </c>
      <c r="FE21" t="e">
        <f>'2.4.Функции'!LK68+"BYw!ap"</f>
        <v>#VALUE!</v>
      </c>
      <c r="FF21" t="e">
        <f>'2.4.Функции'!LL68+"BYw!aq"</f>
        <v>#VALUE!</v>
      </c>
      <c r="FG21" t="e">
        <f>'2.4.Функции'!LM68+"BYw!ar"</f>
        <v>#VALUE!</v>
      </c>
      <c r="FH21" t="e">
        <f>'2.4.Функции'!LN68+"BYw!as"</f>
        <v>#VALUE!</v>
      </c>
      <c r="FI21" t="e">
        <f>'2.4.Функции'!LO68+"BYw!at"</f>
        <v>#VALUE!</v>
      </c>
      <c r="FJ21" t="e">
        <f>'2.4.Функции'!LP68+"BYw!au"</f>
        <v>#VALUE!</v>
      </c>
      <c r="FK21" t="e">
        <f>'2.4.Функции'!LQ68+"BYw!av"</f>
        <v>#VALUE!</v>
      </c>
      <c r="FL21" t="e">
        <f>'2.4.Функции'!LR68+"BYw!aw"</f>
        <v>#VALUE!</v>
      </c>
      <c r="FM21" t="e">
        <f>'2.4.Функции'!LS68+"BYw!ax"</f>
        <v>#VALUE!</v>
      </c>
      <c r="FN21" t="e">
        <f>'2.4.Функции'!LT68+"BYw!ay"</f>
        <v>#VALUE!</v>
      </c>
      <c r="FO21" t="e">
        <f>'2.4.Функции'!LU68+"BYw!az"</f>
        <v>#VALUE!</v>
      </c>
      <c r="FP21" t="e">
        <f>'2.4.Функции'!LV68+"BYw!a{"</f>
        <v>#VALUE!</v>
      </c>
      <c r="FQ21" t="e">
        <f>'2.4.Функции'!LW68+"BYw!a|"</f>
        <v>#VALUE!</v>
      </c>
      <c r="FR21" t="e">
        <f>'2.4.Функции'!LX68+"BYw!a}"</f>
        <v>#VALUE!</v>
      </c>
      <c r="FS21" t="e">
        <f>'2.4.Функции'!LY68+"BYw!a~"</f>
        <v>#VALUE!</v>
      </c>
      <c r="FT21" t="e">
        <f>'2.4.Функции'!LZ68+"BYw!b#"</f>
        <v>#VALUE!</v>
      </c>
      <c r="FU21" t="e">
        <f>'2.4.Функции'!MA68+"BYw!b$"</f>
        <v>#VALUE!</v>
      </c>
      <c r="FV21" t="e">
        <f>'2.4.Функции'!MB68+"BYw!b%"</f>
        <v>#VALUE!</v>
      </c>
      <c r="FW21" t="e">
        <f>'2.4.Функции'!MC68+"BYw!b&amp;"</f>
        <v>#VALUE!</v>
      </c>
      <c r="FX21" t="e">
        <f>'2.4.Функции'!MD68+"BYw!b'"</f>
        <v>#VALUE!</v>
      </c>
      <c r="FY21" t="e">
        <f>'2.4.Функции'!ME68+"BYw!b("</f>
        <v>#VALUE!</v>
      </c>
      <c r="FZ21" t="e">
        <f>'2.4.Функции'!MF68+"BYw!b)"</f>
        <v>#VALUE!</v>
      </c>
      <c r="GA21" t="e">
        <f>'2.4.Функции'!MG68+"BYw!b."</f>
        <v>#VALUE!</v>
      </c>
      <c r="GB21" t="e">
        <f>'2.4.Функции'!MH68+"BYw!b/"</f>
        <v>#VALUE!</v>
      </c>
      <c r="GC21" t="e">
        <f>'2.4.Функции'!MI68+"BYw!b0"</f>
        <v>#VALUE!</v>
      </c>
      <c r="GD21" t="e">
        <f>'2.4.Функции'!MJ68+"BYw!b1"</f>
        <v>#VALUE!</v>
      </c>
      <c r="GE21" t="e">
        <f>'2.4.Функции'!MK68+"BYw!b2"</f>
        <v>#VALUE!</v>
      </c>
      <c r="GF21" t="e">
        <f>'2.4.Функции'!ML68+"BYw!b3"</f>
        <v>#VALUE!</v>
      </c>
      <c r="GG21" t="e">
        <f>'2.4.Функции'!MM68+"BYw!b4"</f>
        <v>#VALUE!</v>
      </c>
      <c r="GH21" t="e">
        <f>'2.4.Функции'!MN68+"BYw!b5"</f>
        <v>#VALUE!</v>
      </c>
      <c r="GI21" t="e">
        <f>'2.4.Функции'!MO68+"BYw!b6"</f>
        <v>#VALUE!</v>
      </c>
      <c r="GJ21" t="e">
        <f>'2.4.Функции'!MP68+"BYw!b7"</f>
        <v>#VALUE!</v>
      </c>
      <c r="GK21" t="e">
        <f>'2.4.Функции'!MQ68+"BYw!b8"</f>
        <v>#VALUE!</v>
      </c>
      <c r="GL21" t="e">
        <f>'2.4.Функции'!MR68+"BYw!b9"</f>
        <v>#VALUE!</v>
      </c>
      <c r="GM21" t="e">
        <f>'2.4.Функции'!MS68+"BYw!b:"</f>
        <v>#VALUE!</v>
      </c>
      <c r="GN21" t="e">
        <f>'2.4.Функции'!MT68+"BYw!b;"</f>
        <v>#VALUE!</v>
      </c>
      <c r="GO21" t="e">
        <f>'2.4.Функции'!MU68+"BYw!b&lt;"</f>
        <v>#VALUE!</v>
      </c>
      <c r="GP21" t="e">
        <f>'2.4.Функции'!MV68+"BYw!b="</f>
        <v>#VALUE!</v>
      </c>
      <c r="GQ21" t="e">
        <f>'2.4.Функции'!MW68+"BYw!b&gt;"</f>
        <v>#VALUE!</v>
      </c>
      <c r="GR21" t="e">
        <f>'2.4.Функции'!MX68+"BYw!b?"</f>
        <v>#VALUE!</v>
      </c>
      <c r="GS21" t="e">
        <f>'2.4.Функции'!MY68+"BYw!b@"</f>
        <v>#VALUE!</v>
      </c>
      <c r="GT21" t="e">
        <f>'2.4.Функции'!MZ68+"BYw!bA"</f>
        <v>#VALUE!</v>
      </c>
      <c r="GU21" t="e">
        <f>'2.4.Функции'!NA68+"BYw!bB"</f>
        <v>#VALUE!</v>
      </c>
      <c r="GV21" t="e">
        <f>'2.4.Функции'!NB68+"BYw!bC"</f>
        <v>#VALUE!</v>
      </c>
      <c r="GW21" t="e">
        <f>'2.4.Функции'!NC68+"BYw!bD"</f>
        <v>#VALUE!</v>
      </c>
      <c r="GX21" t="e">
        <f>'2.4.Функции'!ND68+"BYw!bE"</f>
        <v>#VALUE!</v>
      </c>
      <c r="GY21" t="e">
        <f>'2.4.Функции'!NE68+"BYw!bF"</f>
        <v>#VALUE!</v>
      </c>
      <c r="GZ21" t="e">
        <f>'2.4.Функции'!NF68+"BYw!bG"</f>
        <v>#VALUE!</v>
      </c>
      <c r="HA21" t="e">
        <f>'2.4.Функции'!NG68+"BYw!bH"</f>
        <v>#VALUE!</v>
      </c>
      <c r="HB21" t="e">
        <f>'2.4.Функции'!NH68+"BYw!bI"</f>
        <v>#VALUE!</v>
      </c>
      <c r="HC21" t="e">
        <f>'2.4.Функции'!NI68+"BYw!bJ"</f>
        <v>#VALUE!</v>
      </c>
      <c r="HD21" t="e">
        <f>'2.4.Функции'!NJ68+"BYw!bK"</f>
        <v>#VALUE!</v>
      </c>
      <c r="HE21" t="e">
        <f>'2.4.Функции'!NK68+"BYw!bL"</f>
        <v>#VALUE!</v>
      </c>
      <c r="HF21" t="e">
        <f>'2.4.Функции'!NL68+"BYw!bM"</f>
        <v>#VALUE!</v>
      </c>
      <c r="HG21" t="e">
        <f>'2.4.Функции'!NM68+"BYw!bN"</f>
        <v>#VALUE!</v>
      </c>
      <c r="HH21" t="e">
        <f>'2.4.Функции'!NN68+"BYw!bO"</f>
        <v>#VALUE!</v>
      </c>
      <c r="HI21" t="e">
        <f>'2.4.Функции'!NO68+"BYw!bP"</f>
        <v>#VALUE!</v>
      </c>
      <c r="HJ21" t="e">
        <f>'2.4.Функции'!NP68+"BYw!bQ"</f>
        <v>#VALUE!</v>
      </c>
      <c r="HK21" t="e">
        <f>'2.4.Функции'!NQ68+"BYw!bR"</f>
        <v>#VALUE!</v>
      </c>
      <c r="HL21" t="e">
        <f>'2.4.Функции'!NR68+"BYw!bS"</f>
        <v>#VALUE!</v>
      </c>
      <c r="HM21" t="e">
        <f>'2.4.Функции'!NS68+"BYw!bT"</f>
        <v>#VALUE!</v>
      </c>
      <c r="HN21" t="e">
        <f>'2.4.Функции'!NT68+"BYw!bU"</f>
        <v>#VALUE!</v>
      </c>
      <c r="HO21" t="e">
        <f>'2.4.Функции'!NU68+"BYw!bV"</f>
        <v>#VALUE!</v>
      </c>
      <c r="HP21" t="e">
        <f>'2.4.Функции'!NV68+"BYw!bW"</f>
        <v>#VALUE!</v>
      </c>
      <c r="HQ21" t="e">
        <f>'2.4.Функции'!NW68+"BYw!bX"</f>
        <v>#VALUE!</v>
      </c>
      <c r="HR21" t="e">
        <f>'2.4.Функции'!NX68+"BYw!bY"</f>
        <v>#VALUE!</v>
      </c>
      <c r="HS21" t="e">
        <f>'2.4.Функции'!NY68+"BYw!bZ"</f>
        <v>#VALUE!</v>
      </c>
      <c r="HT21" t="e">
        <f>'2.4.Функции'!NZ68+"BYw!b["</f>
        <v>#VALUE!</v>
      </c>
      <c r="HU21" t="e">
        <f>'2.4.Функции'!OA68+"BYw!b\"</f>
        <v>#VALUE!</v>
      </c>
      <c r="HV21" t="e">
        <f>'2.4.Функции'!OB68+"BYw!b]"</f>
        <v>#VALUE!</v>
      </c>
      <c r="HW21" t="e">
        <f>'2.4.Функции'!OC68+"BYw!b^"</f>
        <v>#VALUE!</v>
      </c>
      <c r="HX21" t="e">
        <f>'2.4.Функции'!OD68+"BYw!b_"</f>
        <v>#VALUE!</v>
      </c>
      <c r="HY21" t="e">
        <f>'2.4.Функции'!OE68+"BYw!b`"</f>
        <v>#VALUE!</v>
      </c>
      <c r="HZ21" t="e">
        <f>'2.4.Функции'!OF68+"BYw!ba"</f>
        <v>#VALUE!</v>
      </c>
      <c r="IA21" t="e">
        <f>'2.4.Функции'!OG68+"BYw!bb"</f>
        <v>#VALUE!</v>
      </c>
      <c r="IB21" t="e">
        <f>'2.4.Функции'!OH68+"BYw!bc"</f>
        <v>#VALUE!</v>
      </c>
      <c r="IC21" t="e">
        <f>'2.4.Функции'!OI68+"BYw!bd"</f>
        <v>#VALUE!</v>
      </c>
      <c r="ID21" t="e">
        <f>'2.4.Функции'!OJ68+"BYw!be"</f>
        <v>#VALUE!</v>
      </c>
      <c r="IE21" t="e">
        <f>'2.4.Функции'!OK68+"BYw!bf"</f>
        <v>#VALUE!</v>
      </c>
      <c r="IF21" t="e">
        <f>'2.4.Функции'!OL68+"BYw!bg"</f>
        <v>#VALUE!</v>
      </c>
      <c r="IG21" t="e">
        <f>'2.4.Функции'!OM68+"BYw!bh"</f>
        <v>#VALUE!</v>
      </c>
      <c r="IH21" t="e">
        <f>'2.4.Функции'!ON68+"BYw!bi"</f>
        <v>#VALUE!</v>
      </c>
      <c r="II21" t="e">
        <f>'2.4.Функции'!OO68+"BYw!bj"</f>
        <v>#VALUE!</v>
      </c>
      <c r="IJ21" t="e">
        <f>'2.4.Функции'!OP68+"BYw!bk"</f>
        <v>#VALUE!</v>
      </c>
      <c r="IK21" t="e">
        <f>'2.4.Функции'!OQ68+"BYw!bl"</f>
        <v>#VALUE!</v>
      </c>
      <c r="IL21" t="e">
        <f>'2.4.Функции'!OR68+"BYw!bm"</f>
        <v>#VALUE!</v>
      </c>
      <c r="IM21" t="e">
        <f>'2.4.Функции'!OS68+"BYw!bn"</f>
        <v>#VALUE!</v>
      </c>
      <c r="IN21" t="e">
        <f>'2.4.Функции'!OT68+"BYw!bo"</f>
        <v>#VALUE!</v>
      </c>
      <c r="IO21" t="e">
        <f>'2.4.Функции'!OU68+"BYw!bp"</f>
        <v>#VALUE!</v>
      </c>
      <c r="IP21" t="e">
        <f>'2.4.Функции'!OV68+"BYw!bq"</f>
        <v>#VALUE!</v>
      </c>
      <c r="IQ21" t="e">
        <f>'2.4.Функции'!OW68+"BYw!br"</f>
        <v>#VALUE!</v>
      </c>
      <c r="IR21" t="e">
        <f>'2.4.Функции'!OX68+"BYw!bs"</f>
        <v>#VALUE!</v>
      </c>
      <c r="IS21" t="e">
        <f>'2.4.Функции'!OY68+"BYw!bt"</f>
        <v>#VALUE!</v>
      </c>
      <c r="IT21" t="e">
        <f>'2.4.Функции'!OZ68+"BYw!bu"</f>
        <v>#VALUE!</v>
      </c>
      <c r="IU21" t="e">
        <f>'2.4.Функции'!PA68+"BYw!bv"</f>
        <v>#VALUE!</v>
      </c>
      <c r="IV21" t="e">
        <f>'2.4.Функции'!PB68+"BYw!bw"</f>
        <v>#VALUE!</v>
      </c>
    </row>
    <row r="22" spans="6:256" x14ac:dyDescent="0.2">
      <c r="F22" t="e">
        <f>'2.4.Функции'!PC68+"BYw!bx"</f>
        <v>#VALUE!</v>
      </c>
      <c r="G22" t="e">
        <f>'2.4.Функции'!PD68+"BYw!by"</f>
        <v>#VALUE!</v>
      </c>
      <c r="H22" t="e">
        <f>'2.4.Функции'!PE68+"BYw!bz"</f>
        <v>#VALUE!</v>
      </c>
      <c r="I22" t="e">
        <f>'2.4.Функции'!PF68+"BYw!b{"</f>
        <v>#VALUE!</v>
      </c>
      <c r="J22" t="e">
        <f>'2.4.Функции'!PG68+"BYw!b|"</f>
        <v>#VALUE!</v>
      </c>
      <c r="K22" t="e">
        <f>'2.4.Функции'!PH68+"BYw!b}"</f>
        <v>#VALUE!</v>
      </c>
      <c r="L22" t="e">
        <f>'2.4.Функции'!PI68+"BYw!b~"</f>
        <v>#VALUE!</v>
      </c>
      <c r="M22" t="e">
        <f>'2.4.Функции'!PJ68+"BYw!c#"</f>
        <v>#VALUE!</v>
      </c>
      <c r="N22" t="e">
        <f>'2.4.Функции'!PK68+"BYw!c$"</f>
        <v>#VALUE!</v>
      </c>
      <c r="O22" t="e">
        <f>'2.4.Функции'!PL68+"BYw!c%"</f>
        <v>#VALUE!</v>
      </c>
      <c r="P22" t="e">
        <f>'2.4.Функции'!PM68+"BYw!c&amp;"</f>
        <v>#VALUE!</v>
      </c>
      <c r="Q22" t="e">
        <f>'2.4.Функции'!PN68+"BYw!c'"</f>
        <v>#VALUE!</v>
      </c>
      <c r="R22" t="e">
        <f>'2.4.Функции'!PO68+"BYw!c("</f>
        <v>#VALUE!</v>
      </c>
      <c r="S22" t="e">
        <f>'2.4.Функции'!PP68+"BYw!c)"</f>
        <v>#VALUE!</v>
      </c>
      <c r="T22" t="e">
        <f>'2.4.Функции'!PQ68+"BYw!c."</f>
        <v>#VALUE!</v>
      </c>
      <c r="U22" t="e">
        <f>'2.4.Функции'!PR68+"BYw!c/"</f>
        <v>#VALUE!</v>
      </c>
      <c r="V22" t="e">
        <f>'2.4.Функции'!PS68+"BYw!c0"</f>
        <v>#VALUE!</v>
      </c>
      <c r="W22" t="e">
        <f>'2.4.Функции'!PT68+"BYw!c1"</f>
        <v>#VALUE!</v>
      </c>
      <c r="X22" t="e">
        <f>'2.4.Функции'!PU68+"BYw!c2"</f>
        <v>#VALUE!</v>
      </c>
      <c r="Y22" t="e">
        <f>'2.4.Функции'!PV68+"BYw!c3"</f>
        <v>#VALUE!</v>
      </c>
      <c r="Z22" t="e">
        <f>'2.4.Функции'!PW68+"BYw!c4"</f>
        <v>#VALUE!</v>
      </c>
      <c r="AA22" t="e">
        <f>'2.4.Функции'!PX68+"BYw!c5"</f>
        <v>#VALUE!</v>
      </c>
      <c r="AB22" t="e">
        <f>'2.4.Функции'!PY68+"BYw!c6"</f>
        <v>#VALUE!</v>
      </c>
      <c r="AC22" t="e">
        <f>'2.4.Функции'!PZ68+"BYw!c7"</f>
        <v>#VALUE!</v>
      </c>
      <c r="AD22" t="e">
        <f>'2.4.Функции'!QA68+"BYw!c8"</f>
        <v>#VALUE!</v>
      </c>
      <c r="AE22" t="e">
        <f>'2.4.Функции'!QB68+"BYw!c9"</f>
        <v>#VALUE!</v>
      </c>
      <c r="AF22" t="e">
        <f>'2.4.Функции'!QC68+"BYw!c:"</f>
        <v>#VALUE!</v>
      </c>
      <c r="AG22" t="e">
        <f>'2.4.Функции'!QD68+"BYw!c;"</f>
        <v>#VALUE!</v>
      </c>
      <c r="AH22" t="e">
        <f>'2.4.Функции'!QE68+"BYw!c&lt;"</f>
        <v>#VALUE!</v>
      </c>
      <c r="AI22" t="e">
        <f>'2.4.Функции'!QF68+"BYw!c="</f>
        <v>#VALUE!</v>
      </c>
      <c r="AJ22" t="e">
        <f>'2.4.Функции'!QG68+"BYw!c&gt;"</f>
        <v>#VALUE!</v>
      </c>
      <c r="AK22" t="e">
        <f>'2.4.Функции'!QH68+"BYw!c?"</f>
        <v>#VALUE!</v>
      </c>
      <c r="AL22" t="e">
        <f>'2.4.Функции'!QI68+"BYw!c@"</f>
        <v>#VALUE!</v>
      </c>
      <c r="AM22" t="e">
        <f>'2.4.Функции'!QJ68+"BYw!cA"</f>
        <v>#VALUE!</v>
      </c>
      <c r="AN22" t="e">
        <f>'2.4.Функции'!QK68+"BYw!cB"</f>
        <v>#VALUE!</v>
      </c>
      <c r="AO22" t="e">
        <f>'2.4.Функции'!QL68+"BYw!cC"</f>
        <v>#VALUE!</v>
      </c>
      <c r="AP22" t="e">
        <f>'2.4.Функции'!QM68+"BYw!cD"</f>
        <v>#VALUE!</v>
      </c>
      <c r="AQ22" t="e">
        <f>'2.4.Функции'!QN68+"BYw!cE"</f>
        <v>#VALUE!</v>
      </c>
      <c r="AR22" t="e">
        <f>'2.4.Функции'!QO68+"BYw!cF"</f>
        <v>#VALUE!</v>
      </c>
      <c r="AS22" t="e">
        <f>'2.4.Функции'!QP68+"BYw!cG"</f>
        <v>#VALUE!</v>
      </c>
      <c r="AT22" t="e">
        <f>'2.4.Функции'!QQ68+"BYw!cH"</f>
        <v>#VALUE!</v>
      </c>
      <c r="AU22" t="e">
        <f>'2.4.Функции'!QR68+"BYw!cI"</f>
        <v>#VALUE!</v>
      </c>
      <c r="AV22" t="e">
        <f>'2.4.Функции'!QS68+"BYw!cJ"</f>
        <v>#VALUE!</v>
      </c>
      <c r="AW22" t="e">
        <f>'2.4.Функции'!QT68+"BYw!cK"</f>
        <v>#VALUE!</v>
      </c>
      <c r="AX22" t="e">
        <f>'2.4.Функции'!QU68+"BYw!cL"</f>
        <v>#VALUE!</v>
      </c>
      <c r="AY22" t="e">
        <f>'2.4.Функции'!QV68+"BYw!cM"</f>
        <v>#VALUE!</v>
      </c>
      <c r="AZ22" t="e">
        <f>'2.4.Функции'!QW68+"BYw!cN"</f>
        <v>#VALUE!</v>
      </c>
      <c r="BA22" t="e">
        <f>'2.4.Функции'!QX68+"BYw!cO"</f>
        <v>#VALUE!</v>
      </c>
      <c r="BB22" t="e">
        <f>'2.4.Функции'!QY68+"BYw!cP"</f>
        <v>#VALUE!</v>
      </c>
      <c r="BC22" t="e">
        <f>'2.4.Функции'!QZ68+"BYw!cQ"</f>
        <v>#VALUE!</v>
      </c>
      <c r="BD22" t="e">
        <f>'2.4.Функции'!RA68+"BYw!cR"</f>
        <v>#VALUE!</v>
      </c>
      <c r="BE22" t="e">
        <f>'2.4.Функции'!RB68+"BYw!cS"</f>
        <v>#VALUE!</v>
      </c>
      <c r="BF22" t="e">
        <f>'2.4.Функции'!RC68+"BYw!cT"</f>
        <v>#VALUE!</v>
      </c>
      <c r="BG22" t="e">
        <f>'2.4.Функции'!RD68+"BYw!cU"</f>
        <v>#VALUE!</v>
      </c>
      <c r="BH22" t="e">
        <f>'2.4.Функции'!RE68+"BYw!cV"</f>
        <v>#VALUE!</v>
      </c>
      <c r="BI22" t="e">
        <f>'2.4.Функции'!RF68+"BYw!cW"</f>
        <v>#VALUE!</v>
      </c>
      <c r="BJ22" t="e">
        <f>'2.4.Функции'!RG68+"BYw!cX"</f>
        <v>#VALUE!</v>
      </c>
      <c r="BK22" t="e">
        <f>'2.4.Функции'!RH68+"BYw!cY"</f>
        <v>#VALUE!</v>
      </c>
      <c r="BL22" t="e">
        <f>'2.4.Функции'!RI68+"BYw!cZ"</f>
        <v>#VALUE!</v>
      </c>
      <c r="BM22" t="e">
        <f>'2.4.Функции'!RJ68+"BYw!c["</f>
        <v>#VALUE!</v>
      </c>
      <c r="BN22" t="e">
        <f>'2.4.Функции'!RK68+"BYw!c\"</f>
        <v>#VALUE!</v>
      </c>
      <c r="BO22" t="e">
        <f>'2.4.Функции'!RL68+"BYw!c]"</f>
        <v>#VALUE!</v>
      </c>
      <c r="BP22" t="e">
        <f>'2.4.Функции'!RM68+"BYw!c^"</f>
        <v>#VALUE!</v>
      </c>
      <c r="BQ22" t="e">
        <f>'2.4.Функции'!RN68+"BYw!c_"</f>
        <v>#VALUE!</v>
      </c>
      <c r="BR22" t="e">
        <f>'2.4.Функции'!RO68+"BYw!c`"</f>
        <v>#VALUE!</v>
      </c>
      <c r="BS22" t="e">
        <f>'2.4.Функции'!RP68+"BYw!ca"</f>
        <v>#VALUE!</v>
      </c>
      <c r="BT22" t="e">
        <f>'2.4.Функции'!RQ68+"BYw!cb"</f>
        <v>#VALUE!</v>
      </c>
      <c r="BU22" t="e">
        <f>'2.4.Функции'!RR68+"BYw!cc"</f>
        <v>#VALUE!</v>
      </c>
      <c r="BV22" t="e">
        <f>'2.4.Функции'!RS68+"BYw!cd"</f>
        <v>#VALUE!</v>
      </c>
      <c r="BW22" t="e">
        <f>'2.4.Функции'!RT68+"BYw!ce"</f>
        <v>#VALUE!</v>
      </c>
      <c r="BX22" t="e">
        <f>'2.4.Функции'!RU68+"BYw!cf"</f>
        <v>#VALUE!</v>
      </c>
      <c r="BY22" t="e">
        <f>'2.4.Функции'!RV68+"BYw!cg"</f>
        <v>#VALUE!</v>
      </c>
      <c r="BZ22" t="e">
        <f>'2.4.Функции'!RW68+"BYw!ch"</f>
        <v>#VALUE!</v>
      </c>
      <c r="CA22" t="e">
        <f>'2.4.Функции'!RX68+"BYw!ci"</f>
        <v>#VALUE!</v>
      </c>
      <c r="CB22" t="e">
        <f>'2.4.Функции'!RY68+"BYw!cj"</f>
        <v>#VALUE!</v>
      </c>
      <c r="CC22" t="e">
        <f>'2.4.Функции'!RZ68+"BYw!ck"</f>
        <v>#VALUE!</v>
      </c>
      <c r="CD22" t="e">
        <f>'2.4.Функции'!SA68+"BYw!cl"</f>
        <v>#VALUE!</v>
      </c>
      <c r="CE22" t="e">
        <f>'2.4.Функции'!SB68+"BYw!cm"</f>
        <v>#VALUE!</v>
      </c>
      <c r="CF22" t="e">
        <f>'2.4.Функции'!SC68+"BYw!cn"</f>
        <v>#VALUE!</v>
      </c>
      <c r="CG22" t="e">
        <f>'2.4.Функции'!SD68+"BYw!co"</f>
        <v>#VALUE!</v>
      </c>
      <c r="CH22" t="e">
        <f>'2.4.Функции'!SE68+"BYw!cp"</f>
        <v>#VALUE!</v>
      </c>
      <c r="CI22" t="e">
        <f>'2.4.Функции'!SF68+"BYw!cq"</f>
        <v>#VALUE!</v>
      </c>
      <c r="CJ22" t="e">
        <f>'2.4.Функции'!SG68+"BYw!cr"</f>
        <v>#VALUE!</v>
      </c>
      <c r="CK22" t="e">
        <f>'2.4.Функции'!SH68+"BYw!cs"</f>
        <v>#VALUE!</v>
      </c>
      <c r="CL22" t="e">
        <f>'2.4.Функции'!SI68+"BYw!ct"</f>
        <v>#VALUE!</v>
      </c>
      <c r="CM22" t="e">
        <f>'2.4.Функции'!SJ68+"BYw!cu"</f>
        <v>#VALUE!</v>
      </c>
      <c r="CN22" t="e">
        <f>'2.4.Функции'!SK68+"BYw!cv"</f>
        <v>#VALUE!</v>
      </c>
      <c r="CO22" t="e">
        <f>'2.4.Функции'!SL68+"BYw!cw"</f>
        <v>#VALUE!</v>
      </c>
      <c r="CP22" t="e">
        <f>'2.4.Функции'!SM68+"BYw!cx"</f>
        <v>#VALUE!</v>
      </c>
      <c r="CQ22" t="e">
        <f>'2.4.Функции'!SN68+"BYw!cy"</f>
        <v>#VALUE!</v>
      </c>
      <c r="CR22" t="e">
        <f>'2.4.Функции'!SO68+"BYw!cz"</f>
        <v>#VALUE!</v>
      </c>
      <c r="CS22" t="e">
        <f>'2.4.Функции'!SP68+"BYw!c{"</f>
        <v>#VALUE!</v>
      </c>
      <c r="CT22" t="e">
        <f>'2.4.Функции'!SQ68+"BYw!c|"</f>
        <v>#VALUE!</v>
      </c>
      <c r="CU22" t="e">
        <f>'2.4.Функции'!SR68+"BYw!c}"</f>
        <v>#VALUE!</v>
      </c>
      <c r="CV22" t="e">
        <f>'2.4.Функции'!SS68+"BYw!c~"</f>
        <v>#VALUE!</v>
      </c>
      <c r="CW22" t="e">
        <f>'2.4.Функции'!ST68+"BYw!d#"</f>
        <v>#VALUE!</v>
      </c>
      <c r="CX22" t="e">
        <f>'2.4.Функции'!SU68+"BYw!d$"</f>
        <v>#VALUE!</v>
      </c>
      <c r="CY22" t="e">
        <f>'2.4.Функции'!SV68+"BYw!d%"</f>
        <v>#VALUE!</v>
      </c>
      <c r="CZ22" t="e">
        <f>'2.4.Функции'!SW68+"BYw!d&amp;"</f>
        <v>#VALUE!</v>
      </c>
      <c r="DA22" t="e">
        <f>'2.4.Функции'!SX68+"BYw!d'"</f>
        <v>#VALUE!</v>
      </c>
      <c r="DB22" t="e">
        <f>'2.4.Функции'!SY68+"BYw!d("</f>
        <v>#VALUE!</v>
      </c>
      <c r="DC22" t="e">
        <f>'2.4.Функции'!SZ68+"BYw!d)"</f>
        <v>#VALUE!</v>
      </c>
      <c r="DD22" t="e">
        <f>'2.4.Функции'!TA68+"BYw!d."</f>
        <v>#VALUE!</v>
      </c>
      <c r="DE22" t="e">
        <f>'2.4.Функции'!TB68+"BYw!d/"</f>
        <v>#VALUE!</v>
      </c>
      <c r="DF22" t="e">
        <f>'2.4.Функции'!TC68+"BYw!d0"</f>
        <v>#VALUE!</v>
      </c>
      <c r="DG22" t="e">
        <f>'2.4.Функции'!TD68+"BYw!d1"</f>
        <v>#VALUE!</v>
      </c>
      <c r="DH22" t="e">
        <f>'2.4.Функции'!TE68+"BYw!d2"</f>
        <v>#VALUE!</v>
      </c>
      <c r="DI22" t="e">
        <f>'2.4.Функции'!TF68+"BYw!d3"</f>
        <v>#VALUE!</v>
      </c>
      <c r="DJ22" t="e">
        <f>'2.4.Функции'!TG68+"BYw!d4"</f>
        <v>#VALUE!</v>
      </c>
      <c r="DK22" t="e">
        <f>'2.4.Функции'!TH68+"BYw!d5"</f>
        <v>#VALUE!</v>
      </c>
      <c r="DL22" t="e">
        <f>'2.4.Функции'!TI68+"BYw!d6"</f>
        <v>#VALUE!</v>
      </c>
      <c r="DM22" t="e">
        <f>'2.4.Функции'!TJ68+"BYw!d7"</f>
        <v>#VALUE!</v>
      </c>
      <c r="DN22" t="e">
        <f>'2.4.Функции'!TK68+"BYw!d8"</f>
        <v>#VALUE!</v>
      </c>
      <c r="DO22" t="e">
        <f>'2.4.Функции'!TL68+"BYw!d9"</f>
        <v>#VALUE!</v>
      </c>
      <c r="DP22" t="e">
        <f>'2.4.Функции'!TM68+"BYw!d:"</f>
        <v>#VALUE!</v>
      </c>
      <c r="DQ22" t="e">
        <f>'2.4.Функции'!TN68+"BYw!d;"</f>
        <v>#VALUE!</v>
      </c>
      <c r="DR22" t="e">
        <f>'2.4.Функции'!TO68+"BYw!d&lt;"</f>
        <v>#VALUE!</v>
      </c>
      <c r="DS22" t="e">
        <f>'2.4.Функции'!TP68+"BYw!d="</f>
        <v>#VALUE!</v>
      </c>
      <c r="DT22" t="e">
        <f>'2.4.Функции'!TQ68+"BYw!d&gt;"</f>
        <v>#VALUE!</v>
      </c>
      <c r="DU22" t="e">
        <f>'2.4.Функции'!TR68+"BYw!d?"</f>
        <v>#VALUE!</v>
      </c>
      <c r="DV22" t="e">
        <f>'2.4.Функции'!TS68+"BYw!d@"</f>
        <v>#VALUE!</v>
      </c>
      <c r="DW22" t="e">
        <f>'2.4.Функции'!TT68+"BYw!dA"</f>
        <v>#VALUE!</v>
      </c>
      <c r="DX22" t="e">
        <f>'2.4.Функции'!TU68+"BYw!dB"</f>
        <v>#VALUE!</v>
      </c>
      <c r="DY22" t="e">
        <f>'2.4.Функции'!TV68+"BYw!dC"</f>
        <v>#VALUE!</v>
      </c>
      <c r="DZ22" t="e">
        <f>'2.4.Функции'!TW68+"BYw!dD"</f>
        <v>#VALUE!</v>
      </c>
      <c r="EA22" t="e">
        <f>'2.4.Функции'!TX68+"BYw!dE"</f>
        <v>#VALUE!</v>
      </c>
      <c r="EB22" t="e">
        <f>'2.4.Функции'!TY68+"BYw!dF"</f>
        <v>#VALUE!</v>
      </c>
      <c r="EC22" t="e">
        <f>'2.4.Функции'!TZ68+"BYw!dG"</f>
        <v>#VALUE!</v>
      </c>
      <c r="ED22" t="e">
        <f>'2.4.Функции'!UA68+"BYw!dH"</f>
        <v>#VALUE!</v>
      </c>
      <c r="EE22" t="e">
        <f>'2.4.Функции'!UB68+"BYw!dI"</f>
        <v>#VALUE!</v>
      </c>
      <c r="EF22" t="e">
        <f>'2.4.Функции'!UC68+"BYw!dJ"</f>
        <v>#VALUE!</v>
      </c>
      <c r="EG22" t="e">
        <f>'2.4.Функции'!UD68+"BYw!dK"</f>
        <v>#VALUE!</v>
      </c>
      <c r="EH22" t="e">
        <f>'2.4.Функции'!UE68+"BYw!dL"</f>
        <v>#VALUE!</v>
      </c>
      <c r="EI22" t="e">
        <f>'2.4.Функции'!UF68+"BYw!dM"</f>
        <v>#VALUE!</v>
      </c>
      <c r="EJ22" t="e">
        <f>'2.4.Функции'!UG68+"BYw!dN"</f>
        <v>#VALUE!</v>
      </c>
      <c r="EK22" t="e">
        <f>'2.4.Функции'!UH68+"BYw!dO"</f>
        <v>#VALUE!</v>
      </c>
      <c r="EL22" t="e">
        <f>'2.4.Функции'!UI68+"BYw!dP"</f>
        <v>#VALUE!</v>
      </c>
      <c r="EM22" t="e">
        <f>'2.4.Функции'!UJ68+"BYw!dQ"</f>
        <v>#VALUE!</v>
      </c>
      <c r="EN22" t="e">
        <f>'2.4.Функции'!UK68+"BYw!dR"</f>
        <v>#VALUE!</v>
      </c>
      <c r="EO22" t="e">
        <f>'2.4.Функции'!UL68+"BYw!dS"</f>
        <v>#VALUE!</v>
      </c>
      <c r="EP22" t="e">
        <f>'2.4.Функции'!UM68+"BYw!dT"</f>
        <v>#VALUE!</v>
      </c>
      <c r="EQ22" t="e">
        <f>'2.4.Функции'!UN68+"BYw!dU"</f>
        <v>#VALUE!</v>
      </c>
      <c r="ER22" t="e">
        <f>'2.4.Функции'!UO68+"BYw!dV"</f>
        <v>#VALUE!</v>
      </c>
      <c r="ES22" t="e">
        <f>'2.4.Функции'!UP68+"BYw!dW"</f>
        <v>#VALUE!</v>
      </c>
      <c r="ET22" t="e">
        <f>'2.4.Функции'!UQ68+"BYw!dX"</f>
        <v>#VALUE!</v>
      </c>
      <c r="EU22" t="e">
        <f>'2.4.Функции'!UR68+"BYw!dY"</f>
        <v>#VALUE!</v>
      </c>
      <c r="EV22" t="e">
        <f>'2.4.Функции'!US68+"BYw!dZ"</f>
        <v>#VALUE!</v>
      </c>
      <c r="EW22" t="e">
        <f>'2.4.Функции'!UT68+"BYw!d["</f>
        <v>#VALUE!</v>
      </c>
      <c r="EX22" t="e">
        <f>'2.4.Функции'!UU68+"BYw!d\"</f>
        <v>#VALUE!</v>
      </c>
      <c r="EY22" t="e">
        <f>'2.4.Функции'!UV68+"BYw!d]"</f>
        <v>#VALUE!</v>
      </c>
      <c r="EZ22" t="e">
        <f>'2.4.Функции'!UW68+"BYw!d^"</f>
        <v>#VALUE!</v>
      </c>
      <c r="FA22" t="e">
        <f>'2.4.Функции'!UX68+"BYw!d_"</f>
        <v>#VALUE!</v>
      </c>
      <c r="FB22" t="e">
        <f>'2.4.Функции'!UY68+"BYw!d`"</f>
        <v>#VALUE!</v>
      </c>
      <c r="FC22" t="e">
        <f>'2.4.Функции'!UZ68+"BYw!da"</f>
        <v>#VALUE!</v>
      </c>
      <c r="FD22" t="e">
        <f>'2.4.Функции'!VA68+"BYw!db"</f>
        <v>#VALUE!</v>
      </c>
      <c r="FE22" t="e">
        <f>'2.4.Функции'!VB68+"BYw!dc"</f>
        <v>#VALUE!</v>
      </c>
      <c r="FF22" t="e">
        <f>'2.4.Функции'!VC68+"BYw!dd"</f>
        <v>#VALUE!</v>
      </c>
      <c r="FG22" t="e">
        <f>'2.4.Функции'!VD68+"BYw!de"</f>
        <v>#VALUE!</v>
      </c>
      <c r="FH22" t="e">
        <f>'2.4.Функции'!VE68+"BYw!df"</f>
        <v>#VALUE!</v>
      </c>
      <c r="FI22" t="e">
        <f>'2.4.Функции'!VF68+"BYw!dg"</f>
        <v>#VALUE!</v>
      </c>
      <c r="FJ22" t="e">
        <f>'2.4.Функции'!VG68+"BYw!dh"</f>
        <v>#VALUE!</v>
      </c>
      <c r="FK22" t="e">
        <f>'2.4.Функции'!VH68+"BYw!di"</f>
        <v>#VALUE!</v>
      </c>
      <c r="FL22" t="e">
        <f>'2.4.Функции'!VI68+"BYw!dj"</f>
        <v>#VALUE!</v>
      </c>
      <c r="FM22" t="e">
        <f>'2.4.Функции'!VJ68+"BYw!dk"</f>
        <v>#VALUE!</v>
      </c>
      <c r="FN22" t="e">
        <f>'2.4.Функции'!VK68+"BYw!dl"</f>
        <v>#VALUE!</v>
      </c>
      <c r="FO22" t="e">
        <f>'2.4.Функции'!VL68+"BYw!dm"</f>
        <v>#VALUE!</v>
      </c>
      <c r="FP22" t="e">
        <f>'2.4.Функции'!VM68+"BYw!dn"</f>
        <v>#VALUE!</v>
      </c>
      <c r="FQ22" t="e">
        <f>'2.4.Функции'!VN68+"BYw!do"</f>
        <v>#VALUE!</v>
      </c>
      <c r="FR22" t="e">
        <f>'2.4.Функции'!VO68+"BYw!dp"</f>
        <v>#VALUE!</v>
      </c>
      <c r="FS22" t="e">
        <f>'2.4.Функции'!VP68+"BYw!dq"</f>
        <v>#VALUE!</v>
      </c>
      <c r="FT22" t="e">
        <f>'2.4.Функции'!VQ68+"BYw!dr"</f>
        <v>#VALUE!</v>
      </c>
      <c r="FU22" t="e">
        <f>'2.4.Функции'!VR68+"BYw!ds"</f>
        <v>#VALUE!</v>
      </c>
      <c r="FV22" t="e">
        <f>'2.4.Функции'!VS68+"BYw!dt"</f>
        <v>#VALUE!</v>
      </c>
      <c r="FW22" t="e">
        <f>'2.4.Функции'!VT68+"BYw!du"</f>
        <v>#VALUE!</v>
      </c>
      <c r="FX22" t="e">
        <f>'2.4.Функции'!VU68+"BYw!dv"</f>
        <v>#VALUE!</v>
      </c>
      <c r="FY22" t="e">
        <f>'2.4.Функции'!VV68+"BYw!dw"</f>
        <v>#VALUE!</v>
      </c>
      <c r="FZ22" t="e">
        <f>'2.4.Функции'!VW68+"BYw!dx"</f>
        <v>#VALUE!</v>
      </c>
      <c r="GA22" t="e">
        <f>'2.4.Функции'!VX68+"BYw!dy"</f>
        <v>#VALUE!</v>
      </c>
      <c r="GB22" t="e">
        <f>'2.4.Функции'!VY68+"BYw!dz"</f>
        <v>#VALUE!</v>
      </c>
      <c r="GC22" t="e">
        <f>'2.4.Функции'!VZ68+"BYw!d{"</f>
        <v>#VALUE!</v>
      </c>
      <c r="GD22" t="e">
        <f>'2.4.Функции'!WA68+"BYw!d|"</f>
        <v>#VALUE!</v>
      </c>
      <c r="GE22" t="e">
        <f>'2.4.Функции'!WB68+"BYw!d}"</f>
        <v>#VALUE!</v>
      </c>
      <c r="GF22" t="e">
        <f>'2.4.Функции'!WC68+"BYw!d~"</f>
        <v>#VALUE!</v>
      </c>
      <c r="GG22" t="e">
        <f>'2.4.Функции'!WD68+"BYw!e#"</f>
        <v>#VALUE!</v>
      </c>
      <c r="GH22" t="e">
        <f>'2.4.Функции'!WE68+"BYw!e$"</f>
        <v>#VALUE!</v>
      </c>
      <c r="GI22" t="e">
        <f>'2.4.Функции'!WF68+"BYw!e%"</f>
        <v>#VALUE!</v>
      </c>
      <c r="GJ22" t="e">
        <f>'2.4.Функции'!WG68+"BYw!e&amp;"</f>
        <v>#VALUE!</v>
      </c>
      <c r="GK22" t="e">
        <f>'2.4.Функции'!WH68+"BYw!e'"</f>
        <v>#VALUE!</v>
      </c>
      <c r="GL22" t="e">
        <f>'2.4.Функции'!WI68+"BYw!e("</f>
        <v>#VALUE!</v>
      </c>
      <c r="GM22" t="e">
        <f>'2.4.Функции'!WJ68+"BYw!e)"</f>
        <v>#VALUE!</v>
      </c>
      <c r="GN22" t="e">
        <f>'2.4.Функции'!WK68+"BYw!e."</f>
        <v>#VALUE!</v>
      </c>
      <c r="GO22" t="e">
        <f>'2.4.Функции'!WL68+"BYw!e/"</f>
        <v>#VALUE!</v>
      </c>
      <c r="GP22" t="e">
        <f>'2.4.Функции'!WM68+"BYw!e0"</f>
        <v>#VALUE!</v>
      </c>
      <c r="GQ22" t="e">
        <f>'2.4.Функции'!WN68+"BYw!e1"</f>
        <v>#VALUE!</v>
      </c>
      <c r="GR22" t="e">
        <f>'2.4.Функции'!WO68+"BYw!e2"</f>
        <v>#VALUE!</v>
      </c>
      <c r="GS22" t="e">
        <f>'2.4.Функции'!WP68+"BYw!e3"</f>
        <v>#VALUE!</v>
      </c>
      <c r="GT22" t="e">
        <f>'2.4.Функции'!WQ68+"BYw!e4"</f>
        <v>#VALUE!</v>
      </c>
      <c r="GU22" t="e">
        <f>'2.4.Функции'!WR68+"BYw!e5"</f>
        <v>#VALUE!</v>
      </c>
      <c r="GV22" t="e">
        <f>'2.4.Функции'!WS68+"BYw!e6"</f>
        <v>#VALUE!</v>
      </c>
      <c r="GW22" t="e">
        <f>'2.4.Функции'!WT68+"BYw!e7"</f>
        <v>#VALUE!</v>
      </c>
      <c r="GX22" t="e">
        <f>'2.4.Функции'!WU68+"BYw!e8"</f>
        <v>#VALUE!</v>
      </c>
      <c r="GY22" t="e">
        <f>'2.4.Функции'!WV68+"BYw!e9"</f>
        <v>#VALUE!</v>
      </c>
      <c r="GZ22" t="e">
        <f>'2.4.Функции'!WW68+"BYw!e:"</f>
        <v>#VALUE!</v>
      </c>
      <c r="HA22" t="e">
        <f>'2.4.Функции'!WX68+"BYw!e;"</f>
        <v>#VALUE!</v>
      </c>
      <c r="HB22" t="e">
        <f>'2.4.Функции'!WY68+"BYw!e&lt;"</f>
        <v>#VALUE!</v>
      </c>
      <c r="HC22" t="e">
        <f>'2.4.Функции'!WZ68+"BYw!e="</f>
        <v>#VALUE!</v>
      </c>
      <c r="HD22" t="e">
        <f>'2.4.Функции'!XA68+"BYw!e&gt;"</f>
        <v>#VALUE!</v>
      </c>
      <c r="HE22" t="e">
        <f>'2.4.Функции'!XB68+"BYw!e?"</f>
        <v>#VALUE!</v>
      </c>
      <c r="HF22" t="e">
        <f>'2.4.Функции'!XC68+"BYw!e@"</f>
        <v>#VALUE!</v>
      </c>
      <c r="HG22" t="e">
        <f>'2.4.Функции'!XD68+"BYw!eA"</f>
        <v>#VALUE!</v>
      </c>
      <c r="HH22" t="e">
        <f>'2.4.Функции'!XE68+"BYw!eB"</f>
        <v>#VALUE!</v>
      </c>
      <c r="HI22" t="e">
        <f>'2.4.Функции'!XF68+"BYw!eC"</f>
        <v>#VALUE!</v>
      </c>
      <c r="HJ22" t="e">
        <f>'2.4.Функции'!XG68+"BYw!eD"</f>
        <v>#VALUE!</v>
      </c>
      <c r="HK22" t="e">
        <f>'2.4.Функции'!XH68+"BYw!eE"</f>
        <v>#VALUE!</v>
      </c>
      <c r="HL22" t="e">
        <f>'2.4.Функции'!XI68+"BYw!eF"</f>
        <v>#VALUE!</v>
      </c>
      <c r="HM22" t="e">
        <f>'2.4.Функции'!XJ68+"BYw!eG"</f>
        <v>#VALUE!</v>
      </c>
      <c r="HN22" t="e">
        <f>'2.4.Функции'!XK68+"BYw!eH"</f>
        <v>#VALUE!</v>
      </c>
      <c r="HO22" t="e">
        <f>'2.4.Функции'!XL68+"BYw!eI"</f>
        <v>#VALUE!</v>
      </c>
      <c r="HP22" t="e">
        <f>'2.4.Функции'!XM68+"BYw!eJ"</f>
        <v>#VALUE!</v>
      </c>
      <c r="HQ22" t="e">
        <f>'2.4.Функции'!XN68+"BYw!eK"</f>
        <v>#VALUE!</v>
      </c>
      <c r="HR22" t="e">
        <f>'2.4.Функции'!XO68+"BYw!eL"</f>
        <v>#VALUE!</v>
      </c>
      <c r="HS22" t="e">
        <f>'2.4.Функции'!XP68+"BYw!eM"</f>
        <v>#VALUE!</v>
      </c>
      <c r="HT22" t="e">
        <f>'2.4.Функции'!XQ68+"BYw!eN"</f>
        <v>#VALUE!</v>
      </c>
      <c r="HU22" t="e">
        <f>'2.4.Функции'!XR68+"BYw!eO"</f>
        <v>#VALUE!</v>
      </c>
      <c r="HV22" t="e">
        <f>'2.4.Функции'!XS68+"BYw!eP"</f>
        <v>#VALUE!</v>
      </c>
      <c r="HW22" t="e">
        <f>'2.4.Функции'!XT68+"BYw!eQ"</f>
        <v>#VALUE!</v>
      </c>
      <c r="HX22" t="e">
        <f>'2.4.Функции'!XU68+"BYw!eR"</f>
        <v>#VALUE!</v>
      </c>
      <c r="HY22" t="e">
        <f>'2.4.Функции'!XV68+"BYw!eS"</f>
        <v>#VALUE!</v>
      </c>
      <c r="HZ22" t="e">
        <f>'2.4.Функции'!XW68+"BYw!eT"</f>
        <v>#VALUE!</v>
      </c>
      <c r="IA22" t="e">
        <f>'2.4.Функции'!XX68+"BYw!eU"</f>
        <v>#VALUE!</v>
      </c>
      <c r="IB22" t="e">
        <f>'2.4.Функции'!XY68+"BYw!eV"</f>
        <v>#VALUE!</v>
      </c>
      <c r="IC22" t="e">
        <f>'2.4.Функции'!XZ68+"BYw!eW"</f>
        <v>#VALUE!</v>
      </c>
      <c r="ID22" t="e">
        <f>'2.4.Функции'!YA68+"BYw!eX"</f>
        <v>#VALUE!</v>
      </c>
      <c r="IE22" t="e">
        <f>'2.4.Функции'!YB68+"BYw!eY"</f>
        <v>#VALUE!</v>
      </c>
      <c r="IF22" t="e">
        <f>'2.4.Функции'!YC68+"BYw!eZ"</f>
        <v>#VALUE!</v>
      </c>
      <c r="IG22" t="e">
        <f>'2.4.Функции'!YD68+"BYw!e["</f>
        <v>#VALUE!</v>
      </c>
      <c r="IH22" t="e">
        <f>'2.4.Функции'!YE68+"BYw!e\"</f>
        <v>#VALUE!</v>
      </c>
      <c r="II22" t="e">
        <f>'2.4.Функции'!YF68+"BYw!e]"</f>
        <v>#VALUE!</v>
      </c>
      <c r="IJ22" t="e">
        <f>'2.4.Функции'!YG68+"BYw!e^"</f>
        <v>#VALUE!</v>
      </c>
      <c r="IK22" t="e">
        <f>'2.4.Функции'!YH68+"BYw!e_"</f>
        <v>#VALUE!</v>
      </c>
      <c r="IL22" t="e">
        <f>'2.4.Функции'!YI68+"BYw!e`"</f>
        <v>#VALUE!</v>
      </c>
      <c r="IM22" t="e">
        <f>'2.4.Функции'!YJ68+"BYw!ea"</f>
        <v>#VALUE!</v>
      </c>
      <c r="IN22" t="e">
        <f>'2.4.Функции'!YK68+"BYw!eb"</f>
        <v>#VALUE!</v>
      </c>
      <c r="IO22" t="e">
        <f>'2.4.Функции'!YL68+"BYw!ec"</f>
        <v>#VALUE!</v>
      </c>
      <c r="IP22" t="e">
        <f>'2.4.Функции'!YM68+"BYw!ed"</f>
        <v>#VALUE!</v>
      </c>
      <c r="IQ22" t="e">
        <f>'2.4.Функции'!YN68+"BYw!ee"</f>
        <v>#VALUE!</v>
      </c>
      <c r="IR22" t="e">
        <f>'2.4.Функции'!YO68+"BYw!ef"</f>
        <v>#VALUE!</v>
      </c>
      <c r="IS22" t="e">
        <f>'2.4.Функции'!YP68+"BYw!eg"</f>
        <v>#VALUE!</v>
      </c>
      <c r="IT22" t="e">
        <f>'2.4.Функции'!YQ68+"BYw!eh"</f>
        <v>#VALUE!</v>
      </c>
      <c r="IU22" t="e">
        <f>'2.4.Функции'!YR68+"BYw!ei"</f>
        <v>#VALUE!</v>
      </c>
      <c r="IV22" t="e">
        <f>'2.4.Функции'!YS68+"BYw!ej"</f>
        <v>#VALUE!</v>
      </c>
    </row>
    <row r="23" spans="6:256" x14ac:dyDescent="0.2">
      <c r="F23" t="e">
        <f>'2.4.Функции'!YT68+"BYw!ek"</f>
        <v>#VALUE!</v>
      </c>
      <c r="G23" t="e">
        <f>'2.4.Функции'!YU68+"BYw!el"</f>
        <v>#VALUE!</v>
      </c>
      <c r="H23" t="e">
        <f>'2.4.Функции'!YV68+"BYw!em"</f>
        <v>#VALUE!</v>
      </c>
      <c r="I23" t="e">
        <f>'2.4.Функции'!YW68+"BYw!en"</f>
        <v>#VALUE!</v>
      </c>
      <c r="J23" t="e">
        <f>'2.4.Функции'!YX68+"BYw!eo"</f>
        <v>#VALUE!</v>
      </c>
      <c r="K23" t="e">
        <f>'2.4.Функции'!YY68+"BYw!ep"</f>
        <v>#VALUE!</v>
      </c>
      <c r="L23" t="e">
        <f>'2.4.Функции'!YZ68+"BYw!eq"</f>
        <v>#VALUE!</v>
      </c>
      <c r="M23" t="e">
        <f>'2.4.Функции'!ZA68+"BYw!er"</f>
        <v>#VALUE!</v>
      </c>
      <c r="N23" t="e">
        <f>'2.4.Функции'!ZB68+"BYw!es"</f>
        <v>#VALUE!</v>
      </c>
      <c r="O23" t="e">
        <f>'2.4.Функции'!ZC68+"BYw!et"</f>
        <v>#VALUE!</v>
      </c>
      <c r="P23" t="e">
        <f>'2.4.Функции'!ZD68+"BYw!eu"</f>
        <v>#VALUE!</v>
      </c>
      <c r="Q23" t="e">
        <f>'2.4.Функции'!ZE68+"BYw!ev"</f>
        <v>#VALUE!</v>
      </c>
      <c r="R23" t="e">
        <f>'2.4.Функции'!ZF68+"BYw!ew"</f>
        <v>#VALUE!</v>
      </c>
      <c r="S23" t="e">
        <f>'2.4.Функции'!ZG68+"BYw!ex"</f>
        <v>#VALUE!</v>
      </c>
      <c r="T23" t="e">
        <f>'2.4.Функции'!ZH68+"BYw!ey"</f>
        <v>#VALUE!</v>
      </c>
      <c r="U23" t="e">
        <f>'2.4.Функции'!ZI68+"BYw!ez"</f>
        <v>#VALUE!</v>
      </c>
      <c r="V23" t="e">
        <f>'2.4.Функции'!ZJ68+"BYw!e{"</f>
        <v>#VALUE!</v>
      </c>
      <c r="W23" t="e">
        <f>'2.4.Функции'!ZK68+"BYw!e|"</f>
        <v>#VALUE!</v>
      </c>
      <c r="X23" t="e">
        <f>'2.4.Функции'!ZL68+"BYw!e}"</f>
        <v>#VALUE!</v>
      </c>
      <c r="Y23" t="e">
        <f>'2.4.Функции'!ZM68+"BYw!e~"</f>
        <v>#VALUE!</v>
      </c>
      <c r="Z23" t="e">
        <f>'2.4.Функции'!ZN68+"BYw!f#"</f>
        <v>#VALUE!</v>
      </c>
      <c r="AA23" t="e">
        <f>'2.4.Функции'!ZO68+"BYw!f$"</f>
        <v>#VALUE!</v>
      </c>
      <c r="AB23" t="e">
        <f>'2.4.Функции'!ZP68+"BYw!f%"</f>
        <v>#VALUE!</v>
      </c>
      <c r="AC23" t="e">
        <f>'2.4.Функции'!ZQ68+"BYw!f&amp;"</f>
        <v>#VALUE!</v>
      </c>
      <c r="AD23" t="e">
        <f>'2.4.Функции'!ZR68+"BYw!f'"</f>
        <v>#VALUE!</v>
      </c>
      <c r="AE23" t="e">
        <f>'2.4.Функции'!ZS68+"BYw!f("</f>
        <v>#VALUE!</v>
      </c>
      <c r="AF23" t="e">
        <f>'2.4.Функции'!ZT68+"BYw!f)"</f>
        <v>#VALUE!</v>
      </c>
      <c r="AG23" t="e">
        <f>'2.4.Функции'!ZU68+"BYw!f."</f>
        <v>#VALUE!</v>
      </c>
      <c r="AH23" t="e">
        <f>'2.4.Функции'!ZV68+"BYw!f/"</f>
        <v>#VALUE!</v>
      </c>
      <c r="AI23" t="e">
        <f>'2.4.Функции'!ZW68+"BYw!f0"</f>
        <v>#VALUE!</v>
      </c>
      <c r="AJ23" t="e">
        <f>'2.4.Функции'!ZX68+"BYw!f1"</f>
        <v>#VALUE!</v>
      </c>
      <c r="AK23" t="e">
        <f>'2.4.Функции'!ZY68+"BYw!f2"</f>
        <v>#VALUE!</v>
      </c>
      <c r="AL23" t="e">
        <f>'2.4.Функции'!ZZ68+"BYw!f3"</f>
        <v>#VALUE!</v>
      </c>
      <c r="AM23" t="e">
        <f>'2.4.Функции'!AAA68+"BYw!f4"</f>
        <v>#VALUE!</v>
      </c>
      <c r="AN23" t="e">
        <f>'2.4.Функции'!AAB68+"BYw!f5"</f>
        <v>#VALUE!</v>
      </c>
      <c r="AO23" t="e">
        <f>'2.4.Функции'!AAC68+"BYw!f6"</f>
        <v>#VALUE!</v>
      </c>
      <c r="AP23" t="e">
        <f>'2.4.Функции'!AAD68+"BYw!f7"</f>
        <v>#VALUE!</v>
      </c>
      <c r="AQ23" t="e">
        <f>'2.4.Функции'!AAE68+"BYw!f8"</f>
        <v>#VALUE!</v>
      </c>
      <c r="AR23" t="e">
        <f>'2.4.Функции'!AAF68+"BYw!f9"</f>
        <v>#VALUE!</v>
      </c>
      <c r="AS23" t="e">
        <f>'2.4.Функции'!AAG68+"BYw!f:"</f>
        <v>#VALUE!</v>
      </c>
      <c r="AT23" t="e">
        <f>'2.4.Функции'!AAH68+"BYw!f;"</f>
        <v>#VALUE!</v>
      </c>
      <c r="AU23" t="e">
        <f>'2.4.Функции'!AAI68+"BYw!f&lt;"</f>
        <v>#VALUE!</v>
      </c>
      <c r="AV23" t="e">
        <f>'2.4.Функции'!AAJ68+"BYw!f="</f>
        <v>#VALUE!</v>
      </c>
      <c r="AW23" t="e">
        <f>'2.4.Функции'!AAK68+"BYw!f&gt;"</f>
        <v>#VALUE!</v>
      </c>
      <c r="AX23" t="e">
        <f>'2.4.Функции'!AAL68+"BYw!f?"</f>
        <v>#VALUE!</v>
      </c>
      <c r="AY23" t="e">
        <f>'2.4.Функции'!AAM68+"BYw!f@"</f>
        <v>#VALUE!</v>
      </c>
      <c r="AZ23" t="e">
        <f>'2.4.Функции'!AAN68+"BYw!fA"</f>
        <v>#VALUE!</v>
      </c>
      <c r="BA23" t="e">
        <f>'2.4.Функции'!AAO68+"BYw!fB"</f>
        <v>#VALUE!</v>
      </c>
      <c r="BB23" t="e">
        <f>'2.4.Функции'!AAP68+"BYw!fC"</f>
        <v>#VALUE!</v>
      </c>
      <c r="BC23" t="e">
        <f>'2.4.Функции'!AAQ68+"BYw!fD"</f>
        <v>#VALUE!</v>
      </c>
      <c r="BD23" t="e">
        <f>'2.4.Функции'!AAR68+"BYw!fE"</f>
        <v>#VALUE!</v>
      </c>
      <c r="BE23" t="e">
        <f>'2.4.Функции'!AAS68+"BYw!fF"</f>
        <v>#VALUE!</v>
      </c>
      <c r="BF23" t="e">
        <f>'2.4.Функции'!AAT68+"BYw!fG"</f>
        <v>#VALUE!</v>
      </c>
      <c r="BG23" t="e">
        <f>'2.4.Функции'!AAU68+"BYw!fH"</f>
        <v>#VALUE!</v>
      </c>
      <c r="BH23" t="e">
        <f>'2.4.Функции'!AAV68+"BYw!fI"</f>
        <v>#VALUE!</v>
      </c>
      <c r="BI23" t="e">
        <f>'2.4.Функции'!AAW68+"BYw!fJ"</f>
        <v>#VALUE!</v>
      </c>
      <c r="BJ23" t="e">
        <f>'2.4.Функции'!AAX68+"BYw!fK"</f>
        <v>#VALUE!</v>
      </c>
      <c r="BK23" t="e">
        <f>'2.4.Функции'!AAY68+"BYw!fL"</f>
        <v>#VALUE!</v>
      </c>
      <c r="BL23" t="e">
        <f>'2.4.Функции'!AAZ68+"BYw!fM"</f>
        <v>#VALUE!</v>
      </c>
      <c r="BM23" t="e">
        <f>'2.4.Функции'!ABA68+"BYw!fN"</f>
        <v>#VALUE!</v>
      </c>
      <c r="BN23" t="e">
        <f>'2.4.Функции'!ABB68+"BYw!fO"</f>
        <v>#VALUE!</v>
      </c>
      <c r="BO23" t="e">
        <f>'2.4.Функции'!ABC68+"BYw!fP"</f>
        <v>#VALUE!</v>
      </c>
      <c r="BP23" t="e">
        <f>'2.4.Функции'!ABD68+"BYw!fQ"</f>
        <v>#VALUE!</v>
      </c>
      <c r="BQ23" t="e">
        <f>'2.4.Функции'!ABE68+"BYw!fR"</f>
        <v>#VALUE!</v>
      </c>
      <c r="BR23" t="e">
        <f>'2.4.Функции'!ABF68+"BYw!fS"</f>
        <v>#VALUE!</v>
      </c>
      <c r="BS23" t="e">
        <f>'2.4.Функции'!ABG68+"BYw!fT"</f>
        <v>#VALUE!</v>
      </c>
      <c r="BT23" t="e">
        <f>'2.4.Функции'!ABH68+"BYw!fU"</f>
        <v>#VALUE!</v>
      </c>
      <c r="BU23" t="e">
        <f>'2.4.Функции'!ABI68+"BYw!fV"</f>
        <v>#VALUE!</v>
      </c>
      <c r="BV23" t="e">
        <f>'2.4.Функции'!ABJ68+"BYw!fW"</f>
        <v>#VALUE!</v>
      </c>
      <c r="BW23" t="e">
        <f>'2.4.Функции'!ABK68+"BYw!fX"</f>
        <v>#VALUE!</v>
      </c>
      <c r="BX23" t="e">
        <f>'2.4.Функции'!ABL68+"BYw!fY"</f>
        <v>#VALUE!</v>
      </c>
      <c r="BY23" t="e">
        <f>'2.4.Функции'!ABM68+"BYw!fZ"</f>
        <v>#VALUE!</v>
      </c>
      <c r="BZ23" t="e">
        <f>'2.4.Функции'!ABN68+"BYw!f["</f>
        <v>#VALUE!</v>
      </c>
      <c r="CA23" t="e">
        <f>'2.4.Функции'!ABO68+"BYw!f\"</f>
        <v>#VALUE!</v>
      </c>
      <c r="CB23" t="e">
        <f>'2.4.Функции'!ABP68+"BYw!f]"</f>
        <v>#VALUE!</v>
      </c>
      <c r="CC23" t="e">
        <f>'2.4.Функции'!ABQ68+"BYw!f^"</f>
        <v>#VALUE!</v>
      </c>
      <c r="CD23" t="e">
        <f>'2.4.Функции'!ABR68+"BYw!f_"</f>
        <v>#VALUE!</v>
      </c>
      <c r="CE23" t="e">
        <f>'2.4.Функции'!ABS68+"BYw!f`"</f>
        <v>#VALUE!</v>
      </c>
      <c r="CF23" t="e">
        <f>'2.4.Функции'!ABT68+"BYw!fa"</f>
        <v>#VALUE!</v>
      </c>
      <c r="CG23" t="e">
        <f>'2.4.Функции'!ABU68+"BYw!fb"</f>
        <v>#VALUE!</v>
      </c>
      <c r="CH23" t="e">
        <f>'2.4.Функции'!ABV68+"BYw!fc"</f>
        <v>#VALUE!</v>
      </c>
      <c r="CI23" t="e">
        <f>'2.4.Функции'!ABW68+"BYw!fd"</f>
        <v>#VALUE!</v>
      </c>
      <c r="CJ23" t="e">
        <f>'2.4.Функции'!ABX68+"BYw!fe"</f>
        <v>#VALUE!</v>
      </c>
      <c r="CK23" t="e">
        <f>'2.4.Функции'!ABY68+"BYw!ff"</f>
        <v>#VALUE!</v>
      </c>
      <c r="CL23" t="e">
        <f>'2.4.Функции'!ABZ68+"BYw!fg"</f>
        <v>#VALUE!</v>
      </c>
      <c r="CM23" t="e">
        <f>'2.4.Функции'!ACA68+"BYw!fh"</f>
        <v>#VALUE!</v>
      </c>
      <c r="CN23" t="e">
        <f>'2.4.Функции'!ACB68+"BYw!fi"</f>
        <v>#VALUE!</v>
      </c>
      <c r="CO23" t="e">
        <f>'2.4.Функции'!ACC68+"BYw!fj"</f>
        <v>#VALUE!</v>
      </c>
      <c r="CP23" t="e">
        <f>'2.4.Функции'!ACD68+"BYw!fk"</f>
        <v>#VALUE!</v>
      </c>
      <c r="CQ23" t="e">
        <f>'2.4.Функции'!ACE68+"BYw!fl"</f>
        <v>#VALUE!</v>
      </c>
      <c r="CR23" t="e">
        <f>'2.4.Функции'!ACF68+"BYw!fm"</f>
        <v>#VALUE!</v>
      </c>
      <c r="CS23" t="e">
        <f>'2.4.Функции'!ACG68+"BYw!fn"</f>
        <v>#VALUE!</v>
      </c>
      <c r="CT23" t="e">
        <f>'2.4.Функции'!ACH68+"BYw!fo"</f>
        <v>#VALUE!</v>
      </c>
      <c r="CU23" t="e">
        <f>'2.4.Функции'!ACI68+"BYw!fp"</f>
        <v>#VALUE!</v>
      </c>
      <c r="CV23" t="e">
        <f>'2.4.Функции'!ACJ68+"BYw!fq"</f>
        <v>#VALUE!</v>
      </c>
      <c r="CW23" t="e">
        <f>'2.4.Функции'!ACK68+"BYw!fr"</f>
        <v>#VALUE!</v>
      </c>
      <c r="CX23" t="e">
        <f>'2.4.Функции'!ACL68+"BYw!fs"</f>
        <v>#VALUE!</v>
      </c>
      <c r="CY23" t="e">
        <f>'2.4.Функции'!ACM68+"BYw!ft"</f>
        <v>#VALUE!</v>
      </c>
      <c r="CZ23" t="e">
        <f>'2.4.Функции'!ACN68+"BYw!fu"</f>
        <v>#VALUE!</v>
      </c>
      <c r="DA23" t="e">
        <f>'2.4.Функции'!ACO68+"BYw!fv"</f>
        <v>#VALUE!</v>
      </c>
      <c r="DB23" t="e">
        <f>'2.4.Функции'!ACP68+"BYw!fw"</f>
        <v>#VALUE!</v>
      </c>
      <c r="DC23" t="e">
        <f>'2.4.Функции'!ACQ68+"BYw!fx"</f>
        <v>#VALUE!</v>
      </c>
      <c r="DD23" t="e">
        <f>'2.4.Функции'!ACR68+"BYw!fy"</f>
        <v>#VALUE!</v>
      </c>
      <c r="DE23" t="e">
        <f>'2.4.Функции'!ACS68+"BYw!fz"</f>
        <v>#VALUE!</v>
      </c>
      <c r="DF23" t="e">
        <f>'2.4.Функции'!ACT68+"BYw!f{"</f>
        <v>#VALUE!</v>
      </c>
      <c r="DG23" t="e">
        <f>'2.4.Функции'!ACU68+"BYw!f|"</f>
        <v>#VALUE!</v>
      </c>
      <c r="DH23" t="e">
        <f>'2.4.Функции'!ACV68+"BYw!f}"</f>
        <v>#VALUE!</v>
      </c>
      <c r="DI23" t="e">
        <f>'2.4.Функции'!ACW68+"BYw!f~"</f>
        <v>#VALUE!</v>
      </c>
      <c r="DJ23" t="e">
        <f>'2.4.Функции'!ACX68+"BYw!g#"</f>
        <v>#VALUE!</v>
      </c>
      <c r="DK23" t="e">
        <f>'2.4.Функции'!ACY68+"BYw!g$"</f>
        <v>#VALUE!</v>
      </c>
      <c r="DL23" t="e">
        <f>'2.4.Функции'!ACZ68+"BYw!g%"</f>
        <v>#VALUE!</v>
      </c>
      <c r="DM23" t="e">
        <f>'2.4.Функции'!ADA68+"BYw!g&amp;"</f>
        <v>#VALUE!</v>
      </c>
      <c r="DN23" t="e">
        <f>'2.4.Функции'!ADB68+"BYw!g'"</f>
        <v>#VALUE!</v>
      </c>
      <c r="DO23" t="e">
        <f>'2.4.Функции'!ADC68+"BYw!g("</f>
        <v>#VALUE!</v>
      </c>
      <c r="DP23" t="e">
        <f>'2.4.Функции'!ADD68+"BYw!g)"</f>
        <v>#VALUE!</v>
      </c>
      <c r="DQ23" t="e">
        <f>'2.4.Функции'!ADE68+"BYw!g."</f>
        <v>#VALUE!</v>
      </c>
      <c r="DR23" t="e">
        <f>'2.4.Функции'!ADF68+"BYw!g/"</f>
        <v>#VALUE!</v>
      </c>
      <c r="DS23" t="e">
        <f>'2.4.Функции'!ADG68+"BYw!g0"</f>
        <v>#VALUE!</v>
      </c>
      <c r="DT23" t="e">
        <f>'2.4.Функции'!ADH68+"BYw!g1"</f>
        <v>#VALUE!</v>
      </c>
      <c r="DU23" t="e">
        <f>'2.4.Функции'!ADI68+"BYw!g2"</f>
        <v>#VALUE!</v>
      </c>
      <c r="DV23" t="e">
        <f>'2.4.Функции'!ADJ68+"BYw!g3"</f>
        <v>#VALUE!</v>
      </c>
      <c r="DW23" t="e">
        <f>'2.4.Функции'!ADK68+"BYw!g4"</f>
        <v>#VALUE!</v>
      </c>
      <c r="DX23" t="e">
        <f>'2.4.Функции'!ADL68+"BYw!g5"</f>
        <v>#VALUE!</v>
      </c>
      <c r="DY23" t="e">
        <f>'2.4.Функции'!ADM68+"BYw!g6"</f>
        <v>#VALUE!</v>
      </c>
      <c r="DZ23" t="e">
        <f>'2.4.Функции'!ADN68+"BYw!g7"</f>
        <v>#VALUE!</v>
      </c>
      <c r="EA23" t="e">
        <f>'2.4.Функции'!ADO68+"BYw!g8"</f>
        <v>#VALUE!</v>
      </c>
      <c r="EB23" t="e">
        <f>'2.4.Функции'!ADP68+"BYw!g9"</f>
        <v>#VALUE!</v>
      </c>
      <c r="EC23" t="e">
        <f>'2.4.Функции'!ADQ68+"BYw!g:"</f>
        <v>#VALUE!</v>
      </c>
      <c r="ED23" t="e">
        <f>'2.4.Функции'!ADR68+"BYw!g;"</f>
        <v>#VALUE!</v>
      </c>
      <c r="EE23" t="e">
        <f>'2.4.Функции'!ADS68+"BYw!g&lt;"</f>
        <v>#VALUE!</v>
      </c>
      <c r="EF23" t="e">
        <f>'2.4.Функции'!ADT68+"BYw!g="</f>
        <v>#VALUE!</v>
      </c>
      <c r="EG23" t="e">
        <f>'2.4.Функции'!ADU68+"BYw!g&gt;"</f>
        <v>#VALUE!</v>
      </c>
      <c r="EH23" t="e">
        <f>'2.4.Функции'!ADV68+"BYw!g?"</f>
        <v>#VALUE!</v>
      </c>
      <c r="EI23" t="e">
        <f>'2.4.Функции'!ADW68+"BYw!g@"</f>
        <v>#VALUE!</v>
      </c>
      <c r="EJ23" t="e">
        <f>'2.4.Функции'!ADX68+"BYw!gA"</f>
        <v>#VALUE!</v>
      </c>
      <c r="EK23" t="e">
        <f>'2.4.Функции'!ADY68+"BYw!gB"</f>
        <v>#VALUE!</v>
      </c>
      <c r="EL23" t="e">
        <f>'2.4.Функции'!ADZ68+"BYw!gC"</f>
        <v>#VALUE!</v>
      </c>
      <c r="EM23" t="e">
        <f>'2.4.Функции'!AEA68+"BYw!gD"</f>
        <v>#VALUE!</v>
      </c>
      <c r="EN23" t="e">
        <f>'2.4.Функции'!AEB68+"BYw!gE"</f>
        <v>#VALUE!</v>
      </c>
      <c r="EO23" t="e">
        <f>'2.4.Функции'!AEC68+"BYw!gF"</f>
        <v>#VALUE!</v>
      </c>
      <c r="EP23" t="e">
        <f>'2.4.Функции'!AED68+"BYw!gG"</f>
        <v>#VALUE!</v>
      </c>
      <c r="EQ23" t="e">
        <f>'2.4.Функции'!AEE68+"BYw!gH"</f>
        <v>#VALUE!</v>
      </c>
      <c r="ER23" t="e">
        <f>'2.4.Функции'!AEF68+"BYw!gI"</f>
        <v>#VALUE!</v>
      </c>
      <c r="ES23" t="e">
        <f>'2.4.Функции'!AEG68+"BYw!gJ"</f>
        <v>#VALUE!</v>
      </c>
      <c r="ET23" t="e">
        <f>'2.4.Функции'!AEH68+"BYw!gK"</f>
        <v>#VALUE!</v>
      </c>
      <c r="EU23" t="e">
        <f>'2.4.Функции'!AEI68+"BYw!gL"</f>
        <v>#VALUE!</v>
      </c>
      <c r="EV23" t="e">
        <f>'2.4.Функции'!AEJ68+"BYw!gM"</f>
        <v>#VALUE!</v>
      </c>
      <c r="EW23" t="e">
        <f>'2.4.Функции'!AEK68+"BYw!gN"</f>
        <v>#VALUE!</v>
      </c>
      <c r="EX23" t="e">
        <f>'2.4.Функции'!AEL68+"BYw!gO"</f>
        <v>#VALUE!</v>
      </c>
      <c r="EY23" t="e">
        <f>'2.4.Функции'!AEM68+"BYw!gP"</f>
        <v>#VALUE!</v>
      </c>
      <c r="EZ23" t="e">
        <f>'2.4.Функции'!AEN68+"BYw!gQ"</f>
        <v>#VALUE!</v>
      </c>
      <c r="FA23" t="e">
        <f>'2.4.Функции'!AEO68+"BYw!gR"</f>
        <v>#VALUE!</v>
      </c>
      <c r="FB23" t="e">
        <f>'2.4.Функции'!AEP68+"BYw!gS"</f>
        <v>#VALUE!</v>
      </c>
      <c r="FC23" t="e">
        <f>'2.4.Функции'!AEQ68+"BYw!gT"</f>
        <v>#VALUE!</v>
      </c>
      <c r="FD23" t="e">
        <f>'2.4.Функции'!AER68+"BYw!gU"</f>
        <v>#VALUE!</v>
      </c>
      <c r="FE23" t="e">
        <f>'2.4.Функции'!AES68+"BYw!gV"</f>
        <v>#VALUE!</v>
      </c>
      <c r="FF23" t="e">
        <f>'2.4.Функции'!AET68+"BYw!gW"</f>
        <v>#VALUE!</v>
      </c>
      <c r="FG23" t="e">
        <f>'2.4.Функции'!AEU68+"BYw!gX"</f>
        <v>#VALUE!</v>
      </c>
      <c r="FH23" t="e">
        <f>'2.4.Функции'!AEV68+"BYw!gY"</f>
        <v>#VALUE!</v>
      </c>
      <c r="FI23" t="e">
        <f>'2.4.Функции'!AEW68+"BYw!gZ"</f>
        <v>#VALUE!</v>
      </c>
      <c r="FJ23" t="e">
        <f>'2.4.Функции'!AEX68+"BYw!g["</f>
        <v>#VALUE!</v>
      </c>
      <c r="FK23" t="e">
        <f>'2.4.Функции'!AEY68+"BYw!g\"</f>
        <v>#VALUE!</v>
      </c>
      <c r="FL23" t="e">
        <f>'2.4.Функции'!AEZ68+"BYw!g]"</f>
        <v>#VALUE!</v>
      </c>
      <c r="FM23" t="e">
        <f>'2.4.Функции'!AFA68+"BYw!g^"</f>
        <v>#VALUE!</v>
      </c>
      <c r="FN23" t="e">
        <f>'2.4.Функции'!AFB68+"BYw!g_"</f>
        <v>#VALUE!</v>
      </c>
      <c r="FO23" t="e">
        <f>'2.4.Функции'!AFC68+"BYw!g`"</f>
        <v>#VALUE!</v>
      </c>
      <c r="FP23" t="e">
        <f>'2.4.Функции'!AFD68+"BYw!ga"</f>
        <v>#VALUE!</v>
      </c>
      <c r="FQ23" t="e">
        <f>'2.4.Функции'!AFE68+"BYw!gb"</f>
        <v>#VALUE!</v>
      </c>
      <c r="FR23" t="e">
        <f>'2.4.Функции'!AFF68+"BYw!gc"</f>
        <v>#VALUE!</v>
      </c>
      <c r="FS23" t="e">
        <f>'2.4.Функции'!AFG68+"BYw!gd"</f>
        <v>#VALUE!</v>
      </c>
      <c r="FT23" t="e">
        <f>'2.4.Функции'!AFH68+"BYw!ge"</f>
        <v>#VALUE!</v>
      </c>
      <c r="FU23" t="e">
        <f>'2.4.Функции'!AFI68+"BYw!gf"</f>
        <v>#VALUE!</v>
      </c>
      <c r="FV23" t="e">
        <f>'2.4.Функции'!AFJ68+"BYw!gg"</f>
        <v>#VALUE!</v>
      </c>
      <c r="FW23" t="e">
        <f>'2.4.Функции'!AFK68+"BYw!gh"</f>
        <v>#VALUE!</v>
      </c>
      <c r="FX23" t="e">
        <f>'2.4.Функции'!AFL68+"BYw!gi"</f>
        <v>#VALUE!</v>
      </c>
      <c r="FY23" t="e">
        <f>'2.4.Функции'!AFM68+"BYw!gj"</f>
        <v>#VALUE!</v>
      </c>
      <c r="FZ23" t="e">
        <f>'2.4.Функции'!AFN68+"BYw!gk"</f>
        <v>#VALUE!</v>
      </c>
      <c r="GA23" t="e">
        <f>'2.4.Функции'!AFO68+"BYw!gl"</f>
        <v>#VALUE!</v>
      </c>
      <c r="GB23" t="e">
        <f>'2.4.Функции'!AFP68+"BYw!gm"</f>
        <v>#VALUE!</v>
      </c>
      <c r="GC23" t="e">
        <f>'2.4.Функции'!AFQ68+"BYw!gn"</f>
        <v>#VALUE!</v>
      </c>
      <c r="GD23" t="e">
        <f>'2.4.Функции'!AFR68+"BYw!go"</f>
        <v>#VALUE!</v>
      </c>
      <c r="GE23" t="e">
        <f>'2.4.Функции'!AFS68+"BYw!gp"</f>
        <v>#VALUE!</v>
      </c>
      <c r="GF23" t="e">
        <f>'2.4.Функции'!AFT68+"BYw!gq"</f>
        <v>#VALUE!</v>
      </c>
      <c r="GG23" t="e">
        <f>'2.4.Функции'!AFU68+"BYw!gr"</f>
        <v>#VALUE!</v>
      </c>
      <c r="GH23" t="e">
        <f>'2.4.Функции'!AFV68+"BYw!gs"</f>
        <v>#VALUE!</v>
      </c>
      <c r="GI23" t="e">
        <f>'2.4.Функции'!AFW68+"BYw!gt"</f>
        <v>#VALUE!</v>
      </c>
      <c r="GJ23" t="e">
        <f>'2.4.Функции'!AFX68+"BYw!gu"</f>
        <v>#VALUE!</v>
      </c>
      <c r="GK23" t="e">
        <f>'2.4.Функции'!AFY68+"BYw!gv"</f>
        <v>#VALUE!</v>
      </c>
      <c r="GL23" t="e">
        <f>'2.4.Функции'!AFZ68+"BYw!gw"</f>
        <v>#VALUE!</v>
      </c>
      <c r="GM23" t="e">
        <f>'2.4.Функции'!AGA68+"BYw!gx"</f>
        <v>#VALUE!</v>
      </c>
      <c r="GN23" t="e">
        <f>'2.4.Функции'!AGB68+"BYw!gy"</f>
        <v>#VALUE!</v>
      </c>
      <c r="GO23" t="e">
        <f>'2.4.Функции'!AGC68+"BYw!gz"</f>
        <v>#VALUE!</v>
      </c>
      <c r="GP23" t="e">
        <f>'2.4.Функции'!AGD68+"BYw!g{"</f>
        <v>#VALUE!</v>
      </c>
      <c r="GQ23" t="e">
        <f>'2.4.Функции'!AGE68+"BYw!g|"</f>
        <v>#VALUE!</v>
      </c>
      <c r="GR23" t="e">
        <f>'2.4.Функции'!AGF68+"BYw!g}"</f>
        <v>#VALUE!</v>
      </c>
      <c r="GS23" t="e">
        <f>'2.4.Функции'!AGG68+"BYw!g~"</f>
        <v>#VALUE!</v>
      </c>
      <c r="GT23" t="e">
        <f>'2.4.Функции'!AGH68+"BYw!h#"</f>
        <v>#VALUE!</v>
      </c>
      <c r="GU23" t="e">
        <f>'2.4.Функции'!AGI68+"BYw!h$"</f>
        <v>#VALUE!</v>
      </c>
      <c r="GV23" t="e">
        <f>'2.4.Функции'!AGJ68+"BYw!h%"</f>
        <v>#VALUE!</v>
      </c>
      <c r="GW23" t="e">
        <f>'2.4.Функции'!AGK68+"BYw!h&amp;"</f>
        <v>#VALUE!</v>
      </c>
      <c r="GX23" t="e">
        <f>'2.4.Функции'!AGL68+"BYw!h'"</f>
        <v>#VALUE!</v>
      </c>
      <c r="GY23" t="e">
        <f>'2.4.Функции'!AGM68+"BYw!h("</f>
        <v>#VALUE!</v>
      </c>
      <c r="GZ23" t="e">
        <f>'2.4.Функции'!AGN68+"BYw!h)"</f>
        <v>#VALUE!</v>
      </c>
      <c r="HA23" t="e">
        <f>'2.4.Функции'!AGO68+"BYw!h."</f>
        <v>#VALUE!</v>
      </c>
      <c r="HB23" t="e">
        <f>'2.4.Функции'!AGP68+"BYw!h/"</f>
        <v>#VALUE!</v>
      </c>
      <c r="HC23" t="e">
        <f>'2.4.Функции'!AGQ68+"BYw!h0"</f>
        <v>#VALUE!</v>
      </c>
      <c r="HD23" t="e">
        <f>'2.4.Функции'!AGR68+"BYw!h1"</f>
        <v>#VALUE!</v>
      </c>
      <c r="HE23" t="e">
        <f>'2.4.Функции'!AGS68+"BYw!h2"</f>
        <v>#VALUE!</v>
      </c>
      <c r="HF23" t="e">
        <f>'2.4.Функции'!AGT68+"BYw!h3"</f>
        <v>#VALUE!</v>
      </c>
      <c r="HG23" t="e">
        <f>'2.4.Функции'!AGU68+"BYw!h4"</f>
        <v>#VALUE!</v>
      </c>
      <c r="HH23" t="e">
        <f>'2.4.Функции'!AGV68+"BYw!h5"</f>
        <v>#VALUE!</v>
      </c>
      <c r="HI23" t="e">
        <f>'2.4.Функции'!AGW68+"BYw!h6"</f>
        <v>#VALUE!</v>
      </c>
      <c r="HJ23" t="e">
        <f>'2.4.Функции'!AGX68+"BYw!h7"</f>
        <v>#VALUE!</v>
      </c>
      <c r="HK23" t="e">
        <f>'2.4.Функции'!AGY68+"BYw!h8"</f>
        <v>#VALUE!</v>
      </c>
      <c r="HL23" t="e">
        <f>'2.4.Функции'!AGZ68+"BYw!h9"</f>
        <v>#VALUE!</v>
      </c>
      <c r="HM23" t="e">
        <f>'2.4.Функции'!AHA68+"BYw!h:"</f>
        <v>#VALUE!</v>
      </c>
      <c r="HN23" t="e">
        <f>'2.4.Функции'!AHB68+"BYw!h;"</f>
        <v>#VALUE!</v>
      </c>
      <c r="HO23" t="e">
        <f>'2.4.Функции'!AHC68+"BYw!h&lt;"</f>
        <v>#VALUE!</v>
      </c>
      <c r="HP23" t="e">
        <f>'2.4.Функции'!AHD68+"BYw!h="</f>
        <v>#VALUE!</v>
      </c>
      <c r="HQ23" t="e">
        <f>'2.4.Функции'!AHE68+"BYw!h&gt;"</f>
        <v>#VALUE!</v>
      </c>
      <c r="HR23" t="e">
        <f>'2.4.Функции'!AHF68+"BYw!h?"</f>
        <v>#VALUE!</v>
      </c>
      <c r="HS23" t="e">
        <f>'2.4.Функции'!AHG68+"BYw!h@"</f>
        <v>#VALUE!</v>
      </c>
      <c r="HT23" t="e">
        <f>'2.4.Функции'!AHH68+"BYw!hA"</f>
        <v>#VALUE!</v>
      </c>
      <c r="HU23" t="e">
        <f>'2.4.Функции'!AHI68+"BYw!hB"</f>
        <v>#VALUE!</v>
      </c>
      <c r="HV23" t="e">
        <f>'2.4.Функции'!AHJ68+"BYw!hC"</f>
        <v>#VALUE!</v>
      </c>
      <c r="HW23" t="e">
        <f>'2.4.Функции'!AHK68+"BYw!hD"</f>
        <v>#VALUE!</v>
      </c>
      <c r="HX23" t="e">
        <f>'2.4.Функции'!AHL68+"BYw!hE"</f>
        <v>#VALUE!</v>
      </c>
      <c r="HY23" t="e">
        <f>'2.4.Функции'!AHM68+"BYw!hF"</f>
        <v>#VALUE!</v>
      </c>
      <c r="HZ23" t="e">
        <f>'2.4.Функции'!AHN68+"BYw!hG"</f>
        <v>#VALUE!</v>
      </c>
      <c r="IA23" t="e">
        <f>'2.4.Функции'!AHO68+"BYw!hH"</f>
        <v>#VALUE!</v>
      </c>
      <c r="IB23" t="e">
        <f>'2.4.Функции'!AHP68+"BYw!hI"</f>
        <v>#VALUE!</v>
      </c>
      <c r="IC23" t="e">
        <f>'2.4.Функции'!AHQ68+"BYw!hJ"</f>
        <v>#VALUE!</v>
      </c>
      <c r="ID23" t="e">
        <f>'2.4.Функции'!AHR68+"BYw!hK"</f>
        <v>#VALUE!</v>
      </c>
      <c r="IE23" t="e">
        <f>'2.4.Функции'!AHS68+"BYw!hL"</f>
        <v>#VALUE!</v>
      </c>
      <c r="IF23" t="e">
        <f>'2.4.Функции'!AHT68+"BYw!hM"</f>
        <v>#VALUE!</v>
      </c>
      <c r="IG23" t="e">
        <f>'2.4.Функции'!AHU68+"BYw!hN"</f>
        <v>#VALUE!</v>
      </c>
      <c r="IH23" t="e">
        <f>'2.4.Функции'!AHV68+"BYw!hO"</f>
        <v>#VALUE!</v>
      </c>
      <c r="II23" t="e">
        <f>'2.4.Функции'!AHW68+"BYw!hP"</f>
        <v>#VALUE!</v>
      </c>
      <c r="IJ23" t="e">
        <f>'2.4.Функции'!AHX68+"BYw!hQ"</f>
        <v>#VALUE!</v>
      </c>
      <c r="IK23" t="e">
        <f>'2.4.Функции'!AHY68+"BYw!hR"</f>
        <v>#VALUE!</v>
      </c>
      <c r="IL23" t="e">
        <f>'2.4.Функции'!AHZ68+"BYw!hS"</f>
        <v>#VALUE!</v>
      </c>
      <c r="IM23" t="e">
        <f>'2.4.Функции'!AIA68+"BYw!hT"</f>
        <v>#VALUE!</v>
      </c>
      <c r="IN23" t="e">
        <f>'2.4.Функции'!AIB68+"BYw!hU"</f>
        <v>#VALUE!</v>
      </c>
      <c r="IO23" t="e">
        <f>'2.4.Функции'!AIC68+"BYw!hV"</f>
        <v>#VALUE!</v>
      </c>
      <c r="IP23" t="e">
        <f>'2.4.Функции'!AID68+"BYw!hW"</f>
        <v>#VALUE!</v>
      </c>
      <c r="IQ23" t="e">
        <f>'2.4.Функции'!AIE68+"BYw!hX"</f>
        <v>#VALUE!</v>
      </c>
      <c r="IR23" t="e">
        <f>'2.4.Функции'!AIF68+"BYw!hY"</f>
        <v>#VALUE!</v>
      </c>
      <c r="IS23" t="e">
        <f>'2.4.Функции'!AIG68+"BYw!hZ"</f>
        <v>#VALUE!</v>
      </c>
      <c r="IT23" t="e">
        <f>'2.4.Функции'!AIH68+"BYw!h["</f>
        <v>#VALUE!</v>
      </c>
      <c r="IU23" t="e">
        <f>'2.4.Функции'!A69+"BYw!h\"</f>
        <v>#VALUE!</v>
      </c>
      <c r="IV23" s="116" t="e">
        <f>'2.4.Функции'!B69+"BYw!h]"</f>
        <v>#VALUE!</v>
      </c>
    </row>
    <row r="24" spans="6:256" x14ac:dyDescent="0.2">
      <c r="F24" t="e">
        <f>'2.4.Функции'!C69+"BYw!h^"</f>
        <v>#VALUE!</v>
      </c>
      <c r="G24" s="119" t="e">
        <f>'2.4.Функции'!D69+"BYw!h_"</f>
        <v>#VALUE!</v>
      </c>
      <c r="H24" s="119" t="e">
        <f>'2.4.Функции'!E69+"BYw!h`"</f>
        <v>#VALUE!</v>
      </c>
      <c r="I24" s="119" t="e">
        <f>'2.4.Функции'!F69+"BYw!ha"</f>
        <v>#VALUE!</v>
      </c>
      <c r="J24" s="119" t="e">
        <f>'2.4.Функции'!G69+"BYw!hb"</f>
        <v>#VALUE!</v>
      </c>
      <c r="K24" s="119" t="e">
        <f>'2.4.Функции'!H69+"BYw!hc"</f>
        <v>#VALUE!</v>
      </c>
      <c r="L24" s="119" t="e">
        <f>'2.4.Функции'!I69+"BYw!hd"</f>
        <v>#VALUE!</v>
      </c>
      <c r="M24" s="119" t="e">
        <f>'2.4.Функции'!J69+"BYw!he"</f>
        <v>#VALUE!</v>
      </c>
      <c r="N24" s="119" t="e">
        <f>'2.4.Функции'!K69+"BYw!hf"</f>
        <v>#VALUE!</v>
      </c>
      <c r="O24" t="e">
        <f>'2.4.Функции'!L69+"BYw!hg"</f>
        <v>#VALUE!</v>
      </c>
      <c r="P24" t="e">
        <f>'2.4.Функции'!M69+"BYw!hh"</f>
        <v>#VALUE!</v>
      </c>
      <c r="Q24" t="e">
        <f>'2.4.Функции'!N69+"BYw!hi"</f>
        <v>#VALUE!</v>
      </c>
      <c r="R24" t="e">
        <f>'2.4.Функции'!O69+"BYw!hj"</f>
        <v>#VALUE!</v>
      </c>
      <c r="S24" t="e">
        <f>'2.4.Функции'!P69+"BYw!hk"</f>
        <v>#VALUE!</v>
      </c>
      <c r="T24" t="e">
        <f>'2.4.Функции'!Q69+"BYw!hl"</f>
        <v>#VALUE!</v>
      </c>
      <c r="U24" t="e">
        <f>'2.4.Функции'!R69+"BYw!hm"</f>
        <v>#VALUE!</v>
      </c>
      <c r="V24" t="e">
        <f>'2.4.Функции'!S69+"BYw!hn"</f>
        <v>#VALUE!</v>
      </c>
      <c r="W24" t="e">
        <f>'2.4.Функции'!T69+"BYw!ho"</f>
        <v>#VALUE!</v>
      </c>
      <c r="X24" t="e">
        <f>'2.4.Функции'!U69+"BYw!hp"</f>
        <v>#VALUE!</v>
      </c>
      <c r="Y24" t="e">
        <f>'2.4.Функции'!V69+"BYw!hq"</f>
        <v>#VALUE!</v>
      </c>
      <c r="Z24" t="e">
        <f>'2.4.Функции'!W69+"BYw!hr"</f>
        <v>#VALUE!</v>
      </c>
      <c r="AA24" t="e">
        <f>'2.4.Функции'!X69+"BYw!hs"</f>
        <v>#VALUE!</v>
      </c>
      <c r="AB24" t="e">
        <f>'2.4.Функции'!Y69+"BYw!ht"</f>
        <v>#VALUE!</v>
      </c>
      <c r="AC24" t="e">
        <f>'2.4.Функции'!Z69+"BYw!hu"</f>
        <v>#VALUE!</v>
      </c>
      <c r="AD24" t="e">
        <f>'2.4.Функции'!AA69+"BYw!hv"</f>
        <v>#VALUE!</v>
      </c>
      <c r="AE24" t="e">
        <f>'2.4.Функции'!AB69+"BYw!hw"</f>
        <v>#VALUE!</v>
      </c>
      <c r="AF24" t="e">
        <f>'2.4.Функции'!AC69+"BYw!hx"</f>
        <v>#VALUE!</v>
      </c>
      <c r="AG24" t="e">
        <f>'2.4.Функции'!AD69+"BYw!hy"</f>
        <v>#VALUE!</v>
      </c>
      <c r="AH24" t="e">
        <f>'2.4.Функции'!AE69+"BYw!hz"</f>
        <v>#VALUE!</v>
      </c>
      <c r="AI24" t="e">
        <f>'2.4.Функции'!AF69+"BYw!h{"</f>
        <v>#VALUE!</v>
      </c>
      <c r="AJ24" t="e">
        <f>'2.4.Функции'!AG69+"BYw!h|"</f>
        <v>#VALUE!</v>
      </c>
      <c r="AK24" t="e">
        <f>'2.4.Функции'!AH69+"BYw!h}"</f>
        <v>#VALUE!</v>
      </c>
      <c r="AL24" t="e">
        <f>'2.4.Функции'!AI69+"BYw!h~"</f>
        <v>#VALUE!</v>
      </c>
      <c r="AM24" t="e">
        <f>'2.4.Функции'!AJ69+"BYw!i#"</f>
        <v>#VALUE!</v>
      </c>
      <c r="AN24" t="e">
        <f>'2.4.Функции'!AK69+"BYw!i$"</f>
        <v>#VALUE!</v>
      </c>
      <c r="AO24" t="e">
        <f>'2.4.Функции'!AL69+"BYw!i%"</f>
        <v>#VALUE!</v>
      </c>
      <c r="AP24" t="e">
        <f>'2.4.Функции'!AM69+"BYw!i&amp;"</f>
        <v>#VALUE!</v>
      </c>
      <c r="AQ24" t="e">
        <f>'2.4.Функции'!AN69+"BYw!i'"</f>
        <v>#VALUE!</v>
      </c>
      <c r="AR24" t="e">
        <f>'2.4.Функции'!AO69+"BYw!i("</f>
        <v>#VALUE!</v>
      </c>
      <c r="AS24" t="e">
        <f>'2.4.Функции'!AP69+"BYw!i)"</f>
        <v>#VALUE!</v>
      </c>
      <c r="AT24" t="e">
        <f>'2.4.Функции'!AQ69+"BYw!i."</f>
        <v>#VALUE!</v>
      </c>
      <c r="AU24" t="e">
        <f>'2.4.Функции'!AR69+"BYw!i/"</f>
        <v>#VALUE!</v>
      </c>
      <c r="AV24" t="e">
        <f>'2.4.Функции'!AS69+"BYw!i0"</f>
        <v>#VALUE!</v>
      </c>
      <c r="AW24" t="e">
        <f>'2.4.Функции'!AT69+"BYw!i1"</f>
        <v>#VALUE!</v>
      </c>
      <c r="AX24" t="e">
        <f>'2.4.Функции'!AU69+"BYw!i2"</f>
        <v>#VALUE!</v>
      </c>
      <c r="AY24" t="e">
        <f>'2.4.Функции'!AV69+"BYw!i3"</f>
        <v>#VALUE!</v>
      </c>
      <c r="AZ24" t="e">
        <f>'2.4.Функции'!AW69+"BYw!i4"</f>
        <v>#VALUE!</v>
      </c>
      <c r="BA24" t="e">
        <f>'2.4.Функции'!AX69+"BYw!i5"</f>
        <v>#VALUE!</v>
      </c>
      <c r="BB24" t="e">
        <f>'2.4.Функции'!AY69+"BYw!i6"</f>
        <v>#VALUE!</v>
      </c>
      <c r="BC24" t="e">
        <f>'2.4.Функции'!AZ69+"BYw!i7"</f>
        <v>#VALUE!</v>
      </c>
      <c r="BD24" t="e">
        <f>'2.4.Функции'!BA69+"BYw!i8"</f>
        <v>#VALUE!</v>
      </c>
      <c r="BE24" t="e">
        <f>'2.4.Функции'!BB69+"BYw!i9"</f>
        <v>#VALUE!</v>
      </c>
      <c r="BF24" t="e">
        <f>'2.4.Функции'!BC69+"BYw!i:"</f>
        <v>#VALUE!</v>
      </c>
      <c r="BG24" t="e">
        <f>'2.4.Функции'!BD69+"BYw!i;"</f>
        <v>#VALUE!</v>
      </c>
      <c r="BH24" t="e">
        <f>'2.4.Функции'!BE69+"BYw!i&lt;"</f>
        <v>#VALUE!</v>
      </c>
      <c r="BI24" t="e">
        <f>'2.4.Функции'!BF69+"BYw!i="</f>
        <v>#VALUE!</v>
      </c>
      <c r="BJ24" t="e">
        <f>'2.4.Функции'!BG69+"BYw!i&gt;"</f>
        <v>#VALUE!</v>
      </c>
      <c r="BK24" t="e">
        <f>'2.4.Функции'!BH69+"BYw!i?"</f>
        <v>#VALUE!</v>
      </c>
      <c r="BL24" t="e">
        <f>'2.4.Функции'!BI69+"BYw!i@"</f>
        <v>#VALUE!</v>
      </c>
      <c r="BM24" t="e">
        <f>'2.4.Функции'!BJ69+"BYw!iA"</f>
        <v>#VALUE!</v>
      </c>
      <c r="BN24" t="e">
        <f>'2.4.Функции'!BK69+"BYw!iB"</f>
        <v>#VALUE!</v>
      </c>
      <c r="BO24" t="e">
        <f>'2.4.Функции'!BL69+"BYw!iC"</f>
        <v>#VALUE!</v>
      </c>
      <c r="BP24" t="e">
        <f>'2.4.Функции'!BM69+"BYw!iD"</f>
        <v>#VALUE!</v>
      </c>
      <c r="BQ24" t="e">
        <f>'2.4.Функции'!BN69+"BYw!iE"</f>
        <v>#VALUE!</v>
      </c>
      <c r="BR24" t="e">
        <f>'2.4.Функции'!BO69+"BYw!iF"</f>
        <v>#VALUE!</v>
      </c>
      <c r="BS24" t="e">
        <f>'2.4.Функции'!BP69+"BYw!iG"</f>
        <v>#VALUE!</v>
      </c>
      <c r="BT24" t="e">
        <f>'2.4.Функции'!BQ69+"BYw!iH"</f>
        <v>#VALUE!</v>
      </c>
      <c r="BU24" t="e">
        <f>'2.4.Функции'!BR69+"BYw!iI"</f>
        <v>#VALUE!</v>
      </c>
      <c r="BV24" t="e">
        <f>'2.4.Функции'!BS69+"BYw!iJ"</f>
        <v>#VALUE!</v>
      </c>
      <c r="BW24" t="e">
        <f>'2.4.Функции'!BT69+"BYw!iK"</f>
        <v>#VALUE!</v>
      </c>
      <c r="BX24" t="e">
        <f>'2.4.Функции'!BU69+"BYw!iL"</f>
        <v>#VALUE!</v>
      </c>
      <c r="BY24" t="e">
        <f>'2.4.Функции'!BV69+"BYw!iM"</f>
        <v>#VALUE!</v>
      </c>
      <c r="BZ24" t="e">
        <f>'2.4.Функции'!BW69+"BYw!iN"</f>
        <v>#VALUE!</v>
      </c>
      <c r="CA24" t="e">
        <f>'2.4.Функции'!BX69+"BYw!iO"</f>
        <v>#VALUE!</v>
      </c>
      <c r="CB24" t="e">
        <f>'2.4.Функции'!BY69+"BYw!iP"</f>
        <v>#VALUE!</v>
      </c>
      <c r="CC24" t="e">
        <f>'2.4.Функции'!BZ69+"BYw!iQ"</f>
        <v>#VALUE!</v>
      </c>
      <c r="CD24" t="e">
        <f>'2.4.Функции'!CA69+"BYw!iR"</f>
        <v>#VALUE!</v>
      </c>
      <c r="CE24" t="e">
        <f>'2.4.Функции'!CB69+"BYw!iS"</f>
        <v>#VALUE!</v>
      </c>
      <c r="CF24" t="e">
        <f>'2.4.Функции'!CC69+"BYw!iT"</f>
        <v>#VALUE!</v>
      </c>
      <c r="CG24" t="e">
        <f>'2.4.Функции'!CD69+"BYw!iU"</f>
        <v>#VALUE!</v>
      </c>
      <c r="CH24" t="e">
        <f>'2.4.Функции'!CE69+"BYw!iV"</f>
        <v>#VALUE!</v>
      </c>
      <c r="CI24" t="e">
        <f>'2.4.Функции'!CF69+"BYw!iW"</f>
        <v>#VALUE!</v>
      </c>
      <c r="CJ24" t="e">
        <f>'2.4.Функции'!CG69+"BYw!iX"</f>
        <v>#VALUE!</v>
      </c>
      <c r="CK24" t="e">
        <f>'2.4.Функции'!CH69+"BYw!iY"</f>
        <v>#VALUE!</v>
      </c>
      <c r="CL24" t="e">
        <f>'2.4.Функции'!CI69+"BYw!iZ"</f>
        <v>#VALUE!</v>
      </c>
      <c r="CM24" t="e">
        <f>'2.4.Функции'!CJ69+"BYw!i["</f>
        <v>#VALUE!</v>
      </c>
      <c r="CN24" t="e">
        <f>'2.4.Функции'!CK69+"BYw!i\"</f>
        <v>#VALUE!</v>
      </c>
      <c r="CO24" t="e">
        <f>'2.4.Функции'!CL69+"BYw!i]"</f>
        <v>#VALUE!</v>
      </c>
      <c r="CP24" t="e">
        <f>'2.4.Функции'!CM69+"BYw!i^"</f>
        <v>#VALUE!</v>
      </c>
      <c r="CQ24" t="e">
        <f>'2.4.Функции'!CN69+"BYw!i_"</f>
        <v>#VALUE!</v>
      </c>
      <c r="CR24" t="e">
        <f>'2.4.Функции'!CO69+"BYw!i`"</f>
        <v>#VALUE!</v>
      </c>
      <c r="CS24" t="e">
        <f>'2.4.Функции'!CP69+"BYw!ia"</f>
        <v>#VALUE!</v>
      </c>
      <c r="CT24" t="e">
        <f>'2.4.Функции'!CQ69+"BYw!ib"</f>
        <v>#VALUE!</v>
      </c>
      <c r="CU24" t="e">
        <f>'2.4.Функции'!CR69+"BYw!ic"</f>
        <v>#VALUE!</v>
      </c>
      <c r="CV24" t="e">
        <f>'2.4.Функции'!CS69+"BYw!id"</f>
        <v>#VALUE!</v>
      </c>
      <c r="CW24" t="e">
        <f>'2.4.Функции'!CT69+"BYw!ie"</f>
        <v>#VALUE!</v>
      </c>
      <c r="CX24" t="e">
        <f>'2.4.Функции'!CU69+"BYw!if"</f>
        <v>#VALUE!</v>
      </c>
      <c r="CY24" t="e">
        <f>'2.4.Функции'!CV69+"BYw!ig"</f>
        <v>#VALUE!</v>
      </c>
      <c r="CZ24" t="e">
        <f>'2.4.Функции'!CW69+"BYw!ih"</f>
        <v>#VALUE!</v>
      </c>
      <c r="DA24" t="e">
        <f>'2.4.Функции'!CX69+"BYw!ii"</f>
        <v>#VALUE!</v>
      </c>
      <c r="DB24" t="e">
        <f>'2.4.Функции'!CY69+"BYw!ij"</f>
        <v>#VALUE!</v>
      </c>
      <c r="DC24" t="e">
        <f>'2.4.Функции'!CZ69+"BYw!ik"</f>
        <v>#VALUE!</v>
      </c>
      <c r="DD24" t="e">
        <f>'2.4.Функции'!DA69+"BYw!il"</f>
        <v>#VALUE!</v>
      </c>
      <c r="DE24" t="e">
        <f>'2.4.Функции'!DB69+"BYw!im"</f>
        <v>#VALUE!</v>
      </c>
      <c r="DF24" t="e">
        <f>'2.4.Функции'!DC69+"BYw!in"</f>
        <v>#VALUE!</v>
      </c>
      <c r="DG24" t="e">
        <f>'2.4.Функции'!DD69+"BYw!io"</f>
        <v>#VALUE!</v>
      </c>
      <c r="DH24" t="e">
        <f>'2.4.Функции'!DE69+"BYw!ip"</f>
        <v>#VALUE!</v>
      </c>
      <c r="DI24" t="e">
        <f>'2.4.Функции'!DF69+"BYw!iq"</f>
        <v>#VALUE!</v>
      </c>
      <c r="DJ24" t="e">
        <f>'2.4.Функции'!DG69+"BYw!ir"</f>
        <v>#VALUE!</v>
      </c>
      <c r="DK24" t="e">
        <f>'2.4.Функции'!DH69+"BYw!is"</f>
        <v>#VALUE!</v>
      </c>
      <c r="DL24" t="e">
        <f>'2.4.Функции'!DI69+"BYw!it"</f>
        <v>#VALUE!</v>
      </c>
      <c r="DM24" t="e">
        <f>'2.4.Функции'!DJ69+"BYw!iu"</f>
        <v>#VALUE!</v>
      </c>
      <c r="DN24" t="e">
        <f>'2.4.Функции'!DK69+"BYw!iv"</f>
        <v>#VALUE!</v>
      </c>
      <c r="DO24" t="e">
        <f>'2.4.Функции'!DL69+"BYw!iw"</f>
        <v>#VALUE!</v>
      </c>
      <c r="DP24" t="e">
        <f>'2.4.Функции'!DM69+"BYw!ix"</f>
        <v>#VALUE!</v>
      </c>
      <c r="DQ24" t="e">
        <f>'2.4.Функции'!DN69+"BYw!iy"</f>
        <v>#VALUE!</v>
      </c>
      <c r="DR24" t="e">
        <f>'2.4.Функции'!DO69+"BYw!iz"</f>
        <v>#VALUE!</v>
      </c>
      <c r="DS24" t="e">
        <f>'2.4.Функции'!DP69+"BYw!i{"</f>
        <v>#VALUE!</v>
      </c>
      <c r="DT24" t="e">
        <f>'2.4.Функции'!DQ69+"BYw!i|"</f>
        <v>#VALUE!</v>
      </c>
      <c r="DU24" t="e">
        <f>'2.4.Функции'!DR69+"BYw!i}"</f>
        <v>#VALUE!</v>
      </c>
      <c r="DV24" t="e">
        <f>'2.4.Функции'!DS69+"BYw!i~"</f>
        <v>#VALUE!</v>
      </c>
      <c r="DW24" t="e">
        <f>'2.4.Функции'!DT69+"BYw!j#"</f>
        <v>#VALUE!</v>
      </c>
      <c r="DX24" t="e">
        <f>'2.4.Функции'!DU69+"BYw!j$"</f>
        <v>#VALUE!</v>
      </c>
      <c r="DY24" t="e">
        <f>'2.4.Функции'!DV69+"BYw!j%"</f>
        <v>#VALUE!</v>
      </c>
      <c r="DZ24" t="e">
        <f>'2.4.Функции'!DW69+"BYw!j&amp;"</f>
        <v>#VALUE!</v>
      </c>
      <c r="EA24" t="e">
        <f>'2.4.Функции'!DX69+"BYw!j'"</f>
        <v>#VALUE!</v>
      </c>
      <c r="EB24" t="e">
        <f>'2.4.Функции'!DY69+"BYw!j("</f>
        <v>#VALUE!</v>
      </c>
      <c r="EC24" t="e">
        <f>'2.4.Функции'!DZ69+"BYw!j)"</f>
        <v>#VALUE!</v>
      </c>
      <c r="ED24" t="e">
        <f>'2.4.Функции'!EA69+"BYw!j."</f>
        <v>#VALUE!</v>
      </c>
      <c r="EE24" t="e">
        <f>'2.4.Функции'!EB69+"BYw!j/"</f>
        <v>#VALUE!</v>
      </c>
      <c r="EF24" t="e">
        <f>'2.4.Функции'!EC69+"BYw!j0"</f>
        <v>#VALUE!</v>
      </c>
      <c r="EG24" t="e">
        <f>'2.4.Функции'!ED69+"BYw!j1"</f>
        <v>#VALUE!</v>
      </c>
      <c r="EH24" t="e">
        <f>'2.4.Функции'!EE69+"BYw!j2"</f>
        <v>#VALUE!</v>
      </c>
      <c r="EI24" t="e">
        <f>'2.4.Функции'!EF69+"BYw!j3"</f>
        <v>#VALUE!</v>
      </c>
      <c r="EJ24" t="e">
        <f>'2.4.Функции'!EG69+"BYw!j4"</f>
        <v>#VALUE!</v>
      </c>
      <c r="EK24" t="e">
        <f>'2.4.Функции'!EH69+"BYw!j5"</f>
        <v>#VALUE!</v>
      </c>
      <c r="EL24" t="e">
        <f>'2.4.Функции'!EI69+"BYw!j6"</f>
        <v>#VALUE!</v>
      </c>
      <c r="EM24" t="e">
        <f>'2.4.Функции'!EJ69+"BYw!j7"</f>
        <v>#VALUE!</v>
      </c>
      <c r="EN24" t="e">
        <f>'2.4.Функции'!EK69+"BYw!j8"</f>
        <v>#VALUE!</v>
      </c>
      <c r="EO24" t="e">
        <f>'2.4.Функции'!EL69+"BYw!j9"</f>
        <v>#VALUE!</v>
      </c>
      <c r="EP24" t="e">
        <f>'2.4.Функции'!EM69+"BYw!j:"</f>
        <v>#VALUE!</v>
      </c>
      <c r="EQ24" t="e">
        <f>'2.4.Функции'!EN69+"BYw!j;"</f>
        <v>#VALUE!</v>
      </c>
      <c r="ER24" t="e">
        <f>'2.4.Функции'!EO69+"BYw!j&lt;"</f>
        <v>#VALUE!</v>
      </c>
      <c r="ES24" t="e">
        <f>'2.4.Функции'!EP69+"BYw!j="</f>
        <v>#VALUE!</v>
      </c>
      <c r="ET24" t="e">
        <f>'2.4.Функции'!EQ69+"BYw!j&gt;"</f>
        <v>#VALUE!</v>
      </c>
      <c r="EU24" t="e">
        <f>'2.4.Функции'!ER69+"BYw!j?"</f>
        <v>#VALUE!</v>
      </c>
      <c r="EV24" t="e">
        <f>'2.4.Функции'!ES69+"BYw!j@"</f>
        <v>#VALUE!</v>
      </c>
      <c r="EW24" t="e">
        <f>'2.4.Функции'!ET69+"BYw!jA"</f>
        <v>#VALUE!</v>
      </c>
      <c r="EX24" t="e">
        <f>'2.4.Функции'!EU69+"BYw!jB"</f>
        <v>#VALUE!</v>
      </c>
      <c r="EY24" t="e">
        <f>'2.4.Функции'!EV69+"BYw!jC"</f>
        <v>#VALUE!</v>
      </c>
      <c r="EZ24" t="e">
        <f>'2.4.Функции'!EW69+"BYw!jD"</f>
        <v>#VALUE!</v>
      </c>
      <c r="FA24" t="e">
        <f>'2.4.Функции'!EX69+"BYw!jE"</f>
        <v>#VALUE!</v>
      </c>
      <c r="FB24" t="e">
        <f>'2.4.Функции'!EY69+"BYw!jF"</f>
        <v>#VALUE!</v>
      </c>
      <c r="FC24" t="e">
        <f>'2.4.Функции'!EZ69+"BYw!jG"</f>
        <v>#VALUE!</v>
      </c>
      <c r="FD24" t="e">
        <f>'2.4.Функции'!FA69+"BYw!jH"</f>
        <v>#VALUE!</v>
      </c>
      <c r="FE24" t="e">
        <f>'2.4.Функции'!FB69+"BYw!jI"</f>
        <v>#VALUE!</v>
      </c>
      <c r="FF24" t="e">
        <f>'2.4.Функции'!FC69+"BYw!jJ"</f>
        <v>#VALUE!</v>
      </c>
      <c r="FG24" t="e">
        <f>'2.4.Функции'!FD69+"BYw!jK"</f>
        <v>#VALUE!</v>
      </c>
      <c r="FH24" t="e">
        <f>'2.4.Функции'!FE69+"BYw!jL"</f>
        <v>#VALUE!</v>
      </c>
      <c r="FI24" t="e">
        <f>'2.4.Функции'!FF69+"BYw!jM"</f>
        <v>#VALUE!</v>
      </c>
      <c r="FJ24" t="e">
        <f>'2.4.Функции'!FG69+"BYw!jN"</f>
        <v>#VALUE!</v>
      </c>
      <c r="FK24" t="e">
        <f>'2.4.Функции'!FH69+"BYw!jO"</f>
        <v>#VALUE!</v>
      </c>
      <c r="FL24" t="e">
        <f>'2.4.Функции'!FI69+"BYw!jP"</f>
        <v>#VALUE!</v>
      </c>
      <c r="FM24" t="e">
        <f>'2.4.Функции'!FJ69+"BYw!jQ"</f>
        <v>#VALUE!</v>
      </c>
      <c r="FN24" t="e">
        <f>'2.4.Функции'!FK69+"BYw!jR"</f>
        <v>#VALUE!</v>
      </c>
      <c r="FO24" t="e">
        <f>'2.4.Функции'!FL69+"BYw!jS"</f>
        <v>#VALUE!</v>
      </c>
      <c r="FP24" t="e">
        <f>'2.4.Функции'!FM69+"BYw!jT"</f>
        <v>#VALUE!</v>
      </c>
      <c r="FQ24" t="e">
        <f>'2.4.Функции'!FN69+"BYw!jU"</f>
        <v>#VALUE!</v>
      </c>
      <c r="FR24" t="e">
        <f>'2.4.Функции'!FO69+"BYw!jV"</f>
        <v>#VALUE!</v>
      </c>
      <c r="FS24" t="e">
        <f>'2.4.Функции'!FP69+"BYw!jW"</f>
        <v>#VALUE!</v>
      </c>
      <c r="FT24" t="e">
        <f>'2.4.Функции'!FQ69+"BYw!jX"</f>
        <v>#VALUE!</v>
      </c>
      <c r="FU24" t="e">
        <f>'2.4.Функции'!FR69+"BYw!jY"</f>
        <v>#VALUE!</v>
      </c>
      <c r="FV24" t="e">
        <f>'2.4.Функции'!FS69+"BYw!jZ"</f>
        <v>#VALUE!</v>
      </c>
      <c r="FW24" t="e">
        <f>'2.4.Функции'!FT69+"BYw!j["</f>
        <v>#VALUE!</v>
      </c>
      <c r="FX24" t="e">
        <f>'2.4.Функции'!FU69+"BYw!j\"</f>
        <v>#VALUE!</v>
      </c>
      <c r="FY24" t="e">
        <f>'2.4.Функции'!FV69+"BYw!j]"</f>
        <v>#VALUE!</v>
      </c>
      <c r="FZ24" t="e">
        <f>'2.4.Функции'!FW69+"BYw!j^"</f>
        <v>#VALUE!</v>
      </c>
      <c r="GA24" t="e">
        <f>'2.4.Функции'!FX69+"BYw!j_"</f>
        <v>#VALUE!</v>
      </c>
      <c r="GB24" t="e">
        <f>'2.4.Функции'!FY69+"BYw!j`"</f>
        <v>#VALUE!</v>
      </c>
      <c r="GC24" t="e">
        <f>'2.4.Функции'!FZ69+"BYw!ja"</f>
        <v>#VALUE!</v>
      </c>
      <c r="GD24" t="e">
        <f>'2.4.Функции'!GA69+"BYw!jb"</f>
        <v>#VALUE!</v>
      </c>
      <c r="GE24" t="e">
        <f>'2.4.Функции'!GB69+"BYw!jc"</f>
        <v>#VALUE!</v>
      </c>
      <c r="GF24" t="e">
        <f>'2.4.Функции'!GC69+"BYw!jd"</f>
        <v>#VALUE!</v>
      </c>
      <c r="GG24" t="e">
        <f>'2.4.Функции'!GD69+"BYw!je"</f>
        <v>#VALUE!</v>
      </c>
      <c r="GH24" t="e">
        <f>'2.4.Функции'!GE69+"BYw!jf"</f>
        <v>#VALUE!</v>
      </c>
      <c r="GI24" t="e">
        <f>'2.4.Функции'!GF69+"BYw!jg"</f>
        <v>#VALUE!</v>
      </c>
      <c r="GJ24" t="e">
        <f>'2.4.Функции'!GG69+"BYw!jh"</f>
        <v>#VALUE!</v>
      </c>
      <c r="GK24" t="e">
        <f>'2.4.Функции'!GH69+"BYw!ji"</f>
        <v>#VALUE!</v>
      </c>
      <c r="GL24" t="e">
        <f>'2.4.Функции'!GI69+"BYw!jj"</f>
        <v>#VALUE!</v>
      </c>
      <c r="GM24" t="e">
        <f>'2.4.Функции'!GJ69+"BYw!jk"</f>
        <v>#VALUE!</v>
      </c>
      <c r="GN24" t="e">
        <f>'2.4.Функции'!GK69+"BYw!jl"</f>
        <v>#VALUE!</v>
      </c>
      <c r="GO24" t="e">
        <f>'2.4.Функции'!GL69+"BYw!jm"</f>
        <v>#VALUE!</v>
      </c>
      <c r="GP24" t="e">
        <f>'2.4.Функции'!GM69+"BYw!jn"</f>
        <v>#VALUE!</v>
      </c>
      <c r="GQ24" t="e">
        <f>'2.4.Функции'!GN69+"BYw!jo"</f>
        <v>#VALUE!</v>
      </c>
      <c r="GR24" t="e">
        <f>'2.4.Функции'!GO69+"BYw!jp"</f>
        <v>#VALUE!</v>
      </c>
      <c r="GS24" t="e">
        <f>'2.4.Функции'!GP69+"BYw!jq"</f>
        <v>#VALUE!</v>
      </c>
      <c r="GT24" t="e">
        <f>'2.4.Функции'!GQ69+"BYw!jr"</f>
        <v>#VALUE!</v>
      </c>
      <c r="GU24" t="e">
        <f>'2.4.Функции'!GR69+"BYw!js"</f>
        <v>#VALUE!</v>
      </c>
      <c r="GV24" t="e">
        <f>'2.4.Функции'!GS69+"BYw!jt"</f>
        <v>#VALUE!</v>
      </c>
      <c r="GW24" t="e">
        <f>'2.4.Функции'!GT69+"BYw!ju"</f>
        <v>#VALUE!</v>
      </c>
      <c r="GX24" t="e">
        <f>'2.4.Функции'!GU69+"BYw!jv"</f>
        <v>#VALUE!</v>
      </c>
      <c r="GY24" t="e">
        <f>'2.4.Функции'!GV69+"BYw!jw"</f>
        <v>#VALUE!</v>
      </c>
      <c r="GZ24" t="e">
        <f>'2.4.Функции'!GW69+"BYw!jx"</f>
        <v>#VALUE!</v>
      </c>
      <c r="HA24" t="e">
        <f>'2.4.Функции'!GX69+"BYw!jy"</f>
        <v>#VALUE!</v>
      </c>
      <c r="HB24" t="e">
        <f>'2.4.Функции'!GY69+"BYw!jz"</f>
        <v>#VALUE!</v>
      </c>
      <c r="HC24" t="e">
        <f>'2.4.Функции'!GZ69+"BYw!j{"</f>
        <v>#VALUE!</v>
      </c>
      <c r="HD24" t="e">
        <f>'2.4.Функции'!HA69+"BYw!j|"</f>
        <v>#VALUE!</v>
      </c>
      <c r="HE24" t="e">
        <f>'2.4.Функции'!HB69+"BYw!j}"</f>
        <v>#VALUE!</v>
      </c>
      <c r="HF24" t="e">
        <f>'2.4.Функции'!HC69+"BYw!j~"</f>
        <v>#VALUE!</v>
      </c>
      <c r="HG24" t="e">
        <f>'2.4.Функции'!HD69+"BYw!k#"</f>
        <v>#VALUE!</v>
      </c>
      <c r="HH24" t="e">
        <f>'2.4.Функции'!HE69+"BYw!k$"</f>
        <v>#VALUE!</v>
      </c>
      <c r="HI24" t="e">
        <f>'2.4.Функции'!HF69+"BYw!k%"</f>
        <v>#VALUE!</v>
      </c>
      <c r="HJ24" t="e">
        <f>'2.4.Функции'!HG69+"BYw!k&amp;"</f>
        <v>#VALUE!</v>
      </c>
      <c r="HK24" t="e">
        <f>'2.4.Функции'!HH69+"BYw!k'"</f>
        <v>#VALUE!</v>
      </c>
      <c r="HL24" t="e">
        <f>'2.4.Функции'!HI69+"BYw!k("</f>
        <v>#VALUE!</v>
      </c>
      <c r="HM24" t="e">
        <f>'2.4.Функции'!HJ69+"BYw!k)"</f>
        <v>#VALUE!</v>
      </c>
      <c r="HN24" t="e">
        <f>'2.4.Функции'!HK69+"BYw!k."</f>
        <v>#VALUE!</v>
      </c>
      <c r="HO24" t="e">
        <f>'2.4.Функции'!HL69+"BYw!k/"</f>
        <v>#VALUE!</v>
      </c>
      <c r="HP24" t="e">
        <f>'2.4.Функции'!HM69+"BYw!k0"</f>
        <v>#VALUE!</v>
      </c>
      <c r="HQ24" t="e">
        <f>'2.4.Функции'!HN69+"BYw!k1"</f>
        <v>#VALUE!</v>
      </c>
      <c r="HR24" t="e">
        <f>'2.4.Функции'!HO69+"BYw!k2"</f>
        <v>#VALUE!</v>
      </c>
      <c r="HS24" t="e">
        <f>'2.4.Функции'!HP69+"BYw!k3"</f>
        <v>#VALUE!</v>
      </c>
      <c r="HT24" t="e">
        <f>'2.4.Функции'!HQ69+"BYw!k4"</f>
        <v>#VALUE!</v>
      </c>
      <c r="HU24" t="e">
        <f>'2.4.Функции'!HR69+"BYw!k5"</f>
        <v>#VALUE!</v>
      </c>
      <c r="HV24" t="e">
        <f>'2.4.Функции'!HS69+"BYw!k6"</f>
        <v>#VALUE!</v>
      </c>
      <c r="HW24" t="e">
        <f>'2.4.Функции'!HT69+"BYw!k7"</f>
        <v>#VALUE!</v>
      </c>
      <c r="HX24" t="e">
        <f>'2.4.Функции'!HU69+"BYw!k8"</f>
        <v>#VALUE!</v>
      </c>
      <c r="HY24" t="e">
        <f>'2.4.Функции'!HV69+"BYw!k9"</f>
        <v>#VALUE!</v>
      </c>
      <c r="HZ24" t="e">
        <f>'2.4.Функции'!HW69+"BYw!k:"</f>
        <v>#VALUE!</v>
      </c>
      <c r="IA24" t="e">
        <f>'2.4.Функции'!HX69+"BYw!k;"</f>
        <v>#VALUE!</v>
      </c>
      <c r="IB24" t="e">
        <f>'2.4.Функции'!HY69+"BYw!k&lt;"</f>
        <v>#VALUE!</v>
      </c>
      <c r="IC24" t="e">
        <f>'2.4.Функции'!HZ69+"BYw!k="</f>
        <v>#VALUE!</v>
      </c>
      <c r="ID24" t="e">
        <f>'2.4.Функции'!IA69+"BYw!k&gt;"</f>
        <v>#VALUE!</v>
      </c>
      <c r="IE24" t="e">
        <f>'2.4.Функции'!IB69+"BYw!k?"</f>
        <v>#VALUE!</v>
      </c>
      <c r="IF24" t="e">
        <f>'2.4.Функции'!IC69+"BYw!k@"</f>
        <v>#VALUE!</v>
      </c>
      <c r="IG24" t="e">
        <f>'2.4.Функции'!ID69+"BYw!kA"</f>
        <v>#VALUE!</v>
      </c>
      <c r="IH24" t="e">
        <f>'2.4.Функции'!IE69+"BYw!kB"</f>
        <v>#VALUE!</v>
      </c>
      <c r="II24" t="e">
        <f>'2.4.Функции'!IF69+"BYw!kC"</f>
        <v>#VALUE!</v>
      </c>
      <c r="IJ24" t="e">
        <f>'2.4.Функции'!IG69+"BYw!kD"</f>
        <v>#VALUE!</v>
      </c>
      <c r="IK24" t="e">
        <f>'2.4.Функции'!IH69+"BYw!kE"</f>
        <v>#VALUE!</v>
      </c>
      <c r="IL24" t="e">
        <f>'2.4.Функции'!II69+"BYw!kF"</f>
        <v>#VALUE!</v>
      </c>
      <c r="IM24" t="e">
        <f>'2.4.Функции'!IJ69+"BYw!kG"</f>
        <v>#VALUE!</v>
      </c>
      <c r="IN24" t="e">
        <f>'2.4.Функции'!IK69+"BYw!kH"</f>
        <v>#VALUE!</v>
      </c>
      <c r="IO24" t="e">
        <f>'2.4.Функции'!IL69+"BYw!kI"</f>
        <v>#VALUE!</v>
      </c>
      <c r="IP24" t="e">
        <f>'2.4.Функции'!IM69+"BYw!kJ"</f>
        <v>#VALUE!</v>
      </c>
      <c r="IQ24" t="e">
        <f>'2.4.Функции'!IN69+"BYw!kK"</f>
        <v>#VALUE!</v>
      </c>
      <c r="IR24" t="e">
        <f>'2.4.Функции'!IO69+"BYw!kL"</f>
        <v>#VALUE!</v>
      </c>
      <c r="IS24" t="e">
        <f>'2.4.Функции'!IP69+"BYw!kM"</f>
        <v>#VALUE!</v>
      </c>
      <c r="IT24" t="e">
        <f>'2.4.Функции'!IQ69+"BYw!kN"</f>
        <v>#VALUE!</v>
      </c>
      <c r="IU24" t="e">
        <f>'2.4.Функции'!IR69+"BYw!kO"</f>
        <v>#VALUE!</v>
      </c>
      <c r="IV24" t="e">
        <f>'2.4.Функции'!IS69+"BYw!kP"</f>
        <v>#VALUE!</v>
      </c>
    </row>
    <row r="25" spans="6:256" x14ac:dyDescent="0.2">
      <c r="F25" t="e">
        <f>'2.4.Функции'!IT69+"BYw!kQ"</f>
        <v>#VALUE!</v>
      </c>
      <c r="G25" t="e">
        <f>'2.4.Функции'!IU69+"BYw!kR"</f>
        <v>#VALUE!</v>
      </c>
      <c r="H25" t="e">
        <f>'2.4.Функции'!IV69+"BYw!kS"</f>
        <v>#VALUE!</v>
      </c>
      <c r="I25" t="e">
        <f>'2.4.Функции'!IW69+"BYw!kT"</f>
        <v>#VALUE!</v>
      </c>
      <c r="J25" t="e">
        <f>'2.4.Функции'!IX69+"BYw!kU"</f>
        <v>#VALUE!</v>
      </c>
      <c r="K25" t="e">
        <f>'2.4.Функции'!IY69+"BYw!kV"</f>
        <v>#VALUE!</v>
      </c>
      <c r="L25" t="e">
        <f>'2.4.Функции'!IZ69+"BYw!kW"</f>
        <v>#VALUE!</v>
      </c>
      <c r="M25" t="e">
        <f>'2.4.Функции'!JA69+"BYw!kX"</f>
        <v>#VALUE!</v>
      </c>
      <c r="N25" t="e">
        <f>'2.4.Функции'!JB69+"BYw!kY"</f>
        <v>#VALUE!</v>
      </c>
      <c r="O25" t="e">
        <f>'2.4.Функции'!JC69+"BYw!kZ"</f>
        <v>#VALUE!</v>
      </c>
      <c r="P25" t="e">
        <f>'2.4.Функции'!JD69+"BYw!k["</f>
        <v>#VALUE!</v>
      </c>
      <c r="Q25" t="e">
        <f>'2.4.Функции'!JE69+"BYw!k\"</f>
        <v>#VALUE!</v>
      </c>
      <c r="R25" t="e">
        <f>'2.4.Функции'!JF69+"BYw!k]"</f>
        <v>#VALUE!</v>
      </c>
      <c r="S25" t="e">
        <f>'2.4.Функции'!JG69+"BYw!k^"</f>
        <v>#VALUE!</v>
      </c>
      <c r="T25" t="e">
        <f>'2.4.Функции'!JH69+"BYw!k_"</f>
        <v>#VALUE!</v>
      </c>
      <c r="U25" t="e">
        <f>'2.4.Функции'!JI69+"BYw!k`"</f>
        <v>#VALUE!</v>
      </c>
      <c r="V25" t="e">
        <f>'2.4.Функции'!JJ69+"BYw!ka"</f>
        <v>#VALUE!</v>
      </c>
      <c r="W25" t="e">
        <f>'2.4.Функции'!JK69+"BYw!kb"</f>
        <v>#VALUE!</v>
      </c>
      <c r="X25" t="e">
        <f>'2.4.Функции'!JL69+"BYw!kc"</f>
        <v>#VALUE!</v>
      </c>
      <c r="Y25" t="e">
        <f>'2.4.Функции'!JM69+"BYw!kd"</f>
        <v>#VALUE!</v>
      </c>
      <c r="Z25" t="e">
        <f>'2.4.Функции'!JN69+"BYw!ke"</f>
        <v>#VALUE!</v>
      </c>
      <c r="AA25" t="e">
        <f>'2.4.Функции'!JO69+"BYw!kf"</f>
        <v>#VALUE!</v>
      </c>
      <c r="AB25" t="e">
        <f>'2.4.Функции'!JP69+"BYw!kg"</f>
        <v>#VALUE!</v>
      </c>
      <c r="AC25" t="e">
        <f>'2.4.Функции'!JQ69+"BYw!kh"</f>
        <v>#VALUE!</v>
      </c>
      <c r="AD25" t="e">
        <f>'2.4.Функции'!JR69+"BYw!ki"</f>
        <v>#VALUE!</v>
      </c>
      <c r="AE25" t="e">
        <f>'2.4.Функции'!JS69+"BYw!kj"</f>
        <v>#VALUE!</v>
      </c>
      <c r="AF25" t="e">
        <f>'2.4.Функции'!JT69+"BYw!kk"</f>
        <v>#VALUE!</v>
      </c>
      <c r="AG25" t="e">
        <f>'2.4.Функции'!JU69+"BYw!kl"</f>
        <v>#VALUE!</v>
      </c>
      <c r="AH25" t="e">
        <f>'2.4.Функции'!JV69+"BYw!km"</f>
        <v>#VALUE!</v>
      </c>
      <c r="AI25" t="e">
        <f>'2.4.Функции'!JW69+"BYw!kn"</f>
        <v>#VALUE!</v>
      </c>
      <c r="AJ25" t="e">
        <f>'2.4.Функции'!JX69+"BYw!ko"</f>
        <v>#VALUE!</v>
      </c>
      <c r="AK25" t="e">
        <f>'2.4.Функции'!JY69+"BYw!kp"</f>
        <v>#VALUE!</v>
      </c>
      <c r="AL25" t="e">
        <f>'2.4.Функции'!JZ69+"BYw!kq"</f>
        <v>#VALUE!</v>
      </c>
      <c r="AM25" t="e">
        <f>'2.4.Функции'!KA69+"BYw!kr"</f>
        <v>#VALUE!</v>
      </c>
      <c r="AN25" t="e">
        <f>'2.4.Функции'!KB69+"BYw!ks"</f>
        <v>#VALUE!</v>
      </c>
      <c r="AO25" t="e">
        <f>'2.4.Функции'!KC69+"BYw!kt"</f>
        <v>#VALUE!</v>
      </c>
      <c r="AP25" t="e">
        <f>'2.4.Функции'!KD69+"BYw!ku"</f>
        <v>#VALUE!</v>
      </c>
      <c r="AQ25" t="e">
        <f>'2.4.Функции'!KE69+"BYw!kv"</f>
        <v>#VALUE!</v>
      </c>
      <c r="AR25" t="e">
        <f>'2.4.Функции'!KF69+"BYw!kw"</f>
        <v>#VALUE!</v>
      </c>
      <c r="AS25" t="e">
        <f>'2.4.Функции'!KG69+"BYw!kx"</f>
        <v>#VALUE!</v>
      </c>
      <c r="AT25" t="e">
        <f>'2.4.Функции'!KH69+"BYw!ky"</f>
        <v>#VALUE!</v>
      </c>
      <c r="AU25" t="e">
        <f>'2.4.Функции'!KI69+"BYw!kz"</f>
        <v>#VALUE!</v>
      </c>
      <c r="AV25" t="e">
        <f>'2.4.Функции'!KJ69+"BYw!k{"</f>
        <v>#VALUE!</v>
      </c>
      <c r="AW25" t="e">
        <f>'2.4.Функции'!KK69+"BYw!k|"</f>
        <v>#VALUE!</v>
      </c>
      <c r="AX25" t="e">
        <f>'2.4.Функции'!KL69+"BYw!k}"</f>
        <v>#VALUE!</v>
      </c>
      <c r="AY25" t="e">
        <f>'2.4.Функции'!KM69+"BYw!k~"</f>
        <v>#VALUE!</v>
      </c>
      <c r="AZ25" t="e">
        <f>'2.4.Функции'!KN69+"BYw!l#"</f>
        <v>#VALUE!</v>
      </c>
      <c r="BA25" t="e">
        <f>'2.4.Функции'!KO69+"BYw!l$"</f>
        <v>#VALUE!</v>
      </c>
      <c r="BB25" t="e">
        <f>'2.4.Функции'!KP69+"BYw!l%"</f>
        <v>#VALUE!</v>
      </c>
      <c r="BC25" t="e">
        <f>'2.4.Функции'!KQ69+"BYw!l&amp;"</f>
        <v>#VALUE!</v>
      </c>
      <c r="BD25" t="e">
        <f>'2.4.Функции'!KR69+"BYw!l'"</f>
        <v>#VALUE!</v>
      </c>
      <c r="BE25" t="e">
        <f>'2.4.Функции'!KS69+"BYw!l("</f>
        <v>#VALUE!</v>
      </c>
      <c r="BF25" t="e">
        <f>'2.4.Функции'!KT69+"BYw!l)"</f>
        <v>#VALUE!</v>
      </c>
      <c r="BG25" t="e">
        <f>'2.4.Функции'!KU69+"BYw!l."</f>
        <v>#VALUE!</v>
      </c>
      <c r="BH25" t="e">
        <f>'2.4.Функции'!KV69+"BYw!l/"</f>
        <v>#VALUE!</v>
      </c>
      <c r="BI25" t="e">
        <f>'2.4.Функции'!KW69+"BYw!l0"</f>
        <v>#VALUE!</v>
      </c>
      <c r="BJ25" t="e">
        <f>'2.4.Функции'!KX69+"BYw!l1"</f>
        <v>#VALUE!</v>
      </c>
      <c r="BK25" t="e">
        <f>'2.4.Функции'!KY69+"BYw!l2"</f>
        <v>#VALUE!</v>
      </c>
      <c r="BL25" t="e">
        <f>'2.4.Функции'!KZ69+"BYw!l3"</f>
        <v>#VALUE!</v>
      </c>
      <c r="BM25" t="e">
        <f>'2.4.Функции'!LA69+"BYw!l4"</f>
        <v>#VALUE!</v>
      </c>
      <c r="BN25" t="e">
        <f>'2.4.Функции'!LB69+"BYw!l5"</f>
        <v>#VALUE!</v>
      </c>
      <c r="BO25" t="e">
        <f>'2.4.Функции'!LC69+"BYw!l6"</f>
        <v>#VALUE!</v>
      </c>
      <c r="BP25" t="e">
        <f>'2.4.Функции'!LD69+"BYw!l7"</f>
        <v>#VALUE!</v>
      </c>
      <c r="BQ25" t="e">
        <f>'2.4.Функции'!LE69+"BYw!l8"</f>
        <v>#VALUE!</v>
      </c>
      <c r="BR25" t="e">
        <f>'2.4.Функции'!LF69+"BYw!l9"</f>
        <v>#VALUE!</v>
      </c>
      <c r="BS25" t="e">
        <f>'2.4.Функции'!LG69+"BYw!l:"</f>
        <v>#VALUE!</v>
      </c>
      <c r="BT25" t="e">
        <f>'2.4.Функции'!LH69+"BYw!l;"</f>
        <v>#VALUE!</v>
      </c>
      <c r="BU25" t="e">
        <f>'2.4.Функции'!LI69+"BYw!l&lt;"</f>
        <v>#VALUE!</v>
      </c>
      <c r="BV25" t="e">
        <f>'2.4.Функции'!LJ69+"BYw!l="</f>
        <v>#VALUE!</v>
      </c>
      <c r="BW25" t="e">
        <f>'2.4.Функции'!LK69+"BYw!l&gt;"</f>
        <v>#VALUE!</v>
      </c>
      <c r="BX25" t="e">
        <f>'2.4.Функции'!LL69+"BYw!l?"</f>
        <v>#VALUE!</v>
      </c>
      <c r="BY25" t="e">
        <f>'2.4.Функции'!LM69+"BYw!l@"</f>
        <v>#VALUE!</v>
      </c>
      <c r="BZ25" t="e">
        <f>'2.4.Функции'!LN69+"BYw!lA"</f>
        <v>#VALUE!</v>
      </c>
      <c r="CA25" t="e">
        <f>'2.4.Функции'!LO69+"BYw!lB"</f>
        <v>#VALUE!</v>
      </c>
      <c r="CB25" t="e">
        <f>'2.4.Функции'!LP69+"BYw!lC"</f>
        <v>#VALUE!</v>
      </c>
      <c r="CC25" t="e">
        <f>'2.4.Функции'!LQ69+"BYw!lD"</f>
        <v>#VALUE!</v>
      </c>
      <c r="CD25" t="e">
        <f>'2.4.Функции'!LR69+"BYw!lE"</f>
        <v>#VALUE!</v>
      </c>
      <c r="CE25" t="e">
        <f>'2.4.Функции'!LS69+"BYw!lF"</f>
        <v>#VALUE!</v>
      </c>
      <c r="CF25" t="e">
        <f>'2.4.Функции'!LT69+"BYw!lG"</f>
        <v>#VALUE!</v>
      </c>
      <c r="CG25" t="e">
        <f>'2.4.Функции'!LU69+"BYw!lH"</f>
        <v>#VALUE!</v>
      </c>
      <c r="CH25" t="e">
        <f>'2.4.Функции'!LV69+"BYw!lI"</f>
        <v>#VALUE!</v>
      </c>
      <c r="CI25" t="e">
        <f>'2.4.Функции'!LW69+"BYw!lJ"</f>
        <v>#VALUE!</v>
      </c>
      <c r="CJ25" t="e">
        <f>'2.4.Функции'!LX69+"BYw!lK"</f>
        <v>#VALUE!</v>
      </c>
      <c r="CK25" t="e">
        <f>'2.4.Функции'!LY69+"BYw!lL"</f>
        <v>#VALUE!</v>
      </c>
      <c r="CL25" t="e">
        <f>'2.4.Функции'!LZ69+"BYw!lM"</f>
        <v>#VALUE!</v>
      </c>
      <c r="CM25" t="e">
        <f>'2.4.Функции'!MA69+"BYw!lN"</f>
        <v>#VALUE!</v>
      </c>
      <c r="CN25" t="e">
        <f>'2.4.Функции'!MB69+"BYw!lO"</f>
        <v>#VALUE!</v>
      </c>
      <c r="CO25" t="e">
        <f>'2.4.Функции'!MC69+"BYw!lP"</f>
        <v>#VALUE!</v>
      </c>
      <c r="CP25" t="e">
        <f>'2.4.Функции'!MD69+"BYw!lQ"</f>
        <v>#VALUE!</v>
      </c>
      <c r="CQ25" t="e">
        <f>'2.4.Функции'!ME69+"BYw!lR"</f>
        <v>#VALUE!</v>
      </c>
      <c r="CR25" t="e">
        <f>'2.4.Функции'!MF69+"BYw!lS"</f>
        <v>#VALUE!</v>
      </c>
      <c r="CS25" t="e">
        <f>'2.4.Функции'!MG69+"BYw!lT"</f>
        <v>#VALUE!</v>
      </c>
      <c r="CT25" t="e">
        <f>'2.4.Функции'!MH69+"BYw!lU"</f>
        <v>#VALUE!</v>
      </c>
      <c r="CU25" t="e">
        <f>'2.4.Функции'!MI69+"BYw!lV"</f>
        <v>#VALUE!</v>
      </c>
      <c r="CV25" t="e">
        <f>'2.4.Функции'!MJ69+"BYw!lW"</f>
        <v>#VALUE!</v>
      </c>
      <c r="CW25" t="e">
        <f>'2.4.Функции'!MK69+"BYw!lX"</f>
        <v>#VALUE!</v>
      </c>
      <c r="CX25" t="e">
        <f>'2.4.Функции'!ML69+"BYw!lY"</f>
        <v>#VALUE!</v>
      </c>
      <c r="CY25" t="e">
        <f>'2.4.Функции'!MM69+"BYw!lZ"</f>
        <v>#VALUE!</v>
      </c>
      <c r="CZ25" t="e">
        <f>'2.4.Функции'!MN69+"BYw!l["</f>
        <v>#VALUE!</v>
      </c>
      <c r="DA25" t="e">
        <f>'2.4.Функции'!MO69+"BYw!l\"</f>
        <v>#VALUE!</v>
      </c>
      <c r="DB25" t="e">
        <f>'2.4.Функции'!MP69+"BYw!l]"</f>
        <v>#VALUE!</v>
      </c>
      <c r="DC25" t="e">
        <f>'2.4.Функции'!MQ69+"BYw!l^"</f>
        <v>#VALUE!</v>
      </c>
      <c r="DD25" t="e">
        <f>'2.4.Функции'!MR69+"BYw!l_"</f>
        <v>#VALUE!</v>
      </c>
      <c r="DE25" t="e">
        <f>'2.4.Функции'!MS69+"BYw!l`"</f>
        <v>#VALUE!</v>
      </c>
      <c r="DF25" t="e">
        <f>'2.4.Функции'!MT69+"BYw!la"</f>
        <v>#VALUE!</v>
      </c>
      <c r="DG25" t="e">
        <f>'2.4.Функции'!MU69+"BYw!lb"</f>
        <v>#VALUE!</v>
      </c>
      <c r="DH25" t="e">
        <f>'2.4.Функции'!MV69+"BYw!lc"</f>
        <v>#VALUE!</v>
      </c>
      <c r="DI25" t="e">
        <f>'2.4.Функции'!MW69+"BYw!ld"</f>
        <v>#VALUE!</v>
      </c>
      <c r="DJ25" t="e">
        <f>'2.4.Функции'!MX69+"BYw!le"</f>
        <v>#VALUE!</v>
      </c>
      <c r="DK25" t="e">
        <f>'2.4.Функции'!MY69+"BYw!lf"</f>
        <v>#VALUE!</v>
      </c>
      <c r="DL25" t="e">
        <f>'2.4.Функции'!MZ69+"BYw!lg"</f>
        <v>#VALUE!</v>
      </c>
      <c r="DM25" t="e">
        <f>'2.4.Функции'!NA69+"BYw!lh"</f>
        <v>#VALUE!</v>
      </c>
      <c r="DN25" t="e">
        <f>'2.4.Функции'!NB69+"BYw!li"</f>
        <v>#VALUE!</v>
      </c>
      <c r="DO25" t="e">
        <f>'2.4.Функции'!NC69+"BYw!lj"</f>
        <v>#VALUE!</v>
      </c>
      <c r="DP25" t="e">
        <f>'2.4.Функции'!ND69+"BYw!lk"</f>
        <v>#VALUE!</v>
      </c>
      <c r="DQ25" t="e">
        <f>'2.4.Функции'!NE69+"BYw!ll"</f>
        <v>#VALUE!</v>
      </c>
      <c r="DR25" t="e">
        <f>'2.4.Функции'!NF69+"BYw!lm"</f>
        <v>#VALUE!</v>
      </c>
      <c r="DS25" t="e">
        <f>'2.4.Функции'!NG69+"BYw!ln"</f>
        <v>#VALUE!</v>
      </c>
      <c r="DT25" t="e">
        <f>'2.4.Функции'!NH69+"BYw!lo"</f>
        <v>#VALUE!</v>
      </c>
      <c r="DU25" t="e">
        <f>'2.4.Функции'!NI69+"BYw!lp"</f>
        <v>#VALUE!</v>
      </c>
      <c r="DV25" t="e">
        <f>'2.4.Функции'!NJ69+"BYw!lq"</f>
        <v>#VALUE!</v>
      </c>
      <c r="DW25" t="e">
        <f>'2.4.Функции'!NK69+"BYw!lr"</f>
        <v>#VALUE!</v>
      </c>
      <c r="DX25" t="e">
        <f>'2.4.Функции'!NL69+"BYw!ls"</f>
        <v>#VALUE!</v>
      </c>
      <c r="DY25" t="e">
        <f>'2.4.Функции'!NM69+"BYw!lt"</f>
        <v>#VALUE!</v>
      </c>
      <c r="DZ25" t="e">
        <f>'2.4.Функции'!NN69+"BYw!lu"</f>
        <v>#VALUE!</v>
      </c>
      <c r="EA25" t="e">
        <f>'2.4.Функции'!NO69+"BYw!lv"</f>
        <v>#VALUE!</v>
      </c>
      <c r="EB25" t="e">
        <f>'2.4.Функции'!NP69+"BYw!lw"</f>
        <v>#VALUE!</v>
      </c>
      <c r="EC25" t="e">
        <f>'2.4.Функции'!NQ69+"BYw!lx"</f>
        <v>#VALUE!</v>
      </c>
      <c r="ED25" t="e">
        <f>'2.4.Функции'!NR69+"BYw!ly"</f>
        <v>#VALUE!</v>
      </c>
      <c r="EE25" t="e">
        <f>'2.4.Функции'!NS69+"BYw!lz"</f>
        <v>#VALUE!</v>
      </c>
      <c r="EF25" t="e">
        <f>'2.4.Функции'!NT69+"BYw!l{"</f>
        <v>#VALUE!</v>
      </c>
      <c r="EG25" t="e">
        <f>'2.4.Функции'!NU69+"BYw!l|"</f>
        <v>#VALUE!</v>
      </c>
      <c r="EH25" t="e">
        <f>'2.4.Функции'!NV69+"BYw!l}"</f>
        <v>#VALUE!</v>
      </c>
      <c r="EI25" t="e">
        <f>'2.4.Функции'!NW69+"BYw!l~"</f>
        <v>#VALUE!</v>
      </c>
      <c r="EJ25" t="e">
        <f>'2.4.Функции'!NX69+"BYw!m#"</f>
        <v>#VALUE!</v>
      </c>
      <c r="EK25" t="e">
        <f>'2.4.Функции'!NY69+"BYw!m$"</f>
        <v>#VALUE!</v>
      </c>
      <c r="EL25" t="e">
        <f>'2.4.Функции'!NZ69+"BYw!m%"</f>
        <v>#VALUE!</v>
      </c>
      <c r="EM25" t="e">
        <f>'2.4.Функции'!OA69+"BYw!m&amp;"</f>
        <v>#VALUE!</v>
      </c>
      <c r="EN25" t="e">
        <f>'2.4.Функции'!OB69+"BYw!m'"</f>
        <v>#VALUE!</v>
      </c>
      <c r="EO25" t="e">
        <f>'2.4.Функции'!OC69+"BYw!m("</f>
        <v>#VALUE!</v>
      </c>
      <c r="EP25" t="e">
        <f>'2.4.Функции'!OD69+"BYw!m)"</f>
        <v>#VALUE!</v>
      </c>
      <c r="EQ25" t="e">
        <f>'2.4.Функции'!OE69+"BYw!m."</f>
        <v>#VALUE!</v>
      </c>
      <c r="ER25" t="e">
        <f>'2.4.Функции'!OF69+"BYw!m/"</f>
        <v>#VALUE!</v>
      </c>
      <c r="ES25" t="e">
        <f>'2.4.Функции'!OG69+"BYw!m0"</f>
        <v>#VALUE!</v>
      </c>
      <c r="ET25" t="e">
        <f>'2.4.Функции'!OH69+"BYw!m1"</f>
        <v>#VALUE!</v>
      </c>
      <c r="EU25" t="e">
        <f>'2.4.Функции'!OI69+"BYw!m2"</f>
        <v>#VALUE!</v>
      </c>
      <c r="EV25" t="e">
        <f>'2.4.Функции'!OJ69+"BYw!m3"</f>
        <v>#VALUE!</v>
      </c>
      <c r="EW25" t="e">
        <f>'2.4.Функции'!OK69+"BYw!m4"</f>
        <v>#VALUE!</v>
      </c>
      <c r="EX25" t="e">
        <f>'2.4.Функции'!OL69+"BYw!m5"</f>
        <v>#VALUE!</v>
      </c>
      <c r="EY25" t="e">
        <f>'2.4.Функции'!OM69+"BYw!m6"</f>
        <v>#VALUE!</v>
      </c>
      <c r="EZ25" t="e">
        <f>'2.4.Функции'!ON69+"BYw!m7"</f>
        <v>#VALUE!</v>
      </c>
      <c r="FA25" t="e">
        <f>'2.4.Функции'!OO69+"BYw!m8"</f>
        <v>#VALUE!</v>
      </c>
      <c r="FB25" t="e">
        <f>'2.4.Функции'!OP69+"BYw!m9"</f>
        <v>#VALUE!</v>
      </c>
      <c r="FC25" t="e">
        <f>'2.4.Функции'!OQ69+"BYw!m:"</f>
        <v>#VALUE!</v>
      </c>
      <c r="FD25" t="e">
        <f>'2.4.Функции'!OR69+"BYw!m;"</f>
        <v>#VALUE!</v>
      </c>
      <c r="FE25" t="e">
        <f>'2.4.Функции'!OS69+"BYw!m&lt;"</f>
        <v>#VALUE!</v>
      </c>
      <c r="FF25" t="e">
        <f>'2.4.Функции'!OT69+"BYw!m="</f>
        <v>#VALUE!</v>
      </c>
      <c r="FG25" t="e">
        <f>'2.4.Функции'!OU69+"BYw!m&gt;"</f>
        <v>#VALUE!</v>
      </c>
      <c r="FH25" t="e">
        <f>'2.4.Функции'!OV69+"BYw!m?"</f>
        <v>#VALUE!</v>
      </c>
      <c r="FI25" t="e">
        <f>'2.4.Функции'!OW69+"BYw!m@"</f>
        <v>#VALUE!</v>
      </c>
      <c r="FJ25" t="e">
        <f>'2.4.Функции'!OX69+"BYw!mA"</f>
        <v>#VALUE!</v>
      </c>
      <c r="FK25" t="e">
        <f>'2.4.Функции'!OY69+"BYw!mB"</f>
        <v>#VALUE!</v>
      </c>
      <c r="FL25" t="e">
        <f>'2.4.Функции'!OZ69+"BYw!mC"</f>
        <v>#VALUE!</v>
      </c>
      <c r="FM25" t="e">
        <f>'2.4.Функции'!PA69+"BYw!mD"</f>
        <v>#VALUE!</v>
      </c>
      <c r="FN25" t="e">
        <f>'2.4.Функции'!PB69+"BYw!mE"</f>
        <v>#VALUE!</v>
      </c>
      <c r="FO25" t="e">
        <f>'2.4.Функции'!PC69+"BYw!mF"</f>
        <v>#VALUE!</v>
      </c>
      <c r="FP25" t="e">
        <f>'2.4.Функции'!PD69+"BYw!mG"</f>
        <v>#VALUE!</v>
      </c>
      <c r="FQ25" t="e">
        <f>'2.4.Функции'!PE69+"BYw!mH"</f>
        <v>#VALUE!</v>
      </c>
      <c r="FR25" t="e">
        <f>'2.4.Функции'!PF69+"BYw!mI"</f>
        <v>#VALUE!</v>
      </c>
      <c r="FS25" t="e">
        <f>'2.4.Функции'!PG69+"BYw!mJ"</f>
        <v>#VALUE!</v>
      </c>
      <c r="FT25" t="e">
        <f>'2.4.Функции'!PH69+"BYw!mK"</f>
        <v>#VALUE!</v>
      </c>
      <c r="FU25" t="e">
        <f>'2.4.Функции'!PI69+"BYw!mL"</f>
        <v>#VALUE!</v>
      </c>
      <c r="FV25" t="e">
        <f>'2.4.Функции'!PJ69+"BYw!mM"</f>
        <v>#VALUE!</v>
      </c>
      <c r="FW25" t="e">
        <f>'2.4.Функции'!PK69+"BYw!mN"</f>
        <v>#VALUE!</v>
      </c>
      <c r="FX25" t="e">
        <f>'2.4.Функции'!PL69+"BYw!mO"</f>
        <v>#VALUE!</v>
      </c>
      <c r="FY25" t="e">
        <f>'2.4.Функции'!PM69+"BYw!mP"</f>
        <v>#VALUE!</v>
      </c>
      <c r="FZ25" t="e">
        <f>'2.4.Функции'!PN69+"BYw!mQ"</f>
        <v>#VALUE!</v>
      </c>
      <c r="GA25" t="e">
        <f>'2.4.Функции'!PO69+"BYw!mR"</f>
        <v>#VALUE!</v>
      </c>
      <c r="GB25" t="e">
        <f>'2.4.Функции'!PP69+"BYw!mS"</f>
        <v>#VALUE!</v>
      </c>
      <c r="GC25" t="e">
        <f>'2.4.Функции'!PQ69+"BYw!mT"</f>
        <v>#VALUE!</v>
      </c>
      <c r="GD25" t="e">
        <f>'2.4.Функции'!PR69+"BYw!mU"</f>
        <v>#VALUE!</v>
      </c>
      <c r="GE25" t="e">
        <f>'2.4.Функции'!PS69+"BYw!mV"</f>
        <v>#VALUE!</v>
      </c>
      <c r="GF25" t="e">
        <f>'2.4.Функции'!PT69+"BYw!mW"</f>
        <v>#VALUE!</v>
      </c>
      <c r="GG25" t="e">
        <f>'2.4.Функции'!PU69+"BYw!mX"</f>
        <v>#VALUE!</v>
      </c>
      <c r="GH25" t="e">
        <f>'2.4.Функции'!PV69+"BYw!mY"</f>
        <v>#VALUE!</v>
      </c>
      <c r="GI25" t="e">
        <f>'2.4.Функции'!PW69+"BYw!mZ"</f>
        <v>#VALUE!</v>
      </c>
      <c r="GJ25" t="e">
        <f>'2.4.Функции'!PX69+"BYw!m["</f>
        <v>#VALUE!</v>
      </c>
      <c r="GK25" t="e">
        <f>'2.4.Функции'!PY69+"BYw!m\"</f>
        <v>#VALUE!</v>
      </c>
      <c r="GL25" t="e">
        <f>'2.4.Функции'!PZ69+"BYw!m]"</f>
        <v>#VALUE!</v>
      </c>
      <c r="GM25" t="e">
        <f>'2.4.Функции'!QA69+"BYw!m^"</f>
        <v>#VALUE!</v>
      </c>
      <c r="GN25" t="e">
        <f>'2.4.Функции'!QB69+"BYw!m_"</f>
        <v>#VALUE!</v>
      </c>
      <c r="GO25" t="e">
        <f>'2.4.Функции'!QC69+"BYw!m`"</f>
        <v>#VALUE!</v>
      </c>
      <c r="GP25" t="e">
        <f>'2.4.Функции'!QD69+"BYw!ma"</f>
        <v>#VALUE!</v>
      </c>
      <c r="GQ25" t="e">
        <f>'2.4.Функции'!QE69+"BYw!mb"</f>
        <v>#VALUE!</v>
      </c>
      <c r="GR25" t="e">
        <f>'2.4.Функции'!QF69+"BYw!mc"</f>
        <v>#VALUE!</v>
      </c>
      <c r="GS25" t="e">
        <f>'2.4.Функции'!QG69+"BYw!md"</f>
        <v>#VALUE!</v>
      </c>
      <c r="GT25" t="e">
        <f>'2.4.Функции'!QH69+"BYw!me"</f>
        <v>#VALUE!</v>
      </c>
      <c r="GU25" t="e">
        <f>'2.4.Функции'!QI69+"BYw!mf"</f>
        <v>#VALUE!</v>
      </c>
      <c r="GV25" t="e">
        <f>'2.4.Функции'!QJ69+"BYw!mg"</f>
        <v>#VALUE!</v>
      </c>
      <c r="GW25" t="e">
        <f>'2.4.Функции'!QK69+"BYw!mh"</f>
        <v>#VALUE!</v>
      </c>
      <c r="GX25" t="e">
        <f>'2.4.Функции'!QL69+"BYw!mi"</f>
        <v>#VALUE!</v>
      </c>
      <c r="GY25" t="e">
        <f>'2.4.Функции'!QM69+"BYw!mj"</f>
        <v>#VALUE!</v>
      </c>
      <c r="GZ25" t="e">
        <f>'2.4.Функции'!QN69+"BYw!mk"</f>
        <v>#VALUE!</v>
      </c>
      <c r="HA25" t="e">
        <f>'2.4.Функции'!QO69+"BYw!ml"</f>
        <v>#VALUE!</v>
      </c>
      <c r="HB25" t="e">
        <f>'2.4.Функции'!QP69+"BYw!mm"</f>
        <v>#VALUE!</v>
      </c>
      <c r="HC25" t="e">
        <f>'2.4.Функции'!QQ69+"BYw!mn"</f>
        <v>#VALUE!</v>
      </c>
      <c r="HD25" t="e">
        <f>'2.4.Функции'!QR69+"BYw!mo"</f>
        <v>#VALUE!</v>
      </c>
      <c r="HE25" t="e">
        <f>'2.4.Функции'!QS69+"BYw!mp"</f>
        <v>#VALUE!</v>
      </c>
      <c r="HF25" t="e">
        <f>'2.4.Функции'!QT69+"BYw!mq"</f>
        <v>#VALUE!</v>
      </c>
      <c r="HG25" t="e">
        <f>'2.4.Функции'!QU69+"BYw!mr"</f>
        <v>#VALUE!</v>
      </c>
      <c r="HH25" t="e">
        <f>'2.4.Функции'!QV69+"BYw!ms"</f>
        <v>#VALUE!</v>
      </c>
      <c r="HI25" t="e">
        <f>'2.4.Функции'!QW69+"BYw!mt"</f>
        <v>#VALUE!</v>
      </c>
      <c r="HJ25" t="e">
        <f>'2.4.Функции'!QX69+"BYw!mu"</f>
        <v>#VALUE!</v>
      </c>
      <c r="HK25" t="e">
        <f>'2.4.Функции'!QY69+"BYw!mv"</f>
        <v>#VALUE!</v>
      </c>
      <c r="HL25" t="e">
        <f>'2.4.Функции'!QZ69+"BYw!mw"</f>
        <v>#VALUE!</v>
      </c>
      <c r="HM25" t="e">
        <f>'2.4.Функции'!RA69+"BYw!mx"</f>
        <v>#VALUE!</v>
      </c>
      <c r="HN25" t="e">
        <f>'2.4.Функции'!RB69+"BYw!my"</f>
        <v>#VALUE!</v>
      </c>
      <c r="HO25" t="e">
        <f>'2.4.Функции'!RC69+"BYw!mz"</f>
        <v>#VALUE!</v>
      </c>
      <c r="HP25" t="e">
        <f>'2.4.Функции'!RD69+"BYw!m{"</f>
        <v>#VALUE!</v>
      </c>
      <c r="HQ25" t="e">
        <f>'2.4.Функции'!RE69+"BYw!m|"</f>
        <v>#VALUE!</v>
      </c>
      <c r="HR25" t="e">
        <f>'2.4.Функции'!RF69+"BYw!m}"</f>
        <v>#VALUE!</v>
      </c>
      <c r="HS25" t="e">
        <f>'2.4.Функции'!RG69+"BYw!m~"</f>
        <v>#VALUE!</v>
      </c>
      <c r="HT25" t="e">
        <f>'2.4.Функции'!RH69+"BYw!n#"</f>
        <v>#VALUE!</v>
      </c>
      <c r="HU25" t="e">
        <f>'2.4.Функции'!RI69+"BYw!n$"</f>
        <v>#VALUE!</v>
      </c>
      <c r="HV25" t="e">
        <f>'2.4.Функции'!RJ69+"BYw!n%"</f>
        <v>#VALUE!</v>
      </c>
      <c r="HW25" t="e">
        <f>'2.4.Функции'!RK69+"BYw!n&amp;"</f>
        <v>#VALUE!</v>
      </c>
      <c r="HX25" t="e">
        <f>'2.4.Функции'!RL69+"BYw!n'"</f>
        <v>#VALUE!</v>
      </c>
      <c r="HY25" t="e">
        <f>'2.4.Функции'!RM69+"BYw!n("</f>
        <v>#VALUE!</v>
      </c>
      <c r="HZ25" t="e">
        <f>'2.4.Функции'!RN69+"BYw!n)"</f>
        <v>#VALUE!</v>
      </c>
      <c r="IA25" t="e">
        <f>'2.4.Функции'!RO69+"BYw!n."</f>
        <v>#VALUE!</v>
      </c>
      <c r="IB25" t="e">
        <f>'2.4.Функции'!RP69+"BYw!n/"</f>
        <v>#VALUE!</v>
      </c>
      <c r="IC25" t="e">
        <f>'2.4.Функции'!RQ69+"BYw!n0"</f>
        <v>#VALUE!</v>
      </c>
      <c r="ID25" t="e">
        <f>'2.4.Функции'!RR69+"BYw!n1"</f>
        <v>#VALUE!</v>
      </c>
      <c r="IE25" t="e">
        <f>'2.4.Функции'!RS69+"BYw!n2"</f>
        <v>#VALUE!</v>
      </c>
      <c r="IF25" t="e">
        <f>'2.4.Функции'!RT69+"BYw!n3"</f>
        <v>#VALUE!</v>
      </c>
      <c r="IG25" t="e">
        <f>'2.4.Функции'!RU69+"BYw!n4"</f>
        <v>#VALUE!</v>
      </c>
      <c r="IH25" t="e">
        <f>'2.4.Функции'!RV69+"BYw!n5"</f>
        <v>#VALUE!</v>
      </c>
      <c r="II25" t="e">
        <f>'2.4.Функции'!RW69+"BYw!n6"</f>
        <v>#VALUE!</v>
      </c>
      <c r="IJ25" t="e">
        <f>'2.4.Функции'!RX69+"BYw!n7"</f>
        <v>#VALUE!</v>
      </c>
      <c r="IK25" t="e">
        <f>'2.4.Функции'!RY69+"BYw!n8"</f>
        <v>#VALUE!</v>
      </c>
      <c r="IL25" t="e">
        <f>'2.4.Функции'!RZ69+"BYw!n9"</f>
        <v>#VALUE!</v>
      </c>
      <c r="IM25" t="e">
        <f>'2.4.Функции'!SA69+"BYw!n:"</f>
        <v>#VALUE!</v>
      </c>
      <c r="IN25" t="e">
        <f>'2.4.Функции'!SB69+"BYw!n;"</f>
        <v>#VALUE!</v>
      </c>
      <c r="IO25" t="e">
        <f>'2.4.Функции'!SC69+"BYw!n&lt;"</f>
        <v>#VALUE!</v>
      </c>
      <c r="IP25" t="e">
        <f>'2.4.Функции'!SD69+"BYw!n="</f>
        <v>#VALUE!</v>
      </c>
      <c r="IQ25" t="e">
        <f>'2.4.Функции'!SE69+"BYw!n&gt;"</f>
        <v>#VALUE!</v>
      </c>
      <c r="IR25" t="e">
        <f>'2.4.Функции'!SF69+"BYw!n?"</f>
        <v>#VALUE!</v>
      </c>
      <c r="IS25" t="e">
        <f>'2.4.Функции'!SG69+"BYw!n@"</f>
        <v>#VALUE!</v>
      </c>
      <c r="IT25" t="e">
        <f>'2.4.Функции'!SH69+"BYw!nA"</f>
        <v>#VALUE!</v>
      </c>
      <c r="IU25" t="e">
        <f>'2.4.Функции'!SI69+"BYw!nB"</f>
        <v>#VALUE!</v>
      </c>
      <c r="IV25" t="e">
        <f>'2.4.Функции'!SJ69+"BYw!nC"</f>
        <v>#VALUE!</v>
      </c>
    </row>
    <row r="26" spans="6:256" x14ac:dyDescent="0.2">
      <c r="F26" t="e">
        <f>'2.4.Функции'!SK69+"BYw!nD"</f>
        <v>#VALUE!</v>
      </c>
      <c r="G26" t="e">
        <f>'2.4.Функции'!SL69+"BYw!nE"</f>
        <v>#VALUE!</v>
      </c>
      <c r="H26" t="e">
        <f>'2.4.Функции'!SM69+"BYw!nF"</f>
        <v>#VALUE!</v>
      </c>
      <c r="I26" t="e">
        <f>'2.4.Функции'!SN69+"BYw!nG"</f>
        <v>#VALUE!</v>
      </c>
      <c r="J26" t="e">
        <f>'2.4.Функции'!SO69+"BYw!nH"</f>
        <v>#VALUE!</v>
      </c>
      <c r="K26" t="e">
        <f>'2.4.Функции'!SP69+"BYw!nI"</f>
        <v>#VALUE!</v>
      </c>
      <c r="L26" t="e">
        <f>'2.4.Функции'!SQ69+"BYw!nJ"</f>
        <v>#VALUE!</v>
      </c>
      <c r="M26" t="e">
        <f>'2.4.Функции'!SR69+"BYw!nK"</f>
        <v>#VALUE!</v>
      </c>
      <c r="N26" t="e">
        <f>'2.4.Функции'!SS69+"BYw!nL"</f>
        <v>#VALUE!</v>
      </c>
      <c r="O26" t="e">
        <f>'2.4.Функции'!ST69+"BYw!nM"</f>
        <v>#VALUE!</v>
      </c>
      <c r="P26" t="e">
        <f>'2.4.Функции'!SU69+"BYw!nN"</f>
        <v>#VALUE!</v>
      </c>
      <c r="Q26" t="e">
        <f>'2.4.Функции'!SV69+"BYw!nO"</f>
        <v>#VALUE!</v>
      </c>
      <c r="R26" t="e">
        <f>'2.4.Функции'!SW69+"BYw!nP"</f>
        <v>#VALUE!</v>
      </c>
      <c r="S26" t="e">
        <f>'2.4.Функции'!SX69+"BYw!nQ"</f>
        <v>#VALUE!</v>
      </c>
      <c r="T26" t="e">
        <f>'2.4.Функции'!SY69+"BYw!nR"</f>
        <v>#VALUE!</v>
      </c>
      <c r="U26" t="e">
        <f>'2.4.Функции'!SZ69+"BYw!nS"</f>
        <v>#VALUE!</v>
      </c>
      <c r="V26" t="e">
        <f>'2.4.Функции'!TA69+"BYw!nT"</f>
        <v>#VALUE!</v>
      </c>
      <c r="W26" t="e">
        <f>'2.4.Функции'!TB69+"BYw!nU"</f>
        <v>#VALUE!</v>
      </c>
      <c r="X26" t="e">
        <f>'2.4.Функции'!TC69+"BYw!nV"</f>
        <v>#VALUE!</v>
      </c>
      <c r="Y26" t="e">
        <f>'2.4.Функции'!TD69+"BYw!nW"</f>
        <v>#VALUE!</v>
      </c>
      <c r="Z26" t="e">
        <f>'2.4.Функции'!TE69+"BYw!nX"</f>
        <v>#VALUE!</v>
      </c>
      <c r="AA26" t="e">
        <f>'2.4.Функции'!TF69+"BYw!nY"</f>
        <v>#VALUE!</v>
      </c>
      <c r="AB26" t="e">
        <f>'2.4.Функции'!TG69+"BYw!nZ"</f>
        <v>#VALUE!</v>
      </c>
      <c r="AC26" t="e">
        <f>'2.4.Функции'!TH69+"BYw!n["</f>
        <v>#VALUE!</v>
      </c>
      <c r="AD26" t="e">
        <f>'2.4.Функции'!TI69+"BYw!n\"</f>
        <v>#VALUE!</v>
      </c>
      <c r="AE26" t="e">
        <f>'2.4.Функции'!TJ69+"BYw!n]"</f>
        <v>#VALUE!</v>
      </c>
      <c r="AF26" t="e">
        <f>'2.4.Функции'!TK69+"BYw!n^"</f>
        <v>#VALUE!</v>
      </c>
      <c r="AG26" t="e">
        <f>'2.4.Функции'!TL69+"BYw!n_"</f>
        <v>#VALUE!</v>
      </c>
      <c r="AH26" t="e">
        <f>'2.4.Функции'!TM69+"BYw!n`"</f>
        <v>#VALUE!</v>
      </c>
      <c r="AI26" t="e">
        <f>'2.4.Функции'!TN69+"BYw!na"</f>
        <v>#VALUE!</v>
      </c>
      <c r="AJ26" t="e">
        <f>'2.4.Функции'!TO69+"BYw!nb"</f>
        <v>#VALUE!</v>
      </c>
      <c r="AK26" t="e">
        <f>'2.4.Функции'!TP69+"BYw!nc"</f>
        <v>#VALUE!</v>
      </c>
      <c r="AL26" t="e">
        <f>'2.4.Функции'!TQ69+"BYw!nd"</f>
        <v>#VALUE!</v>
      </c>
      <c r="AM26" t="e">
        <f>'2.4.Функции'!TR69+"BYw!ne"</f>
        <v>#VALUE!</v>
      </c>
      <c r="AN26" t="e">
        <f>'2.4.Функции'!TS69+"BYw!nf"</f>
        <v>#VALUE!</v>
      </c>
      <c r="AO26" t="e">
        <f>'2.4.Функции'!TT69+"BYw!ng"</f>
        <v>#VALUE!</v>
      </c>
      <c r="AP26" t="e">
        <f>'2.4.Функции'!TU69+"BYw!nh"</f>
        <v>#VALUE!</v>
      </c>
      <c r="AQ26" t="e">
        <f>'2.4.Функции'!TV69+"BYw!ni"</f>
        <v>#VALUE!</v>
      </c>
      <c r="AR26" t="e">
        <f>'2.4.Функции'!TW69+"BYw!nj"</f>
        <v>#VALUE!</v>
      </c>
      <c r="AS26" t="e">
        <f>'2.4.Функции'!TX69+"BYw!nk"</f>
        <v>#VALUE!</v>
      </c>
      <c r="AT26" t="e">
        <f>'2.4.Функции'!TY69+"BYw!nl"</f>
        <v>#VALUE!</v>
      </c>
      <c r="AU26" t="e">
        <f>'2.4.Функции'!TZ69+"BYw!nm"</f>
        <v>#VALUE!</v>
      </c>
      <c r="AV26" t="e">
        <f>'2.4.Функции'!UA69+"BYw!nn"</f>
        <v>#VALUE!</v>
      </c>
      <c r="AW26" t="e">
        <f>'2.4.Функции'!UB69+"BYw!no"</f>
        <v>#VALUE!</v>
      </c>
      <c r="AX26" t="e">
        <f>'2.4.Функции'!UC69+"BYw!np"</f>
        <v>#VALUE!</v>
      </c>
      <c r="AY26" t="e">
        <f>'2.4.Функции'!UD69+"BYw!nq"</f>
        <v>#VALUE!</v>
      </c>
      <c r="AZ26" t="e">
        <f>'2.4.Функции'!UE69+"BYw!nr"</f>
        <v>#VALUE!</v>
      </c>
      <c r="BA26" t="e">
        <f>'2.4.Функции'!UF69+"BYw!ns"</f>
        <v>#VALUE!</v>
      </c>
      <c r="BB26" t="e">
        <f>'2.4.Функции'!UG69+"BYw!nt"</f>
        <v>#VALUE!</v>
      </c>
      <c r="BC26" t="e">
        <f>'2.4.Функции'!UH69+"BYw!nu"</f>
        <v>#VALUE!</v>
      </c>
      <c r="BD26" t="e">
        <f>'2.4.Функции'!UI69+"BYw!nv"</f>
        <v>#VALUE!</v>
      </c>
      <c r="BE26" t="e">
        <f>'2.4.Функции'!UJ69+"BYw!nw"</f>
        <v>#VALUE!</v>
      </c>
      <c r="BF26" t="e">
        <f>'2.4.Функции'!UK69+"BYw!nx"</f>
        <v>#VALUE!</v>
      </c>
      <c r="BG26" t="e">
        <f>'2.4.Функции'!UL69+"BYw!ny"</f>
        <v>#VALUE!</v>
      </c>
      <c r="BH26" t="e">
        <f>'2.4.Функции'!UM69+"BYw!nz"</f>
        <v>#VALUE!</v>
      </c>
      <c r="BI26" t="e">
        <f>'2.4.Функции'!UN69+"BYw!n{"</f>
        <v>#VALUE!</v>
      </c>
      <c r="BJ26" t="e">
        <f>'2.4.Функции'!UO69+"BYw!n|"</f>
        <v>#VALUE!</v>
      </c>
      <c r="BK26" t="e">
        <f>'2.4.Функции'!UP69+"BYw!n}"</f>
        <v>#VALUE!</v>
      </c>
      <c r="BL26" t="e">
        <f>'2.4.Функции'!UQ69+"BYw!n~"</f>
        <v>#VALUE!</v>
      </c>
      <c r="BM26" t="e">
        <f>'2.4.Функции'!UR69+"BYw!o#"</f>
        <v>#VALUE!</v>
      </c>
      <c r="BN26" t="e">
        <f>'2.4.Функции'!US69+"BYw!o$"</f>
        <v>#VALUE!</v>
      </c>
      <c r="BO26" t="e">
        <f>'2.4.Функции'!UT69+"BYw!o%"</f>
        <v>#VALUE!</v>
      </c>
      <c r="BP26" t="e">
        <f>'2.4.Функции'!UU69+"BYw!o&amp;"</f>
        <v>#VALUE!</v>
      </c>
      <c r="BQ26" t="e">
        <f>'2.4.Функции'!UV69+"BYw!o'"</f>
        <v>#VALUE!</v>
      </c>
      <c r="BR26" t="e">
        <f>'2.4.Функции'!UW69+"BYw!o("</f>
        <v>#VALUE!</v>
      </c>
      <c r="BS26" t="e">
        <f>'2.4.Функции'!UX69+"BYw!o)"</f>
        <v>#VALUE!</v>
      </c>
      <c r="BT26" t="e">
        <f>'2.4.Функции'!UY69+"BYw!o."</f>
        <v>#VALUE!</v>
      </c>
      <c r="BU26" t="e">
        <f>'2.4.Функции'!UZ69+"BYw!o/"</f>
        <v>#VALUE!</v>
      </c>
      <c r="BV26" t="e">
        <f>'2.4.Функции'!VA69+"BYw!o0"</f>
        <v>#VALUE!</v>
      </c>
      <c r="BW26" t="e">
        <f>'2.4.Функции'!VB69+"BYw!o1"</f>
        <v>#VALUE!</v>
      </c>
      <c r="BX26" t="e">
        <f>'2.4.Функции'!VC69+"BYw!o2"</f>
        <v>#VALUE!</v>
      </c>
      <c r="BY26" t="e">
        <f>'2.4.Функции'!VD69+"BYw!o3"</f>
        <v>#VALUE!</v>
      </c>
      <c r="BZ26" t="e">
        <f>'2.4.Функции'!VE69+"BYw!o4"</f>
        <v>#VALUE!</v>
      </c>
      <c r="CA26" t="e">
        <f>'2.4.Функции'!VF69+"BYw!o5"</f>
        <v>#VALUE!</v>
      </c>
      <c r="CB26" t="e">
        <f>'2.4.Функции'!VG69+"BYw!o6"</f>
        <v>#VALUE!</v>
      </c>
      <c r="CC26" t="e">
        <f>'2.4.Функции'!VH69+"BYw!o7"</f>
        <v>#VALUE!</v>
      </c>
      <c r="CD26" t="e">
        <f>'2.4.Функции'!VI69+"BYw!o8"</f>
        <v>#VALUE!</v>
      </c>
      <c r="CE26" t="e">
        <f>'2.4.Функции'!VJ69+"BYw!o9"</f>
        <v>#VALUE!</v>
      </c>
      <c r="CF26" t="e">
        <f>'2.4.Функции'!VK69+"BYw!o:"</f>
        <v>#VALUE!</v>
      </c>
      <c r="CG26" t="e">
        <f>'2.4.Функции'!VL69+"BYw!o;"</f>
        <v>#VALUE!</v>
      </c>
      <c r="CH26" t="e">
        <f>'2.4.Функции'!VM69+"BYw!o&lt;"</f>
        <v>#VALUE!</v>
      </c>
      <c r="CI26" t="e">
        <f>'2.4.Функции'!VN69+"BYw!o="</f>
        <v>#VALUE!</v>
      </c>
      <c r="CJ26" t="e">
        <f>'2.4.Функции'!VO69+"BYw!o&gt;"</f>
        <v>#VALUE!</v>
      </c>
      <c r="CK26" t="e">
        <f>'2.4.Функции'!VP69+"BYw!o?"</f>
        <v>#VALUE!</v>
      </c>
      <c r="CL26" t="e">
        <f>'2.4.Функции'!VQ69+"BYw!o@"</f>
        <v>#VALUE!</v>
      </c>
      <c r="CM26" t="e">
        <f>'2.4.Функции'!VR69+"BYw!oA"</f>
        <v>#VALUE!</v>
      </c>
      <c r="CN26" t="e">
        <f>'2.4.Функции'!VS69+"BYw!oB"</f>
        <v>#VALUE!</v>
      </c>
      <c r="CO26" t="e">
        <f>'2.4.Функции'!VT69+"BYw!oC"</f>
        <v>#VALUE!</v>
      </c>
      <c r="CP26" t="e">
        <f>'2.4.Функции'!VU69+"BYw!oD"</f>
        <v>#VALUE!</v>
      </c>
      <c r="CQ26" t="e">
        <f>'2.4.Функции'!VV69+"BYw!oE"</f>
        <v>#VALUE!</v>
      </c>
      <c r="CR26" t="e">
        <f>'2.4.Функции'!VW69+"BYw!oF"</f>
        <v>#VALUE!</v>
      </c>
      <c r="CS26" t="e">
        <f>'2.4.Функции'!VX69+"BYw!oG"</f>
        <v>#VALUE!</v>
      </c>
      <c r="CT26" t="e">
        <f>'2.4.Функции'!VY69+"BYw!oH"</f>
        <v>#VALUE!</v>
      </c>
      <c r="CU26" t="e">
        <f>'2.4.Функции'!VZ69+"BYw!oI"</f>
        <v>#VALUE!</v>
      </c>
      <c r="CV26" t="e">
        <f>'2.4.Функции'!WA69+"BYw!oJ"</f>
        <v>#VALUE!</v>
      </c>
      <c r="CW26" t="e">
        <f>'2.4.Функции'!WB69+"BYw!oK"</f>
        <v>#VALUE!</v>
      </c>
      <c r="CX26" t="e">
        <f>'2.4.Функции'!WC69+"BYw!oL"</f>
        <v>#VALUE!</v>
      </c>
      <c r="CY26" t="e">
        <f>'2.4.Функции'!WD69+"BYw!oM"</f>
        <v>#VALUE!</v>
      </c>
      <c r="CZ26" t="e">
        <f>'2.4.Функции'!WE69+"BYw!oN"</f>
        <v>#VALUE!</v>
      </c>
      <c r="DA26" t="e">
        <f>'2.4.Функции'!WF69+"BYw!oO"</f>
        <v>#VALUE!</v>
      </c>
      <c r="DB26" t="e">
        <f>'2.4.Функции'!WG69+"BYw!oP"</f>
        <v>#VALUE!</v>
      </c>
      <c r="DC26" t="e">
        <f>'2.4.Функции'!WH69+"BYw!oQ"</f>
        <v>#VALUE!</v>
      </c>
      <c r="DD26" t="e">
        <f>'2.4.Функции'!WI69+"BYw!oR"</f>
        <v>#VALUE!</v>
      </c>
      <c r="DE26" t="e">
        <f>'2.4.Функции'!WJ69+"BYw!oS"</f>
        <v>#VALUE!</v>
      </c>
      <c r="DF26" t="e">
        <f>'2.4.Функции'!WK69+"BYw!oT"</f>
        <v>#VALUE!</v>
      </c>
      <c r="DG26" t="e">
        <f>'2.4.Функции'!WL69+"BYw!oU"</f>
        <v>#VALUE!</v>
      </c>
      <c r="DH26" t="e">
        <f>'2.4.Функции'!WM69+"BYw!oV"</f>
        <v>#VALUE!</v>
      </c>
      <c r="DI26" t="e">
        <f>'2.4.Функции'!WN69+"BYw!oW"</f>
        <v>#VALUE!</v>
      </c>
      <c r="DJ26" t="e">
        <f>'2.4.Функции'!WO69+"BYw!oX"</f>
        <v>#VALUE!</v>
      </c>
      <c r="DK26" t="e">
        <f>'2.4.Функции'!WP69+"BYw!oY"</f>
        <v>#VALUE!</v>
      </c>
      <c r="DL26" t="e">
        <f>'2.4.Функции'!WQ69+"BYw!oZ"</f>
        <v>#VALUE!</v>
      </c>
      <c r="DM26" t="e">
        <f>'2.4.Функции'!WR69+"BYw!o["</f>
        <v>#VALUE!</v>
      </c>
      <c r="DN26" t="e">
        <f>'2.4.Функции'!WS69+"BYw!o\"</f>
        <v>#VALUE!</v>
      </c>
      <c r="DO26" t="e">
        <f>'2.4.Функции'!WT69+"BYw!o]"</f>
        <v>#VALUE!</v>
      </c>
      <c r="DP26" t="e">
        <f>'2.4.Функции'!WU69+"BYw!o^"</f>
        <v>#VALUE!</v>
      </c>
      <c r="DQ26" t="e">
        <f>'2.4.Функции'!WV69+"BYw!o_"</f>
        <v>#VALUE!</v>
      </c>
      <c r="DR26" t="e">
        <f>'2.4.Функции'!WW69+"BYw!o`"</f>
        <v>#VALUE!</v>
      </c>
      <c r="DS26" t="e">
        <f>'2.4.Функции'!WX69+"BYw!oa"</f>
        <v>#VALUE!</v>
      </c>
      <c r="DT26" t="e">
        <f>'2.4.Функции'!WY69+"BYw!ob"</f>
        <v>#VALUE!</v>
      </c>
      <c r="DU26" t="e">
        <f>'2.4.Функции'!WZ69+"BYw!oc"</f>
        <v>#VALUE!</v>
      </c>
      <c r="DV26" t="e">
        <f>'2.4.Функции'!XA69+"BYw!od"</f>
        <v>#VALUE!</v>
      </c>
      <c r="DW26" t="e">
        <f>'2.4.Функции'!XB69+"BYw!oe"</f>
        <v>#VALUE!</v>
      </c>
      <c r="DX26" t="e">
        <f>'2.4.Функции'!XC69+"BYw!of"</f>
        <v>#VALUE!</v>
      </c>
      <c r="DY26" t="e">
        <f>'2.4.Функции'!XD69+"BYw!og"</f>
        <v>#VALUE!</v>
      </c>
      <c r="DZ26" t="e">
        <f>'2.4.Функции'!XE69+"BYw!oh"</f>
        <v>#VALUE!</v>
      </c>
      <c r="EA26" t="e">
        <f>'2.4.Функции'!XF69+"BYw!oi"</f>
        <v>#VALUE!</v>
      </c>
      <c r="EB26" t="e">
        <f>'2.4.Функции'!XG69+"BYw!oj"</f>
        <v>#VALUE!</v>
      </c>
      <c r="EC26" t="e">
        <f>'2.4.Функции'!XH69+"BYw!ok"</f>
        <v>#VALUE!</v>
      </c>
      <c r="ED26" t="e">
        <f>'2.4.Функции'!XI69+"BYw!ol"</f>
        <v>#VALUE!</v>
      </c>
      <c r="EE26" t="e">
        <f>'2.4.Функции'!XJ69+"BYw!om"</f>
        <v>#VALUE!</v>
      </c>
      <c r="EF26" t="e">
        <f>'2.4.Функции'!XK69+"BYw!on"</f>
        <v>#VALUE!</v>
      </c>
      <c r="EG26" t="e">
        <f>'2.4.Функции'!XL69+"BYw!oo"</f>
        <v>#VALUE!</v>
      </c>
      <c r="EH26" t="e">
        <f>'2.4.Функции'!XM69+"BYw!op"</f>
        <v>#VALUE!</v>
      </c>
      <c r="EI26" t="e">
        <f>'2.4.Функции'!XN69+"BYw!oq"</f>
        <v>#VALUE!</v>
      </c>
      <c r="EJ26" t="e">
        <f>'2.4.Функции'!XO69+"BYw!or"</f>
        <v>#VALUE!</v>
      </c>
      <c r="EK26" t="e">
        <f>'2.4.Функции'!XP69+"BYw!os"</f>
        <v>#VALUE!</v>
      </c>
      <c r="EL26" t="e">
        <f>'2.4.Функции'!XQ69+"BYw!ot"</f>
        <v>#VALUE!</v>
      </c>
      <c r="EM26" t="e">
        <f>'2.4.Функции'!XR69+"BYw!ou"</f>
        <v>#VALUE!</v>
      </c>
      <c r="EN26" t="e">
        <f>'2.4.Функции'!XS69+"BYw!ov"</f>
        <v>#VALUE!</v>
      </c>
      <c r="EO26" t="e">
        <f>'2.4.Функции'!XT69+"BYw!ow"</f>
        <v>#VALUE!</v>
      </c>
      <c r="EP26" t="e">
        <f>'2.4.Функции'!XU69+"BYw!ox"</f>
        <v>#VALUE!</v>
      </c>
      <c r="EQ26" t="e">
        <f>'2.4.Функции'!XV69+"BYw!oy"</f>
        <v>#VALUE!</v>
      </c>
      <c r="ER26" t="e">
        <f>'2.4.Функции'!XW69+"BYw!oz"</f>
        <v>#VALUE!</v>
      </c>
      <c r="ES26" t="e">
        <f>'2.4.Функции'!XX69+"BYw!o{"</f>
        <v>#VALUE!</v>
      </c>
      <c r="ET26" t="e">
        <f>'2.4.Функции'!XY69+"BYw!o|"</f>
        <v>#VALUE!</v>
      </c>
      <c r="EU26" t="e">
        <f>'2.4.Функции'!XZ69+"BYw!o}"</f>
        <v>#VALUE!</v>
      </c>
      <c r="EV26" t="e">
        <f>'2.4.Функции'!YA69+"BYw!o~"</f>
        <v>#VALUE!</v>
      </c>
      <c r="EW26" t="e">
        <f>'2.4.Функции'!YB69+"BYw!p#"</f>
        <v>#VALUE!</v>
      </c>
      <c r="EX26" t="e">
        <f>'2.4.Функции'!YC69+"BYw!p$"</f>
        <v>#VALUE!</v>
      </c>
      <c r="EY26" t="e">
        <f>'2.4.Функции'!YD69+"BYw!p%"</f>
        <v>#VALUE!</v>
      </c>
      <c r="EZ26" t="e">
        <f>'2.4.Функции'!YE69+"BYw!p&amp;"</f>
        <v>#VALUE!</v>
      </c>
      <c r="FA26" t="e">
        <f>'2.4.Функции'!YF69+"BYw!p'"</f>
        <v>#VALUE!</v>
      </c>
      <c r="FB26" t="e">
        <f>'2.4.Функции'!YG69+"BYw!p("</f>
        <v>#VALUE!</v>
      </c>
      <c r="FC26" t="e">
        <f>'2.4.Функции'!YH69+"BYw!p)"</f>
        <v>#VALUE!</v>
      </c>
      <c r="FD26" t="e">
        <f>'2.4.Функции'!YI69+"BYw!p."</f>
        <v>#VALUE!</v>
      </c>
      <c r="FE26" t="e">
        <f>'2.4.Функции'!YJ69+"BYw!p/"</f>
        <v>#VALUE!</v>
      </c>
      <c r="FF26" t="e">
        <f>'2.4.Функции'!YK69+"BYw!p0"</f>
        <v>#VALUE!</v>
      </c>
      <c r="FG26" t="e">
        <f>'2.4.Функции'!YL69+"BYw!p1"</f>
        <v>#VALUE!</v>
      </c>
      <c r="FH26" t="e">
        <f>'2.4.Функции'!YM69+"BYw!p2"</f>
        <v>#VALUE!</v>
      </c>
      <c r="FI26" t="e">
        <f>'2.4.Функции'!YN69+"BYw!p3"</f>
        <v>#VALUE!</v>
      </c>
      <c r="FJ26" t="e">
        <f>'2.4.Функции'!YO69+"BYw!p4"</f>
        <v>#VALUE!</v>
      </c>
      <c r="FK26" t="e">
        <f>'2.4.Функции'!YP69+"BYw!p5"</f>
        <v>#VALUE!</v>
      </c>
      <c r="FL26" t="e">
        <f>'2.4.Функции'!YQ69+"BYw!p6"</f>
        <v>#VALUE!</v>
      </c>
      <c r="FM26" t="e">
        <f>'2.4.Функции'!YR69+"BYw!p7"</f>
        <v>#VALUE!</v>
      </c>
      <c r="FN26" t="e">
        <f>'2.4.Функции'!YS69+"BYw!p8"</f>
        <v>#VALUE!</v>
      </c>
      <c r="FO26" t="e">
        <f>'2.4.Функции'!YT69+"BYw!p9"</f>
        <v>#VALUE!</v>
      </c>
      <c r="FP26" t="e">
        <f>'2.4.Функции'!YU69+"BYw!p:"</f>
        <v>#VALUE!</v>
      </c>
      <c r="FQ26" t="e">
        <f>'2.4.Функции'!YV69+"BYw!p;"</f>
        <v>#VALUE!</v>
      </c>
      <c r="FR26" t="e">
        <f>'2.4.Функции'!YW69+"BYw!p&lt;"</f>
        <v>#VALUE!</v>
      </c>
      <c r="FS26" t="e">
        <f>'2.4.Функции'!YX69+"BYw!p="</f>
        <v>#VALUE!</v>
      </c>
      <c r="FT26" t="e">
        <f>'2.4.Функции'!YY69+"BYw!p&gt;"</f>
        <v>#VALUE!</v>
      </c>
      <c r="FU26" t="e">
        <f>'2.4.Функции'!YZ69+"BYw!p?"</f>
        <v>#VALUE!</v>
      </c>
      <c r="FV26" t="e">
        <f>'2.4.Функции'!ZA69+"BYw!p@"</f>
        <v>#VALUE!</v>
      </c>
      <c r="FW26" t="e">
        <f>'2.4.Функции'!ZB69+"BYw!pA"</f>
        <v>#VALUE!</v>
      </c>
      <c r="FX26" t="e">
        <f>'2.4.Функции'!ZC69+"BYw!pB"</f>
        <v>#VALUE!</v>
      </c>
      <c r="FY26" t="e">
        <f>'2.4.Функции'!ZD69+"BYw!pC"</f>
        <v>#VALUE!</v>
      </c>
      <c r="FZ26" t="e">
        <f>'2.4.Функции'!ZE69+"BYw!pD"</f>
        <v>#VALUE!</v>
      </c>
      <c r="GA26" t="e">
        <f>'2.4.Функции'!ZF69+"BYw!pE"</f>
        <v>#VALUE!</v>
      </c>
      <c r="GB26" t="e">
        <f>'2.4.Функции'!ZG69+"BYw!pF"</f>
        <v>#VALUE!</v>
      </c>
      <c r="GC26" t="e">
        <f>'2.4.Функции'!ZH69+"BYw!pG"</f>
        <v>#VALUE!</v>
      </c>
      <c r="GD26" t="e">
        <f>'2.4.Функции'!ZI69+"BYw!pH"</f>
        <v>#VALUE!</v>
      </c>
      <c r="GE26" t="e">
        <f>'2.4.Функции'!ZJ69+"BYw!pI"</f>
        <v>#VALUE!</v>
      </c>
      <c r="GF26" t="e">
        <f>'2.4.Функции'!ZK69+"BYw!pJ"</f>
        <v>#VALUE!</v>
      </c>
      <c r="GG26" t="e">
        <f>'2.4.Функции'!ZL69+"BYw!pK"</f>
        <v>#VALUE!</v>
      </c>
      <c r="GH26" t="e">
        <f>'2.4.Функции'!ZM69+"BYw!pL"</f>
        <v>#VALUE!</v>
      </c>
      <c r="GI26" t="e">
        <f>'2.4.Функции'!ZN69+"BYw!pM"</f>
        <v>#VALUE!</v>
      </c>
      <c r="GJ26" t="e">
        <f>'2.4.Функции'!ZO69+"BYw!pN"</f>
        <v>#VALUE!</v>
      </c>
      <c r="GK26" t="e">
        <f>'2.4.Функции'!ZP69+"BYw!pO"</f>
        <v>#VALUE!</v>
      </c>
      <c r="GL26" t="e">
        <f>'2.4.Функции'!ZQ69+"BYw!pP"</f>
        <v>#VALUE!</v>
      </c>
      <c r="GM26" t="e">
        <f>'2.4.Функции'!ZR69+"BYw!pQ"</f>
        <v>#VALUE!</v>
      </c>
      <c r="GN26" t="e">
        <f>'2.4.Функции'!ZS69+"BYw!pR"</f>
        <v>#VALUE!</v>
      </c>
      <c r="GO26" t="e">
        <f>'2.4.Функции'!ZT69+"BYw!pS"</f>
        <v>#VALUE!</v>
      </c>
      <c r="GP26" t="e">
        <f>'2.4.Функции'!ZU69+"BYw!pT"</f>
        <v>#VALUE!</v>
      </c>
      <c r="GQ26" t="e">
        <f>'2.4.Функции'!ZV69+"BYw!pU"</f>
        <v>#VALUE!</v>
      </c>
      <c r="GR26" t="e">
        <f>'2.4.Функции'!ZW69+"BYw!pV"</f>
        <v>#VALUE!</v>
      </c>
      <c r="GS26" t="e">
        <f>'2.4.Функции'!ZX69+"BYw!pW"</f>
        <v>#VALUE!</v>
      </c>
      <c r="GT26" t="e">
        <f>'2.4.Функции'!ZY69+"BYw!pX"</f>
        <v>#VALUE!</v>
      </c>
      <c r="GU26" t="e">
        <f>'2.4.Функции'!ZZ69+"BYw!pY"</f>
        <v>#VALUE!</v>
      </c>
      <c r="GV26" t="e">
        <f>'2.4.Функции'!AAA69+"BYw!pZ"</f>
        <v>#VALUE!</v>
      </c>
      <c r="GW26" t="e">
        <f>'2.4.Функции'!AAB69+"BYw!p["</f>
        <v>#VALUE!</v>
      </c>
      <c r="GX26" t="e">
        <f>'2.4.Функции'!AAC69+"BYw!p\"</f>
        <v>#VALUE!</v>
      </c>
      <c r="GY26" t="e">
        <f>'2.4.Функции'!AAD69+"BYw!p]"</f>
        <v>#VALUE!</v>
      </c>
      <c r="GZ26" t="e">
        <f>'2.4.Функции'!AAE69+"BYw!p^"</f>
        <v>#VALUE!</v>
      </c>
      <c r="HA26" t="e">
        <f>'2.4.Функции'!AAF69+"BYw!p_"</f>
        <v>#VALUE!</v>
      </c>
      <c r="HB26" t="e">
        <f>'2.4.Функции'!AAG69+"BYw!p`"</f>
        <v>#VALUE!</v>
      </c>
      <c r="HC26" t="e">
        <f>'2.4.Функции'!AAH69+"BYw!pa"</f>
        <v>#VALUE!</v>
      </c>
      <c r="HD26" t="e">
        <f>'2.4.Функции'!AAI69+"BYw!pb"</f>
        <v>#VALUE!</v>
      </c>
      <c r="HE26" t="e">
        <f>'2.4.Функции'!AAJ69+"BYw!pc"</f>
        <v>#VALUE!</v>
      </c>
      <c r="HF26" t="e">
        <f>'2.4.Функции'!AAK69+"BYw!pd"</f>
        <v>#VALUE!</v>
      </c>
      <c r="HG26" t="e">
        <f>'2.4.Функции'!AAL69+"BYw!pe"</f>
        <v>#VALUE!</v>
      </c>
      <c r="HH26" t="e">
        <f>'2.4.Функции'!AAM69+"BYw!pf"</f>
        <v>#VALUE!</v>
      </c>
      <c r="HI26" t="e">
        <f>'2.4.Функции'!AAN69+"BYw!pg"</f>
        <v>#VALUE!</v>
      </c>
      <c r="HJ26" t="e">
        <f>'2.4.Функции'!AAO69+"BYw!ph"</f>
        <v>#VALUE!</v>
      </c>
      <c r="HK26" t="e">
        <f>'2.4.Функции'!AAP69+"BYw!pi"</f>
        <v>#VALUE!</v>
      </c>
      <c r="HL26" t="e">
        <f>'2.4.Функции'!AAQ69+"BYw!pj"</f>
        <v>#VALUE!</v>
      </c>
      <c r="HM26" t="e">
        <f>'2.4.Функции'!AAR69+"BYw!pk"</f>
        <v>#VALUE!</v>
      </c>
      <c r="HN26" t="e">
        <f>'2.4.Функции'!AAS69+"BYw!pl"</f>
        <v>#VALUE!</v>
      </c>
      <c r="HO26" t="e">
        <f>'2.4.Функции'!AAT69+"BYw!pm"</f>
        <v>#VALUE!</v>
      </c>
      <c r="HP26" t="e">
        <f>'2.4.Функции'!AAU69+"BYw!pn"</f>
        <v>#VALUE!</v>
      </c>
      <c r="HQ26" t="e">
        <f>'2.4.Функции'!AAV69+"BYw!po"</f>
        <v>#VALUE!</v>
      </c>
      <c r="HR26" t="e">
        <f>'2.4.Функции'!AAW69+"BYw!pp"</f>
        <v>#VALUE!</v>
      </c>
      <c r="HS26" t="e">
        <f>'2.4.Функции'!AAX69+"BYw!pq"</f>
        <v>#VALUE!</v>
      </c>
      <c r="HT26" t="e">
        <f>'2.4.Функции'!AAY69+"BYw!pr"</f>
        <v>#VALUE!</v>
      </c>
      <c r="HU26" t="e">
        <f>'2.4.Функции'!AAZ69+"BYw!ps"</f>
        <v>#VALUE!</v>
      </c>
      <c r="HV26" t="e">
        <f>'2.4.Функции'!ABA69+"BYw!pt"</f>
        <v>#VALUE!</v>
      </c>
      <c r="HW26" t="e">
        <f>'2.4.Функции'!ABB69+"BYw!pu"</f>
        <v>#VALUE!</v>
      </c>
      <c r="HX26" t="e">
        <f>'2.4.Функции'!ABC69+"BYw!pv"</f>
        <v>#VALUE!</v>
      </c>
      <c r="HY26" t="e">
        <f>'2.4.Функции'!ABD69+"BYw!pw"</f>
        <v>#VALUE!</v>
      </c>
      <c r="HZ26" t="e">
        <f>'2.4.Функции'!ABE69+"BYw!px"</f>
        <v>#VALUE!</v>
      </c>
      <c r="IA26" t="e">
        <f>'2.4.Функции'!ABF69+"BYw!py"</f>
        <v>#VALUE!</v>
      </c>
      <c r="IB26" t="e">
        <f>'2.4.Функции'!ABG69+"BYw!pz"</f>
        <v>#VALUE!</v>
      </c>
      <c r="IC26" t="e">
        <f>'2.4.Функции'!ABH69+"BYw!p{"</f>
        <v>#VALUE!</v>
      </c>
      <c r="ID26" t="e">
        <f>'2.4.Функции'!ABI69+"BYw!p|"</f>
        <v>#VALUE!</v>
      </c>
      <c r="IE26" t="e">
        <f>'2.4.Функции'!ABJ69+"BYw!p}"</f>
        <v>#VALUE!</v>
      </c>
      <c r="IF26" t="e">
        <f>'2.4.Функции'!ABK69+"BYw!p~"</f>
        <v>#VALUE!</v>
      </c>
      <c r="IG26" t="e">
        <f>'2.4.Функции'!ABL69+"BYw!q#"</f>
        <v>#VALUE!</v>
      </c>
      <c r="IH26" t="e">
        <f>'2.4.Функции'!ABM69+"BYw!q$"</f>
        <v>#VALUE!</v>
      </c>
      <c r="II26" t="e">
        <f>'2.4.Функции'!ABN69+"BYw!q%"</f>
        <v>#VALUE!</v>
      </c>
      <c r="IJ26" t="e">
        <f>'2.4.Функции'!ABO69+"BYw!q&amp;"</f>
        <v>#VALUE!</v>
      </c>
      <c r="IK26" t="e">
        <f>'2.4.Функции'!ABP69+"BYw!q'"</f>
        <v>#VALUE!</v>
      </c>
      <c r="IL26" t="e">
        <f>'2.4.Функции'!ABQ69+"BYw!q("</f>
        <v>#VALUE!</v>
      </c>
      <c r="IM26" t="e">
        <f>'2.4.Функции'!ABR69+"BYw!q)"</f>
        <v>#VALUE!</v>
      </c>
      <c r="IN26" t="e">
        <f>'2.4.Функции'!ABS69+"BYw!q."</f>
        <v>#VALUE!</v>
      </c>
      <c r="IO26" t="e">
        <f>'2.4.Функции'!ABT69+"BYw!q/"</f>
        <v>#VALUE!</v>
      </c>
      <c r="IP26" t="e">
        <f>'2.4.Функции'!ABU69+"BYw!q0"</f>
        <v>#VALUE!</v>
      </c>
      <c r="IQ26" t="e">
        <f>'2.4.Функции'!ABV69+"BYw!q1"</f>
        <v>#VALUE!</v>
      </c>
      <c r="IR26" t="e">
        <f>'2.4.Функции'!ABW69+"BYw!q2"</f>
        <v>#VALUE!</v>
      </c>
      <c r="IS26" t="e">
        <f>'2.4.Функции'!ABX69+"BYw!q3"</f>
        <v>#VALUE!</v>
      </c>
      <c r="IT26" t="e">
        <f>'2.4.Функции'!ABY69+"BYw!q4"</f>
        <v>#VALUE!</v>
      </c>
      <c r="IU26" t="e">
        <f>'2.4.Функции'!ABZ69+"BYw!q5"</f>
        <v>#VALUE!</v>
      </c>
      <c r="IV26" t="e">
        <f>'2.4.Функции'!ACA69+"BYw!q6"</f>
        <v>#VALUE!</v>
      </c>
    </row>
    <row r="27" spans="6:256" x14ac:dyDescent="0.2">
      <c r="F27" t="e">
        <f>'2.4.Функции'!ACB69+"BYw!q7"</f>
        <v>#VALUE!</v>
      </c>
      <c r="G27" t="e">
        <f>'2.4.Функции'!ACC69+"BYw!q8"</f>
        <v>#VALUE!</v>
      </c>
      <c r="H27" t="e">
        <f>'2.4.Функции'!ACD69+"BYw!q9"</f>
        <v>#VALUE!</v>
      </c>
      <c r="I27" t="e">
        <f>'2.4.Функции'!ACE69+"BYw!q:"</f>
        <v>#VALUE!</v>
      </c>
      <c r="J27" t="e">
        <f>'2.4.Функции'!ACF69+"BYw!q;"</f>
        <v>#VALUE!</v>
      </c>
      <c r="K27" t="e">
        <f>'2.4.Функции'!ACG69+"BYw!q&lt;"</f>
        <v>#VALUE!</v>
      </c>
      <c r="L27" t="e">
        <f>'2.4.Функции'!ACH69+"BYw!q="</f>
        <v>#VALUE!</v>
      </c>
      <c r="M27" t="e">
        <f>'2.4.Функции'!ACI69+"BYw!q&gt;"</f>
        <v>#VALUE!</v>
      </c>
      <c r="N27" t="e">
        <f>'2.4.Функции'!ACJ69+"BYw!q?"</f>
        <v>#VALUE!</v>
      </c>
      <c r="O27" t="e">
        <f>'2.4.Функции'!ACK69+"BYw!q@"</f>
        <v>#VALUE!</v>
      </c>
      <c r="P27" t="e">
        <f>'2.4.Функции'!ACL69+"BYw!qA"</f>
        <v>#VALUE!</v>
      </c>
      <c r="Q27" t="e">
        <f>'2.4.Функции'!ACM69+"BYw!qB"</f>
        <v>#VALUE!</v>
      </c>
      <c r="R27" t="e">
        <f>'2.4.Функции'!ACN69+"BYw!qC"</f>
        <v>#VALUE!</v>
      </c>
      <c r="S27" t="e">
        <f>'2.4.Функции'!ACO69+"BYw!qD"</f>
        <v>#VALUE!</v>
      </c>
      <c r="T27" t="e">
        <f>'2.4.Функции'!ACP69+"BYw!qE"</f>
        <v>#VALUE!</v>
      </c>
      <c r="U27" t="e">
        <f>'2.4.Функции'!ACQ69+"BYw!qF"</f>
        <v>#VALUE!</v>
      </c>
      <c r="V27" t="e">
        <f>'2.4.Функции'!ACR69+"BYw!qG"</f>
        <v>#VALUE!</v>
      </c>
      <c r="W27" t="e">
        <f>'2.4.Функции'!ACS69+"BYw!qH"</f>
        <v>#VALUE!</v>
      </c>
      <c r="X27" t="e">
        <f>'2.4.Функции'!ACT69+"BYw!qI"</f>
        <v>#VALUE!</v>
      </c>
      <c r="Y27" t="e">
        <f>'2.4.Функции'!ACU69+"BYw!qJ"</f>
        <v>#VALUE!</v>
      </c>
      <c r="Z27" t="e">
        <f>'2.4.Функции'!ACV69+"BYw!qK"</f>
        <v>#VALUE!</v>
      </c>
      <c r="AA27" t="e">
        <f>'2.4.Функции'!ACW69+"BYw!qL"</f>
        <v>#VALUE!</v>
      </c>
      <c r="AB27" t="e">
        <f>'2.4.Функции'!ACX69+"BYw!qM"</f>
        <v>#VALUE!</v>
      </c>
      <c r="AC27" t="e">
        <f>'2.4.Функции'!ACY69+"BYw!qN"</f>
        <v>#VALUE!</v>
      </c>
      <c r="AD27" t="e">
        <f>'2.4.Функции'!ACZ69+"BYw!qO"</f>
        <v>#VALUE!</v>
      </c>
      <c r="AE27" t="e">
        <f>'2.4.Функции'!ADA69+"BYw!qP"</f>
        <v>#VALUE!</v>
      </c>
      <c r="AF27" t="e">
        <f>'2.4.Функции'!ADB69+"BYw!qQ"</f>
        <v>#VALUE!</v>
      </c>
      <c r="AG27" t="e">
        <f>'2.4.Функции'!ADC69+"BYw!qR"</f>
        <v>#VALUE!</v>
      </c>
      <c r="AH27" t="e">
        <f>'2.4.Функции'!ADD69+"BYw!qS"</f>
        <v>#VALUE!</v>
      </c>
      <c r="AI27" t="e">
        <f>'2.4.Функции'!ADE69+"BYw!qT"</f>
        <v>#VALUE!</v>
      </c>
      <c r="AJ27" t="e">
        <f>'2.4.Функции'!ADF69+"BYw!qU"</f>
        <v>#VALUE!</v>
      </c>
      <c r="AK27" t="e">
        <f>'2.4.Функции'!ADG69+"BYw!qV"</f>
        <v>#VALUE!</v>
      </c>
      <c r="AL27" t="e">
        <f>'2.4.Функции'!ADH69+"BYw!qW"</f>
        <v>#VALUE!</v>
      </c>
      <c r="AM27" t="e">
        <f>'2.4.Функции'!ADI69+"BYw!qX"</f>
        <v>#VALUE!</v>
      </c>
      <c r="AN27" t="e">
        <f>'2.4.Функции'!ADJ69+"BYw!qY"</f>
        <v>#VALUE!</v>
      </c>
      <c r="AO27" t="e">
        <f>'2.4.Функции'!ADK69+"BYw!qZ"</f>
        <v>#VALUE!</v>
      </c>
      <c r="AP27" t="e">
        <f>'2.4.Функции'!ADL69+"BYw!q["</f>
        <v>#VALUE!</v>
      </c>
      <c r="AQ27" t="e">
        <f>'2.4.Функции'!ADM69+"BYw!q\"</f>
        <v>#VALUE!</v>
      </c>
      <c r="AR27" t="e">
        <f>'2.4.Функции'!ADN69+"BYw!q]"</f>
        <v>#VALUE!</v>
      </c>
      <c r="AS27" t="e">
        <f>'2.4.Функции'!ADO69+"BYw!q^"</f>
        <v>#VALUE!</v>
      </c>
      <c r="AT27" t="e">
        <f>'2.4.Функции'!ADP69+"BYw!q_"</f>
        <v>#VALUE!</v>
      </c>
      <c r="AU27" t="e">
        <f>'2.4.Функции'!ADQ69+"BYw!q`"</f>
        <v>#VALUE!</v>
      </c>
      <c r="AV27" t="e">
        <f>'2.4.Функции'!ADR69+"BYw!qa"</f>
        <v>#VALUE!</v>
      </c>
      <c r="AW27" t="e">
        <f>'2.4.Функции'!ADS69+"BYw!qb"</f>
        <v>#VALUE!</v>
      </c>
      <c r="AX27" t="e">
        <f>'2.4.Функции'!ADT69+"BYw!qc"</f>
        <v>#VALUE!</v>
      </c>
      <c r="AY27" t="e">
        <f>'2.4.Функции'!ADU69+"BYw!qd"</f>
        <v>#VALUE!</v>
      </c>
      <c r="AZ27" t="e">
        <f>'2.4.Функции'!ADV69+"BYw!qe"</f>
        <v>#VALUE!</v>
      </c>
      <c r="BA27" t="e">
        <f>'2.4.Функции'!ADW69+"BYw!qf"</f>
        <v>#VALUE!</v>
      </c>
      <c r="BB27" t="e">
        <f>'2.4.Функции'!ADX69+"BYw!qg"</f>
        <v>#VALUE!</v>
      </c>
      <c r="BC27" t="e">
        <f>'2.4.Функции'!ADY69+"BYw!qh"</f>
        <v>#VALUE!</v>
      </c>
      <c r="BD27" t="e">
        <f>'2.4.Функции'!ADZ69+"BYw!qi"</f>
        <v>#VALUE!</v>
      </c>
      <c r="BE27" t="e">
        <f>'2.4.Функции'!AEA69+"BYw!qj"</f>
        <v>#VALUE!</v>
      </c>
      <c r="BF27" t="e">
        <f>'2.4.Функции'!AEB69+"BYw!qk"</f>
        <v>#VALUE!</v>
      </c>
      <c r="BG27" t="e">
        <f>'2.4.Функции'!AEC69+"BYw!ql"</f>
        <v>#VALUE!</v>
      </c>
      <c r="BH27" t="e">
        <f>'2.4.Функции'!AED69+"BYw!qm"</f>
        <v>#VALUE!</v>
      </c>
      <c r="BI27" t="e">
        <f>'2.4.Функции'!AEE69+"BYw!qn"</f>
        <v>#VALUE!</v>
      </c>
      <c r="BJ27" t="e">
        <f>'2.4.Функции'!AEF69+"BYw!qo"</f>
        <v>#VALUE!</v>
      </c>
      <c r="BK27" t="e">
        <f>'2.4.Функции'!AEG69+"BYw!qp"</f>
        <v>#VALUE!</v>
      </c>
      <c r="BL27" t="e">
        <f>'2.4.Функции'!AEH69+"BYw!qq"</f>
        <v>#VALUE!</v>
      </c>
      <c r="BM27" t="e">
        <f>'2.4.Функции'!AEI69+"BYw!qr"</f>
        <v>#VALUE!</v>
      </c>
      <c r="BN27" t="e">
        <f>'2.4.Функции'!AEJ69+"BYw!qs"</f>
        <v>#VALUE!</v>
      </c>
      <c r="BO27" t="e">
        <f>'2.4.Функции'!AEK69+"BYw!qt"</f>
        <v>#VALUE!</v>
      </c>
      <c r="BP27" t="e">
        <f>'2.4.Функции'!AEL69+"BYw!qu"</f>
        <v>#VALUE!</v>
      </c>
      <c r="BQ27" t="e">
        <f>'2.4.Функции'!AEM69+"BYw!qv"</f>
        <v>#VALUE!</v>
      </c>
      <c r="BR27" t="e">
        <f>'2.4.Функции'!AEN69+"BYw!qw"</f>
        <v>#VALUE!</v>
      </c>
      <c r="BS27" t="e">
        <f>'2.4.Функции'!AEO69+"BYw!qx"</f>
        <v>#VALUE!</v>
      </c>
      <c r="BT27" t="e">
        <f>'2.4.Функции'!AEP69+"BYw!qy"</f>
        <v>#VALUE!</v>
      </c>
      <c r="BU27" t="e">
        <f>'2.4.Функции'!AEQ69+"BYw!qz"</f>
        <v>#VALUE!</v>
      </c>
      <c r="BV27" t="e">
        <f>'2.4.Функции'!AER69+"BYw!q{"</f>
        <v>#VALUE!</v>
      </c>
      <c r="BW27" t="e">
        <f>'2.4.Функции'!AES69+"BYw!q|"</f>
        <v>#VALUE!</v>
      </c>
      <c r="BX27" t="e">
        <f>'2.4.Функции'!AET69+"BYw!q}"</f>
        <v>#VALUE!</v>
      </c>
      <c r="BY27" t="e">
        <f>'2.4.Функции'!AEU69+"BYw!q~"</f>
        <v>#VALUE!</v>
      </c>
      <c r="BZ27" t="e">
        <f>'2.4.Функции'!AEV69+"BYw!r#"</f>
        <v>#VALUE!</v>
      </c>
      <c r="CA27" t="e">
        <f>'2.4.Функции'!AEW69+"BYw!r$"</f>
        <v>#VALUE!</v>
      </c>
      <c r="CB27" t="e">
        <f>'2.4.Функции'!AEX69+"BYw!r%"</f>
        <v>#VALUE!</v>
      </c>
      <c r="CC27" t="e">
        <f>'2.4.Функции'!AEY69+"BYw!r&amp;"</f>
        <v>#VALUE!</v>
      </c>
      <c r="CD27" t="e">
        <f>'2.4.Функции'!AEZ69+"BYw!r'"</f>
        <v>#VALUE!</v>
      </c>
      <c r="CE27" t="e">
        <f>'2.4.Функции'!AFA69+"BYw!r("</f>
        <v>#VALUE!</v>
      </c>
      <c r="CF27" t="e">
        <f>'2.4.Функции'!AFB69+"BYw!r)"</f>
        <v>#VALUE!</v>
      </c>
      <c r="CG27" t="e">
        <f>'2.4.Функции'!AFC69+"BYw!r."</f>
        <v>#VALUE!</v>
      </c>
      <c r="CH27" t="e">
        <f>'2.4.Функции'!AFD69+"BYw!r/"</f>
        <v>#VALUE!</v>
      </c>
      <c r="CI27" t="e">
        <f>'2.4.Функции'!AFE69+"BYw!r0"</f>
        <v>#VALUE!</v>
      </c>
      <c r="CJ27" t="e">
        <f>'2.4.Функции'!AFF69+"BYw!r1"</f>
        <v>#VALUE!</v>
      </c>
      <c r="CK27" t="e">
        <f>'2.4.Функции'!AFG69+"BYw!r2"</f>
        <v>#VALUE!</v>
      </c>
      <c r="CL27" t="e">
        <f>'2.4.Функции'!AFH69+"BYw!r3"</f>
        <v>#VALUE!</v>
      </c>
      <c r="CM27" t="e">
        <f>'2.4.Функции'!AFI69+"BYw!r4"</f>
        <v>#VALUE!</v>
      </c>
      <c r="CN27" t="e">
        <f>'2.4.Функции'!AFJ69+"BYw!r5"</f>
        <v>#VALUE!</v>
      </c>
      <c r="CO27" t="e">
        <f>'2.4.Функции'!AFK69+"BYw!r6"</f>
        <v>#VALUE!</v>
      </c>
      <c r="CP27" t="e">
        <f>'2.4.Функции'!AFL69+"BYw!r7"</f>
        <v>#VALUE!</v>
      </c>
      <c r="CQ27" t="e">
        <f>'2.4.Функции'!AFM69+"BYw!r8"</f>
        <v>#VALUE!</v>
      </c>
      <c r="CR27" t="e">
        <f>'2.4.Функции'!AFN69+"BYw!r9"</f>
        <v>#VALUE!</v>
      </c>
      <c r="CS27" t="e">
        <f>'2.4.Функции'!AFO69+"BYw!r:"</f>
        <v>#VALUE!</v>
      </c>
      <c r="CT27" t="e">
        <f>'2.4.Функции'!AFP69+"BYw!r;"</f>
        <v>#VALUE!</v>
      </c>
      <c r="CU27" t="e">
        <f>'2.4.Функции'!AFQ69+"BYw!r&lt;"</f>
        <v>#VALUE!</v>
      </c>
      <c r="CV27" t="e">
        <f>'2.4.Функции'!AFR69+"BYw!r="</f>
        <v>#VALUE!</v>
      </c>
      <c r="CW27" t="e">
        <f>'2.4.Функции'!AFS69+"BYw!r&gt;"</f>
        <v>#VALUE!</v>
      </c>
      <c r="CX27" t="e">
        <f>'2.4.Функции'!AFT69+"BYw!r?"</f>
        <v>#VALUE!</v>
      </c>
      <c r="CY27" t="e">
        <f>'2.4.Функции'!AFU69+"BYw!r@"</f>
        <v>#VALUE!</v>
      </c>
      <c r="CZ27" t="e">
        <f>'2.4.Функции'!AFV69+"BYw!rA"</f>
        <v>#VALUE!</v>
      </c>
      <c r="DA27" t="e">
        <f>'2.4.Функции'!AFW69+"BYw!rB"</f>
        <v>#VALUE!</v>
      </c>
      <c r="DB27" t="e">
        <f>'2.4.Функции'!AFX69+"BYw!rC"</f>
        <v>#VALUE!</v>
      </c>
      <c r="DC27" t="e">
        <f>'2.4.Функции'!AFY69+"BYw!rD"</f>
        <v>#VALUE!</v>
      </c>
      <c r="DD27" t="e">
        <f>'2.4.Функции'!AFZ69+"BYw!rE"</f>
        <v>#VALUE!</v>
      </c>
      <c r="DE27" t="e">
        <f>'2.4.Функции'!AGA69+"BYw!rF"</f>
        <v>#VALUE!</v>
      </c>
      <c r="DF27" t="e">
        <f>'2.4.Функции'!AGB69+"BYw!rG"</f>
        <v>#VALUE!</v>
      </c>
      <c r="DG27" t="e">
        <f>'2.4.Функции'!AGC69+"BYw!rH"</f>
        <v>#VALUE!</v>
      </c>
      <c r="DH27" t="e">
        <f>'2.4.Функции'!AGD69+"BYw!rI"</f>
        <v>#VALUE!</v>
      </c>
      <c r="DI27" t="e">
        <f>'2.4.Функции'!AGE69+"BYw!rJ"</f>
        <v>#VALUE!</v>
      </c>
      <c r="DJ27" t="e">
        <f>'2.4.Функции'!AGF69+"BYw!rK"</f>
        <v>#VALUE!</v>
      </c>
      <c r="DK27" t="e">
        <f>'2.4.Функции'!AGG69+"BYw!rL"</f>
        <v>#VALUE!</v>
      </c>
      <c r="DL27" t="e">
        <f>'2.4.Функции'!AGH69+"BYw!rM"</f>
        <v>#VALUE!</v>
      </c>
      <c r="DM27" t="e">
        <f>'2.4.Функции'!AGI69+"BYw!rN"</f>
        <v>#VALUE!</v>
      </c>
      <c r="DN27" t="e">
        <f>'2.4.Функции'!AGJ69+"BYw!rO"</f>
        <v>#VALUE!</v>
      </c>
      <c r="DO27" t="e">
        <f>'2.4.Функции'!AGK69+"BYw!rP"</f>
        <v>#VALUE!</v>
      </c>
      <c r="DP27" t="e">
        <f>'2.4.Функции'!AGL69+"BYw!rQ"</f>
        <v>#VALUE!</v>
      </c>
      <c r="DQ27" t="e">
        <f>'2.4.Функции'!AGM69+"BYw!rR"</f>
        <v>#VALUE!</v>
      </c>
      <c r="DR27" t="e">
        <f>'2.4.Функции'!AGN69+"BYw!rS"</f>
        <v>#VALUE!</v>
      </c>
      <c r="DS27" t="e">
        <f>'2.4.Функции'!AGO69+"BYw!rT"</f>
        <v>#VALUE!</v>
      </c>
      <c r="DT27" t="e">
        <f>'2.4.Функции'!AGP69+"BYw!rU"</f>
        <v>#VALUE!</v>
      </c>
      <c r="DU27" t="e">
        <f>'2.4.Функции'!AGQ69+"BYw!rV"</f>
        <v>#VALUE!</v>
      </c>
      <c r="DV27" t="e">
        <f>'2.4.Функции'!AGR69+"BYw!rW"</f>
        <v>#VALUE!</v>
      </c>
      <c r="DW27" t="e">
        <f>'2.4.Функции'!AGS69+"BYw!rX"</f>
        <v>#VALUE!</v>
      </c>
      <c r="DX27" t="e">
        <f>'2.4.Функции'!AGT69+"BYw!rY"</f>
        <v>#VALUE!</v>
      </c>
      <c r="DY27" t="e">
        <f>'2.4.Функции'!AGU69+"BYw!rZ"</f>
        <v>#VALUE!</v>
      </c>
      <c r="DZ27" t="e">
        <f>'2.4.Функции'!AGV69+"BYw!r["</f>
        <v>#VALUE!</v>
      </c>
      <c r="EA27" t="e">
        <f>'2.4.Функции'!AGW69+"BYw!r\"</f>
        <v>#VALUE!</v>
      </c>
      <c r="EB27" t="e">
        <f>'2.4.Функции'!AGX69+"BYw!r]"</f>
        <v>#VALUE!</v>
      </c>
      <c r="EC27" t="e">
        <f>'2.4.Функции'!AGY69+"BYw!r^"</f>
        <v>#VALUE!</v>
      </c>
      <c r="ED27" t="e">
        <f>'2.4.Функции'!AGZ69+"BYw!r_"</f>
        <v>#VALUE!</v>
      </c>
      <c r="EE27" t="e">
        <f>'2.4.Функции'!AHA69+"BYw!r`"</f>
        <v>#VALUE!</v>
      </c>
      <c r="EF27" t="e">
        <f>'2.4.Функции'!AHB69+"BYw!ra"</f>
        <v>#VALUE!</v>
      </c>
      <c r="EG27" t="e">
        <f>'2.4.Функции'!AHC69+"BYw!rb"</f>
        <v>#VALUE!</v>
      </c>
      <c r="EH27" t="e">
        <f>'2.4.Функции'!AHD69+"BYw!rc"</f>
        <v>#VALUE!</v>
      </c>
      <c r="EI27" t="e">
        <f>'2.4.Функции'!AHE69+"BYw!rd"</f>
        <v>#VALUE!</v>
      </c>
      <c r="EJ27" t="e">
        <f>'2.4.Функции'!AHF69+"BYw!re"</f>
        <v>#VALUE!</v>
      </c>
      <c r="EK27" t="e">
        <f>'2.4.Функции'!AHG69+"BYw!rf"</f>
        <v>#VALUE!</v>
      </c>
      <c r="EL27" t="e">
        <f>'2.4.Функции'!AHH69+"BYw!rg"</f>
        <v>#VALUE!</v>
      </c>
      <c r="EM27" t="e">
        <f>'2.4.Функции'!AHI69+"BYw!rh"</f>
        <v>#VALUE!</v>
      </c>
      <c r="EN27" t="e">
        <f>'2.4.Функции'!AHJ69+"BYw!ri"</f>
        <v>#VALUE!</v>
      </c>
      <c r="EO27" t="e">
        <f>'2.4.Функции'!AHK69+"BYw!rj"</f>
        <v>#VALUE!</v>
      </c>
      <c r="EP27" t="e">
        <f>'2.4.Функции'!AHL69+"BYw!rk"</f>
        <v>#VALUE!</v>
      </c>
      <c r="EQ27" t="e">
        <f>'2.4.Функции'!AHM69+"BYw!rl"</f>
        <v>#VALUE!</v>
      </c>
      <c r="ER27" t="e">
        <f>'2.4.Функции'!AHN69+"BYw!rm"</f>
        <v>#VALUE!</v>
      </c>
      <c r="ES27" t="e">
        <f>'2.4.Функции'!AHO69+"BYw!rn"</f>
        <v>#VALUE!</v>
      </c>
      <c r="ET27" t="e">
        <f>'2.4.Функции'!AHP69+"BYw!ro"</f>
        <v>#VALUE!</v>
      </c>
      <c r="EU27" t="e">
        <f>'2.4.Функции'!AHQ69+"BYw!rp"</f>
        <v>#VALUE!</v>
      </c>
      <c r="EV27" t="e">
        <f>'2.4.Функции'!AHR69+"BYw!rq"</f>
        <v>#VALUE!</v>
      </c>
      <c r="EW27" t="e">
        <f>'2.4.Функции'!AHS69+"BYw!rr"</f>
        <v>#VALUE!</v>
      </c>
      <c r="EX27" t="e">
        <f>'2.4.Функции'!AHT69+"BYw!rs"</f>
        <v>#VALUE!</v>
      </c>
      <c r="EY27" t="e">
        <f>'2.4.Функции'!AHU69+"BYw!rt"</f>
        <v>#VALUE!</v>
      </c>
      <c r="EZ27" t="e">
        <f>'2.4.Функции'!AHV69+"BYw!ru"</f>
        <v>#VALUE!</v>
      </c>
      <c r="FA27" t="e">
        <f>'2.4.Функции'!AHW69+"BYw!rv"</f>
        <v>#VALUE!</v>
      </c>
      <c r="FB27" t="e">
        <f>'2.4.Функции'!AHX69+"BYw!rw"</f>
        <v>#VALUE!</v>
      </c>
      <c r="FC27" t="e">
        <f>'2.4.Функции'!AHY69+"BYw!rx"</f>
        <v>#VALUE!</v>
      </c>
      <c r="FD27" t="e">
        <f>'2.4.Функции'!AHZ69+"BYw!ry"</f>
        <v>#VALUE!</v>
      </c>
      <c r="FE27" t="e">
        <f>'2.4.Функции'!AIA69+"BYw!rz"</f>
        <v>#VALUE!</v>
      </c>
      <c r="FF27" t="e">
        <f>'2.4.Функции'!AIB69+"BYw!r{"</f>
        <v>#VALUE!</v>
      </c>
      <c r="FG27" t="e">
        <f>'2.4.Функции'!AIC69+"BYw!r|"</f>
        <v>#VALUE!</v>
      </c>
      <c r="FH27" t="e">
        <f>'2.4.Функции'!AID69+"BYw!r}"</f>
        <v>#VALUE!</v>
      </c>
      <c r="FI27" t="e">
        <f>'2.4.Функции'!AIE69+"BYw!r~"</f>
        <v>#VALUE!</v>
      </c>
      <c r="FJ27" t="e">
        <f>'2.4.Функции'!AIF69+"BYw!s#"</f>
        <v>#VALUE!</v>
      </c>
      <c r="FK27" t="e">
        <f>'2.4.Функции'!AIG69+"BYw!s$"</f>
        <v>#VALUE!</v>
      </c>
      <c r="FL27" t="e">
        <f>'2.4.Функции'!AIH69+"BYw!s%"</f>
        <v>#VALUE!</v>
      </c>
      <c r="FM27" t="e">
        <f>'2.4.Функции'!A70+"BYw!s&amp;"</f>
        <v>#VALUE!</v>
      </c>
      <c r="FN27" s="116" t="e">
        <f>'2.4.Функции'!B70+"BYw!s'"</f>
        <v>#VALUE!</v>
      </c>
      <c r="FO27" t="e">
        <f>'2.4.Функции'!C70+"BYw!s("</f>
        <v>#VALUE!</v>
      </c>
      <c r="FP27" s="119" t="e">
        <f>'2.4.Функции'!D70+"BYw!s)"</f>
        <v>#VALUE!</v>
      </c>
      <c r="FQ27" s="119" t="e">
        <f>'2.4.Функции'!E70+"BYw!s."</f>
        <v>#VALUE!</v>
      </c>
      <c r="FR27" s="119" t="e">
        <f>'2.4.Функции'!F70+"BYw!s/"</f>
        <v>#VALUE!</v>
      </c>
      <c r="FS27" s="119" t="e">
        <f>'2.4.Функции'!G70+"BYw!s0"</f>
        <v>#VALUE!</v>
      </c>
      <c r="FT27" s="119" t="e">
        <f>'2.4.Функции'!H70+"BYw!s1"</f>
        <v>#VALUE!</v>
      </c>
      <c r="FU27" s="119" t="e">
        <f>'2.4.Функции'!I70+"BYw!s2"</f>
        <v>#VALUE!</v>
      </c>
      <c r="FV27" s="119" t="e">
        <f>'2.4.Функции'!J70+"BYw!s3"</f>
        <v>#VALUE!</v>
      </c>
      <c r="FW27" s="119" t="e">
        <f>'2.4.Функции'!K70+"BYw!s4"</f>
        <v>#VALUE!</v>
      </c>
      <c r="FX27" t="e">
        <f>'2.4.Функции'!L70+"BYw!s5"</f>
        <v>#VALUE!</v>
      </c>
      <c r="FY27" t="e">
        <f>'2.4.Функции'!M70+"BYw!s6"</f>
        <v>#VALUE!</v>
      </c>
      <c r="FZ27" t="e">
        <f>'2.4.Функции'!N70+"BYw!s7"</f>
        <v>#VALUE!</v>
      </c>
      <c r="GA27" t="e">
        <f>'2.4.Функции'!O70+"BYw!s8"</f>
        <v>#VALUE!</v>
      </c>
      <c r="GB27" t="e">
        <f>'2.4.Функции'!P70+"BYw!s9"</f>
        <v>#VALUE!</v>
      </c>
      <c r="GC27" t="e">
        <f>'2.4.Функции'!Q70+"BYw!s:"</f>
        <v>#VALUE!</v>
      </c>
      <c r="GD27" t="e">
        <f>'2.4.Функции'!R70+"BYw!s;"</f>
        <v>#VALUE!</v>
      </c>
      <c r="GE27" t="e">
        <f>'2.4.Функции'!S70+"BYw!s&lt;"</f>
        <v>#VALUE!</v>
      </c>
      <c r="GF27" t="e">
        <f>'2.4.Функции'!T70+"BYw!s="</f>
        <v>#VALUE!</v>
      </c>
      <c r="GG27" t="e">
        <f>'2.4.Функции'!U70+"BYw!s&gt;"</f>
        <v>#VALUE!</v>
      </c>
      <c r="GH27" t="e">
        <f>'2.4.Функции'!V70+"BYw!s?"</f>
        <v>#VALUE!</v>
      </c>
      <c r="GI27" t="e">
        <f>'2.4.Функции'!W70+"BYw!s@"</f>
        <v>#VALUE!</v>
      </c>
      <c r="GJ27" t="e">
        <f>'2.4.Функции'!X70+"BYw!sA"</f>
        <v>#VALUE!</v>
      </c>
      <c r="GK27" t="e">
        <f>'2.4.Функции'!Y70+"BYw!sB"</f>
        <v>#VALUE!</v>
      </c>
      <c r="GL27" t="e">
        <f>'2.4.Функции'!Z70+"BYw!sC"</f>
        <v>#VALUE!</v>
      </c>
      <c r="GM27" t="e">
        <f>'2.4.Функции'!AA70+"BYw!sD"</f>
        <v>#VALUE!</v>
      </c>
      <c r="GN27" t="e">
        <f>'2.4.Функции'!AB70+"BYw!sE"</f>
        <v>#VALUE!</v>
      </c>
      <c r="GO27" t="e">
        <f>'2.4.Функции'!AC70+"BYw!sF"</f>
        <v>#VALUE!</v>
      </c>
      <c r="GP27" t="e">
        <f>'2.4.Функции'!AD70+"BYw!sG"</f>
        <v>#VALUE!</v>
      </c>
      <c r="GQ27" t="e">
        <f>'2.4.Функции'!AE70+"BYw!sH"</f>
        <v>#VALUE!</v>
      </c>
      <c r="GR27" t="e">
        <f>'2.4.Функции'!AF70+"BYw!sI"</f>
        <v>#VALUE!</v>
      </c>
      <c r="GS27" t="e">
        <f>'2.4.Функции'!AG70+"BYw!sJ"</f>
        <v>#VALUE!</v>
      </c>
      <c r="GT27" t="e">
        <f>'2.4.Функции'!AH70+"BYw!sK"</f>
        <v>#VALUE!</v>
      </c>
      <c r="GU27" t="e">
        <f>'2.4.Функции'!AI70+"BYw!sL"</f>
        <v>#VALUE!</v>
      </c>
      <c r="GV27" t="e">
        <f>'2.4.Функции'!AJ70+"BYw!sM"</f>
        <v>#VALUE!</v>
      </c>
      <c r="GW27" t="e">
        <f>'2.4.Функции'!AK70+"BYw!sN"</f>
        <v>#VALUE!</v>
      </c>
      <c r="GX27" t="e">
        <f>'2.4.Функции'!AL70+"BYw!sO"</f>
        <v>#VALUE!</v>
      </c>
      <c r="GY27" t="e">
        <f>'2.4.Функции'!AM70+"BYw!sP"</f>
        <v>#VALUE!</v>
      </c>
      <c r="GZ27" t="e">
        <f>'2.4.Функции'!AN70+"BYw!sQ"</f>
        <v>#VALUE!</v>
      </c>
      <c r="HA27" t="e">
        <f>'2.4.Функции'!AO70+"BYw!sR"</f>
        <v>#VALUE!</v>
      </c>
      <c r="HB27" t="e">
        <f>'2.4.Функции'!AP70+"BYw!sS"</f>
        <v>#VALUE!</v>
      </c>
      <c r="HC27" t="e">
        <f>'2.4.Функции'!AQ70+"BYw!sT"</f>
        <v>#VALUE!</v>
      </c>
      <c r="HD27" t="e">
        <f>'2.4.Функции'!AR70+"BYw!sU"</f>
        <v>#VALUE!</v>
      </c>
      <c r="HE27" t="e">
        <f>'2.4.Функции'!AS70+"BYw!sV"</f>
        <v>#VALUE!</v>
      </c>
      <c r="HF27" t="e">
        <f>'2.4.Функции'!AT70+"BYw!sW"</f>
        <v>#VALUE!</v>
      </c>
      <c r="HG27" t="e">
        <f>'2.4.Функции'!AU70+"BYw!sX"</f>
        <v>#VALUE!</v>
      </c>
      <c r="HH27" t="e">
        <f>'2.4.Функции'!AV70+"BYw!sY"</f>
        <v>#VALUE!</v>
      </c>
      <c r="HI27" t="e">
        <f>'2.4.Функции'!AW70+"BYw!sZ"</f>
        <v>#VALUE!</v>
      </c>
      <c r="HJ27" t="e">
        <f>'2.4.Функции'!AX70+"BYw!s["</f>
        <v>#VALUE!</v>
      </c>
      <c r="HK27" t="e">
        <f>'2.4.Функции'!AY70+"BYw!s\"</f>
        <v>#VALUE!</v>
      </c>
      <c r="HL27" t="e">
        <f>'2.4.Функции'!AZ70+"BYw!s]"</f>
        <v>#VALUE!</v>
      </c>
      <c r="HM27" t="e">
        <f>'2.4.Функции'!BA70+"BYw!s^"</f>
        <v>#VALUE!</v>
      </c>
      <c r="HN27" t="e">
        <f>'2.4.Функции'!BB70+"BYw!s_"</f>
        <v>#VALUE!</v>
      </c>
      <c r="HO27" t="e">
        <f>'2.4.Функции'!BC70+"BYw!s`"</f>
        <v>#VALUE!</v>
      </c>
      <c r="HP27" t="e">
        <f>'2.4.Функции'!BD70+"BYw!sa"</f>
        <v>#VALUE!</v>
      </c>
      <c r="HQ27" t="e">
        <f>'2.4.Функции'!BE70+"BYw!sb"</f>
        <v>#VALUE!</v>
      </c>
      <c r="HR27" t="e">
        <f>'2.4.Функции'!BF70+"BYw!sc"</f>
        <v>#VALUE!</v>
      </c>
      <c r="HS27" t="e">
        <f>'2.4.Функции'!BG70+"BYw!sd"</f>
        <v>#VALUE!</v>
      </c>
      <c r="HT27" t="e">
        <f>'2.4.Функции'!BH70+"BYw!se"</f>
        <v>#VALUE!</v>
      </c>
      <c r="HU27" t="e">
        <f>'2.4.Функции'!BI70+"BYw!sf"</f>
        <v>#VALUE!</v>
      </c>
      <c r="HV27" t="e">
        <f>'2.4.Функции'!BJ70+"BYw!sg"</f>
        <v>#VALUE!</v>
      </c>
      <c r="HW27" t="e">
        <f>'2.4.Функции'!BK70+"BYw!sh"</f>
        <v>#VALUE!</v>
      </c>
      <c r="HX27" t="e">
        <f>'2.4.Функции'!BL70+"BYw!si"</f>
        <v>#VALUE!</v>
      </c>
      <c r="HY27" t="e">
        <f>'2.4.Функции'!BM70+"BYw!sj"</f>
        <v>#VALUE!</v>
      </c>
      <c r="HZ27" t="e">
        <f>'2.4.Функции'!BN70+"BYw!sk"</f>
        <v>#VALUE!</v>
      </c>
      <c r="IA27" t="e">
        <f>'2.4.Функции'!BO70+"BYw!sl"</f>
        <v>#VALUE!</v>
      </c>
      <c r="IB27" t="e">
        <f>'2.4.Функции'!BP70+"BYw!sm"</f>
        <v>#VALUE!</v>
      </c>
      <c r="IC27" t="e">
        <f>'2.4.Функции'!BQ70+"BYw!sn"</f>
        <v>#VALUE!</v>
      </c>
      <c r="ID27" t="e">
        <f>'2.4.Функции'!BR70+"BYw!so"</f>
        <v>#VALUE!</v>
      </c>
      <c r="IE27" t="e">
        <f>'2.4.Функции'!BS70+"BYw!sp"</f>
        <v>#VALUE!</v>
      </c>
      <c r="IF27" t="e">
        <f>'2.4.Функции'!BT70+"BYw!sq"</f>
        <v>#VALUE!</v>
      </c>
      <c r="IG27" t="e">
        <f>'2.4.Функции'!BU70+"BYw!sr"</f>
        <v>#VALUE!</v>
      </c>
      <c r="IH27" t="e">
        <f>'2.4.Функции'!BV70+"BYw!ss"</f>
        <v>#VALUE!</v>
      </c>
      <c r="II27" t="e">
        <f>'2.4.Функции'!BW70+"BYw!st"</f>
        <v>#VALUE!</v>
      </c>
      <c r="IJ27" t="e">
        <f>'2.4.Функции'!BX70+"BYw!su"</f>
        <v>#VALUE!</v>
      </c>
      <c r="IK27" t="e">
        <f>'2.4.Функции'!BY70+"BYw!sv"</f>
        <v>#VALUE!</v>
      </c>
      <c r="IL27" t="e">
        <f>'2.4.Функции'!BZ70+"BYw!sw"</f>
        <v>#VALUE!</v>
      </c>
      <c r="IM27" t="e">
        <f>'2.4.Функции'!CA70+"BYw!sx"</f>
        <v>#VALUE!</v>
      </c>
      <c r="IN27" t="e">
        <f>'2.4.Функции'!CB70+"BYw!sy"</f>
        <v>#VALUE!</v>
      </c>
      <c r="IO27" t="e">
        <f>'2.4.Функции'!CC70+"BYw!sz"</f>
        <v>#VALUE!</v>
      </c>
      <c r="IP27" t="e">
        <f>'2.4.Функции'!CD70+"BYw!s{"</f>
        <v>#VALUE!</v>
      </c>
      <c r="IQ27" t="e">
        <f>'2.4.Функции'!CE70+"BYw!s|"</f>
        <v>#VALUE!</v>
      </c>
      <c r="IR27" t="e">
        <f>'2.4.Функции'!CF70+"BYw!s}"</f>
        <v>#VALUE!</v>
      </c>
      <c r="IS27" t="e">
        <f>'2.4.Функции'!CG70+"BYw!s~"</f>
        <v>#VALUE!</v>
      </c>
      <c r="IT27" t="e">
        <f>'2.4.Функции'!CH70+"BYw!t#"</f>
        <v>#VALUE!</v>
      </c>
      <c r="IU27" t="e">
        <f>'2.4.Функции'!CI70+"BYw!t$"</f>
        <v>#VALUE!</v>
      </c>
      <c r="IV27" t="e">
        <f>'2.4.Функции'!CJ70+"BYw!t%"</f>
        <v>#VALUE!</v>
      </c>
    </row>
    <row r="28" spans="6:256" x14ac:dyDescent="0.2">
      <c r="F28" t="e">
        <f>'2.4.Функции'!CK70+"BYw!t&amp;"</f>
        <v>#VALUE!</v>
      </c>
      <c r="G28" t="e">
        <f>'2.4.Функции'!CL70+"BYw!t'"</f>
        <v>#VALUE!</v>
      </c>
      <c r="H28" t="e">
        <f>'2.4.Функции'!CM70+"BYw!t("</f>
        <v>#VALUE!</v>
      </c>
      <c r="I28" t="e">
        <f>'2.4.Функции'!CN70+"BYw!t)"</f>
        <v>#VALUE!</v>
      </c>
      <c r="J28" t="e">
        <f>'2.4.Функции'!CO70+"BYw!t."</f>
        <v>#VALUE!</v>
      </c>
      <c r="K28" t="e">
        <f>'2.4.Функции'!CP70+"BYw!t/"</f>
        <v>#VALUE!</v>
      </c>
      <c r="L28" t="e">
        <f>'2.4.Функции'!CQ70+"BYw!t0"</f>
        <v>#VALUE!</v>
      </c>
      <c r="M28" t="e">
        <f>'2.4.Функции'!CR70+"BYw!t1"</f>
        <v>#VALUE!</v>
      </c>
      <c r="N28" t="e">
        <f>'2.4.Функции'!CS70+"BYw!t2"</f>
        <v>#VALUE!</v>
      </c>
      <c r="O28" t="e">
        <f>'2.4.Функции'!CT70+"BYw!t3"</f>
        <v>#VALUE!</v>
      </c>
      <c r="P28" t="e">
        <f>'2.4.Функции'!CU70+"BYw!t4"</f>
        <v>#VALUE!</v>
      </c>
      <c r="Q28" t="e">
        <f>'2.4.Функции'!CV70+"BYw!t5"</f>
        <v>#VALUE!</v>
      </c>
      <c r="R28" t="e">
        <f>'2.4.Функции'!CW70+"BYw!t6"</f>
        <v>#VALUE!</v>
      </c>
      <c r="S28" t="e">
        <f>'2.4.Функции'!CX70+"BYw!t7"</f>
        <v>#VALUE!</v>
      </c>
      <c r="T28" t="e">
        <f>'2.4.Функции'!CY70+"BYw!t8"</f>
        <v>#VALUE!</v>
      </c>
      <c r="U28" t="e">
        <f>'2.4.Функции'!CZ70+"BYw!t9"</f>
        <v>#VALUE!</v>
      </c>
      <c r="V28" t="e">
        <f>'2.4.Функции'!DA70+"BYw!t:"</f>
        <v>#VALUE!</v>
      </c>
      <c r="W28" t="e">
        <f>'2.4.Функции'!DB70+"BYw!t;"</f>
        <v>#VALUE!</v>
      </c>
      <c r="X28" t="e">
        <f>'2.4.Функции'!DC70+"BYw!t&lt;"</f>
        <v>#VALUE!</v>
      </c>
      <c r="Y28" t="e">
        <f>'2.4.Функции'!DD70+"BYw!t="</f>
        <v>#VALUE!</v>
      </c>
      <c r="Z28" t="e">
        <f>'2.4.Функции'!DE70+"BYw!t&gt;"</f>
        <v>#VALUE!</v>
      </c>
      <c r="AA28" t="e">
        <f>'2.4.Функции'!DF70+"BYw!t?"</f>
        <v>#VALUE!</v>
      </c>
      <c r="AB28" t="e">
        <f>'2.4.Функции'!DG70+"BYw!t@"</f>
        <v>#VALUE!</v>
      </c>
      <c r="AC28" t="e">
        <f>'2.4.Функции'!DH70+"BYw!tA"</f>
        <v>#VALUE!</v>
      </c>
      <c r="AD28" t="e">
        <f>'2.4.Функции'!DI70+"BYw!tB"</f>
        <v>#VALUE!</v>
      </c>
      <c r="AE28" t="e">
        <f>'2.4.Функции'!DJ70+"BYw!tC"</f>
        <v>#VALUE!</v>
      </c>
      <c r="AF28" t="e">
        <f>'2.4.Функции'!DK70+"BYw!tD"</f>
        <v>#VALUE!</v>
      </c>
      <c r="AG28" t="e">
        <f>'2.4.Функции'!DL70+"BYw!tE"</f>
        <v>#VALUE!</v>
      </c>
      <c r="AH28" t="e">
        <f>'2.4.Функции'!DM70+"BYw!tF"</f>
        <v>#VALUE!</v>
      </c>
      <c r="AI28" t="e">
        <f>'2.4.Функции'!DN70+"BYw!tG"</f>
        <v>#VALUE!</v>
      </c>
      <c r="AJ28" t="e">
        <f>'2.4.Функции'!DO70+"BYw!tH"</f>
        <v>#VALUE!</v>
      </c>
      <c r="AK28" t="e">
        <f>'2.4.Функции'!DP70+"BYw!tI"</f>
        <v>#VALUE!</v>
      </c>
      <c r="AL28" t="e">
        <f>'2.4.Функции'!DQ70+"BYw!tJ"</f>
        <v>#VALUE!</v>
      </c>
      <c r="AM28" t="e">
        <f>'2.4.Функции'!DR70+"BYw!tK"</f>
        <v>#VALUE!</v>
      </c>
      <c r="AN28" t="e">
        <f>'2.4.Функции'!DS70+"BYw!tL"</f>
        <v>#VALUE!</v>
      </c>
      <c r="AO28" t="e">
        <f>'2.4.Функции'!DT70+"BYw!tM"</f>
        <v>#VALUE!</v>
      </c>
      <c r="AP28" t="e">
        <f>'2.4.Функции'!DU70+"BYw!tN"</f>
        <v>#VALUE!</v>
      </c>
      <c r="AQ28" t="e">
        <f>'2.4.Функции'!DV70+"BYw!tO"</f>
        <v>#VALUE!</v>
      </c>
      <c r="AR28" t="e">
        <f>'2.4.Функции'!DW70+"BYw!tP"</f>
        <v>#VALUE!</v>
      </c>
      <c r="AS28" t="e">
        <f>'2.4.Функции'!DX70+"BYw!tQ"</f>
        <v>#VALUE!</v>
      </c>
      <c r="AT28" t="e">
        <f>'2.4.Функции'!DY70+"BYw!tR"</f>
        <v>#VALUE!</v>
      </c>
      <c r="AU28" t="e">
        <f>'2.4.Функции'!DZ70+"BYw!tS"</f>
        <v>#VALUE!</v>
      </c>
      <c r="AV28" t="e">
        <f>'2.4.Функции'!EA70+"BYw!tT"</f>
        <v>#VALUE!</v>
      </c>
      <c r="AW28" t="e">
        <f>'2.4.Функции'!EB70+"BYw!tU"</f>
        <v>#VALUE!</v>
      </c>
      <c r="AX28" t="e">
        <f>'2.4.Функции'!EC70+"BYw!tV"</f>
        <v>#VALUE!</v>
      </c>
      <c r="AY28" t="e">
        <f>'2.4.Функции'!ED70+"BYw!tW"</f>
        <v>#VALUE!</v>
      </c>
      <c r="AZ28" t="e">
        <f>'2.4.Функции'!EE70+"BYw!tX"</f>
        <v>#VALUE!</v>
      </c>
      <c r="BA28" t="e">
        <f>'2.4.Функции'!EF70+"BYw!tY"</f>
        <v>#VALUE!</v>
      </c>
      <c r="BB28" t="e">
        <f>'2.4.Функции'!EG70+"BYw!tZ"</f>
        <v>#VALUE!</v>
      </c>
      <c r="BC28" t="e">
        <f>'2.4.Функции'!EH70+"BYw!t["</f>
        <v>#VALUE!</v>
      </c>
      <c r="BD28" t="e">
        <f>'2.4.Функции'!EI70+"BYw!t\"</f>
        <v>#VALUE!</v>
      </c>
      <c r="BE28" t="e">
        <f>'2.4.Функции'!EJ70+"BYw!t]"</f>
        <v>#VALUE!</v>
      </c>
      <c r="BF28" t="e">
        <f>'2.4.Функции'!EK70+"BYw!t^"</f>
        <v>#VALUE!</v>
      </c>
      <c r="BG28" t="e">
        <f>'2.4.Функции'!EL70+"BYw!t_"</f>
        <v>#VALUE!</v>
      </c>
      <c r="BH28" t="e">
        <f>'2.4.Функции'!EM70+"BYw!t`"</f>
        <v>#VALUE!</v>
      </c>
      <c r="BI28" t="e">
        <f>'2.4.Функции'!EN70+"BYw!ta"</f>
        <v>#VALUE!</v>
      </c>
      <c r="BJ28" t="e">
        <f>'2.4.Функции'!EO70+"BYw!tb"</f>
        <v>#VALUE!</v>
      </c>
      <c r="BK28" t="e">
        <f>'2.4.Функции'!EP70+"BYw!tc"</f>
        <v>#VALUE!</v>
      </c>
      <c r="BL28" t="e">
        <f>'2.4.Функции'!EQ70+"BYw!td"</f>
        <v>#VALUE!</v>
      </c>
      <c r="BM28" t="e">
        <f>'2.4.Функции'!ER70+"BYw!te"</f>
        <v>#VALUE!</v>
      </c>
      <c r="BN28" t="e">
        <f>'2.4.Функции'!ES70+"BYw!tf"</f>
        <v>#VALUE!</v>
      </c>
      <c r="BO28" t="e">
        <f>'2.4.Функции'!ET70+"BYw!tg"</f>
        <v>#VALUE!</v>
      </c>
      <c r="BP28" t="e">
        <f>'2.4.Функции'!EU70+"BYw!th"</f>
        <v>#VALUE!</v>
      </c>
      <c r="BQ28" t="e">
        <f>'2.4.Функции'!EV70+"BYw!ti"</f>
        <v>#VALUE!</v>
      </c>
      <c r="BR28" t="e">
        <f>'2.4.Функции'!EW70+"BYw!tj"</f>
        <v>#VALUE!</v>
      </c>
      <c r="BS28" t="e">
        <f>'2.4.Функции'!EX70+"BYw!tk"</f>
        <v>#VALUE!</v>
      </c>
      <c r="BT28" t="e">
        <f>'2.4.Функции'!EY70+"BYw!tl"</f>
        <v>#VALUE!</v>
      </c>
      <c r="BU28" t="e">
        <f>'2.4.Функции'!EZ70+"BYw!tm"</f>
        <v>#VALUE!</v>
      </c>
      <c r="BV28" t="e">
        <f>'2.4.Функции'!FA70+"BYw!tn"</f>
        <v>#VALUE!</v>
      </c>
      <c r="BW28" t="e">
        <f>'2.4.Функции'!FB70+"BYw!to"</f>
        <v>#VALUE!</v>
      </c>
      <c r="BX28" t="e">
        <f>'2.4.Функции'!FC70+"BYw!tp"</f>
        <v>#VALUE!</v>
      </c>
      <c r="BY28" t="e">
        <f>'2.4.Функции'!FD70+"BYw!tq"</f>
        <v>#VALUE!</v>
      </c>
      <c r="BZ28" t="e">
        <f>'2.4.Функции'!FE70+"BYw!tr"</f>
        <v>#VALUE!</v>
      </c>
      <c r="CA28" t="e">
        <f>'2.4.Функции'!FF70+"BYw!ts"</f>
        <v>#VALUE!</v>
      </c>
      <c r="CB28" t="e">
        <f>'2.4.Функции'!FG70+"BYw!tt"</f>
        <v>#VALUE!</v>
      </c>
      <c r="CC28" t="e">
        <f>'2.4.Функции'!FH70+"BYw!tu"</f>
        <v>#VALUE!</v>
      </c>
      <c r="CD28" t="e">
        <f>'2.4.Функции'!FI70+"BYw!tv"</f>
        <v>#VALUE!</v>
      </c>
      <c r="CE28" t="e">
        <f>'2.4.Функции'!FJ70+"BYw!tw"</f>
        <v>#VALUE!</v>
      </c>
      <c r="CF28" t="e">
        <f>'2.4.Функции'!FK70+"BYw!tx"</f>
        <v>#VALUE!</v>
      </c>
      <c r="CG28" t="e">
        <f>'2.4.Функции'!FL70+"BYw!ty"</f>
        <v>#VALUE!</v>
      </c>
      <c r="CH28" t="e">
        <f>'2.4.Функции'!FM70+"BYw!tz"</f>
        <v>#VALUE!</v>
      </c>
      <c r="CI28" t="e">
        <f>'2.4.Функции'!FN70+"BYw!t{"</f>
        <v>#VALUE!</v>
      </c>
      <c r="CJ28" t="e">
        <f>'2.4.Функции'!FO70+"BYw!t|"</f>
        <v>#VALUE!</v>
      </c>
      <c r="CK28" t="e">
        <f>'2.4.Функции'!FP70+"BYw!t}"</f>
        <v>#VALUE!</v>
      </c>
      <c r="CL28" t="e">
        <f>'2.4.Функции'!FQ70+"BYw!t~"</f>
        <v>#VALUE!</v>
      </c>
      <c r="CM28" t="e">
        <f>'2.4.Функции'!FR70+"BYw!u#"</f>
        <v>#VALUE!</v>
      </c>
      <c r="CN28" t="e">
        <f>'2.4.Функции'!FS70+"BYw!u$"</f>
        <v>#VALUE!</v>
      </c>
      <c r="CO28" t="e">
        <f>'2.4.Функции'!FT70+"BYw!u%"</f>
        <v>#VALUE!</v>
      </c>
      <c r="CP28" t="e">
        <f>'2.4.Функции'!FU70+"BYw!u&amp;"</f>
        <v>#VALUE!</v>
      </c>
      <c r="CQ28" t="e">
        <f>'2.4.Функции'!FV70+"BYw!u'"</f>
        <v>#VALUE!</v>
      </c>
      <c r="CR28" t="e">
        <f>'2.4.Функции'!FW70+"BYw!u("</f>
        <v>#VALUE!</v>
      </c>
      <c r="CS28" t="e">
        <f>'2.4.Функции'!FX70+"BYw!u)"</f>
        <v>#VALUE!</v>
      </c>
      <c r="CT28" t="e">
        <f>'2.4.Функции'!FY70+"BYw!u."</f>
        <v>#VALUE!</v>
      </c>
      <c r="CU28" t="e">
        <f>'2.4.Функции'!FZ70+"BYw!u/"</f>
        <v>#VALUE!</v>
      </c>
      <c r="CV28" t="e">
        <f>'2.4.Функции'!GA70+"BYw!u0"</f>
        <v>#VALUE!</v>
      </c>
      <c r="CW28" t="e">
        <f>'2.4.Функции'!GB70+"BYw!u1"</f>
        <v>#VALUE!</v>
      </c>
      <c r="CX28" t="e">
        <f>'2.4.Функции'!GC70+"BYw!u2"</f>
        <v>#VALUE!</v>
      </c>
      <c r="CY28" t="e">
        <f>'2.4.Функции'!GD70+"BYw!u3"</f>
        <v>#VALUE!</v>
      </c>
      <c r="CZ28" t="e">
        <f>'2.4.Функции'!GE70+"BYw!u4"</f>
        <v>#VALUE!</v>
      </c>
      <c r="DA28" t="e">
        <f>'2.4.Функции'!GF70+"BYw!u5"</f>
        <v>#VALUE!</v>
      </c>
      <c r="DB28" t="e">
        <f>'2.4.Функции'!GG70+"BYw!u6"</f>
        <v>#VALUE!</v>
      </c>
      <c r="DC28" t="e">
        <f>'2.4.Функции'!GH70+"BYw!u7"</f>
        <v>#VALUE!</v>
      </c>
      <c r="DD28" t="e">
        <f>'2.4.Функции'!GI70+"BYw!u8"</f>
        <v>#VALUE!</v>
      </c>
      <c r="DE28" t="e">
        <f>'2.4.Функции'!GJ70+"BYw!u9"</f>
        <v>#VALUE!</v>
      </c>
      <c r="DF28" t="e">
        <f>'2.4.Функции'!GK70+"BYw!u:"</f>
        <v>#VALUE!</v>
      </c>
      <c r="DG28" t="e">
        <f>'2.4.Функции'!GL70+"BYw!u;"</f>
        <v>#VALUE!</v>
      </c>
      <c r="DH28" t="e">
        <f>'2.4.Функции'!GM70+"BYw!u&lt;"</f>
        <v>#VALUE!</v>
      </c>
      <c r="DI28" t="e">
        <f>'2.4.Функции'!GN70+"BYw!u="</f>
        <v>#VALUE!</v>
      </c>
      <c r="DJ28" t="e">
        <f>'2.4.Функции'!GO70+"BYw!u&gt;"</f>
        <v>#VALUE!</v>
      </c>
      <c r="DK28" t="e">
        <f>'2.4.Функции'!GP70+"BYw!u?"</f>
        <v>#VALUE!</v>
      </c>
      <c r="DL28" t="e">
        <f>'2.4.Функции'!GQ70+"BYw!u@"</f>
        <v>#VALUE!</v>
      </c>
      <c r="DM28" t="e">
        <f>'2.4.Функции'!GR70+"BYw!uA"</f>
        <v>#VALUE!</v>
      </c>
      <c r="DN28" t="e">
        <f>'2.4.Функции'!GS70+"BYw!uB"</f>
        <v>#VALUE!</v>
      </c>
      <c r="DO28" t="e">
        <f>'2.4.Функции'!GT70+"BYw!uC"</f>
        <v>#VALUE!</v>
      </c>
      <c r="DP28" t="e">
        <f>'2.4.Функции'!GU70+"BYw!uD"</f>
        <v>#VALUE!</v>
      </c>
      <c r="DQ28" t="e">
        <f>'2.4.Функции'!GV70+"BYw!uE"</f>
        <v>#VALUE!</v>
      </c>
      <c r="DR28" t="e">
        <f>'2.4.Функции'!GW70+"BYw!uF"</f>
        <v>#VALUE!</v>
      </c>
      <c r="DS28" t="e">
        <f>'2.4.Функции'!GX70+"BYw!uG"</f>
        <v>#VALUE!</v>
      </c>
      <c r="DT28" t="e">
        <f>'2.4.Функции'!GY70+"BYw!uH"</f>
        <v>#VALUE!</v>
      </c>
      <c r="DU28" t="e">
        <f>'2.4.Функции'!GZ70+"BYw!uI"</f>
        <v>#VALUE!</v>
      </c>
      <c r="DV28" t="e">
        <f>'2.4.Функции'!HA70+"BYw!uJ"</f>
        <v>#VALUE!</v>
      </c>
      <c r="DW28" t="e">
        <f>'2.4.Функции'!HB70+"BYw!uK"</f>
        <v>#VALUE!</v>
      </c>
      <c r="DX28" t="e">
        <f>'2.4.Функции'!HC70+"BYw!uL"</f>
        <v>#VALUE!</v>
      </c>
      <c r="DY28" t="e">
        <f>'2.4.Функции'!HD70+"BYw!uM"</f>
        <v>#VALUE!</v>
      </c>
      <c r="DZ28" t="e">
        <f>'2.4.Функции'!HE70+"BYw!uN"</f>
        <v>#VALUE!</v>
      </c>
      <c r="EA28" t="e">
        <f>'2.4.Функции'!HF70+"BYw!uO"</f>
        <v>#VALUE!</v>
      </c>
      <c r="EB28" t="e">
        <f>'2.4.Функции'!HG70+"BYw!uP"</f>
        <v>#VALUE!</v>
      </c>
      <c r="EC28" t="e">
        <f>'2.4.Функции'!HH70+"BYw!uQ"</f>
        <v>#VALUE!</v>
      </c>
      <c r="ED28" t="e">
        <f>'2.4.Функции'!HI70+"BYw!uR"</f>
        <v>#VALUE!</v>
      </c>
      <c r="EE28" t="e">
        <f>'2.4.Функции'!HJ70+"BYw!uS"</f>
        <v>#VALUE!</v>
      </c>
      <c r="EF28" t="e">
        <f>'2.4.Функции'!HK70+"BYw!uT"</f>
        <v>#VALUE!</v>
      </c>
      <c r="EG28" t="e">
        <f>'2.4.Функции'!HL70+"BYw!uU"</f>
        <v>#VALUE!</v>
      </c>
      <c r="EH28" t="e">
        <f>'2.4.Функции'!HM70+"BYw!uV"</f>
        <v>#VALUE!</v>
      </c>
      <c r="EI28" t="e">
        <f>'2.4.Функции'!HN70+"BYw!uW"</f>
        <v>#VALUE!</v>
      </c>
      <c r="EJ28" t="e">
        <f>'2.4.Функции'!HO70+"BYw!uX"</f>
        <v>#VALUE!</v>
      </c>
      <c r="EK28" t="e">
        <f>'2.4.Функции'!HP70+"BYw!uY"</f>
        <v>#VALUE!</v>
      </c>
      <c r="EL28" t="e">
        <f>'2.4.Функции'!HQ70+"BYw!uZ"</f>
        <v>#VALUE!</v>
      </c>
      <c r="EM28" t="e">
        <f>'2.4.Функции'!HR70+"BYw!u["</f>
        <v>#VALUE!</v>
      </c>
      <c r="EN28" t="e">
        <f>'2.4.Функции'!HS70+"BYw!u\"</f>
        <v>#VALUE!</v>
      </c>
      <c r="EO28" t="e">
        <f>'2.4.Функции'!HT70+"BYw!u]"</f>
        <v>#VALUE!</v>
      </c>
      <c r="EP28" t="e">
        <f>'2.4.Функции'!HU70+"BYw!u^"</f>
        <v>#VALUE!</v>
      </c>
      <c r="EQ28" t="e">
        <f>'2.4.Функции'!HV70+"BYw!u_"</f>
        <v>#VALUE!</v>
      </c>
      <c r="ER28" t="e">
        <f>'2.4.Функции'!HW70+"BYw!u`"</f>
        <v>#VALUE!</v>
      </c>
      <c r="ES28" t="e">
        <f>'2.4.Функции'!HX70+"BYw!ua"</f>
        <v>#VALUE!</v>
      </c>
      <c r="ET28" t="e">
        <f>'2.4.Функции'!HY70+"BYw!ub"</f>
        <v>#VALUE!</v>
      </c>
      <c r="EU28" t="e">
        <f>'2.4.Функции'!HZ70+"BYw!uc"</f>
        <v>#VALUE!</v>
      </c>
      <c r="EV28" t="e">
        <f>'2.4.Функции'!IA70+"BYw!ud"</f>
        <v>#VALUE!</v>
      </c>
      <c r="EW28" t="e">
        <f>'2.4.Функции'!IB70+"BYw!ue"</f>
        <v>#VALUE!</v>
      </c>
      <c r="EX28" t="e">
        <f>'2.4.Функции'!IC70+"BYw!uf"</f>
        <v>#VALUE!</v>
      </c>
      <c r="EY28" t="e">
        <f>'2.4.Функции'!ID70+"BYw!ug"</f>
        <v>#VALUE!</v>
      </c>
      <c r="EZ28" t="e">
        <f>'2.4.Функции'!IE70+"BYw!uh"</f>
        <v>#VALUE!</v>
      </c>
      <c r="FA28" t="e">
        <f>'2.4.Функции'!IF70+"BYw!ui"</f>
        <v>#VALUE!</v>
      </c>
      <c r="FB28" t="e">
        <f>'2.4.Функции'!IG70+"BYw!uj"</f>
        <v>#VALUE!</v>
      </c>
      <c r="FC28" t="e">
        <f>'2.4.Функции'!IH70+"BYw!uk"</f>
        <v>#VALUE!</v>
      </c>
      <c r="FD28" t="e">
        <f>'2.4.Функции'!II70+"BYw!ul"</f>
        <v>#VALUE!</v>
      </c>
      <c r="FE28" t="e">
        <f>'2.4.Функции'!IJ70+"BYw!um"</f>
        <v>#VALUE!</v>
      </c>
      <c r="FF28" t="e">
        <f>'2.4.Функции'!IK70+"BYw!un"</f>
        <v>#VALUE!</v>
      </c>
      <c r="FG28" t="e">
        <f>'2.4.Функции'!IL70+"BYw!uo"</f>
        <v>#VALUE!</v>
      </c>
      <c r="FH28" t="e">
        <f>'2.4.Функции'!IM70+"BYw!up"</f>
        <v>#VALUE!</v>
      </c>
      <c r="FI28" t="e">
        <f>'2.4.Функции'!IN70+"BYw!uq"</f>
        <v>#VALUE!</v>
      </c>
      <c r="FJ28" t="e">
        <f>'2.4.Функции'!IO70+"BYw!ur"</f>
        <v>#VALUE!</v>
      </c>
      <c r="FK28" t="e">
        <f>'2.4.Функции'!IP70+"BYw!us"</f>
        <v>#VALUE!</v>
      </c>
      <c r="FL28" t="e">
        <f>'2.4.Функции'!IQ70+"BYw!ut"</f>
        <v>#VALUE!</v>
      </c>
      <c r="FM28" t="e">
        <f>'2.4.Функции'!IR70+"BYw!uu"</f>
        <v>#VALUE!</v>
      </c>
      <c r="FN28" t="e">
        <f>'2.4.Функции'!IS70+"BYw!uv"</f>
        <v>#VALUE!</v>
      </c>
      <c r="FO28" t="e">
        <f>'2.4.Функции'!IT70+"BYw!uw"</f>
        <v>#VALUE!</v>
      </c>
      <c r="FP28" t="e">
        <f>'2.4.Функции'!IU70+"BYw!ux"</f>
        <v>#VALUE!</v>
      </c>
      <c r="FQ28" t="e">
        <f>'2.4.Функции'!IV70+"BYw!uy"</f>
        <v>#VALUE!</v>
      </c>
      <c r="FR28" t="e">
        <f>'2.4.Функции'!IW70+"BYw!uz"</f>
        <v>#VALUE!</v>
      </c>
      <c r="FS28" t="e">
        <f>'2.4.Функции'!IX70+"BYw!u{"</f>
        <v>#VALUE!</v>
      </c>
      <c r="FT28" t="e">
        <f>'2.4.Функции'!IY70+"BYw!u|"</f>
        <v>#VALUE!</v>
      </c>
      <c r="FU28" t="e">
        <f>'2.4.Функции'!IZ70+"BYw!u}"</f>
        <v>#VALUE!</v>
      </c>
      <c r="FV28" t="e">
        <f>'2.4.Функции'!JA70+"BYw!u~"</f>
        <v>#VALUE!</v>
      </c>
      <c r="FW28" t="e">
        <f>'2.4.Функции'!JB70+"BYw!v#"</f>
        <v>#VALUE!</v>
      </c>
      <c r="FX28" t="e">
        <f>'2.4.Функции'!JC70+"BYw!v$"</f>
        <v>#VALUE!</v>
      </c>
      <c r="FY28" t="e">
        <f>'2.4.Функции'!JD70+"BYw!v%"</f>
        <v>#VALUE!</v>
      </c>
      <c r="FZ28" t="e">
        <f>'2.4.Функции'!JE70+"BYw!v&amp;"</f>
        <v>#VALUE!</v>
      </c>
      <c r="GA28" t="e">
        <f>'2.4.Функции'!JF70+"BYw!v'"</f>
        <v>#VALUE!</v>
      </c>
      <c r="GB28" t="e">
        <f>'2.4.Функции'!JG70+"BYw!v("</f>
        <v>#VALUE!</v>
      </c>
      <c r="GC28" t="e">
        <f>'2.4.Функции'!JH70+"BYw!v)"</f>
        <v>#VALUE!</v>
      </c>
      <c r="GD28" t="e">
        <f>'2.4.Функции'!JI70+"BYw!v."</f>
        <v>#VALUE!</v>
      </c>
      <c r="GE28" t="e">
        <f>'2.4.Функции'!JJ70+"BYw!v/"</f>
        <v>#VALUE!</v>
      </c>
      <c r="GF28" t="e">
        <f>'2.4.Функции'!JK70+"BYw!v0"</f>
        <v>#VALUE!</v>
      </c>
      <c r="GG28" t="e">
        <f>'2.4.Функции'!JL70+"BYw!v1"</f>
        <v>#VALUE!</v>
      </c>
      <c r="GH28" t="e">
        <f>'2.4.Функции'!JM70+"BYw!v2"</f>
        <v>#VALUE!</v>
      </c>
      <c r="GI28" t="e">
        <f>'2.4.Функции'!JN70+"BYw!v3"</f>
        <v>#VALUE!</v>
      </c>
      <c r="GJ28" t="e">
        <f>'2.4.Функции'!JO70+"BYw!v4"</f>
        <v>#VALUE!</v>
      </c>
      <c r="GK28" t="e">
        <f>'2.4.Функции'!JP70+"BYw!v5"</f>
        <v>#VALUE!</v>
      </c>
      <c r="GL28" t="e">
        <f>'2.4.Функции'!JQ70+"BYw!v6"</f>
        <v>#VALUE!</v>
      </c>
      <c r="GM28" t="e">
        <f>'2.4.Функции'!JR70+"BYw!v7"</f>
        <v>#VALUE!</v>
      </c>
      <c r="GN28" t="e">
        <f>'2.4.Функции'!JS70+"BYw!v8"</f>
        <v>#VALUE!</v>
      </c>
      <c r="GO28" t="e">
        <f>'2.4.Функции'!JT70+"BYw!v9"</f>
        <v>#VALUE!</v>
      </c>
      <c r="GP28" t="e">
        <f>'2.4.Функции'!JU70+"BYw!v:"</f>
        <v>#VALUE!</v>
      </c>
      <c r="GQ28" t="e">
        <f>'2.4.Функции'!JV70+"BYw!v;"</f>
        <v>#VALUE!</v>
      </c>
      <c r="GR28" t="e">
        <f>'2.4.Функции'!JW70+"BYw!v&lt;"</f>
        <v>#VALUE!</v>
      </c>
      <c r="GS28" t="e">
        <f>'2.4.Функции'!JX70+"BYw!v="</f>
        <v>#VALUE!</v>
      </c>
      <c r="GT28" t="e">
        <f>'2.4.Функции'!JY70+"BYw!v&gt;"</f>
        <v>#VALUE!</v>
      </c>
      <c r="GU28" t="e">
        <f>'2.4.Функции'!JZ70+"BYw!v?"</f>
        <v>#VALUE!</v>
      </c>
      <c r="GV28" t="e">
        <f>'2.4.Функции'!KA70+"BYw!v@"</f>
        <v>#VALUE!</v>
      </c>
      <c r="GW28" t="e">
        <f>'2.4.Функции'!KB70+"BYw!vA"</f>
        <v>#VALUE!</v>
      </c>
      <c r="GX28" t="e">
        <f>'2.4.Функции'!KC70+"BYw!vB"</f>
        <v>#VALUE!</v>
      </c>
      <c r="GY28" t="e">
        <f>'2.4.Функции'!KD70+"BYw!vC"</f>
        <v>#VALUE!</v>
      </c>
      <c r="GZ28" t="e">
        <f>'2.4.Функции'!KE70+"BYw!vD"</f>
        <v>#VALUE!</v>
      </c>
      <c r="HA28" t="e">
        <f>'2.4.Функции'!KF70+"BYw!vE"</f>
        <v>#VALUE!</v>
      </c>
      <c r="HB28" t="e">
        <f>'2.4.Функции'!KG70+"BYw!vF"</f>
        <v>#VALUE!</v>
      </c>
      <c r="HC28" t="e">
        <f>'2.4.Функции'!KH70+"BYw!vG"</f>
        <v>#VALUE!</v>
      </c>
      <c r="HD28" t="e">
        <f>'2.4.Функции'!KI70+"BYw!vH"</f>
        <v>#VALUE!</v>
      </c>
      <c r="HE28" t="e">
        <f>'2.4.Функции'!KJ70+"BYw!vI"</f>
        <v>#VALUE!</v>
      </c>
      <c r="HF28" t="e">
        <f>'2.4.Функции'!KK70+"BYw!vJ"</f>
        <v>#VALUE!</v>
      </c>
      <c r="HG28" t="e">
        <f>'2.4.Функции'!KL70+"BYw!vK"</f>
        <v>#VALUE!</v>
      </c>
      <c r="HH28" t="e">
        <f>'2.4.Функции'!KM70+"BYw!vL"</f>
        <v>#VALUE!</v>
      </c>
      <c r="HI28" t="e">
        <f>'2.4.Функции'!KN70+"BYw!vM"</f>
        <v>#VALUE!</v>
      </c>
      <c r="HJ28" t="e">
        <f>'2.4.Функции'!KO70+"BYw!vN"</f>
        <v>#VALUE!</v>
      </c>
      <c r="HK28" t="e">
        <f>'2.4.Функции'!KP70+"BYw!vO"</f>
        <v>#VALUE!</v>
      </c>
      <c r="HL28" t="e">
        <f>'2.4.Функции'!KQ70+"BYw!vP"</f>
        <v>#VALUE!</v>
      </c>
      <c r="HM28" t="e">
        <f>'2.4.Функции'!KR70+"BYw!vQ"</f>
        <v>#VALUE!</v>
      </c>
      <c r="HN28" t="e">
        <f>'2.4.Функции'!KS70+"BYw!vR"</f>
        <v>#VALUE!</v>
      </c>
      <c r="HO28" t="e">
        <f>'2.4.Функции'!KT70+"BYw!vS"</f>
        <v>#VALUE!</v>
      </c>
      <c r="HP28" t="e">
        <f>'2.4.Функции'!KU70+"BYw!vT"</f>
        <v>#VALUE!</v>
      </c>
      <c r="HQ28" t="e">
        <f>'2.4.Функции'!KV70+"BYw!vU"</f>
        <v>#VALUE!</v>
      </c>
      <c r="HR28" t="e">
        <f>'2.4.Функции'!KW70+"BYw!vV"</f>
        <v>#VALUE!</v>
      </c>
      <c r="HS28" t="e">
        <f>'2.4.Функции'!KX70+"BYw!vW"</f>
        <v>#VALUE!</v>
      </c>
      <c r="HT28" t="e">
        <f>'2.4.Функции'!KY70+"BYw!vX"</f>
        <v>#VALUE!</v>
      </c>
      <c r="HU28" t="e">
        <f>'2.4.Функции'!KZ70+"BYw!vY"</f>
        <v>#VALUE!</v>
      </c>
      <c r="HV28" t="e">
        <f>'2.4.Функции'!LA70+"BYw!vZ"</f>
        <v>#VALUE!</v>
      </c>
      <c r="HW28" t="e">
        <f>'2.4.Функции'!LB70+"BYw!v["</f>
        <v>#VALUE!</v>
      </c>
      <c r="HX28" t="e">
        <f>'2.4.Функции'!LC70+"BYw!v\"</f>
        <v>#VALUE!</v>
      </c>
      <c r="HY28" t="e">
        <f>'2.4.Функции'!LD70+"BYw!v]"</f>
        <v>#VALUE!</v>
      </c>
      <c r="HZ28" t="e">
        <f>'2.4.Функции'!LE70+"BYw!v^"</f>
        <v>#VALUE!</v>
      </c>
      <c r="IA28" t="e">
        <f>'2.4.Функции'!LF70+"BYw!v_"</f>
        <v>#VALUE!</v>
      </c>
      <c r="IB28" t="e">
        <f>'2.4.Функции'!LG70+"BYw!v`"</f>
        <v>#VALUE!</v>
      </c>
      <c r="IC28" t="e">
        <f>'2.4.Функции'!LH70+"BYw!va"</f>
        <v>#VALUE!</v>
      </c>
      <c r="ID28" t="e">
        <f>'2.4.Функции'!LI70+"BYw!vb"</f>
        <v>#VALUE!</v>
      </c>
      <c r="IE28" t="e">
        <f>'2.4.Функции'!LJ70+"BYw!vc"</f>
        <v>#VALUE!</v>
      </c>
      <c r="IF28" t="e">
        <f>'2.4.Функции'!LK70+"BYw!vd"</f>
        <v>#VALUE!</v>
      </c>
      <c r="IG28" t="e">
        <f>'2.4.Функции'!LL70+"BYw!ve"</f>
        <v>#VALUE!</v>
      </c>
      <c r="IH28" t="e">
        <f>'2.4.Функции'!LM70+"BYw!vf"</f>
        <v>#VALUE!</v>
      </c>
      <c r="II28" t="e">
        <f>'2.4.Функции'!LN70+"BYw!vg"</f>
        <v>#VALUE!</v>
      </c>
      <c r="IJ28" t="e">
        <f>'2.4.Функции'!LO70+"BYw!vh"</f>
        <v>#VALUE!</v>
      </c>
      <c r="IK28" t="e">
        <f>'2.4.Функции'!LP70+"BYw!vi"</f>
        <v>#VALUE!</v>
      </c>
      <c r="IL28" t="e">
        <f>'2.4.Функции'!LQ70+"BYw!vj"</f>
        <v>#VALUE!</v>
      </c>
      <c r="IM28" t="e">
        <f>'2.4.Функции'!LR70+"BYw!vk"</f>
        <v>#VALUE!</v>
      </c>
      <c r="IN28" t="e">
        <f>'2.4.Функции'!LS70+"BYw!vl"</f>
        <v>#VALUE!</v>
      </c>
      <c r="IO28" t="e">
        <f>'2.4.Функции'!LT70+"BYw!vm"</f>
        <v>#VALUE!</v>
      </c>
      <c r="IP28" t="e">
        <f>'2.4.Функции'!LU70+"BYw!vn"</f>
        <v>#VALUE!</v>
      </c>
      <c r="IQ28" t="e">
        <f>'2.4.Функции'!LV70+"BYw!vo"</f>
        <v>#VALUE!</v>
      </c>
      <c r="IR28" t="e">
        <f>'2.4.Функции'!LW70+"BYw!vp"</f>
        <v>#VALUE!</v>
      </c>
      <c r="IS28" t="e">
        <f>'2.4.Функции'!LX70+"BYw!vq"</f>
        <v>#VALUE!</v>
      </c>
      <c r="IT28" t="e">
        <f>'2.4.Функции'!LY70+"BYw!vr"</f>
        <v>#VALUE!</v>
      </c>
      <c r="IU28" t="e">
        <f>'2.4.Функции'!LZ70+"BYw!vs"</f>
        <v>#VALUE!</v>
      </c>
      <c r="IV28" t="e">
        <f>'2.4.Функции'!MA70+"BYw!vt"</f>
        <v>#VALUE!</v>
      </c>
    </row>
    <row r="29" spans="6:256" x14ac:dyDescent="0.2">
      <c r="F29" t="e">
        <f>'2.4.Функции'!MB70+"BYw!vu"</f>
        <v>#VALUE!</v>
      </c>
      <c r="G29" t="e">
        <f>'2.4.Функции'!MC70+"BYw!vv"</f>
        <v>#VALUE!</v>
      </c>
      <c r="H29" t="e">
        <f>'2.4.Функции'!MD70+"BYw!vw"</f>
        <v>#VALUE!</v>
      </c>
      <c r="I29" t="e">
        <f>'2.4.Функции'!ME70+"BYw!vx"</f>
        <v>#VALUE!</v>
      </c>
      <c r="J29" t="e">
        <f>'2.4.Функции'!MF70+"BYw!vy"</f>
        <v>#VALUE!</v>
      </c>
      <c r="K29" t="e">
        <f>'2.4.Функции'!MG70+"BYw!vz"</f>
        <v>#VALUE!</v>
      </c>
      <c r="L29" t="e">
        <f>'2.4.Функции'!MH70+"BYw!v{"</f>
        <v>#VALUE!</v>
      </c>
      <c r="M29" t="e">
        <f>'2.4.Функции'!MI70+"BYw!v|"</f>
        <v>#VALUE!</v>
      </c>
      <c r="N29" t="e">
        <f>'2.4.Функции'!MJ70+"BYw!v}"</f>
        <v>#VALUE!</v>
      </c>
      <c r="O29" t="e">
        <f>'2.4.Функции'!MK70+"BYw!v~"</f>
        <v>#VALUE!</v>
      </c>
      <c r="P29" t="e">
        <f>'2.4.Функции'!ML70+"BYw!w#"</f>
        <v>#VALUE!</v>
      </c>
      <c r="Q29" t="e">
        <f>'2.4.Функции'!MM70+"BYw!w$"</f>
        <v>#VALUE!</v>
      </c>
      <c r="R29" t="e">
        <f>'2.4.Функции'!MN70+"BYw!w%"</f>
        <v>#VALUE!</v>
      </c>
      <c r="S29" t="e">
        <f>'2.4.Функции'!MO70+"BYw!w&amp;"</f>
        <v>#VALUE!</v>
      </c>
      <c r="T29" t="e">
        <f>'2.4.Функции'!MP70+"BYw!w'"</f>
        <v>#VALUE!</v>
      </c>
      <c r="U29" t="e">
        <f>'2.4.Функции'!MQ70+"BYw!w("</f>
        <v>#VALUE!</v>
      </c>
      <c r="V29" t="e">
        <f>'2.4.Функции'!MR70+"BYw!w)"</f>
        <v>#VALUE!</v>
      </c>
      <c r="W29" t="e">
        <f>'2.4.Функции'!MS70+"BYw!w."</f>
        <v>#VALUE!</v>
      </c>
      <c r="X29" t="e">
        <f>'2.4.Функции'!MT70+"BYw!w/"</f>
        <v>#VALUE!</v>
      </c>
      <c r="Y29" t="e">
        <f>'2.4.Функции'!MU70+"BYw!w0"</f>
        <v>#VALUE!</v>
      </c>
      <c r="Z29" t="e">
        <f>'2.4.Функции'!MV70+"BYw!w1"</f>
        <v>#VALUE!</v>
      </c>
      <c r="AA29" t="e">
        <f>'2.4.Функции'!MW70+"BYw!w2"</f>
        <v>#VALUE!</v>
      </c>
      <c r="AB29" t="e">
        <f>'2.4.Функции'!MX70+"BYw!w3"</f>
        <v>#VALUE!</v>
      </c>
      <c r="AC29" t="e">
        <f>'2.4.Функции'!MY70+"BYw!w4"</f>
        <v>#VALUE!</v>
      </c>
      <c r="AD29" t="e">
        <f>'2.4.Функции'!MZ70+"BYw!w5"</f>
        <v>#VALUE!</v>
      </c>
      <c r="AE29" t="e">
        <f>'2.4.Функции'!NA70+"BYw!w6"</f>
        <v>#VALUE!</v>
      </c>
      <c r="AF29" t="e">
        <f>'2.4.Функции'!NB70+"BYw!w7"</f>
        <v>#VALUE!</v>
      </c>
      <c r="AG29" t="e">
        <f>'2.4.Функции'!NC70+"BYw!w8"</f>
        <v>#VALUE!</v>
      </c>
      <c r="AH29" t="e">
        <f>'2.4.Функции'!ND70+"BYw!w9"</f>
        <v>#VALUE!</v>
      </c>
      <c r="AI29" t="e">
        <f>'2.4.Функции'!NE70+"BYw!w:"</f>
        <v>#VALUE!</v>
      </c>
      <c r="AJ29" t="e">
        <f>'2.4.Функции'!NF70+"BYw!w;"</f>
        <v>#VALUE!</v>
      </c>
      <c r="AK29" t="e">
        <f>'2.4.Функции'!NG70+"BYw!w&lt;"</f>
        <v>#VALUE!</v>
      </c>
      <c r="AL29" t="e">
        <f>'2.4.Функции'!NH70+"BYw!w="</f>
        <v>#VALUE!</v>
      </c>
      <c r="AM29" t="e">
        <f>'2.4.Функции'!NI70+"BYw!w&gt;"</f>
        <v>#VALUE!</v>
      </c>
      <c r="AN29" t="e">
        <f>'2.4.Функции'!NJ70+"BYw!w?"</f>
        <v>#VALUE!</v>
      </c>
      <c r="AO29" t="e">
        <f>'2.4.Функции'!NK70+"BYw!w@"</f>
        <v>#VALUE!</v>
      </c>
      <c r="AP29" t="e">
        <f>'2.4.Функции'!NL70+"BYw!wA"</f>
        <v>#VALUE!</v>
      </c>
      <c r="AQ29" t="e">
        <f>'2.4.Функции'!NM70+"BYw!wB"</f>
        <v>#VALUE!</v>
      </c>
      <c r="AR29" t="e">
        <f>'2.4.Функции'!NN70+"BYw!wC"</f>
        <v>#VALUE!</v>
      </c>
      <c r="AS29" t="e">
        <f>'2.4.Функции'!NO70+"BYw!wD"</f>
        <v>#VALUE!</v>
      </c>
      <c r="AT29" t="e">
        <f>'2.4.Функции'!NP70+"BYw!wE"</f>
        <v>#VALUE!</v>
      </c>
      <c r="AU29" t="e">
        <f>'2.4.Функции'!NQ70+"BYw!wF"</f>
        <v>#VALUE!</v>
      </c>
      <c r="AV29" t="e">
        <f>'2.4.Функции'!NR70+"BYw!wG"</f>
        <v>#VALUE!</v>
      </c>
      <c r="AW29" t="e">
        <f>'2.4.Функции'!NS70+"BYw!wH"</f>
        <v>#VALUE!</v>
      </c>
      <c r="AX29" t="e">
        <f>'2.4.Функции'!NT70+"BYw!wI"</f>
        <v>#VALUE!</v>
      </c>
      <c r="AY29" t="e">
        <f>'2.4.Функции'!NU70+"BYw!wJ"</f>
        <v>#VALUE!</v>
      </c>
      <c r="AZ29" t="e">
        <f>'2.4.Функции'!NV70+"BYw!wK"</f>
        <v>#VALUE!</v>
      </c>
      <c r="BA29" t="e">
        <f>'2.4.Функции'!NW70+"BYw!wL"</f>
        <v>#VALUE!</v>
      </c>
      <c r="BB29" t="e">
        <f>'2.4.Функции'!NX70+"BYw!wM"</f>
        <v>#VALUE!</v>
      </c>
      <c r="BC29" t="e">
        <f>'2.4.Функции'!NY70+"BYw!wN"</f>
        <v>#VALUE!</v>
      </c>
      <c r="BD29" t="e">
        <f>'2.4.Функции'!NZ70+"BYw!wO"</f>
        <v>#VALUE!</v>
      </c>
      <c r="BE29" t="e">
        <f>'2.4.Функции'!OA70+"BYw!wP"</f>
        <v>#VALUE!</v>
      </c>
      <c r="BF29" t="e">
        <f>'2.4.Функции'!OB70+"BYw!wQ"</f>
        <v>#VALUE!</v>
      </c>
      <c r="BG29" t="e">
        <f>'2.4.Функции'!OC70+"BYw!wR"</f>
        <v>#VALUE!</v>
      </c>
      <c r="BH29" t="e">
        <f>'2.4.Функции'!OD70+"BYw!wS"</f>
        <v>#VALUE!</v>
      </c>
      <c r="BI29" t="e">
        <f>'2.4.Функции'!OE70+"BYw!wT"</f>
        <v>#VALUE!</v>
      </c>
      <c r="BJ29" t="e">
        <f>'2.4.Функции'!OF70+"BYw!wU"</f>
        <v>#VALUE!</v>
      </c>
      <c r="BK29" t="e">
        <f>'2.4.Функции'!OG70+"BYw!wV"</f>
        <v>#VALUE!</v>
      </c>
      <c r="BL29" t="e">
        <f>'2.4.Функции'!OH70+"BYw!wW"</f>
        <v>#VALUE!</v>
      </c>
      <c r="BM29" t="e">
        <f>'2.4.Функции'!OI70+"BYw!wX"</f>
        <v>#VALUE!</v>
      </c>
      <c r="BN29" t="e">
        <f>'2.4.Функции'!OJ70+"BYw!wY"</f>
        <v>#VALUE!</v>
      </c>
      <c r="BO29" t="e">
        <f>'2.4.Функции'!OK70+"BYw!wZ"</f>
        <v>#VALUE!</v>
      </c>
      <c r="BP29" t="e">
        <f>'2.4.Функции'!OL70+"BYw!w["</f>
        <v>#VALUE!</v>
      </c>
      <c r="BQ29" t="e">
        <f>'2.4.Функции'!OM70+"BYw!w\"</f>
        <v>#VALUE!</v>
      </c>
      <c r="BR29" t="e">
        <f>'2.4.Функции'!ON70+"BYw!w]"</f>
        <v>#VALUE!</v>
      </c>
      <c r="BS29" t="e">
        <f>'2.4.Функции'!OO70+"BYw!w^"</f>
        <v>#VALUE!</v>
      </c>
      <c r="BT29" t="e">
        <f>'2.4.Функции'!OP70+"BYw!w_"</f>
        <v>#VALUE!</v>
      </c>
      <c r="BU29" t="e">
        <f>'2.4.Функции'!OQ70+"BYw!w`"</f>
        <v>#VALUE!</v>
      </c>
      <c r="BV29" t="e">
        <f>'2.4.Функции'!OR70+"BYw!wa"</f>
        <v>#VALUE!</v>
      </c>
      <c r="BW29" t="e">
        <f>'2.4.Функции'!OS70+"BYw!wb"</f>
        <v>#VALUE!</v>
      </c>
      <c r="BX29" t="e">
        <f>'2.4.Функции'!OT70+"BYw!wc"</f>
        <v>#VALUE!</v>
      </c>
      <c r="BY29" t="e">
        <f>'2.4.Функции'!OU70+"BYw!wd"</f>
        <v>#VALUE!</v>
      </c>
      <c r="BZ29" t="e">
        <f>'2.4.Функции'!OV70+"BYw!we"</f>
        <v>#VALUE!</v>
      </c>
      <c r="CA29" t="e">
        <f>'2.4.Функции'!OW70+"BYw!wf"</f>
        <v>#VALUE!</v>
      </c>
      <c r="CB29" t="e">
        <f>'2.4.Функции'!OX70+"BYw!wg"</f>
        <v>#VALUE!</v>
      </c>
      <c r="CC29" t="e">
        <f>'2.4.Функции'!OY70+"BYw!wh"</f>
        <v>#VALUE!</v>
      </c>
      <c r="CD29" t="e">
        <f>'2.4.Функции'!OZ70+"BYw!wi"</f>
        <v>#VALUE!</v>
      </c>
      <c r="CE29" t="e">
        <f>'2.4.Функции'!PA70+"BYw!wj"</f>
        <v>#VALUE!</v>
      </c>
      <c r="CF29" t="e">
        <f>'2.4.Функции'!PB70+"BYw!wk"</f>
        <v>#VALUE!</v>
      </c>
      <c r="CG29" t="e">
        <f>'2.4.Функции'!PC70+"BYw!wl"</f>
        <v>#VALUE!</v>
      </c>
      <c r="CH29" t="e">
        <f>'2.4.Функции'!PD70+"BYw!wm"</f>
        <v>#VALUE!</v>
      </c>
      <c r="CI29" t="e">
        <f>'2.4.Функции'!PE70+"BYw!wn"</f>
        <v>#VALUE!</v>
      </c>
      <c r="CJ29" t="e">
        <f>'2.4.Функции'!PF70+"BYw!wo"</f>
        <v>#VALUE!</v>
      </c>
      <c r="CK29" t="e">
        <f>'2.4.Функции'!PG70+"BYw!wp"</f>
        <v>#VALUE!</v>
      </c>
      <c r="CL29" t="e">
        <f>'2.4.Функции'!PH70+"BYw!wq"</f>
        <v>#VALUE!</v>
      </c>
      <c r="CM29" t="e">
        <f>'2.4.Функции'!PI70+"BYw!wr"</f>
        <v>#VALUE!</v>
      </c>
      <c r="CN29" t="e">
        <f>'2.4.Функции'!PJ70+"BYw!ws"</f>
        <v>#VALUE!</v>
      </c>
      <c r="CO29" t="e">
        <f>'2.4.Функции'!PK70+"BYw!wt"</f>
        <v>#VALUE!</v>
      </c>
      <c r="CP29" t="e">
        <f>'2.4.Функции'!PL70+"BYw!wu"</f>
        <v>#VALUE!</v>
      </c>
      <c r="CQ29" t="e">
        <f>'2.4.Функции'!PM70+"BYw!wv"</f>
        <v>#VALUE!</v>
      </c>
      <c r="CR29" t="e">
        <f>'2.4.Функции'!PN70+"BYw!ww"</f>
        <v>#VALUE!</v>
      </c>
      <c r="CS29" t="e">
        <f>'2.4.Функции'!PO70+"BYw!wx"</f>
        <v>#VALUE!</v>
      </c>
      <c r="CT29" t="e">
        <f>'2.4.Функции'!PP70+"BYw!wy"</f>
        <v>#VALUE!</v>
      </c>
      <c r="CU29" t="e">
        <f>'2.4.Функции'!PQ70+"BYw!wz"</f>
        <v>#VALUE!</v>
      </c>
      <c r="CV29" t="e">
        <f>'2.4.Функции'!PR70+"BYw!w{"</f>
        <v>#VALUE!</v>
      </c>
      <c r="CW29" t="e">
        <f>'2.4.Функции'!PS70+"BYw!w|"</f>
        <v>#VALUE!</v>
      </c>
      <c r="CX29" t="e">
        <f>'2.4.Функции'!PT70+"BYw!w}"</f>
        <v>#VALUE!</v>
      </c>
      <c r="CY29" t="e">
        <f>'2.4.Функции'!PU70+"BYw!w~"</f>
        <v>#VALUE!</v>
      </c>
      <c r="CZ29" t="e">
        <f>'2.4.Функции'!PV70+"BYw!x#"</f>
        <v>#VALUE!</v>
      </c>
      <c r="DA29" t="e">
        <f>'2.4.Функции'!PW70+"BYw!x$"</f>
        <v>#VALUE!</v>
      </c>
      <c r="DB29" t="e">
        <f>'2.4.Функции'!PX70+"BYw!x%"</f>
        <v>#VALUE!</v>
      </c>
      <c r="DC29" t="e">
        <f>'2.4.Функции'!PY70+"BYw!x&amp;"</f>
        <v>#VALUE!</v>
      </c>
      <c r="DD29" t="e">
        <f>'2.4.Функции'!PZ70+"BYw!x'"</f>
        <v>#VALUE!</v>
      </c>
      <c r="DE29" t="e">
        <f>'2.4.Функции'!QA70+"BYw!x("</f>
        <v>#VALUE!</v>
      </c>
      <c r="DF29" t="e">
        <f>'2.4.Функции'!QB70+"BYw!x)"</f>
        <v>#VALUE!</v>
      </c>
      <c r="DG29" t="e">
        <f>'2.4.Функции'!QC70+"BYw!x."</f>
        <v>#VALUE!</v>
      </c>
      <c r="DH29" t="e">
        <f>'2.4.Функции'!QD70+"BYw!x/"</f>
        <v>#VALUE!</v>
      </c>
      <c r="DI29" t="e">
        <f>'2.4.Функции'!QE70+"BYw!x0"</f>
        <v>#VALUE!</v>
      </c>
      <c r="DJ29" t="e">
        <f>'2.4.Функции'!QF70+"BYw!x1"</f>
        <v>#VALUE!</v>
      </c>
      <c r="DK29" t="e">
        <f>'2.4.Функции'!QG70+"BYw!x2"</f>
        <v>#VALUE!</v>
      </c>
      <c r="DL29" t="e">
        <f>'2.4.Функции'!QH70+"BYw!x3"</f>
        <v>#VALUE!</v>
      </c>
      <c r="DM29" t="e">
        <f>'2.4.Функции'!QI70+"BYw!x4"</f>
        <v>#VALUE!</v>
      </c>
      <c r="DN29" t="e">
        <f>'2.4.Функции'!QJ70+"BYw!x5"</f>
        <v>#VALUE!</v>
      </c>
      <c r="DO29" t="e">
        <f>'2.4.Функции'!QK70+"BYw!x6"</f>
        <v>#VALUE!</v>
      </c>
      <c r="DP29" t="e">
        <f>'2.4.Функции'!QL70+"BYw!x7"</f>
        <v>#VALUE!</v>
      </c>
      <c r="DQ29" t="e">
        <f>'2.4.Функции'!QM70+"BYw!x8"</f>
        <v>#VALUE!</v>
      </c>
      <c r="DR29" t="e">
        <f>'2.4.Функции'!QN70+"BYw!x9"</f>
        <v>#VALUE!</v>
      </c>
      <c r="DS29" t="e">
        <f>'2.4.Функции'!QO70+"BYw!x:"</f>
        <v>#VALUE!</v>
      </c>
      <c r="DT29" t="e">
        <f>'2.4.Функции'!QP70+"BYw!x;"</f>
        <v>#VALUE!</v>
      </c>
      <c r="DU29" t="e">
        <f>'2.4.Функции'!QQ70+"BYw!x&lt;"</f>
        <v>#VALUE!</v>
      </c>
      <c r="DV29" t="e">
        <f>'2.4.Функции'!QR70+"BYw!x="</f>
        <v>#VALUE!</v>
      </c>
      <c r="DW29" t="e">
        <f>'2.4.Функции'!QS70+"BYw!x&gt;"</f>
        <v>#VALUE!</v>
      </c>
      <c r="DX29" t="e">
        <f>'2.4.Функции'!QT70+"BYw!x?"</f>
        <v>#VALUE!</v>
      </c>
      <c r="DY29" t="e">
        <f>'2.4.Функции'!QU70+"BYw!x@"</f>
        <v>#VALUE!</v>
      </c>
      <c r="DZ29" t="e">
        <f>'2.4.Функции'!QV70+"BYw!xA"</f>
        <v>#VALUE!</v>
      </c>
      <c r="EA29" t="e">
        <f>'2.4.Функции'!QW70+"BYw!xB"</f>
        <v>#VALUE!</v>
      </c>
      <c r="EB29" t="e">
        <f>'2.4.Функции'!QX70+"BYw!xC"</f>
        <v>#VALUE!</v>
      </c>
      <c r="EC29" t="e">
        <f>'2.4.Функции'!QY70+"BYw!xD"</f>
        <v>#VALUE!</v>
      </c>
      <c r="ED29" t="e">
        <f>'2.4.Функции'!QZ70+"BYw!xE"</f>
        <v>#VALUE!</v>
      </c>
      <c r="EE29" t="e">
        <f>'2.4.Функции'!RA70+"BYw!xF"</f>
        <v>#VALUE!</v>
      </c>
      <c r="EF29" t="e">
        <f>'2.4.Функции'!RB70+"BYw!xG"</f>
        <v>#VALUE!</v>
      </c>
      <c r="EG29" t="e">
        <f>'2.4.Функции'!RC70+"BYw!xH"</f>
        <v>#VALUE!</v>
      </c>
      <c r="EH29" t="e">
        <f>'2.4.Функции'!RD70+"BYw!xI"</f>
        <v>#VALUE!</v>
      </c>
      <c r="EI29" t="e">
        <f>'2.4.Функции'!RE70+"BYw!xJ"</f>
        <v>#VALUE!</v>
      </c>
      <c r="EJ29" t="e">
        <f>'2.4.Функции'!RF70+"BYw!xK"</f>
        <v>#VALUE!</v>
      </c>
      <c r="EK29" t="e">
        <f>'2.4.Функции'!RG70+"BYw!xL"</f>
        <v>#VALUE!</v>
      </c>
      <c r="EL29" t="e">
        <f>'2.4.Функции'!RH70+"BYw!xM"</f>
        <v>#VALUE!</v>
      </c>
      <c r="EM29" t="e">
        <f>'2.4.Функции'!RI70+"BYw!xN"</f>
        <v>#VALUE!</v>
      </c>
      <c r="EN29" t="e">
        <f>'2.4.Функции'!RJ70+"BYw!xO"</f>
        <v>#VALUE!</v>
      </c>
      <c r="EO29" t="e">
        <f>'2.4.Функции'!RK70+"BYw!xP"</f>
        <v>#VALUE!</v>
      </c>
      <c r="EP29" t="e">
        <f>'2.4.Функции'!RL70+"BYw!xQ"</f>
        <v>#VALUE!</v>
      </c>
      <c r="EQ29" t="e">
        <f>'2.4.Функции'!RM70+"BYw!xR"</f>
        <v>#VALUE!</v>
      </c>
      <c r="ER29" t="e">
        <f>'2.4.Функции'!RN70+"BYw!xS"</f>
        <v>#VALUE!</v>
      </c>
      <c r="ES29" t="e">
        <f>'2.4.Функции'!RO70+"BYw!xT"</f>
        <v>#VALUE!</v>
      </c>
      <c r="ET29" t="e">
        <f>'2.4.Функции'!RP70+"BYw!xU"</f>
        <v>#VALUE!</v>
      </c>
      <c r="EU29" t="e">
        <f>'2.4.Функции'!RQ70+"BYw!xV"</f>
        <v>#VALUE!</v>
      </c>
      <c r="EV29" t="e">
        <f>'2.4.Функции'!RR70+"BYw!xW"</f>
        <v>#VALUE!</v>
      </c>
      <c r="EW29" t="e">
        <f>'2.4.Функции'!RS70+"BYw!xX"</f>
        <v>#VALUE!</v>
      </c>
      <c r="EX29" t="e">
        <f>'2.4.Функции'!RT70+"BYw!xY"</f>
        <v>#VALUE!</v>
      </c>
      <c r="EY29" t="e">
        <f>'2.4.Функции'!RU70+"BYw!xZ"</f>
        <v>#VALUE!</v>
      </c>
      <c r="EZ29" t="e">
        <f>'2.4.Функции'!RV70+"BYw!x["</f>
        <v>#VALUE!</v>
      </c>
      <c r="FA29" t="e">
        <f>'2.4.Функции'!RW70+"BYw!x\"</f>
        <v>#VALUE!</v>
      </c>
      <c r="FB29" t="e">
        <f>'2.4.Функции'!RX70+"BYw!x]"</f>
        <v>#VALUE!</v>
      </c>
      <c r="FC29" t="e">
        <f>'2.4.Функции'!RY70+"BYw!x^"</f>
        <v>#VALUE!</v>
      </c>
      <c r="FD29" t="e">
        <f>'2.4.Функции'!RZ70+"BYw!x_"</f>
        <v>#VALUE!</v>
      </c>
      <c r="FE29" t="e">
        <f>'2.4.Функции'!SA70+"BYw!x`"</f>
        <v>#VALUE!</v>
      </c>
      <c r="FF29" t="e">
        <f>'2.4.Функции'!SB70+"BYw!xa"</f>
        <v>#VALUE!</v>
      </c>
      <c r="FG29" t="e">
        <f>'2.4.Функции'!SC70+"BYw!xb"</f>
        <v>#VALUE!</v>
      </c>
      <c r="FH29" t="e">
        <f>'2.4.Функции'!SD70+"BYw!xc"</f>
        <v>#VALUE!</v>
      </c>
      <c r="FI29" t="e">
        <f>'2.4.Функции'!SE70+"BYw!xd"</f>
        <v>#VALUE!</v>
      </c>
      <c r="FJ29" t="e">
        <f>'2.4.Функции'!SF70+"BYw!xe"</f>
        <v>#VALUE!</v>
      </c>
      <c r="FK29" t="e">
        <f>'2.4.Функции'!SG70+"BYw!xf"</f>
        <v>#VALUE!</v>
      </c>
      <c r="FL29" t="e">
        <f>'2.4.Функции'!SH70+"BYw!xg"</f>
        <v>#VALUE!</v>
      </c>
      <c r="FM29" t="e">
        <f>'2.4.Функции'!SI70+"BYw!xh"</f>
        <v>#VALUE!</v>
      </c>
      <c r="FN29" t="e">
        <f>'2.4.Функции'!SJ70+"BYw!xi"</f>
        <v>#VALUE!</v>
      </c>
      <c r="FO29" t="e">
        <f>'2.4.Функции'!SK70+"BYw!xj"</f>
        <v>#VALUE!</v>
      </c>
      <c r="FP29" t="e">
        <f>'2.4.Функции'!SL70+"BYw!xk"</f>
        <v>#VALUE!</v>
      </c>
      <c r="FQ29" t="e">
        <f>'2.4.Функции'!SM70+"BYw!xl"</f>
        <v>#VALUE!</v>
      </c>
      <c r="FR29" t="e">
        <f>'2.4.Функции'!SN70+"BYw!xm"</f>
        <v>#VALUE!</v>
      </c>
      <c r="FS29" t="e">
        <f>'2.4.Функции'!SO70+"BYw!xn"</f>
        <v>#VALUE!</v>
      </c>
      <c r="FT29" t="e">
        <f>'2.4.Функции'!SP70+"BYw!xo"</f>
        <v>#VALUE!</v>
      </c>
      <c r="FU29" t="e">
        <f>'2.4.Функции'!SQ70+"BYw!xp"</f>
        <v>#VALUE!</v>
      </c>
      <c r="FV29" t="e">
        <f>'2.4.Функции'!SR70+"BYw!xq"</f>
        <v>#VALUE!</v>
      </c>
      <c r="FW29" t="e">
        <f>'2.4.Функции'!SS70+"BYw!xr"</f>
        <v>#VALUE!</v>
      </c>
      <c r="FX29" t="e">
        <f>'2.4.Функции'!ST70+"BYw!xs"</f>
        <v>#VALUE!</v>
      </c>
      <c r="FY29" t="e">
        <f>'2.4.Функции'!SU70+"BYw!xt"</f>
        <v>#VALUE!</v>
      </c>
      <c r="FZ29" t="e">
        <f>'2.4.Функции'!SV70+"BYw!xu"</f>
        <v>#VALUE!</v>
      </c>
      <c r="GA29" t="e">
        <f>'2.4.Функции'!SW70+"BYw!xv"</f>
        <v>#VALUE!</v>
      </c>
      <c r="GB29" t="e">
        <f>'2.4.Функции'!SX70+"BYw!xw"</f>
        <v>#VALUE!</v>
      </c>
      <c r="GC29" t="e">
        <f>'2.4.Функции'!SY70+"BYw!xx"</f>
        <v>#VALUE!</v>
      </c>
      <c r="GD29" t="e">
        <f>'2.4.Функции'!SZ70+"BYw!xy"</f>
        <v>#VALUE!</v>
      </c>
      <c r="GE29" t="e">
        <f>'2.4.Функции'!TA70+"BYw!xz"</f>
        <v>#VALUE!</v>
      </c>
      <c r="GF29" t="e">
        <f>'2.4.Функции'!TB70+"BYw!x{"</f>
        <v>#VALUE!</v>
      </c>
      <c r="GG29" t="e">
        <f>'2.4.Функции'!TC70+"BYw!x|"</f>
        <v>#VALUE!</v>
      </c>
      <c r="GH29" t="e">
        <f>'2.4.Функции'!TD70+"BYw!x}"</f>
        <v>#VALUE!</v>
      </c>
      <c r="GI29" t="e">
        <f>'2.4.Функции'!TE70+"BYw!x~"</f>
        <v>#VALUE!</v>
      </c>
      <c r="GJ29" t="e">
        <f>'2.4.Функции'!TF70+"BYw!y#"</f>
        <v>#VALUE!</v>
      </c>
      <c r="GK29" t="e">
        <f>'2.4.Функции'!TG70+"BYw!y$"</f>
        <v>#VALUE!</v>
      </c>
      <c r="GL29" t="e">
        <f>'2.4.Функции'!TH70+"BYw!y%"</f>
        <v>#VALUE!</v>
      </c>
      <c r="GM29" t="e">
        <f>'2.4.Функции'!TI70+"BYw!y&amp;"</f>
        <v>#VALUE!</v>
      </c>
      <c r="GN29" t="e">
        <f>'2.4.Функции'!TJ70+"BYw!y'"</f>
        <v>#VALUE!</v>
      </c>
      <c r="GO29" t="e">
        <f>'2.4.Функции'!TK70+"BYw!y("</f>
        <v>#VALUE!</v>
      </c>
      <c r="GP29" t="e">
        <f>'2.4.Функции'!TL70+"BYw!y)"</f>
        <v>#VALUE!</v>
      </c>
      <c r="GQ29" t="e">
        <f>'2.4.Функции'!TM70+"BYw!y."</f>
        <v>#VALUE!</v>
      </c>
      <c r="GR29" t="e">
        <f>'2.4.Функции'!TN70+"BYw!y/"</f>
        <v>#VALUE!</v>
      </c>
      <c r="GS29" t="e">
        <f>'2.4.Функции'!TO70+"BYw!y0"</f>
        <v>#VALUE!</v>
      </c>
      <c r="GT29" t="e">
        <f>'2.4.Функции'!TP70+"BYw!y1"</f>
        <v>#VALUE!</v>
      </c>
      <c r="GU29" t="e">
        <f>'2.4.Функции'!TQ70+"BYw!y2"</f>
        <v>#VALUE!</v>
      </c>
      <c r="GV29" t="e">
        <f>'2.4.Функции'!TR70+"BYw!y3"</f>
        <v>#VALUE!</v>
      </c>
      <c r="GW29" t="e">
        <f>'2.4.Функции'!TS70+"BYw!y4"</f>
        <v>#VALUE!</v>
      </c>
      <c r="GX29" t="e">
        <f>'2.4.Функции'!TT70+"BYw!y5"</f>
        <v>#VALUE!</v>
      </c>
      <c r="GY29" t="e">
        <f>'2.4.Функции'!TU70+"BYw!y6"</f>
        <v>#VALUE!</v>
      </c>
      <c r="GZ29" t="e">
        <f>'2.4.Функции'!TV70+"BYw!y7"</f>
        <v>#VALUE!</v>
      </c>
      <c r="HA29" t="e">
        <f>'2.4.Функции'!TW70+"BYw!y8"</f>
        <v>#VALUE!</v>
      </c>
      <c r="HB29" t="e">
        <f>'2.4.Функции'!TX70+"BYw!y9"</f>
        <v>#VALUE!</v>
      </c>
      <c r="HC29" t="e">
        <f>'2.4.Функции'!TY70+"BYw!y:"</f>
        <v>#VALUE!</v>
      </c>
      <c r="HD29" t="e">
        <f>'2.4.Функции'!TZ70+"BYw!y;"</f>
        <v>#VALUE!</v>
      </c>
      <c r="HE29" t="e">
        <f>'2.4.Функции'!UA70+"BYw!y&lt;"</f>
        <v>#VALUE!</v>
      </c>
      <c r="HF29" t="e">
        <f>'2.4.Функции'!UB70+"BYw!y="</f>
        <v>#VALUE!</v>
      </c>
      <c r="HG29" t="e">
        <f>'2.4.Функции'!UC70+"BYw!y&gt;"</f>
        <v>#VALUE!</v>
      </c>
      <c r="HH29" t="e">
        <f>'2.4.Функции'!UD70+"BYw!y?"</f>
        <v>#VALUE!</v>
      </c>
      <c r="HI29" t="e">
        <f>'2.4.Функции'!UE70+"BYw!y@"</f>
        <v>#VALUE!</v>
      </c>
      <c r="HJ29" t="e">
        <f>'2.4.Функции'!UF70+"BYw!yA"</f>
        <v>#VALUE!</v>
      </c>
      <c r="HK29" t="e">
        <f>'2.4.Функции'!UG70+"BYw!yB"</f>
        <v>#VALUE!</v>
      </c>
      <c r="HL29" t="e">
        <f>'2.4.Функции'!UH70+"BYw!yC"</f>
        <v>#VALUE!</v>
      </c>
      <c r="HM29" t="e">
        <f>'2.4.Функции'!UI70+"BYw!yD"</f>
        <v>#VALUE!</v>
      </c>
      <c r="HN29" t="e">
        <f>'2.4.Функции'!UJ70+"BYw!yE"</f>
        <v>#VALUE!</v>
      </c>
      <c r="HO29" t="e">
        <f>'2.4.Функции'!UK70+"BYw!yF"</f>
        <v>#VALUE!</v>
      </c>
      <c r="HP29" t="e">
        <f>'2.4.Функции'!UL70+"BYw!yG"</f>
        <v>#VALUE!</v>
      </c>
      <c r="HQ29" t="e">
        <f>'2.4.Функции'!UM70+"BYw!yH"</f>
        <v>#VALUE!</v>
      </c>
      <c r="HR29" t="e">
        <f>'2.4.Функции'!UN70+"BYw!yI"</f>
        <v>#VALUE!</v>
      </c>
      <c r="HS29" t="e">
        <f>'2.4.Функции'!UO70+"BYw!yJ"</f>
        <v>#VALUE!</v>
      </c>
      <c r="HT29" t="e">
        <f>'2.4.Функции'!UP70+"BYw!yK"</f>
        <v>#VALUE!</v>
      </c>
      <c r="HU29" t="e">
        <f>'2.4.Функции'!UQ70+"BYw!yL"</f>
        <v>#VALUE!</v>
      </c>
      <c r="HV29" t="e">
        <f>'2.4.Функции'!UR70+"BYw!yM"</f>
        <v>#VALUE!</v>
      </c>
      <c r="HW29" t="e">
        <f>'2.4.Функции'!US70+"BYw!yN"</f>
        <v>#VALUE!</v>
      </c>
      <c r="HX29" t="e">
        <f>'2.4.Функции'!UT70+"BYw!yO"</f>
        <v>#VALUE!</v>
      </c>
      <c r="HY29" t="e">
        <f>'2.4.Функции'!UU70+"BYw!yP"</f>
        <v>#VALUE!</v>
      </c>
      <c r="HZ29" t="e">
        <f>'2.4.Функции'!UV70+"BYw!yQ"</f>
        <v>#VALUE!</v>
      </c>
      <c r="IA29" t="e">
        <f>'2.4.Функции'!UW70+"BYw!yR"</f>
        <v>#VALUE!</v>
      </c>
      <c r="IB29" t="e">
        <f>'2.4.Функции'!UX70+"BYw!yS"</f>
        <v>#VALUE!</v>
      </c>
      <c r="IC29" t="e">
        <f>'2.4.Функции'!UY70+"BYw!yT"</f>
        <v>#VALUE!</v>
      </c>
      <c r="ID29" t="e">
        <f>'2.4.Функции'!UZ70+"BYw!yU"</f>
        <v>#VALUE!</v>
      </c>
      <c r="IE29" t="e">
        <f>'2.4.Функции'!VA70+"BYw!yV"</f>
        <v>#VALUE!</v>
      </c>
      <c r="IF29" t="e">
        <f>'2.4.Функции'!VB70+"BYw!yW"</f>
        <v>#VALUE!</v>
      </c>
      <c r="IG29" t="e">
        <f>'2.4.Функции'!VC70+"BYw!yX"</f>
        <v>#VALUE!</v>
      </c>
      <c r="IH29" t="e">
        <f>'2.4.Функции'!VD70+"BYw!yY"</f>
        <v>#VALUE!</v>
      </c>
      <c r="II29" t="e">
        <f>'2.4.Функции'!VE70+"BYw!yZ"</f>
        <v>#VALUE!</v>
      </c>
      <c r="IJ29" t="e">
        <f>'2.4.Функции'!VF70+"BYw!y["</f>
        <v>#VALUE!</v>
      </c>
      <c r="IK29" t="e">
        <f>'2.4.Функции'!VG70+"BYw!y\"</f>
        <v>#VALUE!</v>
      </c>
      <c r="IL29" t="e">
        <f>'2.4.Функции'!VH70+"BYw!y]"</f>
        <v>#VALUE!</v>
      </c>
      <c r="IM29" t="e">
        <f>'2.4.Функции'!VI70+"BYw!y^"</f>
        <v>#VALUE!</v>
      </c>
      <c r="IN29" t="e">
        <f>'2.4.Функции'!VJ70+"BYw!y_"</f>
        <v>#VALUE!</v>
      </c>
      <c r="IO29" t="e">
        <f>'2.4.Функции'!VK70+"BYw!y`"</f>
        <v>#VALUE!</v>
      </c>
      <c r="IP29" t="e">
        <f>'2.4.Функции'!VL70+"BYw!ya"</f>
        <v>#VALUE!</v>
      </c>
      <c r="IQ29" t="e">
        <f>'2.4.Функции'!VM70+"BYw!yb"</f>
        <v>#VALUE!</v>
      </c>
      <c r="IR29" t="e">
        <f>'2.4.Функции'!VN70+"BYw!yc"</f>
        <v>#VALUE!</v>
      </c>
      <c r="IS29" t="e">
        <f>'2.4.Функции'!VO70+"BYw!yd"</f>
        <v>#VALUE!</v>
      </c>
      <c r="IT29" t="e">
        <f>'2.4.Функции'!VP70+"BYw!ye"</f>
        <v>#VALUE!</v>
      </c>
      <c r="IU29" t="e">
        <f>'2.4.Функции'!VQ70+"BYw!yf"</f>
        <v>#VALUE!</v>
      </c>
      <c r="IV29" t="e">
        <f>'2.4.Функции'!VR70+"BYw!yg"</f>
        <v>#VALUE!</v>
      </c>
    </row>
    <row r="30" spans="6:256" x14ac:dyDescent="0.2">
      <c r="F30" t="e">
        <f>'2.4.Функции'!VS70+"BYw!yh"</f>
        <v>#VALUE!</v>
      </c>
      <c r="G30" t="e">
        <f>'2.4.Функции'!VT70+"BYw!yi"</f>
        <v>#VALUE!</v>
      </c>
      <c r="H30" t="e">
        <f>'2.4.Функции'!VU70+"BYw!yj"</f>
        <v>#VALUE!</v>
      </c>
      <c r="I30" t="e">
        <f>'2.4.Функции'!VV70+"BYw!yk"</f>
        <v>#VALUE!</v>
      </c>
      <c r="J30" t="e">
        <f>'2.4.Функции'!VW70+"BYw!yl"</f>
        <v>#VALUE!</v>
      </c>
      <c r="K30" t="e">
        <f>'2.4.Функции'!VX70+"BYw!ym"</f>
        <v>#VALUE!</v>
      </c>
      <c r="L30" t="e">
        <f>'2.4.Функции'!VY70+"BYw!yn"</f>
        <v>#VALUE!</v>
      </c>
      <c r="M30" t="e">
        <f>'2.4.Функции'!VZ70+"BYw!yo"</f>
        <v>#VALUE!</v>
      </c>
      <c r="N30" t="e">
        <f>'2.4.Функции'!WA70+"BYw!yp"</f>
        <v>#VALUE!</v>
      </c>
      <c r="O30" t="e">
        <f>'2.4.Функции'!WB70+"BYw!yq"</f>
        <v>#VALUE!</v>
      </c>
      <c r="P30" t="e">
        <f>'2.4.Функции'!WC70+"BYw!yr"</f>
        <v>#VALUE!</v>
      </c>
      <c r="Q30" t="e">
        <f>'2.4.Функции'!WD70+"BYw!ys"</f>
        <v>#VALUE!</v>
      </c>
      <c r="R30" t="e">
        <f>'2.4.Функции'!WE70+"BYw!yt"</f>
        <v>#VALUE!</v>
      </c>
      <c r="S30" t="e">
        <f>'2.4.Функции'!WF70+"BYw!yu"</f>
        <v>#VALUE!</v>
      </c>
      <c r="T30" t="e">
        <f>'2.4.Функции'!WG70+"BYw!yv"</f>
        <v>#VALUE!</v>
      </c>
      <c r="U30" t="e">
        <f>'2.4.Функции'!WH70+"BYw!yw"</f>
        <v>#VALUE!</v>
      </c>
      <c r="V30" t="e">
        <f>'2.4.Функции'!WI70+"BYw!yx"</f>
        <v>#VALUE!</v>
      </c>
      <c r="W30" t="e">
        <f>'2.4.Функции'!WJ70+"BYw!yy"</f>
        <v>#VALUE!</v>
      </c>
      <c r="X30" t="e">
        <f>'2.4.Функции'!WK70+"BYw!yz"</f>
        <v>#VALUE!</v>
      </c>
      <c r="Y30" t="e">
        <f>'2.4.Функции'!WL70+"BYw!y{"</f>
        <v>#VALUE!</v>
      </c>
      <c r="Z30" t="e">
        <f>'2.4.Функции'!WM70+"BYw!y|"</f>
        <v>#VALUE!</v>
      </c>
      <c r="AA30" t="e">
        <f>'2.4.Функции'!WN70+"BYw!y}"</f>
        <v>#VALUE!</v>
      </c>
      <c r="AB30" t="e">
        <f>'2.4.Функции'!WO70+"BYw!y~"</f>
        <v>#VALUE!</v>
      </c>
      <c r="AC30" t="e">
        <f>'2.4.Функции'!WP70+"BYw!z#"</f>
        <v>#VALUE!</v>
      </c>
      <c r="AD30" t="e">
        <f>'2.4.Функции'!WQ70+"BYw!z$"</f>
        <v>#VALUE!</v>
      </c>
      <c r="AE30" t="e">
        <f>'2.4.Функции'!WR70+"BYw!z%"</f>
        <v>#VALUE!</v>
      </c>
      <c r="AF30" t="e">
        <f>'2.4.Функции'!WS70+"BYw!z&amp;"</f>
        <v>#VALUE!</v>
      </c>
      <c r="AG30" t="e">
        <f>'2.4.Функции'!WT70+"BYw!z'"</f>
        <v>#VALUE!</v>
      </c>
      <c r="AH30" t="e">
        <f>'2.4.Функции'!WU70+"BYw!z("</f>
        <v>#VALUE!</v>
      </c>
      <c r="AI30" t="e">
        <f>'2.4.Функции'!WV70+"BYw!z)"</f>
        <v>#VALUE!</v>
      </c>
      <c r="AJ30" t="e">
        <f>'2.4.Функции'!WW70+"BYw!z."</f>
        <v>#VALUE!</v>
      </c>
      <c r="AK30" t="e">
        <f>'2.4.Функции'!WX70+"BYw!z/"</f>
        <v>#VALUE!</v>
      </c>
      <c r="AL30" t="e">
        <f>'2.4.Функции'!WY70+"BYw!z0"</f>
        <v>#VALUE!</v>
      </c>
      <c r="AM30" t="e">
        <f>'2.4.Функции'!WZ70+"BYw!z1"</f>
        <v>#VALUE!</v>
      </c>
      <c r="AN30" t="e">
        <f>'2.4.Функции'!XA70+"BYw!z2"</f>
        <v>#VALUE!</v>
      </c>
      <c r="AO30" t="e">
        <f>'2.4.Функции'!XB70+"BYw!z3"</f>
        <v>#VALUE!</v>
      </c>
      <c r="AP30" t="e">
        <f>'2.4.Функции'!XC70+"BYw!z4"</f>
        <v>#VALUE!</v>
      </c>
      <c r="AQ30" t="e">
        <f>'2.4.Функции'!XD70+"BYw!z5"</f>
        <v>#VALUE!</v>
      </c>
      <c r="AR30" t="e">
        <f>'2.4.Функции'!XE70+"BYw!z6"</f>
        <v>#VALUE!</v>
      </c>
      <c r="AS30" t="e">
        <f>'2.4.Функции'!XF70+"BYw!z7"</f>
        <v>#VALUE!</v>
      </c>
      <c r="AT30" t="e">
        <f>'2.4.Функции'!XG70+"BYw!z8"</f>
        <v>#VALUE!</v>
      </c>
      <c r="AU30" t="e">
        <f>'2.4.Функции'!XH70+"BYw!z9"</f>
        <v>#VALUE!</v>
      </c>
      <c r="AV30" t="e">
        <f>'2.4.Функции'!XI70+"BYw!z:"</f>
        <v>#VALUE!</v>
      </c>
      <c r="AW30" t="e">
        <f>'2.4.Функции'!XJ70+"BYw!z;"</f>
        <v>#VALUE!</v>
      </c>
      <c r="AX30" t="e">
        <f>'2.4.Функции'!XK70+"BYw!z&lt;"</f>
        <v>#VALUE!</v>
      </c>
      <c r="AY30" t="e">
        <f>'2.4.Функции'!XL70+"BYw!z="</f>
        <v>#VALUE!</v>
      </c>
      <c r="AZ30" t="e">
        <f>'2.4.Функции'!XM70+"BYw!z&gt;"</f>
        <v>#VALUE!</v>
      </c>
      <c r="BA30" t="e">
        <f>'2.4.Функции'!XN70+"BYw!z?"</f>
        <v>#VALUE!</v>
      </c>
      <c r="BB30" t="e">
        <f>'2.4.Функции'!XO70+"BYw!z@"</f>
        <v>#VALUE!</v>
      </c>
      <c r="BC30" t="e">
        <f>'2.4.Функции'!XP70+"BYw!zA"</f>
        <v>#VALUE!</v>
      </c>
      <c r="BD30" t="e">
        <f>'2.4.Функции'!XQ70+"BYw!zB"</f>
        <v>#VALUE!</v>
      </c>
      <c r="BE30" t="e">
        <f>'2.4.Функции'!XR70+"BYw!zC"</f>
        <v>#VALUE!</v>
      </c>
      <c r="BF30" t="e">
        <f>'2.4.Функции'!XS70+"BYw!zD"</f>
        <v>#VALUE!</v>
      </c>
      <c r="BG30" t="e">
        <f>'2.4.Функции'!XT70+"BYw!zE"</f>
        <v>#VALUE!</v>
      </c>
      <c r="BH30" t="e">
        <f>'2.4.Функции'!XU70+"BYw!zF"</f>
        <v>#VALUE!</v>
      </c>
      <c r="BI30" t="e">
        <f>'2.4.Функции'!XV70+"BYw!zG"</f>
        <v>#VALUE!</v>
      </c>
      <c r="BJ30" t="e">
        <f>'2.4.Функции'!XW70+"BYw!zH"</f>
        <v>#VALUE!</v>
      </c>
      <c r="BK30" t="e">
        <f>'2.4.Функции'!XX70+"BYw!zI"</f>
        <v>#VALUE!</v>
      </c>
      <c r="BL30" t="e">
        <f>'2.4.Функции'!XY70+"BYw!zJ"</f>
        <v>#VALUE!</v>
      </c>
      <c r="BM30" t="e">
        <f>'2.4.Функции'!XZ70+"BYw!zK"</f>
        <v>#VALUE!</v>
      </c>
      <c r="BN30" t="e">
        <f>'2.4.Функции'!YA70+"BYw!zL"</f>
        <v>#VALUE!</v>
      </c>
      <c r="BO30" t="e">
        <f>'2.4.Функции'!YB70+"BYw!zM"</f>
        <v>#VALUE!</v>
      </c>
      <c r="BP30" t="e">
        <f>'2.4.Функции'!YC70+"BYw!zN"</f>
        <v>#VALUE!</v>
      </c>
      <c r="BQ30" t="e">
        <f>'2.4.Функции'!YD70+"BYw!zO"</f>
        <v>#VALUE!</v>
      </c>
      <c r="BR30" t="e">
        <f>'2.4.Функции'!YE70+"BYw!zP"</f>
        <v>#VALUE!</v>
      </c>
      <c r="BS30" t="e">
        <f>'2.4.Функции'!YF70+"BYw!zQ"</f>
        <v>#VALUE!</v>
      </c>
      <c r="BT30" t="e">
        <f>'2.4.Функции'!YG70+"BYw!zR"</f>
        <v>#VALUE!</v>
      </c>
      <c r="BU30" t="e">
        <f>'2.4.Функции'!YH70+"BYw!zS"</f>
        <v>#VALUE!</v>
      </c>
      <c r="BV30" t="e">
        <f>'2.4.Функции'!YI70+"BYw!zT"</f>
        <v>#VALUE!</v>
      </c>
      <c r="BW30" t="e">
        <f>'2.4.Функции'!YJ70+"BYw!zU"</f>
        <v>#VALUE!</v>
      </c>
      <c r="BX30" t="e">
        <f>'2.4.Функции'!YK70+"BYw!zV"</f>
        <v>#VALUE!</v>
      </c>
      <c r="BY30" t="e">
        <f>'2.4.Функции'!YL70+"BYw!zW"</f>
        <v>#VALUE!</v>
      </c>
      <c r="BZ30" t="e">
        <f>'2.4.Функции'!YM70+"BYw!zX"</f>
        <v>#VALUE!</v>
      </c>
      <c r="CA30" t="e">
        <f>'2.4.Функции'!YN70+"BYw!zY"</f>
        <v>#VALUE!</v>
      </c>
      <c r="CB30" t="e">
        <f>'2.4.Функции'!YO70+"BYw!zZ"</f>
        <v>#VALUE!</v>
      </c>
      <c r="CC30" t="e">
        <f>'2.4.Функции'!YP70+"BYw!z["</f>
        <v>#VALUE!</v>
      </c>
      <c r="CD30" t="e">
        <f>'2.4.Функции'!YQ70+"BYw!z\"</f>
        <v>#VALUE!</v>
      </c>
      <c r="CE30" t="e">
        <f>'2.4.Функции'!YR70+"BYw!z]"</f>
        <v>#VALUE!</v>
      </c>
      <c r="CF30" t="e">
        <f>'2.4.Функции'!YS70+"BYw!z^"</f>
        <v>#VALUE!</v>
      </c>
      <c r="CG30" t="e">
        <f>'2.4.Функции'!YT70+"BYw!z_"</f>
        <v>#VALUE!</v>
      </c>
      <c r="CH30" t="e">
        <f>'2.4.Функции'!YU70+"BYw!z`"</f>
        <v>#VALUE!</v>
      </c>
      <c r="CI30" t="e">
        <f>'2.4.Функции'!YV70+"BYw!za"</f>
        <v>#VALUE!</v>
      </c>
      <c r="CJ30" t="e">
        <f>'2.4.Функции'!YW70+"BYw!zb"</f>
        <v>#VALUE!</v>
      </c>
      <c r="CK30" t="e">
        <f>'2.4.Функции'!YX70+"BYw!zc"</f>
        <v>#VALUE!</v>
      </c>
      <c r="CL30" t="e">
        <f>'2.4.Функции'!YY70+"BYw!zd"</f>
        <v>#VALUE!</v>
      </c>
      <c r="CM30" t="e">
        <f>'2.4.Функции'!YZ70+"BYw!ze"</f>
        <v>#VALUE!</v>
      </c>
      <c r="CN30" t="e">
        <f>'2.4.Функции'!ZA70+"BYw!zf"</f>
        <v>#VALUE!</v>
      </c>
      <c r="CO30" t="e">
        <f>'2.4.Функции'!ZB70+"BYw!zg"</f>
        <v>#VALUE!</v>
      </c>
      <c r="CP30" t="e">
        <f>'2.4.Функции'!ZC70+"BYw!zh"</f>
        <v>#VALUE!</v>
      </c>
      <c r="CQ30" t="e">
        <f>'2.4.Функции'!ZD70+"BYw!zi"</f>
        <v>#VALUE!</v>
      </c>
      <c r="CR30" t="e">
        <f>'2.4.Функции'!ZE70+"BYw!zj"</f>
        <v>#VALUE!</v>
      </c>
      <c r="CS30" t="e">
        <f>'2.4.Функции'!ZF70+"BYw!zk"</f>
        <v>#VALUE!</v>
      </c>
      <c r="CT30" t="e">
        <f>'2.4.Функции'!ZG70+"BYw!zl"</f>
        <v>#VALUE!</v>
      </c>
      <c r="CU30" t="e">
        <f>'2.4.Функции'!ZH70+"BYw!zm"</f>
        <v>#VALUE!</v>
      </c>
      <c r="CV30" t="e">
        <f>'2.4.Функции'!ZI70+"BYw!zn"</f>
        <v>#VALUE!</v>
      </c>
      <c r="CW30" t="e">
        <f>'2.4.Функции'!ZJ70+"BYw!zo"</f>
        <v>#VALUE!</v>
      </c>
      <c r="CX30" t="e">
        <f>'2.4.Функции'!ZK70+"BYw!zp"</f>
        <v>#VALUE!</v>
      </c>
      <c r="CY30" t="e">
        <f>'2.4.Функции'!ZL70+"BYw!zq"</f>
        <v>#VALUE!</v>
      </c>
      <c r="CZ30" t="e">
        <f>'2.4.Функции'!ZM70+"BYw!zr"</f>
        <v>#VALUE!</v>
      </c>
      <c r="DA30" t="e">
        <f>'2.4.Функции'!ZN70+"BYw!zs"</f>
        <v>#VALUE!</v>
      </c>
      <c r="DB30" t="e">
        <f>'2.4.Функции'!ZO70+"BYw!zt"</f>
        <v>#VALUE!</v>
      </c>
      <c r="DC30" t="e">
        <f>'2.4.Функции'!ZP70+"BYw!zu"</f>
        <v>#VALUE!</v>
      </c>
      <c r="DD30" t="e">
        <f>'2.4.Функции'!ZQ70+"BYw!zv"</f>
        <v>#VALUE!</v>
      </c>
      <c r="DE30" t="e">
        <f>'2.4.Функции'!ZR70+"BYw!zw"</f>
        <v>#VALUE!</v>
      </c>
      <c r="DF30" t="e">
        <f>'2.4.Функции'!ZS70+"BYw!zx"</f>
        <v>#VALUE!</v>
      </c>
      <c r="DG30" t="e">
        <f>'2.4.Функции'!ZT70+"BYw!zy"</f>
        <v>#VALUE!</v>
      </c>
      <c r="DH30" t="e">
        <f>'2.4.Функции'!ZU70+"BYw!zz"</f>
        <v>#VALUE!</v>
      </c>
      <c r="DI30" t="e">
        <f>'2.4.Функции'!ZV70+"BYw!z{"</f>
        <v>#VALUE!</v>
      </c>
      <c r="DJ30" t="e">
        <f>'2.4.Функции'!ZW70+"BYw!z|"</f>
        <v>#VALUE!</v>
      </c>
      <c r="DK30" t="e">
        <f>'2.4.Функции'!ZX70+"BYw!z}"</f>
        <v>#VALUE!</v>
      </c>
      <c r="DL30" t="e">
        <f>'2.4.Функции'!ZY70+"BYw!z~"</f>
        <v>#VALUE!</v>
      </c>
      <c r="DM30" t="e">
        <f>'2.4.Функции'!ZZ70+"BYw!{#"</f>
        <v>#VALUE!</v>
      </c>
      <c r="DN30" t="e">
        <f>'2.4.Функции'!AAA70+"BYw!{$"</f>
        <v>#VALUE!</v>
      </c>
      <c r="DO30" t="e">
        <f>'2.4.Функции'!AAB70+"BYw!{%"</f>
        <v>#VALUE!</v>
      </c>
      <c r="DP30" t="e">
        <f>'2.4.Функции'!AAC70+"BYw!{&amp;"</f>
        <v>#VALUE!</v>
      </c>
      <c r="DQ30" t="e">
        <f>'2.4.Функции'!AAD70+"BYw!{'"</f>
        <v>#VALUE!</v>
      </c>
      <c r="DR30" t="e">
        <f>'2.4.Функции'!AAE70+"BYw!{("</f>
        <v>#VALUE!</v>
      </c>
      <c r="DS30" t="e">
        <f>'2.4.Функции'!AAF70+"BYw!{)"</f>
        <v>#VALUE!</v>
      </c>
      <c r="DT30" t="e">
        <f>'2.4.Функции'!AAG70+"BYw!{."</f>
        <v>#VALUE!</v>
      </c>
      <c r="DU30" t="e">
        <f>'2.4.Функции'!AAH70+"BYw!{/"</f>
        <v>#VALUE!</v>
      </c>
      <c r="DV30" t="e">
        <f>'2.4.Функции'!AAI70+"BYw!{0"</f>
        <v>#VALUE!</v>
      </c>
      <c r="DW30" t="e">
        <f>'2.4.Функции'!AAJ70+"BYw!{1"</f>
        <v>#VALUE!</v>
      </c>
      <c r="DX30" t="e">
        <f>'2.4.Функции'!AAK70+"BYw!{2"</f>
        <v>#VALUE!</v>
      </c>
      <c r="DY30" t="e">
        <f>'2.4.Функции'!AAL70+"BYw!{3"</f>
        <v>#VALUE!</v>
      </c>
      <c r="DZ30" t="e">
        <f>'2.4.Функции'!AAM70+"BYw!{4"</f>
        <v>#VALUE!</v>
      </c>
      <c r="EA30" t="e">
        <f>'2.4.Функции'!AAN70+"BYw!{5"</f>
        <v>#VALUE!</v>
      </c>
      <c r="EB30" t="e">
        <f>'2.4.Функции'!AAO70+"BYw!{6"</f>
        <v>#VALUE!</v>
      </c>
      <c r="EC30" t="e">
        <f>'2.4.Функции'!AAP70+"BYw!{7"</f>
        <v>#VALUE!</v>
      </c>
      <c r="ED30" t="e">
        <f>'2.4.Функции'!AAQ70+"BYw!{8"</f>
        <v>#VALUE!</v>
      </c>
      <c r="EE30" t="e">
        <f>'2.4.Функции'!AAR70+"BYw!{9"</f>
        <v>#VALUE!</v>
      </c>
      <c r="EF30" t="e">
        <f>'2.4.Функции'!AAS70+"BYw!{:"</f>
        <v>#VALUE!</v>
      </c>
      <c r="EG30" t="e">
        <f>'2.4.Функции'!AAT70+"BYw!{;"</f>
        <v>#VALUE!</v>
      </c>
      <c r="EH30" t="e">
        <f>'2.4.Функции'!AAU70+"BYw!{&lt;"</f>
        <v>#VALUE!</v>
      </c>
      <c r="EI30" t="e">
        <f>'2.4.Функции'!AAV70+"BYw!{="</f>
        <v>#VALUE!</v>
      </c>
      <c r="EJ30" t="e">
        <f>'2.4.Функции'!AAW70+"BYw!{&gt;"</f>
        <v>#VALUE!</v>
      </c>
      <c r="EK30" t="e">
        <f>'2.4.Функции'!AAX70+"BYw!{?"</f>
        <v>#VALUE!</v>
      </c>
      <c r="EL30" t="e">
        <f>'2.4.Функции'!AAY70+"BYw!{@"</f>
        <v>#VALUE!</v>
      </c>
      <c r="EM30" t="e">
        <f>'2.4.Функции'!AAZ70+"BYw!{A"</f>
        <v>#VALUE!</v>
      </c>
      <c r="EN30" t="e">
        <f>'2.4.Функции'!ABA70+"BYw!{B"</f>
        <v>#VALUE!</v>
      </c>
      <c r="EO30" t="e">
        <f>'2.4.Функции'!ABB70+"BYw!{C"</f>
        <v>#VALUE!</v>
      </c>
      <c r="EP30" t="e">
        <f>'2.4.Функции'!ABC70+"BYw!{D"</f>
        <v>#VALUE!</v>
      </c>
      <c r="EQ30" t="e">
        <f>'2.4.Функции'!ABD70+"BYw!{E"</f>
        <v>#VALUE!</v>
      </c>
      <c r="ER30" t="e">
        <f>'2.4.Функции'!ABE70+"BYw!{F"</f>
        <v>#VALUE!</v>
      </c>
      <c r="ES30" t="e">
        <f>'2.4.Функции'!ABF70+"BYw!{G"</f>
        <v>#VALUE!</v>
      </c>
      <c r="ET30" t="e">
        <f>'2.4.Функции'!ABG70+"BYw!{H"</f>
        <v>#VALUE!</v>
      </c>
      <c r="EU30" t="e">
        <f>'2.4.Функции'!ABH70+"BYw!{I"</f>
        <v>#VALUE!</v>
      </c>
      <c r="EV30" t="e">
        <f>'2.4.Функции'!ABI70+"BYw!{J"</f>
        <v>#VALUE!</v>
      </c>
      <c r="EW30" t="e">
        <f>'2.4.Функции'!ABJ70+"BYw!{K"</f>
        <v>#VALUE!</v>
      </c>
      <c r="EX30" t="e">
        <f>'2.4.Функции'!ABK70+"BYw!{L"</f>
        <v>#VALUE!</v>
      </c>
      <c r="EY30" t="e">
        <f>'2.4.Функции'!ABL70+"BYw!{M"</f>
        <v>#VALUE!</v>
      </c>
      <c r="EZ30" t="e">
        <f>'2.4.Функции'!ABM70+"BYw!{N"</f>
        <v>#VALUE!</v>
      </c>
      <c r="FA30" t="e">
        <f>'2.4.Функции'!ABN70+"BYw!{O"</f>
        <v>#VALUE!</v>
      </c>
      <c r="FB30" t="e">
        <f>'2.4.Функции'!ABO70+"BYw!{P"</f>
        <v>#VALUE!</v>
      </c>
      <c r="FC30" t="e">
        <f>'2.4.Функции'!ABP70+"BYw!{Q"</f>
        <v>#VALUE!</v>
      </c>
      <c r="FD30" t="e">
        <f>'2.4.Функции'!ABQ70+"BYw!{R"</f>
        <v>#VALUE!</v>
      </c>
      <c r="FE30" t="e">
        <f>'2.4.Функции'!ABR70+"BYw!{S"</f>
        <v>#VALUE!</v>
      </c>
      <c r="FF30" t="e">
        <f>'2.4.Функции'!ABS70+"BYw!{T"</f>
        <v>#VALUE!</v>
      </c>
      <c r="FG30" t="e">
        <f>'2.4.Функции'!ABT70+"BYw!{U"</f>
        <v>#VALUE!</v>
      </c>
      <c r="FH30" t="e">
        <f>'2.4.Функции'!ABU70+"BYw!{V"</f>
        <v>#VALUE!</v>
      </c>
      <c r="FI30" t="e">
        <f>'2.4.Функции'!ABV70+"BYw!{W"</f>
        <v>#VALUE!</v>
      </c>
      <c r="FJ30" t="e">
        <f>'2.4.Функции'!ABW70+"BYw!{X"</f>
        <v>#VALUE!</v>
      </c>
      <c r="FK30" t="e">
        <f>'2.4.Функции'!ABX70+"BYw!{Y"</f>
        <v>#VALUE!</v>
      </c>
      <c r="FL30" t="e">
        <f>'2.4.Функции'!ABY70+"BYw!{Z"</f>
        <v>#VALUE!</v>
      </c>
      <c r="FM30" t="e">
        <f>'2.4.Функции'!ABZ70+"BYw!{["</f>
        <v>#VALUE!</v>
      </c>
      <c r="FN30" t="e">
        <f>'2.4.Функции'!ACA70+"BYw!{\"</f>
        <v>#VALUE!</v>
      </c>
      <c r="FO30" t="e">
        <f>'2.4.Функции'!ACB70+"BYw!{]"</f>
        <v>#VALUE!</v>
      </c>
      <c r="FP30" t="e">
        <f>'2.4.Функции'!ACC70+"BYw!{^"</f>
        <v>#VALUE!</v>
      </c>
      <c r="FQ30" t="e">
        <f>'2.4.Функции'!ACD70+"BYw!{_"</f>
        <v>#VALUE!</v>
      </c>
      <c r="FR30" t="e">
        <f>'2.4.Функции'!ACE70+"BYw!{`"</f>
        <v>#VALUE!</v>
      </c>
      <c r="FS30" t="e">
        <f>'2.4.Функции'!ACF70+"BYw!{a"</f>
        <v>#VALUE!</v>
      </c>
      <c r="FT30" t="e">
        <f>'2.4.Функции'!ACG70+"BYw!{b"</f>
        <v>#VALUE!</v>
      </c>
      <c r="FU30" t="e">
        <f>'2.4.Функции'!ACH70+"BYw!{c"</f>
        <v>#VALUE!</v>
      </c>
      <c r="FV30" t="e">
        <f>'2.4.Функции'!ACI70+"BYw!{d"</f>
        <v>#VALUE!</v>
      </c>
      <c r="FW30" t="e">
        <f>'2.4.Функции'!ACJ70+"BYw!{e"</f>
        <v>#VALUE!</v>
      </c>
      <c r="FX30" t="e">
        <f>'2.4.Функции'!ACK70+"BYw!{f"</f>
        <v>#VALUE!</v>
      </c>
      <c r="FY30" t="e">
        <f>'2.4.Функции'!ACL70+"BYw!{g"</f>
        <v>#VALUE!</v>
      </c>
      <c r="FZ30" t="e">
        <f>'2.4.Функции'!ACM70+"BYw!{h"</f>
        <v>#VALUE!</v>
      </c>
      <c r="GA30" t="e">
        <f>'2.4.Функции'!ACN70+"BYw!{i"</f>
        <v>#VALUE!</v>
      </c>
      <c r="GB30" t="e">
        <f>'2.4.Функции'!ACO70+"BYw!{j"</f>
        <v>#VALUE!</v>
      </c>
      <c r="GC30" t="e">
        <f>'2.4.Функции'!ACP70+"BYw!{k"</f>
        <v>#VALUE!</v>
      </c>
      <c r="GD30" t="e">
        <f>'2.4.Функции'!ACQ70+"BYw!{l"</f>
        <v>#VALUE!</v>
      </c>
      <c r="GE30" t="e">
        <f>'2.4.Функции'!ACR70+"BYw!{m"</f>
        <v>#VALUE!</v>
      </c>
      <c r="GF30" t="e">
        <f>'2.4.Функции'!ACS70+"BYw!{n"</f>
        <v>#VALUE!</v>
      </c>
      <c r="GG30" t="e">
        <f>'2.4.Функции'!ACT70+"BYw!{o"</f>
        <v>#VALUE!</v>
      </c>
      <c r="GH30" t="e">
        <f>'2.4.Функции'!ACU70+"BYw!{p"</f>
        <v>#VALUE!</v>
      </c>
      <c r="GI30" t="e">
        <f>'2.4.Функции'!ACV70+"BYw!{q"</f>
        <v>#VALUE!</v>
      </c>
      <c r="GJ30" t="e">
        <f>'2.4.Функции'!ACW70+"BYw!{r"</f>
        <v>#VALUE!</v>
      </c>
      <c r="GK30" t="e">
        <f>'2.4.Функции'!ACX70+"BYw!{s"</f>
        <v>#VALUE!</v>
      </c>
      <c r="GL30" t="e">
        <f>'2.4.Функции'!ACY70+"BYw!{t"</f>
        <v>#VALUE!</v>
      </c>
      <c r="GM30" t="e">
        <f>'2.4.Функции'!ACZ70+"BYw!{u"</f>
        <v>#VALUE!</v>
      </c>
      <c r="GN30" t="e">
        <f>'2.4.Функции'!ADA70+"BYw!{v"</f>
        <v>#VALUE!</v>
      </c>
      <c r="GO30" t="e">
        <f>'2.4.Функции'!ADB70+"BYw!{w"</f>
        <v>#VALUE!</v>
      </c>
      <c r="GP30" t="e">
        <f>'2.4.Функции'!ADC70+"BYw!{x"</f>
        <v>#VALUE!</v>
      </c>
      <c r="GQ30" t="e">
        <f>'2.4.Функции'!ADD70+"BYw!{y"</f>
        <v>#VALUE!</v>
      </c>
      <c r="GR30" t="e">
        <f>'2.4.Функции'!ADE70+"BYw!{z"</f>
        <v>#VALUE!</v>
      </c>
      <c r="GS30" t="e">
        <f>'2.4.Функции'!ADF70+"BYw!{{"</f>
        <v>#VALUE!</v>
      </c>
      <c r="GT30" t="e">
        <f>'2.4.Функции'!ADG70+"BYw!{|"</f>
        <v>#VALUE!</v>
      </c>
      <c r="GU30" t="e">
        <f>'2.4.Функции'!ADH70+"BYw!{}"</f>
        <v>#VALUE!</v>
      </c>
      <c r="GV30" t="e">
        <f>'2.4.Функции'!ADI70+"BYw!{~"</f>
        <v>#VALUE!</v>
      </c>
      <c r="GW30" t="e">
        <f>'2.4.Функции'!ADJ70+"BYw!|#"</f>
        <v>#VALUE!</v>
      </c>
      <c r="GX30" t="e">
        <f>'2.4.Функции'!ADK70+"BYw!|$"</f>
        <v>#VALUE!</v>
      </c>
      <c r="GY30" t="e">
        <f>'2.4.Функции'!ADL70+"BYw!|%"</f>
        <v>#VALUE!</v>
      </c>
      <c r="GZ30" t="e">
        <f>'2.4.Функции'!ADM70+"BYw!|&amp;"</f>
        <v>#VALUE!</v>
      </c>
      <c r="HA30" t="e">
        <f>'2.4.Функции'!ADN70+"BYw!|'"</f>
        <v>#VALUE!</v>
      </c>
      <c r="HB30" t="e">
        <f>'2.4.Функции'!ADO70+"BYw!|("</f>
        <v>#VALUE!</v>
      </c>
      <c r="HC30" t="e">
        <f>'2.4.Функции'!ADP70+"BYw!|)"</f>
        <v>#VALUE!</v>
      </c>
      <c r="HD30" t="e">
        <f>'2.4.Функции'!ADQ70+"BYw!|."</f>
        <v>#VALUE!</v>
      </c>
      <c r="HE30" t="e">
        <f>'2.4.Функции'!ADR70+"BYw!|/"</f>
        <v>#VALUE!</v>
      </c>
      <c r="HF30" t="e">
        <f>'2.4.Функции'!ADS70+"BYw!|0"</f>
        <v>#VALUE!</v>
      </c>
      <c r="HG30" t="e">
        <f>'2.4.Функции'!ADT70+"BYw!|1"</f>
        <v>#VALUE!</v>
      </c>
      <c r="HH30" t="e">
        <f>'2.4.Функции'!ADU70+"BYw!|2"</f>
        <v>#VALUE!</v>
      </c>
      <c r="HI30" t="e">
        <f>'2.4.Функции'!ADV70+"BYw!|3"</f>
        <v>#VALUE!</v>
      </c>
      <c r="HJ30" t="e">
        <f>'2.4.Функции'!ADW70+"BYw!|4"</f>
        <v>#VALUE!</v>
      </c>
      <c r="HK30" t="e">
        <f>'2.4.Функции'!ADX70+"BYw!|5"</f>
        <v>#VALUE!</v>
      </c>
      <c r="HL30" t="e">
        <f>'2.4.Функции'!ADY70+"BYw!|6"</f>
        <v>#VALUE!</v>
      </c>
      <c r="HM30" t="e">
        <f>'2.4.Функции'!ADZ70+"BYw!|7"</f>
        <v>#VALUE!</v>
      </c>
      <c r="HN30" t="e">
        <f>'2.4.Функции'!AEA70+"BYw!|8"</f>
        <v>#VALUE!</v>
      </c>
      <c r="HO30" t="e">
        <f>'2.4.Функции'!AEB70+"BYw!|9"</f>
        <v>#VALUE!</v>
      </c>
      <c r="HP30" t="e">
        <f>'2.4.Функции'!AEC70+"BYw!|:"</f>
        <v>#VALUE!</v>
      </c>
      <c r="HQ30" t="e">
        <f>'2.4.Функции'!AED70+"BYw!|;"</f>
        <v>#VALUE!</v>
      </c>
      <c r="HR30" t="e">
        <f>'2.4.Функции'!AEE70+"BYw!|&lt;"</f>
        <v>#VALUE!</v>
      </c>
      <c r="HS30" t="e">
        <f>'2.4.Функции'!AEF70+"BYw!|="</f>
        <v>#VALUE!</v>
      </c>
      <c r="HT30" t="e">
        <f>'2.4.Функции'!AEG70+"BYw!|&gt;"</f>
        <v>#VALUE!</v>
      </c>
      <c r="HU30" t="e">
        <f>'2.4.Функции'!AEH70+"BYw!|?"</f>
        <v>#VALUE!</v>
      </c>
      <c r="HV30" t="e">
        <f>'2.4.Функции'!AEI70+"BYw!|@"</f>
        <v>#VALUE!</v>
      </c>
      <c r="HW30" t="e">
        <f>'2.4.Функции'!AEJ70+"BYw!|A"</f>
        <v>#VALUE!</v>
      </c>
      <c r="HX30" t="e">
        <f>'2.4.Функции'!AEK70+"BYw!|B"</f>
        <v>#VALUE!</v>
      </c>
      <c r="HY30" t="e">
        <f>'2.4.Функции'!AEL70+"BYw!|C"</f>
        <v>#VALUE!</v>
      </c>
      <c r="HZ30" t="e">
        <f>'2.4.Функции'!AEM70+"BYw!|D"</f>
        <v>#VALUE!</v>
      </c>
      <c r="IA30" t="e">
        <f>'2.4.Функции'!AEN70+"BYw!|E"</f>
        <v>#VALUE!</v>
      </c>
      <c r="IB30" t="e">
        <f>'2.4.Функции'!AEO70+"BYw!|F"</f>
        <v>#VALUE!</v>
      </c>
      <c r="IC30" t="e">
        <f>'2.4.Функции'!AEP70+"BYw!|G"</f>
        <v>#VALUE!</v>
      </c>
      <c r="ID30" t="e">
        <f>'2.4.Функции'!AEQ70+"BYw!|H"</f>
        <v>#VALUE!</v>
      </c>
      <c r="IE30" t="e">
        <f>'2.4.Функции'!AER70+"BYw!|I"</f>
        <v>#VALUE!</v>
      </c>
      <c r="IF30" t="e">
        <f>'2.4.Функции'!AES70+"BYw!|J"</f>
        <v>#VALUE!</v>
      </c>
      <c r="IG30" t="e">
        <f>'2.4.Функции'!AET70+"BYw!|K"</f>
        <v>#VALUE!</v>
      </c>
      <c r="IH30" t="e">
        <f>'2.4.Функции'!AEU70+"BYw!|L"</f>
        <v>#VALUE!</v>
      </c>
      <c r="II30" t="e">
        <f>'2.4.Функции'!AEV70+"BYw!|M"</f>
        <v>#VALUE!</v>
      </c>
      <c r="IJ30" t="e">
        <f>'2.4.Функции'!AEW70+"BYw!|N"</f>
        <v>#VALUE!</v>
      </c>
      <c r="IK30" t="e">
        <f>'2.4.Функции'!AEX70+"BYw!|O"</f>
        <v>#VALUE!</v>
      </c>
      <c r="IL30" t="e">
        <f>'2.4.Функции'!AEY70+"BYw!|P"</f>
        <v>#VALUE!</v>
      </c>
      <c r="IM30" t="e">
        <f>'2.4.Функции'!AEZ70+"BYw!|Q"</f>
        <v>#VALUE!</v>
      </c>
      <c r="IN30" t="e">
        <f>'2.4.Функции'!AFA70+"BYw!|R"</f>
        <v>#VALUE!</v>
      </c>
      <c r="IO30" t="e">
        <f>'2.4.Функции'!AFB70+"BYw!|S"</f>
        <v>#VALUE!</v>
      </c>
      <c r="IP30" t="e">
        <f>'2.4.Функции'!AFC70+"BYw!|T"</f>
        <v>#VALUE!</v>
      </c>
      <c r="IQ30" t="e">
        <f>'2.4.Функции'!AFD70+"BYw!|U"</f>
        <v>#VALUE!</v>
      </c>
      <c r="IR30" t="e">
        <f>'2.4.Функции'!AFE70+"BYw!|V"</f>
        <v>#VALUE!</v>
      </c>
      <c r="IS30" t="e">
        <f>'2.4.Функции'!AFF70+"BYw!|W"</f>
        <v>#VALUE!</v>
      </c>
      <c r="IT30" t="e">
        <f>'2.4.Функции'!AFG70+"BYw!|X"</f>
        <v>#VALUE!</v>
      </c>
      <c r="IU30" t="e">
        <f>'2.4.Функции'!AFH70+"BYw!|Y"</f>
        <v>#VALUE!</v>
      </c>
      <c r="IV30" t="e">
        <f>'2.4.Функции'!AFI70+"BYw!|Z"</f>
        <v>#VALUE!</v>
      </c>
    </row>
    <row r="31" spans="6:256" x14ac:dyDescent="0.2">
      <c r="F31" t="e">
        <f>'2.4.Функции'!AFJ70+"BYw!|["</f>
        <v>#VALUE!</v>
      </c>
      <c r="G31" t="e">
        <f>'2.4.Функции'!AFK70+"BYw!|\"</f>
        <v>#VALUE!</v>
      </c>
      <c r="H31" t="e">
        <f>'2.4.Функции'!AFL70+"BYw!|]"</f>
        <v>#VALUE!</v>
      </c>
      <c r="I31" t="e">
        <f>'2.4.Функции'!AFM70+"BYw!|^"</f>
        <v>#VALUE!</v>
      </c>
      <c r="J31" t="e">
        <f>'2.4.Функции'!AFN70+"BYw!|_"</f>
        <v>#VALUE!</v>
      </c>
      <c r="K31" t="e">
        <f>'2.4.Функции'!AFO70+"BYw!|`"</f>
        <v>#VALUE!</v>
      </c>
      <c r="L31" t="e">
        <f>'2.4.Функции'!AFP70+"BYw!|a"</f>
        <v>#VALUE!</v>
      </c>
      <c r="M31" t="e">
        <f>'2.4.Функции'!AFQ70+"BYw!|b"</f>
        <v>#VALUE!</v>
      </c>
      <c r="N31" t="e">
        <f>'2.4.Функции'!AFR70+"BYw!|c"</f>
        <v>#VALUE!</v>
      </c>
      <c r="O31" t="e">
        <f>'2.4.Функции'!AFS70+"BYw!|d"</f>
        <v>#VALUE!</v>
      </c>
      <c r="P31" t="e">
        <f>'2.4.Функции'!AFT70+"BYw!|e"</f>
        <v>#VALUE!</v>
      </c>
      <c r="Q31" t="e">
        <f>'2.4.Функции'!AFU70+"BYw!|f"</f>
        <v>#VALUE!</v>
      </c>
      <c r="R31" t="e">
        <f>'2.4.Функции'!AFV70+"BYw!|g"</f>
        <v>#VALUE!</v>
      </c>
      <c r="S31" t="e">
        <f>'2.4.Функции'!AFW70+"BYw!|h"</f>
        <v>#VALUE!</v>
      </c>
      <c r="T31" t="e">
        <f>'2.4.Функции'!AFX70+"BYw!|i"</f>
        <v>#VALUE!</v>
      </c>
      <c r="U31" t="e">
        <f>'2.4.Функции'!AFY70+"BYw!|j"</f>
        <v>#VALUE!</v>
      </c>
      <c r="V31" t="e">
        <f>'2.4.Функции'!AFZ70+"BYw!|k"</f>
        <v>#VALUE!</v>
      </c>
      <c r="W31" t="e">
        <f>'2.4.Функции'!AGA70+"BYw!|l"</f>
        <v>#VALUE!</v>
      </c>
      <c r="X31" t="e">
        <f>'2.4.Функции'!AGB70+"BYw!|m"</f>
        <v>#VALUE!</v>
      </c>
      <c r="Y31" t="e">
        <f>'2.4.Функции'!AGC70+"BYw!|n"</f>
        <v>#VALUE!</v>
      </c>
      <c r="Z31" t="e">
        <f>'2.4.Функции'!AGD70+"BYw!|o"</f>
        <v>#VALUE!</v>
      </c>
      <c r="AA31" t="e">
        <f>'2.4.Функции'!AGE70+"BYw!|p"</f>
        <v>#VALUE!</v>
      </c>
      <c r="AB31" t="e">
        <f>'2.4.Функции'!AGF70+"BYw!|q"</f>
        <v>#VALUE!</v>
      </c>
      <c r="AC31" t="e">
        <f>'2.4.Функции'!AGG70+"BYw!|r"</f>
        <v>#VALUE!</v>
      </c>
      <c r="AD31" t="e">
        <f>'2.4.Функции'!AGH70+"BYw!|s"</f>
        <v>#VALUE!</v>
      </c>
      <c r="AE31" t="e">
        <f>'2.4.Функции'!AGI70+"BYw!|t"</f>
        <v>#VALUE!</v>
      </c>
      <c r="AF31" t="e">
        <f>'2.4.Функции'!AGJ70+"BYw!|u"</f>
        <v>#VALUE!</v>
      </c>
      <c r="AG31" t="e">
        <f>'2.4.Функции'!AGK70+"BYw!|v"</f>
        <v>#VALUE!</v>
      </c>
      <c r="AH31" t="e">
        <f>'2.4.Функции'!AGL70+"BYw!|w"</f>
        <v>#VALUE!</v>
      </c>
      <c r="AI31" t="e">
        <f>'2.4.Функции'!AGM70+"BYw!|x"</f>
        <v>#VALUE!</v>
      </c>
      <c r="AJ31" t="e">
        <f>'2.4.Функции'!AGN70+"BYw!|y"</f>
        <v>#VALUE!</v>
      </c>
      <c r="AK31" t="e">
        <f>'2.4.Функции'!AGO70+"BYw!|z"</f>
        <v>#VALUE!</v>
      </c>
      <c r="AL31" t="e">
        <f>'2.4.Функции'!AGP70+"BYw!|{"</f>
        <v>#VALUE!</v>
      </c>
      <c r="AM31" t="e">
        <f>'2.4.Функции'!AGQ70+"BYw!||"</f>
        <v>#VALUE!</v>
      </c>
      <c r="AN31" t="e">
        <f>'2.4.Функции'!AGR70+"BYw!|}"</f>
        <v>#VALUE!</v>
      </c>
      <c r="AO31" t="e">
        <f>'2.4.Функции'!AGS70+"BYw!|~"</f>
        <v>#VALUE!</v>
      </c>
      <c r="AP31" t="e">
        <f>'2.4.Функции'!AGT70+"BYw!}#"</f>
        <v>#VALUE!</v>
      </c>
      <c r="AQ31" t="e">
        <f>'2.4.Функции'!AGU70+"BYw!}$"</f>
        <v>#VALUE!</v>
      </c>
      <c r="AR31" t="e">
        <f>'2.4.Функции'!AGV70+"BYw!}%"</f>
        <v>#VALUE!</v>
      </c>
      <c r="AS31" t="e">
        <f>'2.4.Функции'!AGW70+"BYw!}&amp;"</f>
        <v>#VALUE!</v>
      </c>
      <c r="AT31" t="e">
        <f>'2.4.Функции'!AGX70+"BYw!}'"</f>
        <v>#VALUE!</v>
      </c>
      <c r="AU31" t="e">
        <f>'2.4.Функции'!AGY70+"BYw!}("</f>
        <v>#VALUE!</v>
      </c>
      <c r="AV31" t="e">
        <f>'2.4.Функции'!AGZ70+"BYw!})"</f>
        <v>#VALUE!</v>
      </c>
      <c r="AW31" t="e">
        <f>'2.4.Функции'!AHA70+"BYw!}."</f>
        <v>#VALUE!</v>
      </c>
      <c r="AX31" t="e">
        <f>'2.4.Функции'!AHB70+"BYw!}/"</f>
        <v>#VALUE!</v>
      </c>
      <c r="AY31" t="e">
        <f>'2.4.Функции'!AHC70+"BYw!}0"</f>
        <v>#VALUE!</v>
      </c>
      <c r="AZ31" t="e">
        <f>'2.4.Функции'!AHD70+"BYw!}1"</f>
        <v>#VALUE!</v>
      </c>
      <c r="BA31" t="e">
        <f>'2.4.Функции'!AHE70+"BYw!}2"</f>
        <v>#VALUE!</v>
      </c>
      <c r="BB31" t="e">
        <f>'2.4.Функции'!AHF70+"BYw!}3"</f>
        <v>#VALUE!</v>
      </c>
      <c r="BC31" t="e">
        <f>'2.4.Функции'!AHG70+"BYw!}4"</f>
        <v>#VALUE!</v>
      </c>
      <c r="BD31" t="e">
        <f>'2.4.Функции'!AHH70+"BYw!}5"</f>
        <v>#VALUE!</v>
      </c>
      <c r="BE31" t="e">
        <f>'2.4.Функции'!AHI70+"BYw!}6"</f>
        <v>#VALUE!</v>
      </c>
      <c r="BF31" t="e">
        <f>'2.4.Функции'!AHJ70+"BYw!}7"</f>
        <v>#VALUE!</v>
      </c>
      <c r="BG31" t="e">
        <f>'2.4.Функции'!AHK70+"BYw!}8"</f>
        <v>#VALUE!</v>
      </c>
      <c r="BH31" t="e">
        <f>'2.4.Функции'!AHL70+"BYw!}9"</f>
        <v>#VALUE!</v>
      </c>
      <c r="BI31" t="e">
        <f>'2.4.Функции'!AHM70+"BYw!}:"</f>
        <v>#VALUE!</v>
      </c>
      <c r="BJ31" t="e">
        <f>'2.4.Функции'!AHN70+"BYw!};"</f>
        <v>#VALUE!</v>
      </c>
      <c r="BK31" t="e">
        <f>'2.4.Функции'!AHO70+"BYw!}&lt;"</f>
        <v>#VALUE!</v>
      </c>
      <c r="BL31" t="e">
        <f>'2.4.Функции'!AHP70+"BYw!}="</f>
        <v>#VALUE!</v>
      </c>
      <c r="BM31" t="e">
        <f>'2.4.Функции'!AHQ70+"BYw!}&gt;"</f>
        <v>#VALUE!</v>
      </c>
      <c r="BN31" t="e">
        <f>'2.4.Функции'!AHR70+"BYw!}?"</f>
        <v>#VALUE!</v>
      </c>
      <c r="BO31" t="e">
        <f>'2.4.Функции'!AHS70+"BYw!}@"</f>
        <v>#VALUE!</v>
      </c>
      <c r="BP31" t="e">
        <f>'2.4.Функции'!AHT70+"BYw!}A"</f>
        <v>#VALUE!</v>
      </c>
      <c r="BQ31" t="e">
        <f>'2.4.Функции'!AHU70+"BYw!}B"</f>
        <v>#VALUE!</v>
      </c>
      <c r="BR31" t="e">
        <f>'2.4.Функции'!AHV70+"BYw!}C"</f>
        <v>#VALUE!</v>
      </c>
      <c r="BS31" t="e">
        <f>'2.4.Функции'!AHW70+"BYw!}D"</f>
        <v>#VALUE!</v>
      </c>
      <c r="BT31" t="e">
        <f>'2.4.Функции'!AHX70+"BYw!}E"</f>
        <v>#VALUE!</v>
      </c>
      <c r="BU31" t="e">
        <f>'2.4.Функции'!AHY70+"BYw!}F"</f>
        <v>#VALUE!</v>
      </c>
      <c r="BV31" t="e">
        <f>'2.4.Функции'!AHZ70+"BYw!}G"</f>
        <v>#VALUE!</v>
      </c>
      <c r="BW31" t="e">
        <f>'2.4.Функции'!AIA70+"BYw!}H"</f>
        <v>#VALUE!</v>
      </c>
      <c r="BX31" t="e">
        <f>'2.4.Функции'!AIB70+"BYw!}I"</f>
        <v>#VALUE!</v>
      </c>
      <c r="BY31" t="e">
        <f>'2.4.Функции'!AIC70+"BYw!}J"</f>
        <v>#VALUE!</v>
      </c>
      <c r="BZ31" t="e">
        <f>'2.4.Функции'!AID70+"BYw!}K"</f>
        <v>#VALUE!</v>
      </c>
      <c r="CA31" t="e">
        <f>'2.4.Функции'!AIE70+"BYw!}L"</f>
        <v>#VALUE!</v>
      </c>
      <c r="CB31" t="e">
        <f>'2.4.Функции'!AIF70+"BYw!}M"</f>
        <v>#VALUE!</v>
      </c>
      <c r="CC31" t="e">
        <f>'2.4.Функции'!AIG70+"BYw!}N"</f>
        <v>#VALUE!</v>
      </c>
      <c r="CD31" t="e">
        <f>'2.4.Функции'!AIH70+"BYw!}O"</f>
        <v>#VALUE!</v>
      </c>
      <c r="CE31" t="e">
        <f>'2.4.Функции'!A71+"BYw!}P"</f>
        <v>#VALUE!</v>
      </c>
      <c r="CF31" s="116" t="e">
        <f>'2.4.Функции'!B71+"BYw!}Q"</f>
        <v>#VALUE!</v>
      </c>
      <c r="CG31" t="e">
        <f>'2.4.Функции'!C71+"BYw!}R"</f>
        <v>#VALUE!</v>
      </c>
      <c r="CH31" s="119" t="e">
        <f>'2.4.Функции'!D71+"BYw!}S"</f>
        <v>#VALUE!</v>
      </c>
      <c r="CI31" s="119" t="e">
        <f>'2.4.Функции'!E71+"BYw!}T"</f>
        <v>#VALUE!</v>
      </c>
      <c r="CJ31" s="119" t="e">
        <f>'2.4.Функции'!F71+"BYw!}U"</f>
        <v>#VALUE!</v>
      </c>
      <c r="CK31" s="119" t="e">
        <f>'2.4.Функции'!G71+"BYw!}V"</f>
        <v>#VALUE!</v>
      </c>
      <c r="CL31" s="119" t="e">
        <f>'2.4.Функции'!H71+"BYw!}W"</f>
        <v>#VALUE!</v>
      </c>
      <c r="CM31" s="119" t="e">
        <f>'2.4.Функции'!I71+"BYw!}X"</f>
        <v>#VALUE!</v>
      </c>
      <c r="CN31" s="119" t="e">
        <f>'2.4.Функции'!J71+"BYw!}Y"</f>
        <v>#VALUE!</v>
      </c>
      <c r="CO31" s="119" t="e">
        <f>'2.4.Функции'!K71+"BYw!}Z"</f>
        <v>#VALUE!</v>
      </c>
      <c r="CP31" t="e">
        <f>'2.4.Функции'!L71+"BYw!}["</f>
        <v>#VALUE!</v>
      </c>
      <c r="CQ31" t="e">
        <f>'2.4.Функции'!M71+"BYw!}\"</f>
        <v>#VALUE!</v>
      </c>
      <c r="CR31" t="e">
        <f>'2.4.Функции'!N71+"BYw!}]"</f>
        <v>#VALUE!</v>
      </c>
      <c r="CS31" t="e">
        <f>'2.4.Функции'!O71+"BYw!}^"</f>
        <v>#VALUE!</v>
      </c>
      <c r="CT31" t="e">
        <f>'2.4.Функции'!P71+"BYw!}_"</f>
        <v>#VALUE!</v>
      </c>
      <c r="CU31" t="e">
        <f>'2.4.Функции'!Q71+"BYw!}`"</f>
        <v>#VALUE!</v>
      </c>
      <c r="CV31" t="e">
        <f>'2.4.Функции'!R71+"BYw!}a"</f>
        <v>#VALUE!</v>
      </c>
      <c r="CW31" t="e">
        <f>'2.4.Функции'!S71+"BYw!}b"</f>
        <v>#VALUE!</v>
      </c>
      <c r="CX31" t="e">
        <f>'2.4.Функции'!T71+"BYw!}c"</f>
        <v>#VALUE!</v>
      </c>
      <c r="CY31" t="e">
        <f>'2.4.Функции'!U71+"BYw!}d"</f>
        <v>#VALUE!</v>
      </c>
      <c r="CZ31" t="e">
        <f>'2.4.Функции'!V71+"BYw!}e"</f>
        <v>#VALUE!</v>
      </c>
      <c r="DA31" t="e">
        <f>'2.4.Функции'!W71+"BYw!}f"</f>
        <v>#VALUE!</v>
      </c>
      <c r="DB31" t="e">
        <f>'2.4.Функции'!X71+"BYw!}g"</f>
        <v>#VALUE!</v>
      </c>
      <c r="DC31" t="e">
        <f>'2.4.Функции'!Y71+"BYw!}h"</f>
        <v>#VALUE!</v>
      </c>
      <c r="DD31" t="e">
        <f>'2.4.Функции'!Z71+"BYw!}i"</f>
        <v>#VALUE!</v>
      </c>
      <c r="DE31" t="e">
        <f>'2.4.Функции'!AA71+"BYw!}j"</f>
        <v>#VALUE!</v>
      </c>
      <c r="DF31" t="e">
        <f>'2.4.Функции'!AB71+"BYw!}k"</f>
        <v>#VALUE!</v>
      </c>
      <c r="DG31" t="e">
        <f>'2.4.Функции'!AC71+"BYw!}l"</f>
        <v>#VALUE!</v>
      </c>
      <c r="DH31" t="e">
        <f>'2.4.Функции'!AD71+"BYw!}m"</f>
        <v>#VALUE!</v>
      </c>
      <c r="DI31" t="e">
        <f>'2.4.Функции'!AE71+"BYw!}n"</f>
        <v>#VALUE!</v>
      </c>
      <c r="DJ31" t="e">
        <f>'2.4.Функции'!AF71+"BYw!}o"</f>
        <v>#VALUE!</v>
      </c>
      <c r="DK31" t="e">
        <f>'2.4.Функции'!AG71+"BYw!}p"</f>
        <v>#VALUE!</v>
      </c>
      <c r="DL31" t="e">
        <f>'2.4.Функции'!AH71+"BYw!}q"</f>
        <v>#VALUE!</v>
      </c>
      <c r="DM31" t="e">
        <f>'2.4.Функции'!AI71+"BYw!}r"</f>
        <v>#VALUE!</v>
      </c>
      <c r="DN31" t="e">
        <f>'2.4.Функции'!AJ71+"BYw!}s"</f>
        <v>#VALUE!</v>
      </c>
      <c r="DO31" t="e">
        <f>'2.4.Функции'!AK71+"BYw!}t"</f>
        <v>#VALUE!</v>
      </c>
      <c r="DP31" t="e">
        <f>'2.4.Функции'!AL71+"BYw!}u"</f>
        <v>#VALUE!</v>
      </c>
      <c r="DQ31" t="e">
        <f>'2.4.Функции'!AM71+"BYw!}v"</f>
        <v>#VALUE!</v>
      </c>
      <c r="DR31" t="e">
        <f>'2.4.Функции'!AN71+"BYw!}w"</f>
        <v>#VALUE!</v>
      </c>
      <c r="DS31" t="e">
        <f>'2.4.Функции'!AO71+"BYw!}x"</f>
        <v>#VALUE!</v>
      </c>
      <c r="DT31" t="e">
        <f>'2.4.Функции'!AP71+"BYw!}y"</f>
        <v>#VALUE!</v>
      </c>
      <c r="DU31" t="e">
        <f>'2.4.Функции'!AQ71+"BYw!}z"</f>
        <v>#VALUE!</v>
      </c>
      <c r="DV31" t="e">
        <f>'2.4.Функции'!AR71+"BYw!}{"</f>
        <v>#VALUE!</v>
      </c>
      <c r="DW31" t="e">
        <f>'2.4.Функции'!AS71+"BYw!}|"</f>
        <v>#VALUE!</v>
      </c>
      <c r="DX31" t="e">
        <f>'2.4.Функции'!AT71+"BYw!}}"</f>
        <v>#VALUE!</v>
      </c>
      <c r="DY31" t="e">
        <f>'2.4.Функции'!AU71+"BYw!}~"</f>
        <v>#VALUE!</v>
      </c>
      <c r="DZ31" t="e">
        <f>'2.4.Функции'!AV71+"BYw!~#"</f>
        <v>#VALUE!</v>
      </c>
      <c r="EA31" t="e">
        <f>'2.4.Функции'!AW71+"BYw!~$"</f>
        <v>#VALUE!</v>
      </c>
      <c r="EB31" t="e">
        <f>'2.4.Функции'!AX71+"BYw!~%"</f>
        <v>#VALUE!</v>
      </c>
      <c r="EC31" t="e">
        <f>'2.4.Функции'!AY71+"BYw!~&amp;"</f>
        <v>#VALUE!</v>
      </c>
      <c r="ED31" t="e">
        <f>'2.4.Функции'!AZ71+"BYw!~'"</f>
        <v>#VALUE!</v>
      </c>
      <c r="EE31" t="e">
        <f>'2.4.Функции'!BA71+"BYw!~("</f>
        <v>#VALUE!</v>
      </c>
      <c r="EF31" t="e">
        <f>'2.4.Функции'!BB71+"BYw!~)"</f>
        <v>#VALUE!</v>
      </c>
      <c r="EG31" t="e">
        <f>'2.4.Функции'!BC71+"BYw!~."</f>
        <v>#VALUE!</v>
      </c>
      <c r="EH31" t="e">
        <f>'2.4.Функции'!BD71+"BYw!~/"</f>
        <v>#VALUE!</v>
      </c>
      <c r="EI31" t="e">
        <f>'2.4.Функции'!BE71+"BYw!~0"</f>
        <v>#VALUE!</v>
      </c>
      <c r="EJ31" t="e">
        <f>'2.4.Функции'!BF71+"BYw!~1"</f>
        <v>#VALUE!</v>
      </c>
      <c r="EK31" t="e">
        <f>'2.4.Функции'!BG71+"BYw!~2"</f>
        <v>#VALUE!</v>
      </c>
      <c r="EL31" t="e">
        <f>'2.4.Функции'!BH71+"BYw!~3"</f>
        <v>#VALUE!</v>
      </c>
      <c r="EM31" t="e">
        <f>'2.4.Функции'!BI71+"BYw!~4"</f>
        <v>#VALUE!</v>
      </c>
      <c r="EN31" t="e">
        <f>'2.4.Функции'!BJ71+"BYw!~5"</f>
        <v>#VALUE!</v>
      </c>
      <c r="EO31" t="e">
        <f>'2.4.Функции'!BK71+"BYw!~6"</f>
        <v>#VALUE!</v>
      </c>
      <c r="EP31" t="e">
        <f>'2.4.Функции'!BL71+"BYw!~7"</f>
        <v>#VALUE!</v>
      </c>
      <c r="EQ31" t="e">
        <f>'2.4.Функции'!BM71+"BYw!~8"</f>
        <v>#VALUE!</v>
      </c>
      <c r="ER31" t="e">
        <f>'2.4.Функции'!BN71+"BYw!~9"</f>
        <v>#VALUE!</v>
      </c>
      <c r="ES31" t="e">
        <f>'2.4.Функции'!BO71+"BYw!~:"</f>
        <v>#VALUE!</v>
      </c>
      <c r="ET31" t="e">
        <f>'2.4.Функции'!BP71+"BYw!~;"</f>
        <v>#VALUE!</v>
      </c>
      <c r="EU31" t="e">
        <f>'2.4.Функции'!BQ71+"BYw!~&lt;"</f>
        <v>#VALUE!</v>
      </c>
      <c r="EV31" t="e">
        <f>'2.4.Функции'!BR71+"BYw!~="</f>
        <v>#VALUE!</v>
      </c>
      <c r="EW31" t="e">
        <f>'2.4.Функции'!BS71+"BYw!~&gt;"</f>
        <v>#VALUE!</v>
      </c>
      <c r="EX31" t="e">
        <f>'2.4.Функции'!BT71+"BYw!~?"</f>
        <v>#VALUE!</v>
      </c>
      <c r="EY31" t="e">
        <f>'2.4.Функции'!BU71+"BYw!~@"</f>
        <v>#VALUE!</v>
      </c>
      <c r="EZ31" t="e">
        <f>'2.4.Функции'!BV71+"BYw!~A"</f>
        <v>#VALUE!</v>
      </c>
      <c r="FA31" t="e">
        <f>'2.4.Функции'!BW71+"BYw!~B"</f>
        <v>#VALUE!</v>
      </c>
      <c r="FB31" t="e">
        <f>'2.4.Функции'!BX71+"BYw!~C"</f>
        <v>#VALUE!</v>
      </c>
      <c r="FC31" t="e">
        <f>'2.4.Функции'!BY71+"BYw!~D"</f>
        <v>#VALUE!</v>
      </c>
      <c r="FD31" t="e">
        <f>'2.4.Функции'!BZ71+"BYw!~E"</f>
        <v>#VALUE!</v>
      </c>
      <c r="FE31" t="e">
        <f>'2.4.Функции'!CA71+"BYw!~F"</f>
        <v>#VALUE!</v>
      </c>
      <c r="FF31" t="e">
        <f>'2.4.Функции'!CB71+"BYw!~G"</f>
        <v>#VALUE!</v>
      </c>
      <c r="FG31" t="e">
        <f>'2.4.Функции'!CC71+"BYw!~H"</f>
        <v>#VALUE!</v>
      </c>
      <c r="FH31" t="e">
        <f>'2.4.Функции'!CD71+"BYw!~I"</f>
        <v>#VALUE!</v>
      </c>
      <c r="FI31" t="e">
        <f>'2.4.Функции'!CE71+"BYw!~J"</f>
        <v>#VALUE!</v>
      </c>
      <c r="FJ31" t="e">
        <f>'2.4.Функции'!CF71+"BYw!~K"</f>
        <v>#VALUE!</v>
      </c>
      <c r="FK31" t="e">
        <f>'2.4.Функции'!CG71+"BYw!~L"</f>
        <v>#VALUE!</v>
      </c>
      <c r="FL31" t="e">
        <f>'2.4.Функции'!CH71+"BYw!~M"</f>
        <v>#VALUE!</v>
      </c>
      <c r="FM31" t="e">
        <f>'2.4.Функции'!CI71+"BYw!~N"</f>
        <v>#VALUE!</v>
      </c>
      <c r="FN31" t="e">
        <f>'2.4.Функции'!CJ71+"BYw!~O"</f>
        <v>#VALUE!</v>
      </c>
      <c r="FO31" t="e">
        <f>'2.4.Функции'!CK71+"BYw!~P"</f>
        <v>#VALUE!</v>
      </c>
      <c r="FP31" t="e">
        <f>'2.4.Функции'!CL71+"BYw!~Q"</f>
        <v>#VALUE!</v>
      </c>
      <c r="FQ31" t="e">
        <f>'2.4.Функции'!CM71+"BYw!~R"</f>
        <v>#VALUE!</v>
      </c>
      <c r="FR31" t="e">
        <f>'2.4.Функции'!CN71+"BYw!~S"</f>
        <v>#VALUE!</v>
      </c>
      <c r="FS31" t="e">
        <f>'2.4.Функции'!CO71+"BYw!~T"</f>
        <v>#VALUE!</v>
      </c>
      <c r="FT31" t="e">
        <f>'2.4.Функции'!CP71+"BYw!~U"</f>
        <v>#VALUE!</v>
      </c>
      <c r="FU31" t="e">
        <f>'2.4.Функции'!CQ71+"BYw!~V"</f>
        <v>#VALUE!</v>
      </c>
      <c r="FV31" t="e">
        <f>'2.4.Функции'!CR71+"BYw!~W"</f>
        <v>#VALUE!</v>
      </c>
      <c r="FW31" t="e">
        <f>'2.4.Функции'!CS71+"BYw!~X"</f>
        <v>#VALUE!</v>
      </c>
      <c r="FX31" t="e">
        <f>'2.4.Функции'!CT71+"BYw!~Y"</f>
        <v>#VALUE!</v>
      </c>
      <c r="FY31" t="e">
        <f>'2.4.Функции'!CU71+"BYw!~Z"</f>
        <v>#VALUE!</v>
      </c>
      <c r="FZ31" t="e">
        <f>'2.4.Функции'!CV71+"BYw!~["</f>
        <v>#VALUE!</v>
      </c>
      <c r="GA31" t="e">
        <f>'2.4.Функции'!CW71+"BYw!~\"</f>
        <v>#VALUE!</v>
      </c>
      <c r="GB31" t="e">
        <f>'2.4.Функции'!CX71+"BYw!~]"</f>
        <v>#VALUE!</v>
      </c>
      <c r="GC31" t="e">
        <f>'2.4.Функции'!CY71+"BYw!~^"</f>
        <v>#VALUE!</v>
      </c>
      <c r="GD31" t="e">
        <f>'2.4.Функции'!CZ71+"BYw!~_"</f>
        <v>#VALUE!</v>
      </c>
      <c r="GE31" t="e">
        <f>'2.4.Функции'!DA71+"BYw!~`"</f>
        <v>#VALUE!</v>
      </c>
      <c r="GF31" t="e">
        <f>'2.4.Функции'!DB71+"BYw!~a"</f>
        <v>#VALUE!</v>
      </c>
      <c r="GG31" t="e">
        <f>'2.4.Функции'!DC71+"BYw!~b"</f>
        <v>#VALUE!</v>
      </c>
      <c r="GH31" t="e">
        <f>'2.4.Функции'!DD71+"BYw!~c"</f>
        <v>#VALUE!</v>
      </c>
      <c r="GI31" t="e">
        <f>'2.4.Функции'!DE71+"BYw!~d"</f>
        <v>#VALUE!</v>
      </c>
      <c r="GJ31" t="e">
        <f>'2.4.Функции'!DF71+"BYw!~e"</f>
        <v>#VALUE!</v>
      </c>
      <c r="GK31" t="e">
        <f>'2.4.Функции'!DG71+"BYw!~f"</f>
        <v>#VALUE!</v>
      </c>
      <c r="GL31" t="e">
        <f>'2.4.Функции'!DH71+"BYw!~g"</f>
        <v>#VALUE!</v>
      </c>
      <c r="GM31" t="e">
        <f>'2.4.Функции'!DI71+"BYw!~h"</f>
        <v>#VALUE!</v>
      </c>
      <c r="GN31" t="e">
        <f>'2.4.Функции'!DJ71+"BYw!~i"</f>
        <v>#VALUE!</v>
      </c>
      <c r="GO31" t="e">
        <f>'2.4.Функции'!DK71+"BYw!~j"</f>
        <v>#VALUE!</v>
      </c>
      <c r="GP31" t="e">
        <f>'2.4.Функции'!DL71+"BYw!~k"</f>
        <v>#VALUE!</v>
      </c>
      <c r="GQ31" t="e">
        <f>'2.4.Функции'!DM71+"BYw!~l"</f>
        <v>#VALUE!</v>
      </c>
      <c r="GR31" t="e">
        <f>'2.4.Функции'!DN71+"BYw!~m"</f>
        <v>#VALUE!</v>
      </c>
      <c r="GS31" t="e">
        <f>'2.4.Функции'!DO71+"BYw!~n"</f>
        <v>#VALUE!</v>
      </c>
      <c r="GT31" t="e">
        <f>'2.4.Функции'!DP71+"BYw!~o"</f>
        <v>#VALUE!</v>
      </c>
      <c r="GU31" t="e">
        <f>'2.4.Функции'!DQ71+"BYw!~p"</f>
        <v>#VALUE!</v>
      </c>
      <c r="GV31" t="e">
        <f>'2.4.Функции'!DR71+"BYw!~q"</f>
        <v>#VALUE!</v>
      </c>
      <c r="GW31" t="e">
        <f>'2.4.Функции'!DS71+"BYw!~r"</f>
        <v>#VALUE!</v>
      </c>
      <c r="GX31" t="e">
        <f>'2.4.Функции'!DT71+"BYw!~s"</f>
        <v>#VALUE!</v>
      </c>
      <c r="GY31" t="e">
        <f>'2.4.Функции'!DU71+"BYw!~t"</f>
        <v>#VALUE!</v>
      </c>
      <c r="GZ31" t="e">
        <f>'2.4.Функции'!DV71+"BYw!~u"</f>
        <v>#VALUE!</v>
      </c>
      <c r="HA31" t="e">
        <f>'2.4.Функции'!DW71+"BYw!~v"</f>
        <v>#VALUE!</v>
      </c>
      <c r="HB31" t="e">
        <f>'2.4.Функции'!DX71+"BYw!~w"</f>
        <v>#VALUE!</v>
      </c>
      <c r="HC31" t="e">
        <f>'2.4.Функции'!DY71+"BYw!~x"</f>
        <v>#VALUE!</v>
      </c>
      <c r="HD31" t="e">
        <f>'2.4.Функции'!DZ71+"BYw!~y"</f>
        <v>#VALUE!</v>
      </c>
      <c r="HE31" t="e">
        <f>'2.4.Функции'!EA71+"BYw!~z"</f>
        <v>#VALUE!</v>
      </c>
      <c r="HF31" t="e">
        <f>'2.4.Функции'!EB71+"BYw!~{"</f>
        <v>#VALUE!</v>
      </c>
      <c r="HG31" t="e">
        <f>'2.4.Функции'!EC71+"BYw!~|"</f>
        <v>#VALUE!</v>
      </c>
      <c r="HH31" t="e">
        <f>'2.4.Функции'!ED71+"BYw!~}"</f>
        <v>#VALUE!</v>
      </c>
      <c r="HI31" t="e">
        <f>'2.4.Функции'!EE71+"BYw!~~"</f>
        <v>#VALUE!</v>
      </c>
      <c r="HJ31" t="e">
        <f>'2.4.Функции'!EF71+"BYw!$##"</f>
        <v>#VALUE!</v>
      </c>
      <c r="HK31" t="e">
        <f>'2.4.Функции'!EG71+"BYw!$#$"</f>
        <v>#VALUE!</v>
      </c>
      <c r="HL31" t="e">
        <f>'2.4.Функции'!EH71+"BYw!$#%"</f>
        <v>#VALUE!</v>
      </c>
      <c r="HM31" t="e">
        <f>'2.4.Функции'!EI71+"BYw!$#&amp;"</f>
        <v>#VALUE!</v>
      </c>
      <c r="HN31" t="e">
        <f>'2.4.Функции'!EJ71+"BYw!$#'"</f>
        <v>#VALUE!</v>
      </c>
      <c r="HO31" t="e">
        <f>'2.4.Функции'!EK71+"BYw!$#("</f>
        <v>#VALUE!</v>
      </c>
      <c r="HP31" t="e">
        <f>'2.4.Функции'!EL71+"BYw!$#)"</f>
        <v>#VALUE!</v>
      </c>
      <c r="HQ31" t="e">
        <f>'2.4.Функции'!EM71+"BYw!$#."</f>
        <v>#VALUE!</v>
      </c>
      <c r="HR31" t="e">
        <f>'2.4.Функции'!EN71+"BYw!$#/"</f>
        <v>#VALUE!</v>
      </c>
      <c r="HS31" t="e">
        <f>'2.4.Функции'!EO71+"BYw!$#0"</f>
        <v>#VALUE!</v>
      </c>
      <c r="HT31" t="e">
        <f>'2.4.Функции'!EP71+"BYw!$#1"</f>
        <v>#VALUE!</v>
      </c>
      <c r="HU31" t="e">
        <f>'2.4.Функции'!EQ71+"BYw!$#2"</f>
        <v>#VALUE!</v>
      </c>
      <c r="HV31" t="e">
        <f>'2.4.Функции'!ER71+"BYw!$#3"</f>
        <v>#VALUE!</v>
      </c>
      <c r="HW31" t="e">
        <f>'2.4.Функции'!ES71+"BYw!$#4"</f>
        <v>#VALUE!</v>
      </c>
      <c r="HX31" t="e">
        <f>'2.4.Функции'!ET71+"BYw!$#5"</f>
        <v>#VALUE!</v>
      </c>
      <c r="HY31" t="e">
        <f>'2.4.Функции'!EU71+"BYw!$#6"</f>
        <v>#VALUE!</v>
      </c>
      <c r="HZ31" t="e">
        <f>'2.4.Функции'!EV71+"BYw!$#7"</f>
        <v>#VALUE!</v>
      </c>
      <c r="IA31" t="e">
        <f>'2.4.Функции'!EW71+"BYw!$#8"</f>
        <v>#VALUE!</v>
      </c>
      <c r="IB31" t="e">
        <f>'2.4.Функции'!EX71+"BYw!$#9"</f>
        <v>#VALUE!</v>
      </c>
      <c r="IC31" t="e">
        <f>'2.4.Функции'!EY71+"BYw!$#:"</f>
        <v>#VALUE!</v>
      </c>
      <c r="ID31" t="e">
        <f>'2.4.Функции'!EZ71+"BYw!$#;"</f>
        <v>#VALUE!</v>
      </c>
      <c r="IE31" t="e">
        <f>'2.4.Функции'!FA71+"BYw!$#&lt;"</f>
        <v>#VALUE!</v>
      </c>
      <c r="IF31" t="e">
        <f>'2.4.Функции'!FB71+"BYw!$#="</f>
        <v>#VALUE!</v>
      </c>
      <c r="IG31" t="e">
        <f>'2.4.Функции'!FC71+"BYw!$#&gt;"</f>
        <v>#VALUE!</v>
      </c>
      <c r="IH31" t="e">
        <f>'2.4.Функции'!FD71+"BYw!$#?"</f>
        <v>#VALUE!</v>
      </c>
      <c r="II31" t="e">
        <f>'2.4.Функции'!FE71+"BYw!$#@"</f>
        <v>#VALUE!</v>
      </c>
      <c r="IJ31" t="e">
        <f>'2.4.Функции'!FF71+"BYw!$#A"</f>
        <v>#VALUE!</v>
      </c>
      <c r="IK31" t="e">
        <f>'2.4.Функции'!FG71+"BYw!$#B"</f>
        <v>#VALUE!</v>
      </c>
      <c r="IL31" t="e">
        <f>'2.4.Функции'!FH71+"BYw!$#C"</f>
        <v>#VALUE!</v>
      </c>
      <c r="IM31" t="e">
        <f>'2.4.Функции'!FI71+"BYw!$#D"</f>
        <v>#VALUE!</v>
      </c>
      <c r="IN31" t="e">
        <f>'2.4.Функции'!FJ71+"BYw!$#E"</f>
        <v>#VALUE!</v>
      </c>
      <c r="IO31" t="e">
        <f>'2.4.Функции'!FK71+"BYw!$#F"</f>
        <v>#VALUE!</v>
      </c>
      <c r="IP31" t="e">
        <f>'2.4.Функции'!FL71+"BYw!$#G"</f>
        <v>#VALUE!</v>
      </c>
      <c r="IQ31" t="e">
        <f>'2.4.Функции'!FM71+"BYw!$#H"</f>
        <v>#VALUE!</v>
      </c>
      <c r="IR31" t="e">
        <f>'2.4.Функции'!FN71+"BYw!$#I"</f>
        <v>#VALUE!</v>
      </c>
      <c r="IS31" t="e">
        <f>'2.4.Функции'!FO71+"BYw!$#J"</f>
        <v>#VALUE!</v>
      </c>
      <c r="IT31" t="e">
        <f>'2.4.Функции'!FP71+"BYw!$#K"</f>
        <v>#VALUE!</v>
      </c>
      <c r="IU31" t="e">
        <f>'2.4.Функции'!FQ71+"BYw!$#L"</f>
        <v>#VALUE!</v>
      </c>
      <c r="IV31" t="e">
        <f>'2.4.Функции'!FR71+"BYw!$#M"</f>
        <v>#VALUE!</v>
      </c>
    </row>
    <row r="32" spans="6:256" x14ac:dyDescent="0.2">
      <c r="F32" t="e">
        <f>'2.4.Функции'!FS71+"BYw!$#N"</f>
        <v>#VALUE!</v>
      </c>
      <c r="G32" t="e">
        <f>'2.4.Функции'!FT71+"BYw!$#O"</f>
        <v>#VALUE!</v>
      </c>
      <c r="H32" t="e">
        <f>'2.4.Функции'!FU71+"BYw!$#P"</f>
        <v>#VALUE!</v>
      </c>
      <c r="I32" t="e">
        <f>'2.4.Функции'!FV71+"BYw!$#Q"</f>
        <v>#VALUE!</v>
      </c>
      <c r="J32" t="e">
        <f>'2.4.Функции'!FW71+"BYw!$#R"</f>
        <v>#VALUE!</v>
      </c>
      <c r="K32" t="e">
        <f>'2.4.Функции'!FX71+"BYw!$#S"</f>
        <v>#VALUE!</v>
      </c>
      <c r="L32" t="e">
        <f>'2.4.Функции'!FY71+"BYw!$#T"</f>
        <v>#VALUE!</v>
      </c>
      <c r="M32" t="e">
        <f>'2.4.Функции'!FZ71+"BYw!$#U"</f>
        <v>#VALUE!</v>
      </c>
      <c r="N32" t="e">
        <f>'2.4.Функции'!GA71+"BYw!$#V"</f>
        <v>#VALUE!</v>
      </c>
      <c r="O32" t="e">
        <f>'2.4.Функции'!GB71+"BYw!$#W"</f>
        <v>#VALUE!</v>
      </c>
      <c r="P32" t="e">
        <f>'2.4.Функции'!GC71+"BYw!$#X"</f>
        <v>#VALUE!</v>
      </c>
      <c r="Q32" t="e">
        <f>'2.4.Функции'!GD71+"BYw!$#Y"</f>
        <v>#VALUE!</v>
      </c>
      <c r="R32" t="e">
        <f>'2.4.Функции'!GE71+"BYw!$#Z"</f>
        <v>#VALUE!</v>
      </c>
      <c r="S32" t="e">
        <f>'2.4.Функции'!GF71+"BYw!$#["</f>
        <v>#VALUE!</v>
      </c>
      <c r="T32" t="e">
        <f>'2.4.Функции'!GG71+"BYw!$#\"</f>
        <v>#VALUE!</v>
      </c>
      <c r="U32" t="e">
        <f>'2.4.Функции'!GH71+"BYw!$#]"</f>
        <v>#VALUE!</v>
      </c>
      <c r="V32" t="e">
        <f>'2.4.Функции'!GI71+"BYw!$#^"</f>
        <v>#VALUE!</v>
      </c>
      <c r="W32" t="e">
        <f>'2.4.Функции'!GJ71+"BYw!$#_"</f>
        <v>#VALUE!</v>
      </c>
      <c r="X32" t="e">
        <f>'2.4.Функции'!GK71+"BYw!$#`"</f>
        <v>#VALUE!</v>
      </c>
      <c r="Y32" t="e">
        <f>'2.4.Функции'!GL71+"BYw!$#a"</f>
        <v>#VALUE!</v>
      </c>
      <c r="Z32" t="e">
        <f>'2.4.Функции'!GM71+"BYw!$#b"</f>
        <v>#VALUE!</v>
      </c>
      <c r="AA32" t="e">
        <f>'2.4.Функции'!GN71+"BYw!$#c"</f>
        <v>#VALUE!</v>
      </c>
      <c r="AB32" t="e">
        <f>'2.4.Функции'!GO71+"BYw!$#d"</f>
        <v>#VALUE!</v>
      </c>
      <c r="AC32" t="e">
        <f>'2.4.Функции'!GP71+"BYw!$#e"</f>
        <v>#VALUE!</v>
      </c>
      <c r="AD32" t="e">
        <f>'2.4.Функции'!GQ71+"BYw!$#f"</f>
        <v>#VALUE!</v>
      </c>
      <c r="AE32" t="e">
        <f>'2.4.Функции'!GR71+"BYw!$#g"</f>
        <v>#VALUE!</v>
      </c>
      <c r="AF32" t="e">
        <f>'2.4.Функции'!GS71+"BYw!$#h"</f>
        <v>#VALUE!</v>
      </c>
      <c r="AG32" t="e">
        <f>'2.4.Функции'!GT71+"BYw!$#i"</f>
        <v>#VALUE!</v>
      </c>
      <c r="AH32" t="e">
        <f>'2.4.Функции'!GU71+"BYw!$#j"</f>
        <v>#VALUE!</v>
      </c>
      <c r="AI32" t="e">
        <f>'2.4.Функции'!GV71+"BYw!$#k"</f>
        <v>#VALUE!</v>
      </c>
      <c r="AJ32" t="e">
        <f>'2.4.Функции'!GW71+"BYw!$#l"</f>
        <v>#VALUE!</v>
      </c>
      <c r="AK32" t="e">
        <f>'2.4.Функции'!GX71+"BYw!$#m"</f>
        <v>#VALUE!</v>
      </c>
      <c r="AL32" t="e">
        <f>'2.4.Функции'!GY71+"BYw!$#n"</f>
        <v>#VALUE!</v>
      </c>
      <c r="AM32" t="e">
        <f>'2.4.Функции'!GZ71+"BYw!$#o"</f>
        <v>#VALUE!</v>
      </c>
      <c r="AN32" t="e">
        <f>'2.4.Функции'!HA71+"BYw!$#p"</f>
        <v>#VALUE!</v>
      </c>
      <c r="AO32" t="e">
        <f>'2.4.Функции'!HB71+"BYw!$#q"</f>
        <v>#VALUE!</v>
      </c>
      <c r="AP32" t="e">
        <f>'2.4.Функции'!HC71+"BYw!$#r"</f>
        <v>#VALUE!</v>
      </c>
      <c r="AQ32" t="e">
        <f>'2.4.Функции'!HD71+"BYw!$#s"</f>
        <v>#VALUE!</v>
      </c>
      <c r="AR32" t="e">
        <f>'2.4.Функции'!HE71+"BYw!$#t"</f>
        <v>#VALUE!</v>
      </c>
      <c r="AS32" t="e">
        <f>'2.4.Функции'!HF71+"BYw!$#u"</f>
        <v>#VALUE!</v>
      </c>
      <c r="AT32" t="e">
        <f>'2.4.Функции'!HG71+"BYw!$#v"</f>
        <v>#VALUE!</v>
      </c>
      <c r="AU32" t="e">
        <f>'2.4.Функции'!HH71+"BYw!$#w"</f>
        <v>#VALUE!</v>
      </c>
      <c r="AV32" t="e">
        <f>'2.4.Функции'!HI71+"BYw!$#x"</f>
        <v>#VALUE!</v>
      </c>
      <c r="AW32" t="e">
        <f>'2.4.Функции'!HJ71+"BYw!$#y"</f>
        <v>#VALUE!</v>
      </c>
      <c r="AX32" t="e">
        <f>'2.4.Функции'!HK71+"BYw!$#z"</f>
        <v>#VALUE!</v>
      </c>
      <c r="AY32" t="e">
        <f>'2.4.Функции'!HL71+"BYw!$#{"</f>
        <v>#VALUE!</v>
      </c>
      <c r="AZ32" t="e">
        <f>'2.4.Функции'!HM71+"BYw!$#|"</f>
        <v>#VALUE!</v>
      </c>
      <c r="BA32" t="e">
        <f>'2.4.Функции'!HN71+"BYw!$#}"</f>
        <v>#VALUE!</v>
      </c>
      <c r="BB32" t="e">
        <f>'2.4.Функции'!HO71+"BYw!$#~"</f>
        <v>#VALUE!</v>
      </c>
      <c r="BC32" t="e">
        <f>'2.4.Функции'!HP71+"BYw!$$#"</f>
        <v>#VALUE!</v>
      </c>
      <c r="BD32" t="e">
        <f>'2.4.Функции'!HQ71+"BYw!$$$"</f>
        <v>#VALUE!</v>
      </c>
      <c r="BE32" t="e">
        <f>'2.4.Функции'!HR71+"BYw!$$%"</f>
        <v>#VALUE!</v>
      </c>
      <c r="BF32" t="e">
        <f>'2.4.Функции'!HS71+"BYw!$$&amp;"</f>
        <v>#VALUE!</v>
      </c>
      <c r="BG32" t="e">
        <f>'2.4.Функции'!HT71+"BYw!$$'"</f>
        <v>#VALUE!</v>
      </c>
      <c r="BH32" t="e">
        <f>'2.4.Функции'!HU71+"BYw!$$("</f>
        <v>#VALUE!</v>
      </c>
      <c r="BI32" t="e">
        <f>'2.4.Функции'!HV71+"BYw!$$)"</f>
        <v>#VALUE!</v>
      </c>
      <c r="BJ32" t="e">
        <f>'2.4.Функции'!HW71+"BYw!$$."</f>
        <v>#VALUE!</v>
      </c>
      <c r="BK32" t="e">
        <f>'2.4.Функции'!HX71+"BYw!$$/"</f>
        <v>#VALUE!</v>
      </c>
      <c r="BL32" t="e">
        <f>'2.4.Функции'!HY71+"BYw!$$0"</f>
        <v>#VALUE!</v>
      </c>
      <c r="BM32" t="e">
        <f>'2.4.Функции'!HZ71+"BYw!$$1"</f>
        <v>#VALUE!</v>
      </c>
      <c r="BN32" t="e">
        <f>'2.4.Функции'!IA71+"BYw!$$2"</f>
        <v>#VALUE!</v>
      </c>
      <c r="BO32" t="e">
        <f>'2.4.Функции'!IB71+"BYw!$$3"</f>
        <v>#VALUE!</v>
      </c>
      <c r="BP32" t="e">
        <f>'2.4.Функции'!IC71+"BYw!$$4"</f>
        <v>#VALUE!</v>
      </c>
      <c r="BQ32" t="e">
        <f>'2.4.Функции'!ID71+"BYw!$$5"</f>
        <v>#VALUE!</v>
      </c>
      <c r="BR32" t="e">
        <f>'2.4.Функции'!IE71+"BYw!$$6"</f>
        <v>#VALUE!</v>
      </c>
      <c r="BS32" t="e">
        <f>'2.4.Функции'!IF71+"BYw!$$7"</f>
        <v>#VALUE!</v>
      </c>
      <c r="BT32" t="e">
        <f>'2.4.Функции'!IG71+"BYw!$$8"</f>
        <v>#VALUE!</v>
      </c>
      <c r="BU32" t="e">
        <f>'2.4.Функции'!IH71+"BYw!$$9"</f>
        <v>#VALUE!</v>
      </c>
      <c r="BV32" t="e">
        <f>'2.4.Функции'!II71+"BYw!$$:"</f>
        <v>#VALUE!</v>
      </c>
      <c r="BW32" t="e">
        <f>'2.4.Функции'!IJ71+"BYw!$$;"</f>
        <v>#VALUE!</v>
      </c>
      <c r="BX32" t="e">
        <f>'2.4.Функции'!IK71+"BYw!$$&lt;"</f>
        <v>#VALUE!</v>
      </c>
      <c r="BY32" t="e">
        <f>'2.4.Функции'!IL71+"BYw!$$="</f>
        <v>#VALUE!</v>
      </c>
      <c r="BZ32" t="e">
        <f>'2.4.Функции'!IM71+"BYw!$$&gt;"</f>
        <v>#VALUE!</v>
      </c>
      <c r="CA32" t="e">
        <f>'2.4.Функции'!IN71+"BYw!$$?"</f>
        <v>#VALUE!</v>
      </c>
      <c r="CB32" t="e">
        <f>'2.4.Функции'!IO71+"BYw!$$@"</f>
        <v>#VALUE!</v>
      </c>
      <c r="CC32" t="e">
        <f>'2.4.Функции'!IP71+"BYw!$$A"</f>
        <v>#VALUE!</v>
      </c>
      <c r="CD32" t="e">
        <f>'2.4.Функции'!IQ71+"BYw!$$B"</f>
        <v>#VALUE!</v>
      </c>
      <c r="CE32" t="e">
        <f>'2.4.Функции'!IR71+"BYw!$$C"</f>
        <v>#VALUE!</v>
      </c>
      <c r="CF32" t="e">
        <f>'2.4.Функции'!IS71+"BYw!$$D"</f>
        <v>#VALUE!</v>
      </c>
      <c r="CG32" t="e">
        <f>'2.4.Функции'!IT71+"BYw!$$E"</f>
        <v>#VALUE!</v>
      </c>
      <c r="CH32" t="e">
        <f>'2.4.Функции'!IU71+"BYw!$$F"</f>
        <v>#VALUE!</v>
      </c>
      <c r="CI32" t="e">
        <f>'2.4.Функции'!IV71+"BYw!$$G"</f>
        <v>#VALUE!</v>
      </c>
      <c r="CJ32" t="e">
        <f>'2.4.Функции'!IW71+"BYw!$$H"</f>
        <v>#VALUE!</v>
      </c>
      <c r="CK32" t="e">
        <f>'2.4.Функции'!IX71+"BYw!$$I"</f>
        <v>#VALUE!</v>
      </c>
      <c r="CL32" t="e">
        <f>'2.4.Функции'!IY71+"BYw!$$J"</f>
        <v>#VALUE!</v>
      </c>
      <c r="CM32" t="e">
        <f>'2.4.Функции'!IZ71+"BYw!$$K"</f>
        <v>#VALUE!</v>
      </c>
      <c r="CN32" t="e">
        <f>'2.4.Функции'!JA71+"BYw!$$L"</f>
        <v>#VALUE!</v>
      </c>
      <c r="CO32" t="e">
        <f>'2.4.Функции'!JB71+"BYw!$$M"</f>
        <v>#VALUE!</v>
      </c>
      <c r="CP32" t="e">
        <f>'2.4.Функции'!JC71+"BYw!$$N"</f>
        <v>#VALUE!</v>
      </c>
      <c r="CQ32" t="e">
        <f>'2.4.Функции'!JD71+"BYw!$$O"</f>
        <v>#VALUE!</v>
      </c>
      <c r="CR32" t="e">
        <f>'2.4.Функции'!JE71+"BYw!$$P"</f>
        <v>#VALUE!</v>
      </c>
      <c r="CS32" t="e">
        <f>'2.4.Функции'!JF71+"BYw!$$Q"</f>
        <v>#VALUE!</v>
      </c>
      <c r="CT32" t="e">
        <f>'2.4.Функции'!JG71+"BYw!$$R"</f>
        <v>#VALUE!</v>
      </c>
      <c r="CU32" t="e">
        <f>'2.4.Функции'!JH71+"BYw!$$S"</f>
        <v>#VALUE!</v>
      </c>
      <c r="CV32" t="e">
        <f>'2.4.Функции'!JI71+"BYw!$$T"</f>
        <v>#VALUE!</v>
      </c>
      <c r="CW32" t="e">
        <f>'2.4.Функции'!JJ71+"BYw!$$U"</f>
        <v>#VALUE!</v>
      </c>
      <c r="CX32" t="e">
        <f>'2.4.Функции'!JK71+"BYw!$$V"</f>
        <v>#VALUE!</v>
      </c>
      <c r="CY32" t="e">
        <f>'2.4.Функции'!JL71+"BYw!$$W"</f>
        <v>#VALUE!</v>
      </c>
      <c r="CZ32" t="e">
        <f>'2.4.Функции'!JM71+"BYw!$$X"</f>
        <v>#VALUE!</v>
      </c>
      <c r="DA32" t="e">
        <f>'2.4.Функции'!JN71+"BYw!$$Y"</f>
        <v>#VALUE!</v>
      </c>
      <c r="DB32" t="e">
        <f>'2.4.Функции'!JO71+"BYw!$$Z"</f>
        <v>#VALUE!</v>
      </c>
      <c r="DC32" t="e">
        <f>'2.4.Функции'!JP71+"BYw!$$["</f>
        <v>#VALUE!</v>
      </c>
      <c r="DD32" t="e">
        <f>'2.4.Функции'!JQ71+"BYw!$$\"</f>
        <v>#VALUE!</v>
      </c>
      <c r="DE32" t="e">
        <f>'2.4.Функции'!JR71+"BYw!$$]"</f>
        <v>#VALUE!</v>
      </c>
      <c r="DF32" t="e">
        <f>'2.4.Функции'!JS71+"BYw!$$^"</f>
        <v>#VALUE!</v>
      </c>
      <c r="DG32" t="e">
        <f>'2.4.Функции'!JT71+"BYw!$$_"</f>
        <v>#VALUE!</v>
      </c>
      <c r="DH32" t="e">
        <f>'2.4.Функции'!JU71+"BYw!$$`"</f>
        <v>#VALUE!</v>
      </c>
      <c r="DI32" t="e">
        <f>'2.4.Функции'!JV71+"BYw!$$a"</f>
        <v>#VALUE!</v>
      </c>
      <c r="DJ32" t="e">
        <f>'2.4.Функции'!JW71+"BYw!$$b"</f>
        <v>#VALUE!</v>
      </c>
      <c r="DK32" t="e">
        <f>'2.4.Функции'!JX71+"BYw!$$c"</f>
        <v>#VALUE!</v>
      </c>
      <c r="DL32" t="e">
        <f>'2.4.Функции'!JY71+"BYw!$$d"</f>
        <v>#VALUE!</v>
      </c>
      <c r="DM32" t="e">
        <f>'2.4.Функции'!JZ71+"BYw!$$e"</f>
        <v>#VALUE!</v>
      </c>
      <c r="DN32" t="e">
        <f>'2.4.Функции'!KA71+"BYw!$$f"</f>
        <v>#VALUE!</v>
      </c>
      <c r="DO32" t="e">
        <f>'2.4.Функции'!KB71+"BYw!$$g"</f>
        <v>#VALUE!</v>
      </c>
      <c r="DP32" t="e">
        <f>'2.4.Функции'!KC71+"BYw!$$h"</f>
        <v>#VALUE!</v>
      </c>
      <c r="DQ32" t="e">
        <f>'2.4.Функции'!KD71+"BYw!$$i"</f>
        <v>#VALUE!</v>
      </c>
      <c r="DR32" t="e">
        <f>'2.4.Функции'!KE71+"BYw!$$j"</f>
        <v>#VALUE!</v>
      </c>
      <c r="DS32" t="e">
        <f>'2.4.Функции'!KF71+"BYw!$$k"</f>
        <v>#VALUE!</v>
      </c>
      <c r="DT32" t="e">
        <f>'2.4.Функции'!KG71+"BYw!$$l"</f>
        <v>#VALUE!</v>
      </c>
      <c r="DU32" t="e">
        <f>'2.4.Функции'!KH71+"BYw!$$m"</f>
        <v>#VALUE!</v>
      </c>
      <c r="DV32" t="e">
        <f>'2.4.Функции'!KI71+"BYw!$$n"</f>
        <v>#VALUE!</v>
      </c>
      <c r="DW32" t="e">
        <f>'2.4.Функции'!KJ71+"BYw!$$o"</f>
        <v>#VALUE!</v>
      </c>
      <c r="DX32" t="e">
        <f>'2.4.Функции'!KK71+"BYw!$$p"</f>
        <v>#VALUE!</v>
      </c>
      <c r="DY32" t="e">
        <f>'2.4.Функции'!KL71+"BYw!$$q"</f>
        <v>#VALUE!</v>
      </c>
      <c r="DZ32" t="e">
        <f>'2.4.Функции'!KM71+"BYw!$$r"</f>
        <v>#VALUE!</v>
      </c>
      <c r="EA32" t="e">
        <f>'2.4.Функции'!KN71+"BYw!$$s"</f>
        <v>#VALUE!</v>
      </c>
      <c r="EB32" t="e">
        <f>'2.4.Функции'!KO71+"BYw!$$t"</f>
        <v>#VALUE!</v>
      </c>
      <c r="EC32" t="e">
        <f>'2.4.Функции'!KP71+"BYw!$$u"</f>
        <v>#VALUE!</v>
      </c>
      <c r="ED32" t="e">
        <f>'2.4.Функции'!KQ71+"BYw!$$v"</f>
        <v>#VALUE!</v>
      </c>
      <c r="EE32" t="e">
        <f>'2.4.Функции'!KR71+"BYw!$$w"</f>
        <v>#VALUE!</v>
      </c>
      <c r="EF32" t="e">
        <f>'2.4.Функции'!KS71+"BYw!$$x"</f>
        <v>#VALUE!</v>
      </c>
      <c r="EG32" t="e">
        <f>'2.4.Функции'!KT71+"BYw!$$y"</f>
        <v>#VALUE!</v>
      </c>
      <c r="EH32" t="e">
        <f>'2.4.Функции'!KU71+"BYw!$$z"</f>
        <v>#VALUE!</v>
      </c>
      <c r="EI32" t="e">
        <f>'2.4.Функции'!KV71+"BYw!$${"</f>
        <v>#VALUE!</v>
      </c>
      <c r="EJ32" t="e">
        <f>'2.4.Функции'!KW71+"BYw!$$|"</f>
        <v>#VALUE!</v>
      </c>
      <c r="EK32" t="e">
        <f>'2.4.Функции'!KX71+"BYw!$$}"</f>
        <v>#VALUE!</v>
      </c>
      <c r="EL32" t="e">
        <f>'2.4.Функции'!KY71+"BYw!$$~"</f>
        <v>#VALUE!</v>
      </c>
      <c r="EM32" t="e">
        <f>'2.4.Функции'!KZ71+"BYw!$%#"</f>
        <v>#VALUE!</v>
      </c>
      <c r="EN32" t="e">
        <f>'2.4.Функции'!LA71+"BYw!$%$"</f>
        <v>#VALUE!</v>
      </c>
      <c r="EO32" t="e">
        <f>'2.4.Функции'!LB71+"BYw!$%%"</f>
        <v>#VALUE!</v>
      </c>
      <c r="EP32" t="e">
        <f>'2.4.Функции'!LC71+"BYw!$%&amp;"</f>
        <v>#VALUE!</v>
      </c>
      <c r="EQ32" t="e">
        <f>'2.4.Функции'!LD71+"BYw!$%'"</f>
        <v>#VALUE!</v>
      </c>
      <c r="ER32" t="e">
        <f>'2.4.Функции'!LE71+"BYw!$%("</f>
        <v>#VALUE!</v>
      </c>
      <c r="ES32" t="e">
        <f>'2.4.Функции'!LF71+"BYw!$%)"</f>
        <v>#VALUE!</v>
      </c>
      <c r="ET32" t="e">
        <f>'2.4.Функции'!LG71+"BYw!$%."</f>
        <v>#VALUE!</v>
      </c>
      <c r="EU32" t="e">
        <f>'2.4.Функции'!LH71+"BYw!$%/"</f>
        <v>#VALUE!</v>
      </c>
      <c r="EV32" t="e">
        <f>'2.4.Функции'!LI71+"BYw!$%0"</f>
        <v>#VALUE!</v>
      </c>
      <c r="EW32" t="e">
        <f>'2.4.Функции'!LJ71+"BYw!$%1"</f>
        <v>#VALUE!</v>
      </c>
      <c r="EX32" t="e">
        <f>'2.4.Функции'!LK71+"BYw!$%2"</f>
        <v>#VALUE!</v>
      </c>
      <c r="EY32" t="e">
        <f>'2.4.Функции'!LL71+"BYw!$%3"</f>
        <v>#VALUE!</v>
      </c>
      <c r="EZ32" t="e">
        <f>'2.4.Функции'!LM71+"BYw!$%4"</f>
        <v>#VALUE!</v>
      </c>
      <c r="FA32" t="e">
        <f>'2.4.Функции'!LN71+"BYw!$%5"</f>
        <v>#VALUE!</v>
      </c>
      <c r="FB32" t="e">
        <f>'2.4.Функции'!LO71+"BYw!$%6"</f>
        <v>#VALUE!</v>
      </c>
      <c r="FC32" t="e">
        <f>'2.4.Функции'!LP71+"BYw!$%7"</f>
        <v>#VALUE!</v>
      </c>
      <c r="FD32" t="e">
        <f>'2.4.Функции'!LQ71+"BYw!$%8"</f>
        <v>#VALUE!</v>
      </c>
      <c r="FE32" t="e">
        <f>'2.4.Функции'!LR71+"BYw!$%9"</f>
        <v>#VALUE!</v>
      </c>
      <c r="FF32" t="e">
        <f>'2.4.Функции'!LS71+"BYw!$%:"</f>
        <v>#VALUE!</v>
      </c>
      <c r="FG32" t="e">
        <f>'2.4.Функции'!LT71+"BYw!$%;"</f>
        <v>#VALUE!</v>
      </c>
      <c r="FH32" t="e">
        <f>'2.4.Функции'!LU71+"BYw!$%&lt;"</f>
        <v>#VALUE!</v>
      </c>
      <c r="FI32" t="e">
        <f>'2.4.Функции'!LV71+"BYw!$%="</f>
        <v>#VALUE!</v>
      </c>
      <c r="FJ32" t="e">
        <f>'2.4.Функции'!LW71+"BYw!$%&gt;"</f>
        <v>#VALUE!</v>
      </c>
      <c r="FK32" t="e">
        <f>'2.4.Функции'!LX71+"BYw!$%?"</f>
        <v>#VALUE!</v>
      </c>
      <c r="FL32" t="e">
        <f>'2.4.Функции'!LY71+"BYw!$%@"</f>
        <v>#VALUE!</v>
      </c>
      <c r="FM32" t="e">
        <f>'2.4.Функции'!LZ71+"BYw!$%A"</f>
        <v>#VALUE!</v>
      </c>
      <c r="FN32" t="e">
        <f>'2.4.Функции'!MA71+"BYw!$%B"</f>
        <v>#VALUE!</v>
      </c>
      <c r="FO32" t="e">
        <f>'2.4.Функции'!MB71+"BYw!$%C"</f>
        <v>#VALUE!</v>
      </c>
      <c r="FP32" t="e">
        <f>'2.4.Функции'!MC71+"BYw!$%D"</f>
        <v>#VALUE!</v>
      </c>
      <c r="FQ32" t="e">
        <f>'2.4.Функции'!MD71+"BYw!$%E"</f>
        <v>#VALUE!</v>
      </c>
      <c r="FR32" t="e">
        <f>'2.4.Функции'!ME71+"BYw!$%F"</f>
        <v>#VALUE!</v>
      </c>
      <c r="FS32" t="e">
        <f>'2.4.Функции'!MF71+"BYw!$%G"</f>
        <v>#VALUE!</v>
      </c>
      <c r="FT32" t="e">
        <f>'2.4.Функции'!MG71+"BYw!$%H"</f>
        <v>#VALUE!</v>
      </c>
      <c r="FU32" t="e">
        <f>'2.4.Функции'!MH71+"BYw!$%I"</f>
        <v>#VALUE!</v>
      </c>
      <c r="FV32" t="e">
        <f>'2.4.Функции'!MI71+"BYw!$%J"</f>
        <v>#VALUE!</v>
      </c>
      <c r="FW32" t="e">
        <f>'2.4.Функции'!MJ71+"BYw!$%K"</f>
        <v>#VALUE!</v>
      </c>
      <c r="FX32" t="e">
        <f>'2.4.Функции'!MK71+"BYw!$%L"</f>
        <v>#VALUE!</v>
      </c>
      <c r="FY32" t="e">
        <f>'2.4.Функции'!ML71+"BYw!$%M"</f>
        <v>#VALUE!</v>
      </c>
      <c r="FZ32" t="e">
        <f>'2.4.Функции'!MM71+"BYw!$%N"</f>
        <v>#VALUE!</v>
      </c>
      <c r="GA32" t="e">
        <f>'2.4.Функции'!MN71+"BYw!$%O"</f>
        <v>#VALUE!</v>
      </c>
      <c r="GB32" t="e">
        <f>'2.4.Функции'!MO71+"BYw!$%P"</f>
        <v>#VALUE!</v>
      </c>
      <c r="GC32" t="e">
        <f>'2.4.Функции'!MP71+"BYw!$%Q"</f>
        <v>#VALUE!</v>
      </c>
      <c r="GD32" t="e">
        <f>'2.4.Функции'!MQ71+"BYw!$%R"</f>
        <v>#VALUE!</v>
      </c>
      <c r="GE32" t="e">
        <f>'2.4.Функции'!MR71+"BYw!$%S"</f>
        <v>#VALUE!</v>
      </c>
      <c r="GF32" t="e">
        <f>'2.4.Функции'!MS71+"BYw!$%T"</f>
        <v>#VALUE!</v>
      </c>
      <c r="GG32" t="e">
        <f>'2.4.Функции'!MT71+"BYw!$%U"</f>
        <v>#VALUE!</v>
      </c>
      <c r="GH32" t="e">
        <f>'2.4.Функции'!MU71+"BYw!$%V"</f>
        <v>#VALUE!</v>
      </c>
      <c r="GI32" t="e">
        <f>'2.4.Функции'!MV71+"BYw!$%W"</f>
        <v>#VALUE!</v>
      </c>
      <c r="GJ32" t="e">
        <f>'2.4.Функции'!MW71+"BYw!$%X"</f>
        <v>#VALUE!</v>
      </c>
      <c r="GK32" t="e">
        <f>'2.4.Функции'!MX71+"BYw!$%Y"</f>
        <v>#VALUE!</v>
      </c>
      <c r="GL32" t="e">
        <f>'2.4.Функции'!MY71+"BYw!$%Z"</f>
        <v>#VALUE!</v>
      </c>
      <c r="GM32" t="e">
        <f>'2.4.Функции'!MZ71+"BYw!$%["</f>
        <v>#VALUE!</v>
      </c>
      <c r="GN32" t="e">
        <f>'2.4.Функции'!NA71+"BYw!$%\"</f>
        <v>#VALUE!</v>
      </c>
      <c r="GO32" t="e">
        <f>'2.4.Функции'!NB71+"BYw!$%]"</f>
        <v>#VALUE!</v>
      </c>
      <c r="GP32" t="e">
        <f>'2.4.Функции'!NC71+"BYw!$%^"</f>
        <v>#VALUE!</v>
      </c>
      <c r="GQ32" t="e">
        <f>'2.4.Функции'!ND71+"BYw!$%_"</f>
        <v>#VALUE!</v>
      </c>
      <c r="GR32" t="e">
        <f>'2.4.Функции'!NE71+"BYw!$%`"</f>
        <v>#VALUE!</v>
      </c>
      <c r="GS32" t="e">
        <f>'2.4.Функции'!NF71+"BYw!$%a"</f>
        <v>#VALUE!</v>
      </c>
      <c r="GT32" t="e">
        <f>'2.4.Функции'!NG71+"BYw!$%b"</f>
        <v>#VALUE!</v>
      </c>
      <c r="GU32" t="e">
        <f>'2.4.Функции'!NH71+"BYw!$%c"</f>
        <v>#VALUE!</v>
      </c>
      <c r="GV32" t="e">
        <f>'2.4.Функции'!NI71+"BYw!$%d"</f>
        <v>#VALUE!</v>
      </c>
      <c r="GW32" t="e">
        <f>'2.4.Функции'!NJ71+"BYw!$%e"</f>
        <v>#VALUE!</v>
      </c>
      <c r="GX32" t="e">
        <f>'2.4.Функции'!NK71+"BYw!$%f"</f>
        <v>#VALUE!</v>
      </c>
      <c r="GY32" t="e">
        <f>'2.4.Функции'!NL71+"BYw!$%g"</f>
        <v>#VALUE!</v>
      </c>
      <c r="GZ32" t="e">
        <f>'2.4.Функции'!NM71+"BYw!$%h"</f>
        <v>#VALUE!</v>
      </c>
      <c r="HA32" t="e">
        <f>'2.4.Функции'!NN71+"BYw!$%i"</f>
        <v>#VALUE!</v>
      </c>
      <c r="HB32" t="e">
        <f>'2.4.Функции'!NO71+"BYw!$%j"</f>
        <v>#VALUE!</v>
      </c>
      <c r="HC32" t="e">
        <f>'2.4.Функции'!NP71+"BYw!$%k"</f>
        <v>#VALUE!</v>
      </c>
      <c r="HD32" t="e">
        <f>'2.4.Функции'!NQ71+"BYw!$%l"</f>
        <v>#VALUE!</v>
      </c>
      <c r="HE32" t="e">
        <f>'2.4.Функции'!NR71+"BYw!$%m"</f>
        <v>#VALUE!</v>
      </c>
      <c r="HF32" t="e">
        <f>'2.4.Функции'!NS71+"BYw!$%n"</f>
        <v>#VALUE!</v>
      </c>
      <c r="HG32" t="e">
        <f>'2.4.Функции'!NT71+"BYw!$%o"</f>
        <v>#VALUE!</v>
      </c>
      <c r="HH32" t="e">
        <f>'2.4.Функции'!NU71+"BYw!$%p"</f>
        <v>#VALUE!</v>
      </c>
      <c r="HI32" t="e">
        <f>'2.4.Функции'!NV71+"BYw!$%q"</f>
        <v>#VALUE!</v>
      </c>
      <c r="HJ32" t="e">
        <f>'2.4.Функции'!NW71+"BYw!$%r"</f>
        <v>#VALUE!</v>
      </c>
      <c r="HK32" t="e">
        <f>'2.4.Функции'!NX71+"BYw!$%s"</f>
        <v>#VALUE!</v>
      </c>
      <c r="HL32" t="e">
        <f>'2.4.Функции'!NY71+"BYw!$%t"</f>
        <v>#VALUE!</v>
      </c>
      <c r="HM32" t="e">
        <f>'2.4.Функции'!NZ71+"BYw!$%u"</f>
        <v>#VALUE!</v>
      </c>
      <c r="HN32" t="e">
        <f>'2.4.Функции'!OA71+"BYw!$%v"</f>
        <v>#VALUE!</v>
      </c>
      <c r="HO32" t="e">
        <f>'2.4.Функции'!OB71+"BYw!$%w"</f>
        <v>#VALUE!</v>
      </c>
      <c r="HP32" t="e">
        <f>'2.4.Функции'!OC71+"BYw!$%x"</f>
        <v>#VALUE!</v>
      </c>
      <c r="HQ32" t="e">
        <f>'2.4.Функции'!OD71+"BYw!$%y"</f>
        <v>#VALUE!</v>
      </c>
      <c r="HR32" t="e">
        <f>'2.4.Функции'!OE71+"BYw!$%z"</f>
        <v>#VALUE!</v>
      </c>
      <c r="HS32" t="e">
        <f>'2.4.Функции'!OF71+"BYw!$%{"</f>
        <v>#VALUE!</v>
      </c>
      <c r="HT32" t="e">
        <f>'2.4.Функции'!OG71+"BYw!$%|"</f>
        <v>#VALUE!</v>
      </c>
      <c r="HU32" t="e">
        <f>'2.4.Функции'!OH71+"BYw!$%}"</f>
        <v>#VALUE!</v>
      </c>
      <c r="HV32" t="e">
        <f>'2.4.Функции'!OI71+"BYw!$%~"</f>
        <v>#VALUE!</v>
      </c>
      <c r="HW32" t="e">
        <f>'2.4.Функции'!OJ71+"BYw!$&amp;#"</f>
        <v>#VALUE!</v>
      </c>
      <c r="HX32" t="e">
        <f>'2.4.Функции'!OK71+"BYw!$&amp;$"</f>
        <v>#VALUE!</v>
      </c>
      <c r="HY32" t="e">
        <f>'2.4.Функции'!OL71+"BYw!$&amp;%"</f>
        <v>#VALUE!</v>
      </c>
      <c r="HZ32" t="e">
        <f>'2.4.Функции'!OM71+"BYw!$&amp;&amp;"</f>
        <v>#VALUE!</v>
      </c>
      <c r="IA32" t="e">
        <f>'2.4.Функции'!ON71+"BYw!$&amp;'"</f>
        <v>#VALUE!</v>
      </c>
      <c r="IB32" t="e">
        <f>'2.4.Функции'!OO71+"BYw!$&amp;("</f>
        <v>#VALUE!</v>
      </c>
      <c r="IC32" t="e">
        <f>'2.4.Функции'!OP71+"BYw!$&amp;)"</f>
        <v>#VALUE!</v>
      </c>
      <c r="ID32" t="e">
        <f>'2.4.Функции'!OQ71+"BYw!$&amp;."</f>
        <v>#VALUE!</v>
      </c>
      <c r="IE32" t="e">
        <f>'2.4.Функции'!OR71+"BYw!$&amp;/"</f>
        <v>#VALUE!</v>
      </c>
      <c r="IF32" t="e">
        <f>'2.4.Функции'!OS71+"BYw!$&amp;0"</f>
        <v>#VALUE!</v>
      </c>
      <c r="IG32" t="e">
        <f>'2.4.Функции'!OT71+"BYw!$&amp;1"</f>
        <v>#VALUE!</v>
      </c>
      <c r="IH32" t="e">
        <f>'2.4.Функции'!OU71+"BYw!$&amp;2"</f>
        <v>#VALUE!</v>
      </c>
      <c r="II32" t="e">
        <f>'2.4.Функции'!OV71+"BYw!$&amp;3"</f>
        <v>#VALUE!</v>
      </c>
      <c r="IJ32" t="e">
        <f>'2.4.Функции'!OW71+"BYw!$&amp;4"</f>
        <v>#VALUE!</v>
      </c>
      <c r="IK32" t="e">
        <f>'2.4.Функции'!OX71+"BYw!$&amp;5"</f>
        <v>#VALUE!</v>
      </c>
      <c r="IL32" t="e">
        <f>'2.4.Функции'!OY71+"BYw!$&amp;6"</f>
        <v>#VALUE!</v>
      </c>
      <c r="IM32" t="e">
        <f>'2.4.Функции'!OZ71+"BYw!$&amp;7"</f>
        <v>#VALUE!</v>
      </c>
      <c r="IN32" t="e">
        <f>'2.4.Функции'!PA71+"BYw!$&amp;8"</f>
        <v>#VALUE!</v>
      </c>
      <c r="IO32" t="e">
        <f>'2.4.Функции'!PB71+"BYw!$&amp;9"</f>
        <v>#VALUE!</v>
      </c>
      <c r="IP32" t="e">
        <f>'2.4.Функции'!PC71+"BYw!$&amp;:"</f>
        <v>#VALUE!</v>
      </c>
      <c r="IQ32" t="e">
        <f>'2.4.Функции'!PD71+"BYw!$&amp;;"</f>
        <v>#VALUE!</v>
      </c>
      <c r="IR32" t="e">
        <f>'2.4.Функции'!PE71+"BYw!$&amp;&lt;"</f>
        <v>#VALUE!</v>
      </c>
      <c r="IS32" t="e">
        <f>'2.4.Функции'!PF71+"BYw!$&amp;="</f>
        <v>#VALUE!</v>
      </c>
      <c r="IT32" t="e">
        <f>'2.4.Функции'!PG71+"BYw!$&amp;&gt;"</f>
        <v>#VALUE!</v>
      </c>
      <c r="IU32" t="e">
        <f>'2.4.Функции'!PH71+"BYw!$&amp;?"</f>
        <v>#VALUE!</v>
      </c>
      <c r="IV32" t="e">
        <f>'2.4.Функции'!PI71+"BYw!$&amp;@"</f>
        <v>#VALUE!</v>
      </c>
    </row>
    <row r="33" spans="6:256" x14ac:dyDescent="0.2">
      <c r="F33" t="e">
        <f>'2.4.Функции'!PJ71+"BYw!$&amp;A"</f>
        <v>#VALUE!</v>
      </c>
      <c r="G33" t="e">
        <f>'2.4.Функции'!PK71+"BYw!$&amp;B"</f>
        <v>#VALUE!</v>
      </c>
      <c r="H33" t="e">
        <f>'2.4.Функции'!PL71+"BYw!$&amp;C"</f>
        <v>#VALUE!</v>
      </c>
      <c r="I33" t="e">
        <f>'2.4.Функции'!PM71+"BYw!$&amp;D"</f>
        <v>#VALUE!</v>
      </c>
      <c r="J33" t="e">
        <f>'2.4.Функции'!PN71+"BYw!$&amp;E"</f>
        <v>#VALUE!</v>
      </c>
      <c r="K33" t="e">
        <f>'2.4.Функции'!PO71+"BYw!$&amp;F"</f>
        <v>#VALUE!</v>
      </c>
      <c r="L33" t="e">
        <f>'2.4.Функции'!PP71+"BYw!$&amp;G"</f>
        <v>#VALUE!</v>
      </c>
      <c r="M33" t="e">
        <f>'2.4.Функции'!PQ71+"BYw!$&amp;H"</f>
        <v>#VALUE!</v>
      </c>
      <c r="N33" t="e">
        <f>'2.4.Функции'!PR71+"BYw!$&amp;I"</f>
        <v>#VALUE!</v>
      </c>
      <c r="O33" t="e">
        <f>'2.4.Функции'!PS71+"BYw!$&amp;J"</f>
        <v>#VALUE!</v>
      </c>
      <c r="P33" t="e">
        <f>'2.4.Функции'!PT71+"BYw!$&amp;K"</f>
        <v>#VALUE!</v>
      </c>
      <c r="Q33" t="e">
        <f>'2.4.Функции'!PU71+"BYw!$&amp;L"</f>
        <v>#VALUE!</v>
      </c>
      <c r="R33" t="e">
        <f>'2.4.Функции'!PV71+"BYw!$&amp;M"</f>
        <v>#VALUE!</v>
      </c>
      <c r="S33" t="e">
        <f>'2.4.Функции'!PW71+"BYw!$&amp;N"</f>
        <v>#VALUE!</v>
      </c>
      <c r="T33" t="e">
        <f>'2.4.Функции'!PX71+"BYw!$&amp;O"</f>
        <v>#VALUE!</v>
      </c>
      <c r="U33" t="e">
        <f>'2.4.Функции'!PY71+"BYw!$&amp;P"</f>
        <v>#VALUE!</v>
      </c>
      <c r="V33" t="e">
        <f>'2.4.Функции'!PZ71+"BYw!$&amp;Q"</f>
        <v>#VALUE!</v>
      </c>
      <c r="W33" t="e">
        <f>'2.4.Функции'!QA71+"BYw!$&amp;R"</f>
        <v>#VALUE!</v>
      </c>
      <c r="X33" t="e">
        <f>'2.4.Функции'!QB71+"BYw!$&amp;S"</f>
        <v>#VALUE!</v>
      </c>
      <c r="Y33" t="e">
        <f>'2.4.Функции'!QC71+"BYw!$&amp;T"</f>
        <v>#VALUE!</v>
      </c>
      <c r="Z33" t="e">
        <f>'2.4.Функции'!QD71+"BYw!$&amp;U"</f>
        <v>#VALUE!</v>
      </c>
      <c r="AA33" t="e">
        <f>'2.4.Функции'!QE71+"BYw!$&amp;V"</f>
        <v>#VALUE!</v>
      </c>
      <c r="AB33" t="e">
        <f>'2.4.Функции'!QF71+"BYw!$&amp;W"</f>
        <v>#VALUE!</v>
      </c>
      <c r="AC33" t="e">
        <f>'2.4.Функции'!QG71+"BYw!$&amp;X"</f>
        <v>#VALUE!</v>
      </c>
      <c r="AD33" t="e">
        <f>'2.4.Функции'!QH71+"BYw!$&amp;Y"</f>
        <v>#VALUE!</v>
      </c>
      <c r="AE33" t="e">
        <f>'2.4.Функции'!QI71+"BYw!$&amp;Z"</f>
        <v>#VALUE!</v>
      </c>
      <c r="AF33" t="e">
        <f>'2.4.Функции'!QJ71+"BYw!$&amp;["</f>
        <v>#VALUE!</v>
      </c>
      <c r="AG33" t="e">
        <f>'2.4.Функции'!QK71+"BYw!$&amp;\"</f>
        <v>#VALUE!</v>
      </c>
      <c r="AH33" t="e">
        <f>'2.4.Функции'!QL71+"BYw!$&amp;]"</f>
        <v>#VALUE!</v>
      </c>
      <c r="AI33" t="e">
        <f>'2.4.Функции'!QM71+"BYw!$&amp;^"</f>
        <v>#VALUE!</v>
      </c>
      <c r="AJ33" t="e">
        <f>'2.4.Функции'!QN71+"BYw!$&amp;_"</f>
        <v>#VALUE!</v>
      </c>
      <c r="AK33" t="e">
        <f>'2.4.Функции'!QO71+"BYw!$&amp;`"</f>
        <v>#VALUE!</v>
      </c>
      <c r="AL33" t="e">
        <f>'2.4.Функции'!QP71+"BYw!$&amp;a"</f>
        <v>#VALUE!</v>
      </c>
      <c r="AM33" t="e">
        <f>'2.4.Функции'!QQ71+"BYw!$&amp;b"</f>
        <v>#VALUE!</v>
      </c>
      <c r="AN33" t="e">
        <f>'2.4.Функции'!QR71+"BYw!$&amp;c"</f>
        <v>#VALUE!</v>
      </c>
      <c r="AO33" t="e">
        <f>'2.4.Функции'!QS71+"BYw!$&amp;d"</f>
        <v>#VALUE!</v>
      </c>
      <c r="AP33" t="e">
        <f>'2.4.Функции'!QT71+"BYw!$&amp;e"</f>
        <v>#VALUE!</v>
      </c>
      <c r="AQ33" t="e">
        <f>'2.4.Функции'!QU71+"BYw!$&amp;f"</f>
        <v>#VALUE!</v>
      </c>
      <c r="AR33" t="e">
        <f>'2.4.Функции'!QV71+"BYw!$&amp;g"</f>
        <v>#VALUE!</v>
      </c>
      <c r="AS33" t="e">
        <f>'2.4.Функции'!QW71+"BYw!$&amp;h"</f>
        <v>#VALUE!</v>
      </c>
      <c r="AT33" t="e">
        <f>'2.4.Функции'!QX71+"BYw!$&amp;i"</f>
        <v>#VALUE!</v>
      </c>
      <c r="AU33" t="e">
        <f>'2.4.Функции'!QY71+"BYw!$&amp;j"</f>
        <v>#VALUE!</v>
      </c>
      <c r="AV33" t="e">
        <f>'2.4.Функции'!QZ71+"BYw!$&amp;k"</f>
        <v>#VALUE!</v>
      </c>
      <c r="AW33" t="e">
        <f>'2.4.Функции'!RA71+"BYw!$&amp;l"</f>
        <v>#VALUE!</v>
      </c>
      <c r="AX33" t="e">
        <f>'2.4.Функции'!RB71+"BYw!$&amp;m"</f>
        <v>#VALUE!</v>
      </c>
      <c r="AY33" t="e">
        <f>'2.4.Функции'!RC71+"BYw!$&amp;n"</f>
        <v>#VALUE!</v>
      </c>
      <c r="AZ33" t="e">
        <f>'2.4.Функции'!RD71+"BYw!$&amp;o"</f>
        <v>#VALUE!</v>
      </c>
      <c r="BA33" t="e">
        <f>'2.4.Функции'!RE71+"BYw!$&amp;p"</f>
        <v>#VALUE!</v>
      </c>
      <c r="BB33" t="e">
        <f>'2.4.Функции'!RF71+"BYw!$&amp;q"</f>
        <v>#VALUE!</v>
      </c>
      <c r="BC33" t="e">
        <f>'2.4.Функции'!RG71+"BYw!$&amp;r"</f>
        <v>#VALUE!</v>
      </c>
      <c r="BD33" t="e">
        <f>'2.4.Функции'!RH71+"BYw!$&amp;s"</f>
        <v>#VALUE!</v>
      </c>
      <c r="BE33" t="e">
        <f>'2.4.Функции'!RI71+"BYw!$&amp;t"</f>
        <v>#VALUE!</v>
      </c>
      <c r="BF33" t="e">
        <f>'2.4.Функции'!RJ71+"BYw!$&amp;u"</f>
        <v>#VALUE!</v>
      </c>
      <c r="BG33" t="e">
        <f>'2.4.Функции'!RK71+"BYw!$&amp;v"</f>
        <v>#VALUE!</v>
      </c>
      <c r="BH33" t="e">
        <f>'2.4.Функции'!RL71+"BYw!$&amp;w"</f>
        <v>#VALUE!</v>
      </c>
      <c r="BI33" t="e">
        <f>'2.4.Функции'!RM71+"BYw!$&amp;x"</f>
        <v>#VALUE!</v>
      </c>
      <c r="BJ33" t="e">
        <f>'2.4.Функции'!RN71+"BYw!$&amp;y"</f>
        <v>#VALUE!</v>
      </c>
      <c r="BK33" t="e">
        <f>'2.4.Функции'!RO71+"BYw!$&amp;z"</f>
        <v>#VALUE!</v>
      </c>
      <c r="BL33" t="e">
        <f>'2.4.Функции'!RP71+"BYw!$&amp;{"</f>
        <v>#VALUE!</v>
      </c>
      <c r="BM33" t="e">
        <f>'2.4.Функции'!RQ71+"BYw!$&amp;|"</f>
        <v>#VALUE!</v>
      </c>
      <c r="BN33" t="e">
        <f>'2.4.Функции'!RR71+"BYw!$&amp;}"</f>
        <v>#VALUE!</v>
      </c>
      <c r="BO33" t="e">
        <f>'2.4.Функции'!RS71+"BYw!$&amp;~"</f>
        <v>#VALUE!</v>
      </c>
      <c r="BP33" t="e">
        <f>'2.4.Функции'!RT71+"BYw!$'#"</f>
        <v>#VALUE!</v>
      </c>
      <c r="BQ33" t="e">
        <f>'2.4.Функции'!RU71+"BYw!$'$"</f>
        <v>#VALUE!</v>
      </c>
      <c r="BR33" t="e">
        <f>'2.4.Функции'!RV71+"BYw!$'%"</f>
        <v>#VALUE!</v>
      </c>
      <c r="BS33" t="e">
        <f>'2.4.Функции'!RW71+"BYw!$'&amp;"</f>
        <v>#VALUE!</v>
      </c>
      <c r="BT33" t="e">
        <f>'2.4.Функции'!RX71+"BYw!$''"</f>
        <v>#VALUE!</v>
      </c>
      <c r="BU33" t="e">
        <f>'2.4.Функции'!RY71+"BYw!$'("</f>
        <v>#VALUE!</v>
      </c>
      <c r="BV33" t="e">
        <f>'2.4.Функции'!RZ71+"BYw!$')"</f>
        <v>#VALUE!</v>
      </c>
      <c r="BW33" t="e">
        <f>'2.4.Функции'!SA71+"BYw!$'."</f>
        <v>#VALUE!</v>
      </c>
      <c r="BX33" t="e">
        <f>'2.4.Функции'!SB71+"BYw!$'/"</f>
        <v>#VALUE!</v>
      </c>
      <c r="BY33" t="e">
        <f>'2.4.Функции'!SC71+"BYw!$'0"</f>
        <v>#VALUE!</v>
      </c>
      <c r="BZ33" t="e">
        <f>'2.4.Функции'!SD71+"BYw!$'1"</f>
        <v>#VALUE!</v>
      </c>
      <c r="CA33" t="e">
        <f>'2.4.Функции'!SE71+"BYw!$'2"</f>
        <v>#VALUE!</v>
      </c>
      <c r="CB33" t="e">
        <f>'2.4.Функции'!SF71+"BYw!$'3"</f>
        <v>#VALUE!</v>
      </c>
      <c r="CC33" t="e">
        <f>'2.4.Функции'!SG71+"BYw!$'4"</f>
        <v>#VALUE!</v>
      </c>
      <c r="CD33" t="e">
        <f>'2.4.Функции'!SH71+"BYw!$'5"</f>
        <v>#VALUE!</v>
      </c>
      <c r="CE33" t="e">
        <f>'2.4.Функции'!SI71+"BYw!$'6"</f>
        <v>#VALUE!</v>
      </c>
      <c r="CF33" t="e">
        <f>'2.4.Функции'!SJ71+"BYw!$'7"</f>
        <v>#VALUE!</v>
      </c>
      <c r="CG33" t="e">
        <f>'2.4.Функции'!SK71+"BYw!$'8"</f>
        <v>#VALUE!</v>
      </c>
      <c r="CH33" t="e">
        <f>'2.4.Функции'!SL71+"BYw!$'9"</f>
        <v>#VALUE!</v>
      </c>
      <c r="CI33" t="e">
        <f>'2.4.Функции'!SM71+"BYw!$':"</f>
        <v>#VALUE!</v>
      </c>
      <c r="CJ33" t="e">
        <f>'2.4.Функции'!SN71+"BYw!$';"</f>
        <v>#VALUE!</v>
      </c>
      <c r="CK33" t="e">
        <f>'2.4.Функции'!SO71+"BYw!$'&lt;"</f>
        <v>#VALUE!</v>
      </c>
      <c r="CL33" t="e">
        <f>'2.4.Функции'!SP71+"BYw!$'="</f>
        <v>#VALUE!</v>
      </c>
      <c r="CM33" t="e">
        <f>'2.4.Функции'!SQ71+"BYw!$'&gt;"</f>
        <v>#VALUE!</v>
      </c>
      <c r="CN33" t="e">
        <f>'2.4.Функции'!SR71+"BYw!$'?"</f>
        <v>#VALUE!</v>
      </c>
      <c r="CO33" t="e">
        <f>'2.4.Функции'!SS71+"BYw!$'@"</f>
        <v>#VALUE!</v>
      </c>
      <c r="CP33" t="e">
        <f>'2.4.Функции'!ST71+"BYw!$'A"</f>
        <v>#VALUE!</v>
      </c>
      <c r="CQ33" t="e">
        <f>'2.4.Функции'!SU71+"BYw!$'B"</f>
        <v>#VALUE!</v>
      </c>
      <c r="CR33" t="e">
        <f>'2.4.Функции'!SV71+"BYw!$'C"</f>
        <v>#VALUE!</v>
      </c>
      <c r="CS33" t="e">
        <f>'2.4.Функции'!SW71+"BYw!$'D"</f>
        <v>#VALUE!</v>
      </c>
      <c r="CT33" t="e">
        <f>'2.4.Функции'!SX71+"BYw!$'E"</f>
        <v>#VALUE!</v>
      </c>
      <c r="CU33" t="e">
        <f>'2.4.Функции'!SY71+"BYw!$'F"</f>
        <v>#VALUE!</v>
      </c>
      <c r="CV33" t="e">
        <f>'2.4.Функции'!SZ71+"BYw!$'G"</f>
        <v>#VALUE!</v>
      </c>
      <c r="CW33" t="e">
        <f>'2.4.Функции'!TA71+"BYw!$'H"</f>
        <v>#VALUE!</v>
      </c>
      <c r="CX33" t="e">
        <f>'2.4.Функции'!TB71+"BYw!$'I"</f>
        <v>#VALUE!</v>
      </c>
      <c r="CY33" t="e">
        <f>'2.4.Функции'!TC71+"BYw!$'J"</f>
        <v>#VALUE!</v>
      </c>
      <c r="CZ33" t="e">
        <f>'2.4.Функции'!TD71+"BYw!$'K"</f>
        <v>#VALUE!</v>
      </c>
      <c r="DA33" t="e">
        <f>'2.4.Функции'!TE71+"BYw!$'L"</f>
        <v>#VALUE!</v>
      </c>
      <c r="DB33" t="e">
        <f>'2.4.Функции'!TF71+"BYw!$'M"</f>
        <v>#VALUE!</v>
      </c>
      <c r="DC33" t="e">
        <f>'2.4.Функции'!TG71+"BYw!$'N"</f>
        <v>#VALUE!</v>
      </c>
      <c r="DD33" t="e">
        <f>'2.4.Функции'!TH71+"BYw!$'O"</f>
        <v>#VALUE!</v>
      </c>
      <c r="DE33" t="e">
        <f>'2.4.Функции'!TI71+"BYw!$'P"</f>
        <v>#VALUE!</v>
      </c>
      <c r="DF33" t="e">
        <f>'2.4.Функции'!TJ71+"BYw!$'Q"</f>
        <v>#VALUE!</v>
      </c>
      <c r="DG33" t="e">
        <f>'2.4.Функции'!TK71+"BYw!$'R"</f>
        <v>#VALUE!</v>
      </c>
      <c r="DH33" t="e">
        <f>'2.4.Функции'!TL71+"BYw!$'S"</f>
        <v>#VALUE!</v>
      </c>
      <c r="DI33" t="e">
        <f>'2.4.Функции'!TM71+"BYw!$'T"</f>
        <v>#VALUE!</v>
      </c>
      <c r="DJ33" t="e">
        <f>'2.4.Функции'!TN71+"BYw!$'U"</f>
        <v>#VALUE!</v>
      </c>
      <c r="DK33" t="e">
        <f>'2.4.Функции'!TO71+"BYw!$'V"</f>
        <v>#VALUE!</v>
      </c>
      <c r="DL33" t="e">
        <f>'2.4.Функции'!TP71+"BYw!$'W"</f>
        <v>#VALUE!</v>
      </c>
      <c r="DM33" t="e">
        <f>'2.4.Функции'!TQ71+"BYw!$'X"</f>
        <v>#VALUE!</v>
      </c>
      <c r="DN33" t="e">
        <f>'2.4.Функции'!TR71+"BYw!$'Y"</f>
        <v>#VALUE!</v>
      </c>
      <c r="DO33" t="e">
        <f>'2.4.Функции'!TS71+"BYw!$'Z"</f>
        <v>#VALUE!</v>
      </c>
      <c r="DP33" t="e">
        <f>'2.4.Функции'!TT71+"BYw!$'["</f>
        <v>#VALUE!</v>
      </c>
      <c r="DQ33" t="e">
        <f>'2.4.Функции'!TU71+"BYw!$'\"</f>
        <v>#VALUE!</v>
      </c>
      <c r="DR33" t="e">
        <f>'2.4.Функции'!TV71+"BYw!$']"</f>
        <v>#VALUE!</v>
      </c>
      <c r="DS33" t="e">
        <f>'2.4.Функции'!TW71+"BYw!$'^"</f>
        <v>#VALUE!</v>
      </c>
      <c r="DT33" t="e">
        <f>'2.4.Функции'!TX71+"BYw!$'_"</f>
        <v>#VALUE!</v>
      </c>
      <c r="DU33" t="e">
        <f>'2.4.Функции'!TY71+"BYw!$'`"</f>
        <v>#VALUE!</v>
      </c>
      <c r="DV33" t="e">
        <f>'2.4.Функции'!TZ71+"BYw!$'a"</f>
        <v>#VALUE!</v>
      </c>
      <c r="DW33" t="e">
        <f>'2.4.Функции'!UA71+"BYw!$'b"</f>
        <v>#VALUE!</v>
      </c>
      <c r="DX33" t="e">
        <f>'2.4.Функции'!UB71+"BYw!$'c"</f>
        <v>#VALUE!</v>
      </c>
      <c r="DY33" t="e">
        <f>'2.4.Функции'!UC71+"BYw!$'d"</f>
        <v>#VALUE!</v>
      </c>
      <c r="DZ33" t="e">
        <f>'2.4.Функции'!UD71+"BYw!$'e"</f>
        <v>#VALUE!</v>
      </c>
      <c r="EA33" t="e">
        <f>'2.4.Функции'!UE71+"BYw!$'f"</f>
        <v>#VALUE!</v>
      </c>
      <c r="EB33" t="e">
        <f>'2.4.Функции'!UF71+"BYw!$'g"</f>
        <v>#VALUE!</v>
      </c>
      <c r="EC33" t="e">
        <f>'2.4.Функции'!UG71+"BYw!$'h"</f>
        <v>#VALUE!</v>
      </c>
      <c r="ED33" t="e">
        <f>'2.4.Функции'!UH71+"BYw!$'i"</f>
        <v>#VALUE!</v>
      </c>
      <c r="EE33" t="e">
        <f>'2.4.Функции'!UI71+"BYw!$'j"</f>
        <v>#VALUE!</v>
      </c>
      <c r="EF33" t="e">
        <f>'2.4.Функции'!UJ71+"BYw!$'k"</f>
        <v>#VALUE!</v>
      </c>
      <c r="EG33" t="e">
        <f>'2.4.Функции'!UK71+"BYw!$'l"</f>
        <v>#VALUE!</v>
      </c>
      <c r="EH33" t="e">
        <f>'2.4.Функции'!UL71+"BYw!$'m"</f>
        <v>#VALUE!</v>
      </c>
      <c r="EI33" t="e">
        <f>'2.4.Функции'!UM71+"BYw!$'n"</f>
        <v>#VALUE!</v>
      </c>
      <c r="EJ33" t="e">
        <f>'2.4.Функции'!UN71+"BYw!$'o"</f>
        <v>#VALUE!</v>
      </c>
      <c r="EK33" t="e">
        <f>'2.4.Функции'!UO71+"BYw!$'p"</f>
        <v>#VALUE!</v>
      </c>
      <c r="EL33" t="e">
        <f>'2.4.Функции'!UP71+"BYw!$'q"</f>
        <v>#VALUE!</v>
      </c>
      <c r="EM33" t="e">
        <f>'2.4.Функции'!UQ71+"BYw!$'r"</f>
        <v>#VALUE!</v>
      </c>
      <c r="EN33" t="e">
        <f>'2.4.Функции'!UR71+"BYw!$'s"</f>
        <v>#VALUE!</v>
      </c>
      <c r="EO33" t="e">
        <f>'2.4.Функции'!US71+"BYw!$'t"</f>
        <v>#VALUE!</v>
      </c>
      <c r="EP33" t="e">
        <f>'2.4.Функции'!UT71+"BYw!$'u"</f>
        <v>#VALUE!</v>
      </c>
      <c r="EQ33" t="e">
        <f>'2.4.Функции'!UU71+"BYw!$'v"</f>
        <v>#VALUE!</v>
      </c>
      <c r="ER33" t="e">
        <f>'2.4.Функции'!UV71+"BYw!$'w"</f>
        <v>#VALUE!</v>
      </c>
      <c r="ES33" t="e">
        <f>'2.4.Функции'!UW71+"BYw!$'x"</f>
        <v>#VALUE!</v>
      </c>
      <c r="ET33" t="e">
        <f>'2.4.Функции'!UX71+"BYw!$'y"</f>
        <v>#VALUE!</v>
      </c>
      <c r="EU33" t="e">
        <f>'2.4.Функции'!UY71+"BYw!$'z"</f>
        <v>#VALUE!</v>
      </c>
      <c r="EV33" t="e">
        <f>'2.4.Функции'!UZ71+"BYw!$'{"</f>
        <v>#VALUE!</v>
      </c>
      <c r="EW33" t="e">
        <f>'2.4.Функции'!VA71+"BYw!$'|"</f>
        <v>#VALUE!</v>
      </c>
      <c r="EX33" t="e">
        <f>'2.4.Функции'!VB71+"BYw!$'}"</f>
        <v>#VALUE!</v>
      </c>
      <c r="EY33" t="e">
        <f>'2.4.Функции'!VC71+"BYw!$'~"</f>
        <v>#VALUE!</v>
      </c>
      <c r="EZ33" t="e">
        <f>'2.4.Функции'!VD71+"BYw!$(#"</f>
        <v>#VALUE!</v>
      </c>
      <c r="FA33" t="e">
        <f>'2.4.Функции'!VE71+"BYw!$($"</f>
        <v>#VALUE!</v>
      </c>
      <c r="FB33" t="e">
        <f>'2.4.Функции'!VF71+"BYw!$(%"</f>
        <v>#VALUE!</v>
      </c>
      <c r="FC33" t="e">
        <f>'2.4.Функции'!VG71+"BYw!$(&amp;"</f>
        <v>#VALUE!</v>
      </c>
      <c r="FD33" t="e">
        <f>'2.4.Функции'!VH71+"BYw!$('"</f>
        <v>#VALUE!</v>
      </c>
      <c r="FE33" t="e">
        <f>'2.4.Функции'!VI71+"BYw!$(("</f>
        <v>#VALUE!</v>
      </c>
      <c r="FF33" t="e">
        <f>'2.4.Функции'!VJ71+"BYw!$()"</f>
        <v>#VALUE!</v>
      </c>
      <c r="FG33" t="e">
        <f>'2.4.Функции'!VK71+"BYw!$(."</f>
        <v>#VALUE!</v>
      </c>
      <c r="FH33" t="e">
        <f>'2.4.Функции'!VL71+"BYw!$(/"</f>
        <v>#VALUE!</v>
      </c>
      <c r="FI33" t="e">
        <f>'2.4.Функции'!VM71+"BYw!$(0"</f>
        <v>#VALUE!</v>
      </c>
      <c r="FJ33" t="e">
        <f>'2.4.Функции'!VN71+"BYw!$(1"</f>
        <v>#VALUE!</v>
      </c>
      <c r="FK33" t="e">
        <f>'2.4.Функции'!VO71+"BYw!$(2"</f>
        <v>#VALUE!</v>
      </c>
      <c r="FL33" t="e">
        <f>'2.4.Функции'!VP71+"BYw!$(3"</f>
        <v>#VALUE!</v>
      </c>
      <c r="FM33" t="e">
        <f>'2.4.Функции'!VQ71+"BYw!$(4"</f>
        <v>#VALUE!</v>
      </c>
      <c r="FN33" t="e">
        <f>'2.4.Функции'!VR71+"BYw!$(5"</f>
        <v>#VALUE!</v>
      </c>
      <c r="FO33" t="e">
        <f>'2.4.Функции'!VS71+"BYw!$(6"</f>
        <v>#VALUE!</v>
      </c>
      <c r="FP33" t="e">
        <f>'2.4.Функции'!VT71+"BYw!$(7"</f>
        <v>#VALUE!</v>
      </c>
      <c r="FQ33" t="e">
        <f>'2.4.Функции'!VU71+"BYw!$(8"</f>
        <v>#VALUE!</v>
      </c>
      <c r="FR33" t="e">
        <f>'2.4.Функции'!VV71+"BYw!$(9"</f>
        <v>#VALUE!</v>
      </c>
      <c r="FS33" t="e">
        <f>'2.4.Функции'!VW71+"BYw!$(:"</f>
        <v>#VALUE!</v>
      </c>
      <c r="FT33" t="e">
        <f>'2.4.Функции'!VX71+"BYw!$(;"</f>
        <v>#VALUE!</v>
      </c>
      <c r="FU33" t="e">
        <f>'2.4.Функции'!VY71+"BYw!$(&lt;"</f>
        <v>#VALUE!</v>
      </c>
      <c r="FV33" t="e">
        <f>'2.4.Функции'!VZ71+"BYw!$(="</f>
        <v>#VALUE!</v>
      </c>
      <c r="FW33" t="e">
        <f>'2.4.Функции'!WA71+"BYw!$(&gt;"</f>
        <v>#VALUE!</v>
      </c>
      <c r="FX33" t="e">
        <f>'2.4.Функции'!WB71+"BYw!$(?"</f>
        <v>#VALUE!</v>
      </c>
      <c r="FY33" t="e">
        <f>'2.4.Функции'!WC71+"BYw!$(@"</f>
        <v>#VALUE!</v>
      </c>
      <c r="FZ33" t="e">
        <f>'2.4.Функции'!WD71+"BYw!$(A"</f>
        <v>#VALUE!</v>
      </c>
      <c r="GA33" t="e">
        <f>'2.4.Функции'!WE71+"BYw!$(B"</f>
        <v>#VALUE!</v>
      </c>
      <c r="GB33" t="e">
        <f>'2.4.Функции'!WF71+"BYw!$(C"</f>
        <v>#VALUE!</v>
      </c>
      <c r="GC33" t="e">
        <f>'2.4.Функции'!WG71+"BYw!$(D"</f>
        <v>#VALUE!</v>
      </c>
      <c r="GD33" t="e">
        <f>'2.4.Функции'!WH71+"BYw!$(E"</f>
        <v>#VALUE!</v>
      </c>
      <c r="GE33" t="e">
        <f>'2.4.Функции'!WI71+"BYw!$(F"</f>
        <v>#VALUE!</v>
      </c>
      <c r="GF33" t="e">
        <f>'2.4.Функции'!WJ71+"BYw!$(G"</f>
        <v>#VALUE!</v>
      </c>
      <c r="GG33" t="e">
        <f>'2.4.Функции'!WK71+"BYw!$(H"</f>
        <v>#VALUE!</v>
      </c>
      <c r="GH33" t="e">
        <f>'2.4.Функции'!WL71+"BYw!$(I"</f>
        <v>#VALUE!</v>
      </c>
      <c r="GI33" t="e">
        <f>'2.4.Функции'!WM71+"BYw!$(J"</f>
        <v>#VALUE!</v>
      </c>
      <c r="GJ33" t="e">
        <f>'2.4.Функции'!WN71+"BYw!$(K"</f>
        <v>#VALUE!</v>
      </c>
      <c r="GK33" t="e">
        <f>'2.4.Функции'!WO71+"BYw!$(L"</f>
        <v>#VALUE!</v>
      </c>
      <c r="GL33" t="e">
        <f>'2.4.Функции'!WP71+"BYw!$(M"</f>
        <v>#VALUE!</v>
      </c>
      <c r="GM33" t="e">
        <f>'2.4.Функции'!WQ71+"BYw!$(N"</f>
        <v>#VALUE!</v>
      </c>
      <c r="GN33" t="e">
        <f>'2.4.Функции'!WR71+"BYw!$(O"</f>
        <v>#VALUE!</v>
      </c>
      <c r="GO33" t="e">
        <f>'2.4.Функции'!WS71+"BYw!$(P"</f>
        <v>#VALUE!</v>
      </c>
      <c r="GP33" t="e">
        <f>'2.4.Функции'!WT71+"BYw!$(Q"</f>
        <v>#VALUE!</v>
      </c>
      <c r="GQ33" t="e">
        <f>'2.4.Функции'!WU71+"BYw!$(R"</f>
        <v>#VALUE!</v>
      </c>
      <c r="GR33" t="e">
        <f>'2.4.Функции'!WV71+"BYw!$(S"</f>
        <v>#VALUE!</v>
      </c>
      <c r="GS33" t="e">
        <f>'2.4.Функции'!WW71+"BYw!$(T"</f>
        <v>#VALUE!</v>
      </c>
      <c r="GT33" t="e">
        <f>'2.4.Функции'!WX71+"BYw!$(U"</f>
        <v>#VALUE!</v>
      </c>
      <c r="GU33" t="e">
        <f>'2.4.Функции'!WY71+"BYw!$(V"</f>
        <v>#VALUE!</v>
      </c>
      <c r="GV33" t="e">
        <f>'2.4.Функции'!WZ71+"BYw!$(W"</f>
        <v>#VALUE!</v>
      </c>
      <c r="GW33" t="e">
        <f>'2.4.Функции'!XA71+"BYw!$(X"</f>
        <v>#VALUE!</v>
      </c>
      <c r="GX33" t="e">
        <f>'2.4.Функции'!XB71+"BYw!$(Y"</f>
        <v>#VALUE!</v>
      </c>
      <c r="GY33" t="e">
        <f>'2.4.Функции'!XC71+"BYw!$(Z"</f>
        <v>#VALUE!</v>
      </c>
      <c r="GZ33" t="e">
        <f>'2.4.Функции'!XD71+"BYw!$(["</f>
        <v>#VALUE!</v>
      </c>
      <c r="HA33" t="e">
        <f>'2.4.Функции'!XE71+"BYw!$(\"</f>
        <v>#VALUE!</v>
      </c>
      <c r="HB33" t="e">
        <f>'2.4.Функции'!XF71+"BYw!$(]"</f>
        <v>#VALUE!</v>
      </c>
      <c r="HC33" t="e">
        <f>'2.4.Функции'!XG71+"BYw!$(^"</f>
        <v>#VALUE!</v>
      </c>
      <c r="HD33" t="e">
        <f>'2.4.Функции'!XH71+"BYw!$(_"</f>
        <v>#VALUE!</v>
      </c>
      <c r="HE33" t="e">
        <f>'2.4.Функции'!XI71+"BYw!$(`"</f>
        <v>#VALUE!</v>
      </c>
      <c r="HF33" t="e">
        <f>'2.4.Функции'!XJ71+"BYw!$(a"</f>
        <v>#VALUE!</v>
      </c>
      <c r="HG33" t="e">
        <f>'2.4.Функции'!XK71+"BYw!$(b"</f>
        <v>#VALUE!</v>
      </c>
      <c r="HH33" t="e">
        <f>'2.4.Функции'!XL71+"BYw!$(c"</f>
        <v>#VALUE!</v>
      </c>
      <c r="HI33" t="e">
        <f>'2.4.Функции'!XM71+"BYw!$(d"</f>
        <v>#VALUE!</v>
      </c>
      <c r="HJ33" t="e">
        <f>'2.4.Функции'!XN71+"BYw!$(e"</f>
        <v>#VALUE!</v>
      </c>
      <c r="HK33" t="e">
        <f>'2.4.Функции'!XO71+"BYw!$(f"</f>
        <v>#VALUE!</v>
      </c>
      <c r="HL33" t="e">
        <f>'2.4.Функции'!XP71+"BYw!$(g"</f>
        <v>#VALUE!</v>
      </c>
      <c r="HM33" t="e">
        <f>'2.4.Функции'!XQ71+"BYw!$(h"</f>
        <v>#VALUE!</v>
      </c>
      <c r="HN33" t="e">
        <f>'2.4.Функции'!XR71+"BYw!$(i"</f>
        <v>#VALUE!</v>
      </c>
      <c r="HO33" t="e">
        <f>'2.4.Функции'!XS71+"BYw!$(j"</f>
        <v>#VALUE!</v>
      </c>
      <c r="HP33" t="e">
        <f>'2.4.Функции'!XT71+"BYw!$(k"</f>
        <v>#VALUE!</v>
      </c>
      <c r="HQ33" t="e">
        <f>'2.4.Функции'!XU71+"BYw!$(l"</f>
        <v>#VALUE!</v>
      </c>
      <c r="HR33" t="e">
        <f>'2.4.Функции'!XV71+"BYw!$(m"</f>
        <v>#VALUE!</v>
      </c>
      <c r="HS33" t="e">
        <f>'2.4.Функции'!XW71+"BYw!$(n"</f>
        <v>#VALUE!</v>
      </c>
      <c r="HT33" t="e">
        <f>'2.4.Функции'!XX71+"BYw!$(o"</f>
        <v>#VALUE!</v>
      </c>
      <c r="HU33" t="e">
        <f>'2.4.Функции'!XY71+"BYw!$(p"</f>
        <v>#VALUE!</v>
      </c>
      <c r="HV33" t="e">
        <f>'2.4.Функции'!XZ71+"BYw!$(q"</f>
        <v>#VALUE!</v>
      </c>
      <c r="HW33" t="e">
        <f>'2.4.Функции'!YA71+"BYw!$(r"</f>
        <v>#VALUE!</v>
      </c>
      <c r="HX33" t="e">
        <f>'2.4.Функции'!YB71+"BYw!$(s"</f>
        <v>#VALUE!</v>
      </c>
      <c r="HY33" t="e">
        <f>'2.4.Функции'!YC71+"BYw!$(t"</f>
        <v>#VALUE!</v>
      </c>
      <c r="HZ33" t="e">
        <f>'2.4.Функции'!YD71+"BYw!$(u"</f>
        <v>#VALUE!</v>
      </c>
      <c r="IA33" t="e">
        <f>'2.4.Функции'!YE71+"BYw!$(v"</f>
        <v>#VALUE!</v>
      </c>
      <c r="IB33" t="e">
        <f>'2.4.Функции'!YF71+"BYw!$(w"</f>
        <v>#VALUE!</v>
      </c>
      <c r="IC33" t="e">
        <f>'2.4.Функции'!YG71+"BYw!$(x"</f>
        <v>#VALUE!</v>
      </c>
      <c r="ID33" t="e">
        <f>'2.4.Функции'!YH71+"BYw!$(y"</f>
        <v>#VALUE!</v>
      </c>
      <c r="IE33" t="e">
        <f>'2.4.Функции'!YI71+"BYw!$(z"</f>
        <v>#VALUE!</v>
      </c>
      <c r="IF33" t="e">
        <f>'2.4.Функции'!YJ71+"BYw!$({"</f>
        <v>#VALUE!</v>
      </c>
      <c r="IG33" t="e">
        <f>'2.4.Функции'!YK71+"BYw!$(|"</f>
        <v>#VALUE!</v>
      </c>
      <c r="IH33" t="e">
        <f>'2.4.Функции'!YL71+"BYw!$(}"</f>
        <v>#VALUE!</v>
      </c>
      <c r="II33" t="e">
        <f>'2.4.Функции'!YM71+"BYw!$(~"</f>
        <v>#VALUE!</v>
      </c>
      <c r="IJ33" t="e">
        <f>'2.4.Функции'!YN71+"BYw!$)#"</f>
        <v>#VALUE!</v>
      </c>
      <c r="IK33" t="e">
        <f>'2.4.Функции'!YO71+"BYw!$)$"</f>
        <v>#VALUE!</v>
      </c>
      <c r="IL33" t="e">
        <f>'2.4.Функции'!YP71+"BYw!$)%"</f>
        <v>#VALUE!</v>
      </c>
      <c r="IM33" t="e">
        <f>'2.4.Функции'!YQ71+"BYw!$)&amp;"</f>
        <v>#VALUE!</v>
      </c>
      <c r="IN33" t="e">
        <f>'2.4.Функции'!YR71+"BYw!$)'"</f>
        <v>#VALUE!</v>
      </c>
      <c r="IO33" t="e">
        <f>'2.4.Функции'!YS71+"BYw!$)("</f>
        <v>#VALUE!</v>
      </c>
      <c r="IP33" t="e">
        <f>'2.4.Функции'!YT71+"BYw!$))"</f>
        <v>#VALUE!</v>
      </c>
      <c r="IQ33" t="e">
        <f>'2.4.Функции'!YU71+"BYw!$)."</f>
        <v>#VALUE!</v>
      </c>
      <c r="IR33" t="e">
        <f>'2.4.Функции'!YV71+"BYw!$)/"</f>
        <v>#VALUE!</v>
      </c>
      <c r="IS33" t="e">
        <f>'2.4.Функции'!YW71+"BYw!$)0"</f>
        <v>#VALUE!</v>
      </c>
      <c r="IT33" t="e">
        <f>'2.4.Функции'!YX71+"BYw!$)1"</f>
        <v>#VALUE!</v>
      </c>
      <c r="IU33" t="e">
        <f>'2.4.Функции'!YY71+"BYw!$)2"</f>
        <v>#VALUE!</v>
      </c>
      <c r="IV33" t="e">
        <f>'2.4.Функции'!YZ71+"BYw!$)3"</f>
        <v>#VALUE!</v>
      </c>
    </row>
    <row r="34" spans="6:256" x14ac:dyDescent="0.2">
      <c r="F34" t="e">
        <f>'2.4.Функции'!ZA71+"BYw!$)4"</f>
        <v>#VALUE!</v>
      </c>
      <c r="G34" t="e">
        <f>'2.4.Функции'!ZB71+"BYw!$)5"</f>
        <v>#VALUE!</v>
      </c>
      <c r="H34" t="e">
        <f>'2.4.Функции'!ZC71+"BYw!$)6"</f>
        <v>#VALUE!</v>
      </c>
      <c r="I34" t="e">
        <f>'2.4.Функции'!ZD71+"BYw!$)7"</f>
        <v>#VALUE!</v>
      </c>
      <c r="J34" t="e">
        <f>'2.4.Функции'!ZE71+"BYw!$)8"</f>
        <v>#VALUE!</v>
      </c>
      <c r="K34" t="e">
        <f>'2.4.Функции'!ZF71+"BYw!$)9"</f>
        <v>#VALUE!</v>
      </c>
      <c r="L34" t="e">
        <f>'2.4.Функции'!ZG71+"BYw!$):"</f>
        <v>#VALUE!</v>
      </c>
      <c r="M34" t="e">
        <f>'2.4.Функции'!ZH71+"BYw!$);"</f>
        <v>#VALUE!</v>
      </c>
      <c r="N34" t="e">
        <f>'2.4.Функции'!ZI71+"BYw!$)&lt;"</f>
        <v>#VALUE!</v>
      </c>
      <c r="O34" t="e">
        <f>'2.4.Функции'!ZJ71+"BYw!$)="</f>
        <v>#VALUE!</v>
      </c>
      <c r="P34" t="e">
        <f>'2.4.Функции'!ZK71+"BYw!$)&gt;"</f>
        <v>#VALUE!</v>
      </c>
      <c r="Q34" t="e">
        <f>'2.4.Функции'!ZL71+"BYw!$)?"</f>
        <v>#VALUE!</v>
      </c>
      <c r="R34" t="e">
        <f>'2.4.Функции'!ZM71+"BYw!$)@"</f>
        <v>#VALUE!</v>
      </c>
      <c r="S34" t="e">
        <f>'2.4.Функции'!ZN71+"BYw!$)A"</f>
        <v>#VALUE!</v>
      </c>
      <c r="T34" t="e">
        <f>'2.4.Функции'!ZO71+"BYw!$)B"</f>
        <v>#VALUE!</v>
      </c>
      <c r="U34" t="e">
        <f>'2.4.Функции'!ZP71+"BYw!$)C"</f>
        <v>#VALUE!</v>
      </c>
      <c r="V34" t="e">
        <f>'2.4.Функции'!ZQ71+"BYw!$)D"</f>
        <v>#VALUE!</v>
      </c>
      <c r="W34" t="e">
        <f>'2.4.Функции'!ZR71+"BYw!$)E"</f>
        <v>#VALUE!</v>
      </c>
      <c r="X34" t="e">
        <f>'2.4.Функции'!ZS71+"BYw!$)F"</f>
        <v>#VALUE!</v>
      </c>
      <c r="Y34" t="e">
        <f>'2.4.Функции'!ZT71+"BYw!$)G"</f>
        <v>#VALUE!</v>
      </c>
      <c r="Z34" t="e">
        <f>'2.4.Функции'!ZU71+"BYw!$)H"</f>
        <v>#VALUE!</v>
      </c>
      <c r="AA34" t="e">
        <f>'2.4.Функции'!ZV71+"BYw!$)I"</f>
        <v>#VALUE!</v>
      </c>
      <c r="AB34" t="e">
        <f>'2.4.Функции'!ZW71+"BYw!$)J"</f>
        <v>#VALUE!</v>
      </c>
      <c r="AC34" t="e">
        <f>'2.4.Функции'!ZX71+"BYw!$)K"</f>
        <v>#VALUE!</v>
      </c>
      <c r="AD34" t="e">
        <f>'2.4.Функции'!ZY71+"BYw!$)L"</f>
        <v>#VALUE!</v>
      </c>
      <c r="AE34" t="e">
        <f>'2.4.Функции'!ZZ71+"BYw!$)M"</f>
        <v>#VALUE!</v>
      </c>
      <c r="AF34" t="e">
        <f>'2.4.Функции'!AAA71+"BYw!$)N"</f>
        <v>#VALUE!</v>
      </c>
      <c r="AG34" t="e">
        <f>'2.4.Функции'!AAB71+"BYw!$)O"</f>
        <v>#VALUE!</v>
      </c>
      <c r="AH34" t="e">
        <f>'2.4.Функции'!AAC71+"BYw!$)P"</f>
        <v>#VALUE!</v>
      </c>
      <c r="AI34" t="e">
        <f>'2.4.Функции'!AAD71+"BYw!$)Q"</f>
        <v>#VALUE!</v>
      </c>
      <c r="AJ34" t="e">
        <f>'2.4.Функции'!AAE71+"BYw!$)R"</f>
        <v>#VALUE!</v>
      </c>
      <c r="AK34" t="e">
        <f>'2.4.Функции'!AAF71+"BYw!$)S"</f>
        <v>#VALUE!</v>
      </c>
      <c r="AL34" t="e">
        <f>'2.4.Функции'!AAG71+"BYw!$)T"</f>
        <v>#VALUE!</v>
      </c>
      <c r="AM34" t="e">
        <f>'2.4.Функции'!AAH71+"BYw!$)U"</f>
        <v>#VALUE!</v>
      </c>
      <c r="AN34" t="e">
        <f>'2.4.Функции'!AAI71+"BYw!$)V"</f>
        <v>#VALUE!</v>
      </c>
      <c r="AO34" t="e">
        <f>'2.4.Функции'!AAJ71+"BYw!$)W"</f>
        <v>#VALUE!</v>
      </c>
      <c r="AP34" t="e">
        <f>'2.4.Функции'!AAK71+"BYw!$)X"</f>
        <v>#VALUE!</v>
      </c>
      <c r="AQ34" t="e">
        <f>'2.4.Функции'!AAL71+"BYw!$)Y"</f>
        <v>#VALUE!</v>
      </c>
      <c r="AR34" t="e">
        <f>'2.4.Функции'!AAM71+"BYw!$)Z"</f>
        <v>#VALUE!</v>
      </c>
      <c r="AS34" t="e">
        <f>'2.4.Функции'!AAN71+"BYw!$)["</f>
        <v>#VALUE!</v>
      </c>
      <c r="AT34" t="e">
        <f>'2.4.Функции'!AAO71+"BYw!$)\"</f>
        <v>#VALUE!</v>
      </c>
      <c r="AU34" t="e">
        <f>'2.4.Функции'!AAP71+"BYw!$)]"</f>
        <v>#VALUE!</v>
      </c>
      <c r="AV34" t="e">
        <f>'2.4.Функции'!AAQ71+"BYw!$)^"</f>
        <v>#VALUE!</v>
      </c>
      <c r="AW34" t="e">
        <f>'2.4.Функции'!AAR71+"BYw!$)_"</f>
        <v>#VALUE!</v>
      </c>
      <c r="AX34" t="e">
        <f>'2.4.Функции'!AAS71+"BYw!$)`"</f>
        <v>#VALUE!</v>
      </c>
      <c r="AY34" t="e">
        <f>'2.4.Функции'!AAT71+"BYw!$)a"</f>
        <v>#VALUE!</v>
      </c>
      <c r="AZ34" t="e">
        <f>'2.4.Функции'!AAU71+"BYw!$)b"</f>
        <v>#VALUE!</v>
      </c>
      <c r="BA34" t="e">
        <f>'2.4.Функции'!AAV71+"BYw!$)c"</f>
        <v>#VALUE!</v>
      </c>
      <c r="BB34" t="e">
        <f>'2.4.Функции'!AAW71+"BYw!$)d"</f>
        <v>#VALUE!</v>
      </c>
      <c r="BC34" t="e">
        <f>'2.4.Функции'!AAX71+"BYw!$)e"</f>
        <v>#VALUE!</v>
      </c>
      <c r="BD34" t="e">
        <f>'2.4.Функции'!AAY71+"BYw!$)f"</f>
        <v>#VALUE!</v>
      </c>
      <c r="BE34" t="e">
        <f>'2.4.Функции'!AAZ71+"BYw!$)g"</f>
        <v>#VALUE!</v>
      </c>
      <c r="BF34" t="e">
        <f>'2.4.Функции'!ABA71+"BYw!$)h"</f>
        <v>#VALUE!</v>
      </c>
      <c r="BG34" t="e">
        <f>'2.4.Функции'!ABB71+"BYw!$)i"</f>
        <v>#VALUE!</v>
      </c>
      <c r="BH34" t="e">
        <f>'2.4.Функции'!ABC71+"BYw!$)j"</f>
        <v>#VALUE!</v>
      </c>
      <c r="BI34" t="e">
        <f>'2.4.Функции'!ABD71+"BYw!$)k"</f>
        <v>#VALUE!</v>
      </c>
      <c r="BJ34" t="e">
        <f>'2.4.Функции'!ABE71+"BYw!$)l"</f>
        <v>#VALUE!</v>
      </c>
      <c r="BK34" t="e">
        <f>'2.4.Функции'!ABF71+"BYw!$)m"</f>
        <v>#VALUE!</v>
      </c>
      <c r="BL34" t="e">
        <f>'2.4.Функции'!ABG71+"BYw!$)n"</f>
        <v>#VALUE!</v>
      </c>
      <c r="BM34" t="e">
        <f>'2.4.Функции'!ABH71+"BYw!$)o"</f>
        <v>#VALUE!</v>
      </c>
      <c r="BN34" t="e">
        <f>'2.4.Функции'!ABI71+"BYw!$)p"</f>
        <v>#VALUE!</v>
      </c>
      <c r="BO34" t="e">
        <f>'2.4.Функции'!ABJ71+"BYw!$)q"</f>
        <v>#VALUE!</v>
      </c>
      <c r="BP34" t="e">
        <f>'2.4.Функции'!ABK71+"BYw!$)r"</f>
        <v>#VALUE!</v>
      </c>
      <c r="BQ34" t="e">
        <f>'2.4.Функции'!ABL71+"BYw!$)s"</f>
        <v>#VALUE!</v>
      </c>
      <c r="BR34" t="e">
        <f>'2.4.Функции'!ABM71+"BYw!$)t"</f>
        <v>#VALUE!</v>
      </c>
      <c r="BS34" t="e">
        <f>'2.4.Функции'!ABN71+"BYw!$)u"</f>
        <v>#VALUE!</v>
      </c>
      <c r="BT34" t="e">
        <f>'2.4.Функции'!ABO71+"BYw!$)v"</f>
        <v>#VALUE!</v>
      </c>
      <c r="BU34" t="e">
        <f>'2.4.Функции'!ABP71+"BYw!$)w"</f>
        <v>#VALUE!</v>
      </c>
      <c r="BV34" t="e">
        <f>'2.4.Функции'!ABQ71+"BYw!$)x"</f>
        <v>#VALUE!</v>
      </c>
      <c r="BW34" t="e">
        <f>'2.4.Функции'!ABR71+"BYw!$)y"</f>
        <v>#VALUE!</v>
      </c>
      <c r="BX34" t="e">
        <f>'2.4.Функции'!ABS71+"BYw!$)z"</f>
        <v>#VALUE!</v>
      </c>
      <c r="BY34" t="e">
        <f>'2.4.Функции'!ABT71+"BYw!$){"</f>
        <v>#VALUE!</v>
      </c>
      <c r="BZ34" t="e">
        <f>'2.4.Функции'!ABU71+"BYw!$)|"</f>
        <v>#VALUE!</v>
      </c>
      <c r="CA34" t="e">
        <f>'2.4.Функции'!ABV71+"BYw!$)}"</f>
        <v>#VALUE!</v>
      </c>
      <c r="CB34" t="e">
        <f>'2.4.Функции'!ABW71+"BYw!$)~"</f>
        <v>#VALUE!</v>
      </c>
      <c r="CC34" t="e">
        <f>'2.4.Функции'!ABX71+"BYw!$.#"</f>
        <v>#VALUE!</v>
      </c>
      <c r="CD34" t="e">
        <f>'2.4.Функции'!ABY71+"BYw!$.$"</f>
        <v>#VALUE!</v>
      </c>
      <c r="CE34" t="e">
        <f>'2.4.Функции'!ABZ71+"BYw!$.%"</f>
        <v>#VALUE!</v>
      </c>
      <c r="CF34" t="e">
        <f>'2.4.Функции'!ACA71+"BYw!$.&amp;"</f>
        <v>#VALUE!</v>
      </c>
      <c r="CG34" t="e">
        <f>'2.4.Функции'!ACB71+"BYw!$.'"</f>
        <v>#VALUE!</v>
      </c>
      <c r="CH34" t="e">
        <f>'2.4.Функции'!ACC71+"BYw!$.("</f>
        <v>#VALUE!</v>
      </c>
      <c r="CI34" t="e">
        <f>'2.4.Функции'!ACD71+"BYw!$.)"</f>
        <v>#VALUE!</v>
      </c>
      <c r="CJ34" t="e">
        <f>'2.4.Функции'!ACE71+"BYw!$.."</f>
        <v>#VALUE!</v>
      </c>
      <c r="CK34" t="e">
        <f>'2.4.Функции'!ACF71+"BYw!$./"</f>
        <v>#VALUE!</v>
      </c>
      <c r="CL34" t="e">
        <f>'2.4.Функции'!ACG71+"BYw!$.0"</f>
        <v>#VALUE!</v>
      </c>
      <c r="CM34" t="e">
        <f>'2.4.Функции'!ACH71+"BYw!$.1"</f>
        <v>#VALUE!</v>
      </c>
      <c r="CN34" t="e">
        <f>'2.4.Функции'!ACI71+"BYw!$.2"</f>
        <v>#VALUE!</v>
      </c>
      <c r="CO34" t="e">
        <f>'2.4.Функции'!ACJ71+"BYw!$.3"</f>
        <v>#VALUE!</v>
      </c>
      <c r="CP34" t="e">
        <f>'2.4.Функции'!ACK71+"BYw!$.4"</f>
        <v>#VALUE!</v>
      </c>
      <c r="CQ34" t="e">
        <f>'2.4.Функции'!ACL71+"BYw!$.5"</f>
        <v>#VALUE!</v>
      </c>
      <c r="CR34" t="e">
        <f>'2.4.Функции'!ACM71+"BYw!$.6"</f>
        <v>#VALUE!</v>
      </c>
      <c r="CS34" t="e">
        <f>'2.4.Функции'!ACN71+"BYw!$.7"</f>
        <v>#VALUE!</v>
      </c>
      <c r="CT34" t="e">
        <f>'2.4.Функции'!ACO71+"BYw!$.8"</f>
        <v>#VALUE!</v>
      </c>
      <c r="CU34" t="e">
        <f>'2.4.Функции'!ACP71+"BYw!$.9"</f>
        <v>#VALUE!</v>
      </c>
      <c r="CV34" t="e">
        <f>'2.4.Функции'!ACQ71+"BYw!$.:"</f>
        <v>#VALUE!</v>
      </c>
      <c r="CW34" t="e">
        <f>'2.4.Функции'!ACR71+"BYw!$.;"</f>
        <v>#VALUE!</v>
      </c>
      <c r="CX34" t="e">
        <f>'2.4.Функции'!ACS71+"BYw!$.&lt;"</f>
        <v>#VALUE!</v>
      </c>
      <c r="CY34" t="e">
        <f>'2.4.Функции'!ACT71+"BYw!$.="</f>
        <v>#VALUE!</v>
      </c>
      <c r="CZ34" t="e">
        <f>'2.4.Функции'!ACU71+"BYw!$.&gt;"</f>
        <v>#VALUE!</v>
      </c>
      <c r="DA34" t="e">
        <f>'2.4.Функции'!ACV71+"BYw!$.?"</f>
        <v>#VALUE!</v>
      </c>
      <c r="DB34" t="e">
        <f>'2.4.Функции'!ACW71+"BYw!$.@"</f>
        <v>#VALUE!</v>
      </c>
      <c r="DC34" t="e">
        <f>'2.4.Функции'!ACX71+"BYw!$.A"</f>
        <v>#VALUE!</v>
      </c>
      <c r="DD34" t="e">
        <f>'2.4.Функции'!ACY71+"BYw!$.B"</f>
        <v>#VALUE!</v>
      </c>
      <c r="DE34" t="e">
        <f>'2.4.Функции'!ACZ71+"BYw!$.C"</f>
        <v>#VALUE!</v>
      </c>
      <c r="DF34" t="e">
        <f>'2.4.Функции'!ADA71+"BYw!$.D"</f>
        <v>#VALUE!</v>
      </c>
      <c r="DG34" t="e">
        <f>'2.4.Функции'!ADB71+"BYw!$.E"</f>
        <v>#VALUE!</v>
      </c>
      <c r="DH34" t="e">
        <f>'2.4.Функции'!ADC71+"BYw!$.F"</f>
        <v>#VALUE!</v>
      </c>
      <c r="DI34" t="e">
        <f>'2.4.Функции'!ADD71+"BYw!$.G"</f>
        <v>#VALUE!</v>
      </c>
      <c r="DJ34" t="e">
        <f>'2.4.Функции'!ADE71+"BYw!$.H"</f>
        <v>#VALUE!</v>
      </c>
      <c r="DK34" t="e">
        <f>'2.4.Функции'!ADF71+"BYw!$.I"</f>
        <v>#VALUE!</v>
      </c>
      <c r="DL34" t="e">
        <f>'2.4.Функции'!ADG71+"BYw!$.J"</f>
        <v>#VALUE!</v>
      </c>
      <c r="DM34" t="e">
        <f>'2.4.Функции'!ADH71+"BYw!$.K"</f>
        <v>#VALUE!</v>
      </c>
      <c r="DN34" t="e">
        <f>'2.4.Функции'!ADI71+"BYw!$.L"</f>
        <v>#VALUE!</v>
      </c>
      <c r="DO34" t="e">
        <f>'2.4.Функции'!ADJ71+"BYw!$.M"</f>
        <v>#VALUE!</v>
      </c>
      <c r="DP34" t="e">
        <f>'2.4.Функции'!ADK71+"BYw!$.N"</f>
        <v>#VALUE!</v>
      </c>
      <c r="DQ34" t="e">
        <f>'2.4.Функции'!ADL71+"BYw!$.O"</f>
        <v>#VALUE!</v>
      </c>
      <c r="DR34" t="e">
        <f>'2.4.Функции'!ADM71+"BYw!$.P"</f>
        <v>#VALUE!</v>
      </c>
      <c r="DS34" t="e">
        <f>'2.4.Функции'!ADN71+"BYw!$.Q"</f>
        <v>#VALUE!</v>
      </c>
      <c r="DT34" t="e">
        <f>'2.4.Функции'!ADO71+"BYw!$.R"</f>
        <v>#VALUE!</v>
      </c>
      <c r="DU34" t="e">
        <f>'2.4.Функции'!ADP71+"BYw!$.S"</f>
        <v>#VALUE!</v>
      </c>
      <c r="DV34" t="e">
        <f>'2.4.Функции'!ADQ71+"BYw!$.T"</f>
        <v>#VALUE!</v>
      </c>
      <c r="DW34" t="e">
        <f>'2.4.Функции'!ADR71+"BYw!$.U"</f>
        <v>#VALUE!</v>
      </c>
      <c r="DX34" t="e">
        <f>'2.4.Функции'!ADS71+"BYw!$.V"</f>
        <v>#VALUE!</v>
      </c>
      <c r="DY34" t="e">
        <f>'2.4.Функции'!ADT71+"BYw!$.W"</f>
        <v>#VALUE!</v>
      </c>
      <c r="DZ34" t="e">
        <f>'2.4.Функции'!ADU71+"BYw!$.X"</f>
        <v>#VALUE!</v>
      </c>
      <c r="EA34" t="e">
        <f>'2.4.Функции'!ADV71+"BYw!$.Y"</f>
        <v>#VALUE!</v>
      </c>
      <c r="EB34" t="e">
        <f>'2.4.Функции'!ADW71+"BYw!$.Z"</f>
        <v>#VALUE!</v>
      </c>
      <c r="EC34" t="e">
        <f>'2.4.Функции'!ADX71+"BYw!$.["</f>
        <v>#VALUE!</v>
      </c>
      <c r="ED34" t="e">
        <f>'2.4.Функции'!ADY71+"BYw!$.\"</f>
        <v>#VALUE!</v>
      </c>
      <c r="EE34" t="e">
        <f>'2.4.Функции'!ADZ71+"BYw!$.]"</f>
        <v>#VALUE!</v>
      </c>
      <c r="EF34" t="e">
        <f>'2.4.Функции'!AEA71+"BYw!$.^"</f>
        <v>#VALUE!</v>
      </c>
      <c r="EG34" t="e">
        <f>'2.4.Функции'!AEB71+"BYw!$._"</f>
        <v>#VALUE!</v>
      </c>
      <c r="EH34" t="e">
        <f>'2.4.Функции'!AEC71+"BYw!$.`"</f>
        <v>#VALUE!</v>
      </c>
      <c r="EI34" t="e">
        <f>'2.4.Функции'!AED71+"BYw!$.a"</f>
        <v>#VALUE!</v>
      </c>
      <c r="EJ34" t="e">
        <f>'2.4.Функции'!AEE71+"BYw!$.b"</f>
        <v>#VALUE!</v>
      </c>
      <c r="EK34" t="e">
        <f>'2.4.Функции'!AEF71+"BYw!$.c"</f>
        <v>#VALUE!</v>
      </c>
      <c r="EL34" t="e">
        <f>'2.4.Функции'!AEG71+"BYw!$.d"</f>
        <v>#VALUE!</v>
      </c>
      <c r="EM34" t="e">
        <f>'2.4.Функции'!AEH71+"BYw!$.e"</f>
        <v>#VALUE!</v>
      </c>
      <c r="EN34" t="e">
        <f>'2.4.Функции'!AEI71+"BYw!$.f"</f>
        <v>#VALUE!</v>
      </c>
      <c r="EO34" t="e">
        <f>'2.4.Функции'!AEJ71+"BYw!$.g"</f>
        <v>#VALUE!</v>
      </c>
      <c r="EP34" t="e">
        <f>'2.4.Функции'!AEK71+"BYw!$.h"</f>
        <v>#VALUE!</v>
      </c>
      <c r="EQ34" t="e">
        <f>'2.4.Функции'!AEL71+"BYw!$.i"</f>
        <v>#VALUE!</v>
      </c>
      <c r="ER34" t="e">
        <f>'2.4.Функции'!AEM71+"BYw!$.j"</f>
        <v>#VALUE!</v>
      </c>
      <c r="ES34" t="e">
        <f>'2.4.Функции'!AEN71+"BYw!$.k"</f>
        <v>#VALUE!</v>
      </c>
      <c r="ET34" t="e">
        <f>'2.4.Функции'!AEO71+"BYw!$.l"</f>
        <v>#VALUE!</v>
      </c>
      <c r="EU34" t="e">
        <f>'2.4.Функции'!AEP71+"BYw!$.m"</f>
        <v>#VALUE!</v>
      </c>
      <c r="EV34" t="e">
        <f>'2.4.Функции'!AEQ71+"BYw!$.n"</f>
        <v>#VALUE!</v>
      </c>
      <c r="EW34" t="e">
        <f>'2.4.Функции'!AER71+"BYw!$.o"</f>
        <v>#VALUE!</v>
      </c>
      <c r="EX34" t="e">
        <f>'2.4.Функции'!AES71+"BYw!$.p"</f>
        <v>#VALUE!</v>
      </c>
      <c r="EY34" t="e">
        <f>'2.4.Функции'!AET71+"BYw!$.q"</f>
        <v>#VALUE!</v>
      </c>
      <c r="EZ34" t="e">
        <f>'2.4.Функции'!AEU71+"BYw!$.r"</f>
        <v>#VALUE!</v>
      </c>
      <c r="FA34" t="e">
        <f>'2.4.Функции'!AEV71+"BYw!$.s"</f>
        <v>#VALUE!</v>
      </c>
      <c r="FB34" t="e">
        <f>'2.4.Функции'!AEW71+"BYw!$.t"</f>
        <v>#VALUE!</v>
      </c>
      <c r="FC34" t="e">
        <f>'2.4.Функции'!AEX71+"BYw!$.u"</f>
        <v>#VALUE!</v>
      </c>
      <c r="FD34" t="e">
        <f>'2.4.Функции'!AEY71+"BYw!$.v"</f>
        <v>#VALUE!</v>
      </c>
      <c r="FE34" t="e">
        <f>'2.4.Функции'!AEZ71+"BYw!$.w"</f>
        <v>#VALUE!</v>
      </c>
      <c r="FF34" t="e">
        <f>'2.4.Функции'!AFA71+"BYw!$.x"</f>
        <v>#VALUE!</v>
      </c>
      <c r="FG34" t="e">
        <f>'2.4.Функции'!AFB71+"BYw!$.y"</f>
        <v>#VALUE!</v>
      </c>
      <c r="FH34" t="e">
        <f>'2.4.Функции'!AFC71+"BYw!$.z"</f>
        <v>#VALUE!</v>
      </c>
      <c r="FI34" t="e">
        <f>'2.4.Функции'!AFD71+"BYw!$.{"</f>
        <v>#VALUE!</v>
      </c>
      <c r="FJ34" t="e">
        <f>'2.4.Функции'!AFE71+"BYw!$.|"</f>
        <v>#VALUE!</v>
      </c>
      <c r="FK34" t="e">
        <f>'2.4.Функции'!AFF71+"BYw!$.}"</f>
        <v>#VALUE!</v>
      </c>
      <c r="FL34" t="e">
        <f>'2.4.Функции'!AFG71+"BYw!$.~"</f>
        <v>#VALUE!</v>
      </c>
      <c r="FM34" t="e">
        <f>'2.4.Функции'!AFH71+"BYw!$/#"</f>
        <v>#VALUE!</v>
      </c>
      <c r="FN34" t="e">
        <f>'2.4.Функции'!AFI71+"BYw!$/$"</f>
        <v>#VALUE!</v>
      </c>
      <c r="FO34" t="e">
        <f>'2.4.Функции'!AFJ71+"BYw!$/%"</f>
        <v>#VALUE!</v>
      </c>
      <c r="FP34" t="e">
        <f>'2.4.Функции'!AFK71+"BYw!$/&amp;"</f>
        <v>#VALUE!</v>
      </c>
      <c r="FQ34" t="e">
        <f>'2.4.Функции'!AFL71+"BYw!$/'"</f>
        <v>#VALUE!</v>
      </c>
      <c r="FR34" t="e">
        <f>'2.4.Функции'!AFM71+"BYw!$/("</f>
        <v>#VALUE!</v>
      </c>
      <c r="FS34" t="e">
        <f>'2.4.Функции'!AFN71+"BYw!$/)"</f>
        <v>#VALUE!</v>
      </c>
      <c r="FT34" t="e">
        <f>'2.4.Функции'!AFO71+"BYw!$/."</f>
        <v>#VALUE!</v>
      </c>
      <c r="FU34" t="e">
        <f>'2.4.Функции'!AFP71+"BYw!$//"</f>
        <v>#VALUE!</v>
      </c>
      <c r="FV34" t="e">
        <f>'2.4.Функции'!AFQ71+"BYw!$/0"</f>
        <v>#VALUE!</v>
      </c>
      <c r="FW34" t="e">
        <f>'2.4.Функции'!AFR71+"BYw!$/1"</f>
        <v>#VALUE!</v>
      </c>
      <c r="FX34" t="e">
        <f>'2.4.Функции'!AFS71+"BYw!$/2"</f>
        <v>#VALUE!</v>
      </c>
      <c r="FY34" t="e">
        <f>'2.4.Функции'!AFT71+"BYw!$/3"</f>
        <v>#VALUE!</v>
      </c>
      <c r="FZ34" t="e">
        <f>'2.4.Функции'!AFU71+"BYw!$/4"</f>
        <v>#VALUE!</v>
      </c>
      <c r="GA34" t="e">
        <f>'2.4.Функции'!AFV71+"BYw!$/5"</f>
        <v>#VALUE!</v>
      </c>
      <c r="GB34" t="e">
        <f>'2.4.Функции'!AFW71+"BYw!$/6"</f>
        <v>#VALUE!</v>
      </c>
      <c r="GC34" t="e">
        <f>'2.4.Функции'!AFX71+"BYw!$/7"</f>
        <v>#VALUE!</v>
      </c>
      <c r="GD34" t="e">
        <f>'2.4.Функции'!AFY71+"BYw!$/8"</f>
        <v>#VALUE!</v>
      </c>
      <c r="GE34" t="e">
        <f>'2.4.Функции'!AFZ71+"BYw!$/9"</f>
        <v>#VALUE!</v>
      </c>
      <c r="GF34" t="e">
        <f>'2.4.Функции'!AGA71+"BYw!$/:"</f>
        <v>#VALUE!</v>
      </c>
      <c r="GG34" t="e">
        <f>'2.4.Функции'!AGB71+"BYw!$/;"</f>
        <v>#VALUE!</v>
      </c>
      <c r="GH34" t="e">
        <f>'2.4.Функции'!AGC71+"BYw!$/&lt;"</f>
        <v>#VALUE!</v>
      </c>
      <c r="GI34" t="e">
        <f>'2.4.Функции'!AGD71+"BYw!$/="</f>
        <v>#VALUE!</v>
      </c>
      <c r="GJ34" t="e">
        <f>'2.4.Функции'!AGE71+"BYw!$/&gt;"</f>
        <v>#VALUE!</v>
      </c>
      <c r="GK34" t="e">
        <f>'2.4.Функции'!AGF71+"BYw!$/?"</f>
        <v>#VALUE!</v>
      </c>
      <c r="GL34" t="e">
        <f>'2.4.Функции'!AGG71+"BYw!$/@"</f>
        <v>#VALUE!</v>
      </c>
      <c r="GM34" t="e">
        <f>'2.4.Функции'!AGH71+"BYw!$/A"</f>
        <v>#VALUE!</v>
      </c>
      <c r="GN34" t="e">
        <f>'2.4.Функции'!AGI71+"BYw!$/B"</f>
        <v>#VALUE!</v>
      </c>
      <c r="GO34" t="e">
        <f>'2.4.Функции'!AGJ71+"BYw!$/C"</f>
        <v>#VALUE!</v>
      </c>
      <c r="GP34" t="e">
        <f>'2.4.Функции'!AGK71+"BYw!$/D"</f>
        <v>#VALUE!</v>
      </c>
      <c r="GQ34" t="e">
        <f>'2.4.Функции'!AGL71+"BYw!$/E"</f>
        <v>#VALUE!</v>
      </c>
      <c r="GR34" t="e">
        <f>'2.4.Функции'!AGM71+"BYw!$/F"</f>
        <v>#VALUE!</v>
      </c>
      <c r="GS34" t="e">
        <f>'2.4.Функции'!AGN71+"BYw!$/G"</f>
        <v>#VALUE!</v>
      </c>
      <c r="GT34" t="e">
        <f>'2.4.Функции'!AGO71+"BYw!$/H"</f>
        <v>#VALUE!</v>
      </c>
      <c r="GU34" t="e">
        <f>'2.4.Функции'!AGP71+"BYw!$/I"</f>
        <v>#VALUE!</v>
      </c>
      <c r="GV34" t="e">
        <f>'2.4.Функции'!AGQ71+"BYw!$/J"</f>
        <v>#VALUE!</v>
      </c>
      <c r="GW34" t="e">
        <f>'2.4.Функции'!AGR71+"BYw!$/K"</f>
        <v>#VALUE!</v>
      </c>
      <c r="GX34" t="e">
        <f>'2.4.Функции'!AGS71+"BYw!$/L"</f>
        <v>#VALUE!</v>
      </c>
      <c r="GY34" t="e">
        <f>'2.4.Функции'!AGT71+"BYw!$/M"</f>
        <v>#VALUE!</v>
      </c>
      <c r="GZ34" t="e">
        <f>'2.4.Функции'!AGU71+"BYw!$/N"</f>
        <v>#VALUE!</v>
      </c>
      <c r="HA34" t="e">
        <f>'2.4.Функции'!AGV71+"BYw!$/O"</f>
        <v>#VALUE!</v>
      </c>
      <c r="HB34" t="e">
        <f>'2.4.Функции'!AGW71+"BYw!$/P"</f>
        <v>#VALUE!</v>
      </c>
      <c r="HC34" t="e">
        <f>'2.4.Функции'!AGX71+"BYw!$/Q"</f>
        <v>#VALUE!</v>
      </c>
      <c r="HD34" t="e">
        <f>'2.4.Функции'!AGY71+"BYw!$/R"</f>
        <v>#VALUE!</v>
      </c>
      <c r="HE34" t="e">
        <f>'2.4.Функции'!AGZ71+"BYw!$/S"</f>
        <v>#VALUE!</v>
      </c>
      <c r="HF34" t="e">
        <f>'2.4.Функции'!AHA71+"BYw!$/T"</f>
        <v>#VALUE!</v>
      </c>
      <c r="HG34" t="e">
        <f>'2.4.Функции'!AHB71+"BYw!$/U"</f>
        <v>#VALUE!</v>
      </c>
      <c r="HH34" t="e">
        <f>'2.4.Функции'!AHC71+"BYw!$/V"</f>
        <v>#VALUE!</v>
      </c>
      <c r="HI34" t="e">
        <f>'2.4.Функции'!AHD71+"BYw!$/W"</f>
        <v>#VALUE!</v>
      </c>
      <c r="HJ34" t="e">
        <f>'2.4.Функции'!AHE71+"BYw!$/X"</f>
        <v>#VALUE!</v>
      </c>
      <c r="HK34" t="e">
        <f>'2.4.Функции'!AHF71+"BYw!$/Y"</f>
        <v>#VALUE!</v>
      </c>
      <c r="HL34" t="e">
        <f>'2.4.Функции'!AHG71+"BYw!$/Z"</f>
        <v>#VALUE!</v>
      </c>
      <c r="HM34" t="e">
        <f>'2.4.Функции'!AHH71+"BYw!$/["</f>
        <v>#VALUE!</v>
      </c>
      <c r="HN34" t="e">
        <f>'2.4.Функции'!AHI71+"BYw!$/\"</f>
        <v>#VALUE!</v>
      </c>
      <c r="HO34" t="e">
        <f>'2.4.Функции'!AHJ71+"BYw!$/]"</f>
        <v>#VALUE!</v>
      </c>
      <c r="HP34" t="e">
        <f>'2.4.Функции'!AHK71+"BYw!$/^"</f>
        <v>#VALUE!</v>
      </c>
      <c r="HQ34" t="e">
        <f>'2.4.Функции'!AHL71+"BYw!$/_"</f>
        <v>#VALUE!</v>
      </c>
      <c r="HR34" t="e">
        <f>'2.4.Функции'!AHM71+"BYw!$/`"</f>
        <v>#VALUE!</v>
      </c>
      <c r="HS34" t="e">
        <f>'2.4.Функции'!AHN71+"BYw!$/a"</f>
        <v>#VALUE!</v>
      </c>
      <c r="HT34" t="e">
        <f>'2.4.Функции'!AHO71+"BYw!$/b"</f>
        <v>#VALUE!</v>
      </c>
      <c r="HU34" t="e">
        <f>'2.4.Функции'!AHP71+"BYw!$/c"</f>
        <v>#VALUE!</v>
      </c>
      <c r="HV34" t="e">
        <f>'2.4.Функции'!AHQ71+"BYw!$/d"</f>
        <v>#VALUE!</v>
      </c>
      <c r="HW34" t="e">
        <f>'2.4.Функции'!AHR71+"BYw!$/e"</f>
        <v>#VALUE!</v>
      </c>
      <c r="HX34" t="e">
        <f>'2.4.Функции'!AHS71+"BYw!$/f"</f>
        <v>#VALUE!</v>
      </c>
      <c r="HY34" t="e">
        <f>'2.4.Функции'!AHT71+"BYw!$/g"</f>
        <v>#VALUE!</v>
      </c>
      <c r="HZ34" t="e">
        <f>'2.4.Функции'!AHU71+"BYw!$/h"</f>
        <v>#VALUE!</v>
      </c>
      <c r="IA34" t="e">
        <f>'2.4.Функции'!AHV71+"BYw!$/i"</f>
        <v>#VALUE!</v>
      </c>
      <c r="IB34" t="e">
        <f>'2.4.Функции'!AHW71+"BYw!$/j"</f>
        <v>#VALUE!</v>
      </c>
      <c r="IC34" t="e">
        <f>'2.4.Функции'!AHX71+"BYw!$/k"</f>
        <v>#VALUE!</v>
      </c>
      <c r="ID34" t="e">
        <f>'2.4.Функции'!AHY71+"BYw!$/l"</f>
        <v>#VALUE!</v>
      </c>
      <c r="IE34" t="e">
        <f>'2.4.Функции'!AHZ71+"BYw!$/m"</f>
        <v>#VALUE!</v>
      </c>
      <c r="IF34" t="e">
        <f>'2.4.Функции'!AIA71+"BYw!$/n"</f>
        <v>#VALUE!</v>
      </c>
      <c r="IG34" t="e">
        <f>'2.4.Функции'!AIB71+"BYw!$/o"</f>
        <v>#VALUE!</v>
      </c>
      <c r="IH34" t="e">
        <f>'2.4.Функции'!AIC71+"BYw!$/p"</f>
        <v>#VALUE!</v>
      </c>
      <c r="II34" t="e">
        <f>'2.4.Функции'!AID71+"BYw!$/q"</f>
        <v>#VALUE!</v>
      </c>
      <c r="IJ34" t="e">
        <f>'2.4.Функции'!AIE71+"BYw!$/r"</f>
        <v>#VALUE!</v>
      </c>
      <c r="IK34" t="e">
        <f>'2.4.Функции'!AIF71+"BYw!$/s"</f>
        <v>#VALUE!</v>
      </c>
      <c r="IL34" t="e">
        <f>'2.4.Функции'!AIG71+"BYw!$/t"</f>
        <v>#VALUE!</v>
      </c>
      <c r="IM34" t="e">
        <f>'2.4.Функции'!AIH71+"BYw!$/u"</f>
        <v>#VALUE!</v>
      </c>
      <c r="IN34" t="e">
        <f>'2.4.Функции'!A72+"BYw!$/v"</f>
        <v>#VALUE!</v>
      </c>
      <c r="IO34" s="116" t="e">
        <f>'2.4.Функции'!B72+"BYw!$/w"</f>
        <v>#VALUE!</v>
      </c>
      <c r="IP34" t="e">
        <f>'2.4.Функции'!C72+"BYw!$/x"</f>
        <v>#VALUE!</v>
      </c>
      <c r="IQ34" s="119" t="e">
        <f>'2.4.Функции'!D72+"BYw!$/y"</f>
        <v>#VALUE!</v>
      </c>
      <c r="IR34" s="119" t="e">
        <f>'2.4.Функции'!E72+"BYw!$/z"</f>
        <v>#VALUE!</v>
      </c>
      <c r="IS34" s="119" t="e">
        <f>'2.4.Функции'!F72+"BYw!$/{"</f>
        <v>#VALUE!</v>
      </c>
      <c r="IT34" s="119" t="e">
        <f>'2.4.Функции'!G72+"BYw!$/|"</f>
        <v>#VALUE!</v>
      </c>
      <c r="IU34" s="119" t="e">
        <f>'2.4.Функции'!H72+"BYw!$/}"</f>
        <v>#VALUE!</v>
      </c>
      <c r="IV34" s="119" t="e">
        <f>'2.4.Функции'!I72+"BYw!$/~"</f>
        <v>#VALUE!</v>
      </c>
    </row>
    <row r="35" spans="6:256" x14ac:dyDescent="0.2">
      <c r="F35" s="119" t="e">
        <f>'2.4.Функции'!J72+"BYw!$0#"</f>
        <v>#VALUE!</v>
      </c>
      <c r="G35" s="119" t="e">
        <f>'2.4.Функции'!K72+"BYw!$0$"</f>
        <v>#VALUE!</v>
      </c>
      <c r="H35" t="e">
        <f>'2.4.Функции'!L72+"BYw!$0%"</f>
        <v>#VALUE!</v>
      </c>
      <c r="I35" t="e">
        <f>'2.4.Функции'!M72+"BYw!$0&amp;"</f>
        <v>#VALUE!</v>
      </c>
      <c r="J35" t="e">
        <f>'2.4.Функции'!N72+"BYw!$0'"</f>
        <v>#VALUE!</v>
      </c>
      <c r="K35" t="e">
        <f>'2.4.Функции'!O72+"BYw!$0("</f>
        <v>#VALUE!</v>
      </c>
      <c r="L35" t="e">
        <f>'2.4.Функции'!P72+"BYw!$0)"</f>
        <v>#VALUE!</v>
      </c>
      <c r="M35" t="e">
        <f>'2.4.Функции'!Q72+"BYw!$0."</f>
        <v>#VALUE!</v>
      </c>
      <c r="N35" t="e">
        <f>'2.4.Функции'!R72+"BYw!$0/"</f>
        <v>#VALUE!</v>
      </c>
      <c r="O35" t="e">
        <f>'2.4.Функции'!S72+"BYw!$00"</f>
        <v>#VALUE!</v>
      </c>
      <c r="P35" t="e">
        <f>'2.4.Функции'!T72+"BYw!$01"</f>
        <v>#VALUE!</v>
      </c>
      <c r="Q35" t="e">
        <f>'2.4.Функции'!U72+"BYw!$02"</f>
        <v>#VALUE!</v>
      </c>
      <c r="R35" t="e">
        <f>'2.4.Функции'!V72+"BYw!$03"</f>
        <v>#VALUE!</v>
      </c>
      <c r="S35" t="e">
        <f>'2.4.Функции'!W72+"BYw!$04"</f>
        <v>#VALUE!</v>
      </c>
      <c r="T35" t="e">
        <f>'2.4.Функции'!X72+"BYw!$05"</f>
        <v>#VALUE!</v>
      </c>
      <c r="U35" t="e">
        <f>'2.4.Функции'!Y72+"BYw!$06"</f>
        <v>#VALUE!</v>
      </c>
      <c r="V35" t="e">
        <f>'2.4.Функции'!Z72+"BYw!$07"</f>
        <v>#VALUE!</v>
      </c>
      <c r="W35" t="e">
        <f>'2.4.Функции'!AA72+"BYw!$08"</f>
        <v>#VALUE!</v>
      </c>
      <c r="X35" t="e">
        <f>'2.4.Функции'!AB72+"BYw!$09"</f>
        <v>#VALUE!</v>
      </c>
      <c r="Y35" t="e">
        <f>'2.4.Функции'!AC72+"BYw!$0:"</f>
        <v>#VALUE!</v>
      </c>
      <c r="Z35" t="e">
        <f>'2.4.Функции'!AD72+"BYw!$0;"</f>
        <v>#VALUE!</v>
      </c>
      <c r="AA35" t="e">
        <f>'2.4.Функции'!AE72+"BYw!$0&lt;"</f>
        <v>#VALUE!</v>
      </c>
      <c r="AB35" t="e">
        <f>'2.4.Функции'!AF72+"BYw!$0="</f>
        <v>#VALUE!</v>
      </c>
      <c r="AC35" t="e">
        <f>'2.4.Функции'!AG72+"BYw!$0&gt;"</f>
        <v>#VALUE!</v>
      </c>
      <c r="AD35" t="e">
        <f>'2.4.Функции'!AH72+"BYw!$0?"</f>
        <v>#VALUE!</v>
      </c>
      <c r="AE35" t="e">
        <f>'2.4.Функции'!AI72+"BYw!$0@"</f>
        <v>#VALUE!</v>
      </c>
      <c r="AF35" t="e">
        <f>'2.4.Функции'!AJ72+"BYw!$0A"</f>
        <v>#VALUE!</v>
      </c>
      <c r="AG35" t="e">
        <f>'2.4.Функции'!AK72+"BYw!$0B"</f>
        <v>#VALUE!</v>
      </c>
      <c r="AH35" t="e">
        <f>'2.4.Функции'!AL72+"BYw!$0C"</f>
        <v>#VALUE!</v>
      </c>
      <c r="AI35" t="e">
        <f>'2.4.Функции'!AM72+"BYw!$0D"</f>
        <v>#VALUE!</v>
      </c>
      <c r="AJ35" t="e">
        <f>'2.4.Функции'!AN72+"BYw!$0E"</f>
        <v>#VALUE!</v>
      </c>
      <c r="AK35" t="e">
        <f>'2.4.Функции'!AO72+"BYw!$0F"</f>
        <v>#VALUE!</v>
      </c>
      <c r="AL35" t="e">
        <f>'2.4.Функции'!AP72+"BYw!$0G"</f>
        <v>#VALUE!</v>
      </c>
      <c r="AM35" t="e">
        <f>'2.4.Функции'!AQ72+"BYw!$0H"</f>
        <v>#VALUE!</v>
      </c>
      <c r="AN35" t="e">
        <f>'2.4.Функции'!AR72+"BYw!$0I"</f>
        <v>#VALUE!</v>
      </c>
      <c r="AO35" t="e">
        <f>'2.4.Функции'!AS72+"BYw!$0J"</f>
        <v>#VALUE!</v>
      </c>
      <c r="AP35" t="e">
        <f>'2.4.Функции'!AT72+"BYw!$0K"</f>
        <v>#VALUE!</v>
      </c>
      <c r="AQ35" t="e">
        <f>'2.4.Функции'!AU72+"BYw!$0L"</f>
        <v>#VALUE!</v>
      </c>
      <c r="AR35" t="e">
        <f>'2.4.Функции'!AV72+"BYw!$0M"</f>
        <v>#VALUE!</v>
      </c>
      <c r="AS35" t="e">
        <f>'2.4.Функции'!AW72+"BYw!$0N"</f>
        <v>#VALUE!</v>
      </c>
      <c r="AT35" t="e">
        <f>'2.4.Функции'!AX72+"BYw!$0O"</f>
        <v>#VALUE!</v>
      </c>
      <c r="AU35" t="e">
        <f>'2.4.Функции'!AY72+"BYw!$0P"</f>
        <v>#VALUE!</v>
      </c>
      <c r="AV35" t="e">
        <f>'2.4.Функции'!AZ72+"BYw!$0Q"</f>
        <v>#VALUE!</v>
      </c>
      <c r="AW35" t="e">
        <f>'2.4.Функции'!BA72+"BYw!$0R"</f>
        <v>#VALUE!</v>
      </c>
      <c r="AX35" t="e">
        <f>'2.4.Функции'!BB72+"BYw!$0S"</f>
        <v>#VALUE!</v>
      </c>
      <c r="AY35" t="e">
        <f>'2.4.Функции'!BC72+"BYw!$0T"</f>
        <v>#VALUE!</v>
      </c>
      <c r="AZ35" t="e">
        <f>'2.4.Функции'!BD72+"BYw!$0U"</f>
        <v>#VALUE!</v>
      </c>
      <c r="BA35" t="e">
        <f>'2.4.Функции'!BE72+"BYw!$0V"</f>
        <v>#VALUE!</v>
      </c>
      <c r="BB35" t="e">
        <f>'2.4.Функции'!BF72+"BYw!$0W"</f>
        <v>#VALUE!</v>
      </c>
      <c r="BC35" t="e">
        <f>'2.4.Функции'!BG72+"BYw!$0X"</f>
        <v>#VALUE!</v>
      </c>
      <c r="BD35" t="e">
        <f>'2.4.Функции'!BH72+"BYw!$0Y"</f>
        <v>#VALUE!</v>
      </c>
      <c r="BE35" t="e">
        <f>'2.4.Функции'!BI72+"BYw!$0Z"</f>
        <v>#VALUE!</v>
      </c>
      <c r="BF35" t="e">
        <f>'2.4.Функции'!BJ72+"BYw!$0["</f>
        <v>#VALUE!</v>
      </c>
      <c r="BG35" t="e">
        <f>'2.4.Функции'!BK72+"BYw!$0\"</f>
        <v>#VALUE!</v>
      </c>
      <c r="BH35" t="e">
        <f>'2.4.Функции'!BL72+"BYw!$0]"</f>
        <v>#VALUE!</v>
      </c>
      <c r="BI35" t="e">
        <f>'2.4.Функции'!BM72+"BYw!$0^"</f>
        <v>#VALUE!</v>
      </c>
      <c r="BJ35" t="e">
        <f>'2.4.Функции'!BN72+"BYw!$0_"</f>
        <v>#VALUE!</v>
      </c>
      <c r="BK35" t="e">
        <f>'2.4.Функции'!BO72+"BYw!$0`"</f>
        <v>#VALUE!</v>
      </c>
      <c r="BL35" t="e">
        <f>'2.4.Функции'!BP72+"BYw!$0a"</f>
        <v>#VALUE!</v>
      </c>
      <c r="BM35" t="e">
        <f>'2.4.Функции'!BQ72+"BYw!$0b"</f>
        <v>#VALUE!</v>
      </c>
      <c r="BN35" t="e">
        <f>'2.4.Функции'!BR72+"BYw!$0c"</f>
        <v>#VALUE!</v>
      </c>
      <c r="BO35" t="e">
        <f>'2.4.Функции'!BS72+"BYw!$0d"</f>
        <v>#VALUE!</v>
      </c>
      <c r="BP35" t="e">
        <f>'2.4.Функции'!BT72+"BYw!$0e"</f>
        <v>#VALUE!</v>
      </c>
      <c r="BQ35" t="e">
        <f>'2.4.Функции'!BU72+"BYw!$0f"</f>
        <v>#VALUE!</v>
      </c>
      <c r="BR35" t="e">
        <f>'2.4.Функции'!BV72+"BYw!$0g"</f>
        <v>#VALUE!</v>
      </c>
      <c r="BS35" t="e">
        <f>'2.4.Функции'!BW72+"BYw!$0h"</f>
        <v>#VALUE!</v>
      </c>
      <c r="BT35" t="e">
        <f>'2.4.Функции'!BX72+"BYw!$0i"</f>
        <v>#VALUE!</v>
      </c>
      <c r="BU35" t="e">
        <f>'2.4.Функции'!BY72+"BYw!$0j"</f>
        <v>#VALUE!</v>
      </c>
      <c r="BV35" t="e">
        <f>'2.4.Функции'!BZ72+"BYw!$0k"</f>
        <v>#VALUE!</v>
      </c>
      <c r="BW35" t="e">
        <f>'2.4.Функции'!CA72+"BYw!$0l"</f>
        <v>#VALUE!</v>
      </c>
      <c r="BX35" t="e">
        <f>'2.4.Функции'!CB72+"BYw!$0m"</f>
        <v>#VALUE!</v>
      </c>
      <c r="BY35" t="e">
        <f>'2.4.Функции'!CC72+"BYw!$0n"</f>
        <v>#VALUE!</v>
      </c>
      <c r="BZ35" t="e">
        <f>'2.4.Функции'!CD72+"BYw!$0o"</f>
        <v>#VALUE!</v>
      </c>
      <c r="CA35" t="e">
        <f>'2.4.Функции'!CE72+"BYw!$0p"</f>
        <v>#VALUE!</v>
      </c>
      <c r="CB35" t="e">
        <f>'2.4.Функции'!CF72+"BYw!$0q"</f>
        <v>#VALUE!</v>
      </c>
      <c r="CC35" t="e">
        <f>'2.4.Функции'!CG72+"BYw!$0r"</f>
        <v>#VALUE!</v>
      </c>
      <c r="CD35" t="e">
        <f>'2.4.Функции'!CH72+"BYw!$0s"</f>
        <v>#VALUE!</v>
      </c>
      <c r="CE35" t="e">
        <f>'2.4.Функции'!CI72+"BYw!$0t"</f>
        <v>#VALUE!</v>
      </c>
      <c r="CF35" t="e">
        <f>'2.4.Функции'!CJ72+"BYw!$0u"</f>
        <v>#VALUE!</v>
      </c>
      <c r="CG35" t="e">
        <f>'2.4.Функции'!CK72+"BYw!$0v"</f>
        <v>#VALUE!</v>
      </c>
      <c r="CH35" t="e">
        <f>'2.4.Функции'!CL72+"BYw!$0w"</f>
        <v>#VALUE!</v>
      </c>
      <c r="CI35" t="e">
        <f>'2.4.Функции'!CM72+"BYw!$0x"</f>
        <v>#VALUE!</v>
      </c>
      <c r="CJ35" t="e">
        <f>'2.4.Функции'!CN72+"BYw!$0y"</f>
        <v>#VALUE!</v>
      </c>
      <c r="CK35" t="e">
        <f>'2.4.Функции'!CO72+"BYw!$0z"</f>
        <v>#VALUE!</v>
      </c>
      <c r="CL35" t="e">
        <f>'2.4.Функции'!CP72+"BYw!$0{"</f>
        <v>#VALUE!</v>
      </c>
      <c r="CM35" t="e">
        <f>'2.4.Функции'!CQ72+"BYw!$0|"</f>
        <v>#VALUE!</v>
      </c>
      <c r="CN35" t="e">
        <f>'2.4.Функции'!CR72+"BYw!$0}"</f>
        <v>#VALUE!</v>
      </c>
      <c r="CO35" t="e">
        <f>'2.4.Функции'!CS72+"BYw!$0~"</f>
        <v>#VALUE!</v>
      </c>
      <c r="CP35" t="e">
        <f>'2.4.Функции'!CT72+"BYw!$1#"</f>
        <v>#VALUE!</v>
      </c>
      <c r="CQ35" t="e">
        <f>'2.4.Функции'!CU72+"BYw!$1$"</f>
        <v>#VALUE!</v>
      </c>
      <c r="CR35" t="e">
        <f>'2.4.Функции'!CV72+"BYw!$1%"</f>
        <v>#VALUE!</v>
      </c>
      <c r="CS35" t="e">
        <f>'2.4.Функции'!CW72+"BYw!$1&amp;"</f>
        <v>#VALUE!</v>
      </c>
      <c r="CT35" t="e">
        <f>'2.4.Функции'!CX72+"BYw!$1'"</f>
        <v>#VALUE!</v>
      </c>
      <c r="CU35" t="e">
        <f>'2.4.Функции'!CY72+"BYw!$1("</f>
        <v>#VALUE!</v>
      </c>
      <c r="CV35" t="e">
        <f>'2.4.Функции'!CZ72+"BYw!$1)"</f>
        <v>#VALUE!</v>
      </c>
      <c r="CW35" t="e">
        <f>'2.4.Функции'!DA72+"BYw!$1."</f>
        <v>#VALUE!</v>
      </c>
      <c r="CX35" t="e">
        <f>'2.4.Функции'!DB72+"BYw!$1/"</f>
        <v>#VALUE!</v>
      </c>
      <c r="CY35" t="e">
        <f>'2.4.Функции'!DC72+"BYw!$10"</f>
        <v>#VALUE!</v>
      </c>
      <c r="CZ35" t="e">
        <f>'2.4.Функции'!DD72+"BYw!$11"</f>
        <v>#VALUE!</v>
      </c>
      <c r="DA35" t="e">
        <f>'2.4.Функции'!DE72+"BYw!$12"</f>
        <v>#VALUE!</v>
      </c>
      <c r="DB35" t="e">
        <f>'2.4.Функции'!DF72+"BYw!$13"</f>
        <v>#VALUE!</v>
      </c>
      <c r="DC35" t="e">
        <f>'2.4.Функции'!DG72+"BYw!$14"</f>
        <v>#VALUE!</v>
      </c>
      <c r="DD35" t="e">
        <f>'2.4.Функции'!DH72+"BYw!$15"</f>
        <v>#VALUE!</v>
      </c>
      <c r="DE35" t="e">
        <f>'2.4.Функции'!DI72+"BYw!$16"</f>
        <v>#VALUE!</v>
      </c>
      <c r="DF35" t="e">
        <f>'2.4.Функции'!DJ72+"BYw!$17"</f>
        <v>#VALUE!</v>
      </c>
      <c r="DG35" t="e">
        <f>'2.4.Функции'!DK72+"BYw!$18"</f>
        <v>#VALUE!</v>
      </c>
      <c r="DH35" t="e">
        <f>'2.4.Функции'!DL72+"BYw!$19"</f>
        <v>#VALUE!</v>
      </c>
      <c r="DI35" t="e">
        <f>'2.4.Функции'!DM72+"BYw!$1:"</f>
        <v>#VALUE!</v>
      </c>
      <c r="DJ35" t="e">
        <f>'2.4.Функции'!DN72+"BYw!$1;"</f>
        <v>#VALUE!</v>
      </c>
      <c r="DK35" t="e">
        <f>'2.4.Функции'!DO72+"BYw!$1&lt;"</f>
        <v>#VALUE!</v>
      </c>
      <c r="DL35" t="e">
        <f>'2.4.Функции'!DP72+"BYw!$1="</f>
        <v>#VALUE!</v>
      </c>
      <c r="DM35" t="e">
        <f>'2.4.Функции'!DQ72+"BYw!$1&gt;"</f>
        <v>#VALUE!</v>
      </c>
      <c r="DN35" t="e">
        <f>'2.4.Функции'!DR72+"BYw!$1?"</f>
        <v>#VALUE!</v>
      </c>
      <c r="DO35" t="e">
        <f>'2.4.Функции'!DS72+"BYw!$1@"</f>
        <v>#VALUE!</v>
      </c>
      <c r="DP35" t="e">
        <f>'2.4.Функции'!DT72+"BYw!$1A"</f>
        <v>#VALUE!</v>
      </c>
      <c r="DQ35" t="e">
        <f>'2.4.Функции'!DU72+"BYw!$1B"</f>
        <v>#VALUE!</v>
      </c>
      <c r="DR35" t="e">
        <f>'2.4.Функции'!DV72+"BYw!$1C"</f>
        <v>#VALUE!</v>
      </c>
      <c r="DS35" t="e">
        <f>'2.4.Функции'!DW72+"BYw!$1D"</f>
        <v>#VALUE!</v>
      </c>
      <c r="DT35" t="e">
        <f>'2.4.Функции'!DX72+"BYw!$1E"</f>
        <v>#VALUE!</v>
      </c>
      <c r="DU35" t="e">
        <f>'2.4.Функции'!DY72+"BYw!$1F"</f>
        <v>#VALUE!</v>
      </c>
      <c r="DV35" t="e">
        <f>'2.4.Функции'!DZ72+"BYw!$1G"</f>
        <v>#VALUE!</v>
      </c>
      <c r="DW35" t="e">
        <f>'2.4.Функции'!EA72+"BYw!$1H"</f>
        <v>#VALUE!</v>
      </c>
      <c r="DX35" t="e">
        <f>'2.4.Функции'!EB72+"BYw!$1I"</f>
        <v>#VALUE!</v>
      </c>
      <c r="DY35" t="e">
        <f>'2.4.Функции'!EC72+"BYw!$1J"</f>
        <v>#VALUE!</v>
      </c>
      <c r="DZ35" t="e">
        <f>'2.4.Функции'!ED72+"BYw!$1K"</f>
        <v>#VALUE!</v>
      </c>
      <c r="EA35" t="e">
        <f>'2.4.Функции'!EE72+"BYw!$1L"</f>
        <v>#VALUE!</v>
      </c>
      <c r="EB35" t="e">
        <f>'2.4.Функции'!EF72+"BYw!$1M"</f>
        <v>#VALUE!</v>
      </c>
      <c r="EC35" t="e">
        <f>'2.4.Функции'!EG72+"BYw!$1N"</f>
        <v>#VALUE!</v>
      </c>
      <c r="ED35" t="e">
        <f>'2.4.Функции'!EH72+"BYw!$1O"</f>
        <v>#VALUE!</v>
      </c>
      <c r="EE35" t="e">
        <f>'2.4.Функции'!EI72+"BYw!$1P"</f>
        <v>#VALUE!</v>
      </c>
      <c r="EF35" t="e">
        <f>'2.4.Функции'!EJ72+"BYw!$1Q"</f>
        <v>#VALUE!</v>
      </c>
      <c r="EG35" t="e">
        <f>'2.4.Функции'!EK72+"BYw!$1R"</f>
        <v>#VALUE!</v>
      </c>
      <c r="EH35" t="e">
        <f>'2.4.Функции'!EL72+"BYw!$1S"</f>
        <v>#VALUE!</v>
      </c>
      <c r="EI35" t="e">
        <f>'2.4.Функции'!EM72+"BYw!$1T"</f>
        <v>#VALUE!</v>
      </c>
      <c r="EJ35" t="e">
        <f>'2.4.Функции'!EN72+"BYw!$1U"</f>
        <v>#VALUE!</v>
      </c>
      <c r="EK35" t="e">
        <f>'2.4.Функции'!EO72+"BYw!$1V"</f>
        <v>#VALUE!</v>
      </c>
      <c r="EL35" t="e">
        <f>'2.4.Функции'!EP72+"BYw!$1W"</f>
        <v>#VALUE!</v>
      </c>
      <c r="EM35" t="e">
        <f>'2.4.Функции'!EQ72+"BYw!$1X"</f>
        <v>#VALUE!</v>
      </c>
      <c r="EN35" t="e">
        <f>'2.4.Функции'!ER72+"BYw!$1Y"</f>
        <v>#VALUE!</v>
      </c>
      <c r="EO35" t="e">
        <f>'2.4.Функции'!ES72+"BYw!$1Z"</f>
        <v>#VALUE!</v>
      </c>
      <c r="EP35" t="e">
        <f>'2.4.Функции'!ET72+"BYw!$1["</f>
        <v>#VALUE!</v>
      </c>
      <c r="EQ35" t="e">
        <f>'2.4.Функции'!EU72+"BYw!$1\"</f>
        <v>#VALUE!</v>
      </c>
      <c r="ER35" t="e">
        <f>'2.4.Функции'!EV72+"BYw!$1]"</f>
        <v>#VALUE!</v>
      </c>
      <c r="ES35" t="e">
        <f>'2.4.Функции'!EW72+"BYw!$1^"</f>
        <v>#VALUE!</v>
      </c>
      <c r="ET35" t="e">
        <f>'2.4.Функции'!EX72+"BYw!$1_"</f>
        <v>#VALUE!</v>
      </c>
      <c r="EU35" t="e">
        <f>'2.4.Функции'!EY72+"BYw!$1`"</f>
        <v>#VALUE!</v>
      </c>
      <c r="EV35" t="e">
        <f>'2.4.Функции'!EZ72+"BYw!$1a"</f>
        <v>#VALUE!</v>
      </c>
      <c r="EW35" t="e">
        <f>'2.4.Функции'!FA72+"BYw!$1b"</f>
        <v>#VALUE!</v>
      </c>
      <c r="EX35" t="e">
        <f>'2.4.Функции'!FB72+"BYw!$1c"</f>
        <v>#VALUE!</v>
      </c>
      <c r="EY35" t="e">
        <f>'2.4.Функции'!FC72+"BYw!$1d"</f>
        <v>#VALUE!</v>
      </c>
      <c r="EZ35" t="e">
        <f>'2.4.Функции'!FD72+"BYw!$1e"</f>
        <v>#VALUE!</v>
      </c>
      <c r="FA35" t="e">
        <f>'2.4.Функции'!FE72+"BYw!$1f"</f>
        <v>#VALUE!</v>
      </c>
      <c r="FB35" t="e">
        <f>'2.4.Функции'!FF72+"BYw!$1g"</f>
        <v>#VALUE!</v>
      </c>
      <c r="FC35" t="e">
        <f>'2.4.Функции'!FG72+"BYw!$1h"</f>
        <v>#VALUE!</v>
      </c>
      <c r="FD35" t="e">
        <f>'2.4.Функции'!FH72+"BYw!$1i"</f>
        <v>#VALUE!</v>
      </c>
      <c r="FE35" t="e">
        <f>'2.4.Функции'!FI72+"BYw!$1j"</f>
        <v>#VALUE!</v>
      </c>
      <c r="FF35" t="e">
        <f>'2.4.Функции'!FJ72+"BYw!$1k"</f>
        <v>#VALUE!</v>
      </c>
      <c r="FG35" t="e">
        <f>'2.4.Функции'!FK72+"BYw!$1l"</f>
        <v>#VALUE!</v>
      </c>
      <c r="FH35" t="e">
        <f>'2.4.Функции'!FL72+"BYw!$1m"</f>
        <v>#VALUE!</v>
      </c>
      <c r="FI35" t="e">
        <f>'2.4.Функции'!FM72+"BYw!$1n"</f>
        <v>#VALUE!</v>
      </c>
      <c r="FJ35" t="e">
        <f>'2.4.Функции'!FN72+"BYw!$1o"</f>
        <v>#VALUE!</v>
      </c>
      <c r="FK35" t="e">
        <f>'2.4.Функции'!FO72+"BYw!$1p"</f>
        <v>#VALUE!</v>
      </c>
      <c r="FL35" t="e">
        <f>'2.4.Функции'!FP72+"BYw!$1q"</f>
        <v>#VALUE!</v>
      </c>
      <c r="FM35" t="e">
        <f>'2.4.Функции'!FQ72+"BYw!$1r"</f>
        <v>#VALUE!</v>
      </c>
      <c r="FN35" t="e">
        <f>'2.4.Функции'!FR72+"BYw!$1s"</f>
        <v>#VALUE!</v>
      </c>
      <c r="FO35" t="e">
        <f>'2.4.Функции'!FS72+"BYw!$1t"</f>
        <v>#VALUE!</v>
      </c>
      <c r="FP35" t="e">
        <f>'2.4.Функции'!FT72+"BYw!$1u"</f>
        <v>#VALUE!</v>
      </c>
      <c r="FQ35" t="e">
        <f>'2.4.Функции'!FU72+"BYw!$1v"</f>
        <v>#VALUE!</v>
      </c>
      <c r="FR35" t="e">
        <f>'2.4.Функции'!FV72+"BYw!$1w"</f>
        <v>#VALUE!</v>
      </c>
      <c r="FS35" t="e">
        <f>'2.4.Функции'!FW72+"BYw!$1x"</f>
        <v>#VALUE!</v>
      </c>
      <c r="FT35" t="e">
        <f>'2.4.Функции'!FX72+"BYw!$1y"</f>
        <v>#VALUE!</v>
      </c>
      <c r="FU35" t="e">
        <f>'2.4.Функции'!FY72+"BYw!$1z"</f>
        <v>#VALUE!</v>
      </c>
      <c r="FV35" t="e">
        <f>'2.4.Функции'!FZ72+"BYw!$1{"</f>
        <v>#VALUE!</v>
      </c>
      <c r="FW35" t="e">
        <f>'2.4.Функции'!GA72+"BYw!$1|"</f>
        <v>#VALUE!</v>
      </c>
      <c r="FX35" t="e">
        <f>'2.4.Функции'!GB72+"BYw!$1}"</f>
        <v>#VALUE!</v>
      </c>
      <c r="FY35" t="e">
        <f>'2.4.Функции'!GC72+"BYw!$1~"</f>
        <v>#VALUE!</v>
      </c>
      <c r="FZ35" t="e">
        <f>'2.4.Функции'!GD72+"BYw!$2#"</f>
        <v>#VALUE!</v>
      </c>
      <c r="GA35" t="e">
        <f>'2.4.Функции'!GE72+"BYw!$2$"</f>
        <v>#VALUE!</v>
      </c>
      <c r="GB35" t="e">
        <f>'2.4.Функции'!GF72+"BYw!$2%"</f>
        <v>#VALUE!</v>
      </c>
      <c r="GC35" t="e">
        <f>'2.4.Функции'!GG72+"BYw!$2&amp;"</f>
        <v>#VALUE!</v>
      </c>
      <c r="GD35" t="e">
        <f>'2.4.Функции'!GH72+"BYw!$2'"</f>
        <v>#VALUE!</v>
      </c>
      <c r="GE35" t="e">
        <f>'2.4.Функции'!GI72+"BYw!$2("</f>
        <v>#VALUE!</v>
      </c>
      <c r="GF35" t="e">
        <f>'2.4.Функции'!GJ72+"BYw!$2)"</f>
        <v>#VALUE!</v>
      </c>
      <c r="GG35" t="e">
        <f>'2.4.Функции'!GK72+"BYw!$2."</f>
        <v>#VALUE!</v>
      </c>
      <c r="GH35" t="e">
        <f>'2.4.Функции'!GL72+"BYw!$2/"</f>
        <v>#VALUE!</v>
      </c>
      <c r="GI35" t="e">
        <f>'2.4.Функции'!GM72+"BYw!$20"</f>
        <v>#VALUE!</v>
      </c>
      <c r="GJ35" t="e">
        <f>'2.4.Функции'!GN72+"BYw!$21"</f>
        <v>#VALUE!</v>
      </c>
      <c r="GK35" t="e">
        <f>'2.4.Функции'!GO72+"BYw!$22"</f>
        <v>#VALUE!</v>
      </c>
      <c r="GL35" t="e">
        <f>'2.4.Функции'!GP72+"BYw!$23"</f>
        <v>#VALUE!</v>
      </c>
      <c r="GM35" t="e">
        <f>'2.4.Функции'!GQ72+"BYw!$24"</f>
        <v>#VALUE!</v>
      </c>
      <c r="GN35" t="e">
        <f>'2.4.Функции'!GR72+"BYw!$25"</f>
        <v>#VALUE!</v>
      </c>
      <c r="GO35" t="e">
        <f>'2.4.Функции'!GS72+"BYw!$26"</f>
        <v>#VALUE!</v>
      </c>
      <c r="GP35" t="e">
        <f>'2.4.Функции'!GT72+"BYw!$27"</f>
        <v>#VALUE!</v>
      </c>
      <c r="GQ35" t="e">
        <f>'2.4.Функции'!GU72+"BYw!$28"</f>
        <v>#VALUE!</v>
      </c>
      <c r="GR35" t="e">
        <f>'2.4.Функции'!GV72+"BYw!$29"</f>
        <v>#VALUE!</v>
      </c>
      <c r="GS35" t="e">
        <f>'2.4.Функции'!GW72+"BYw!$2:"</f>
        <v>#VALUE!</v>
      </c>
      <c r="GT35" t="e">
        <f>'2.4.Функции'!GX72+"BYw!$2;"</f>
        <v>#VALUE!</v>
      </c>
      <c r="GU35" t="e">
        <f>'2.4.Функции'!GY72+"BYw!$2&lt;"</f>
        <v>#VALUE!</v>
      </c>
      <c r="GV35" t="e">
        <f>'2.4.Функции'!GZ72+"BYw!$2="</f>
        <v>#VALUE!</v>
      </c>
      <c r="GW35" t="e">
        <f>'2.4.Функции'!HA72+"BYw!$2&gt;"</f>
        <v>#VALUE!</v>
      </c>
      <c r="GX35" t="e">
        <f>'2.4.Функции'!HB72+"BYw!$2?"</f>
        <v>#VALUE!</v>
      </c>
      <c r="GY35" t="e">
        <f>'2.4.Функции'!HC72+"BYw!$2@"</f>
        <v>#VALUE!</v>
      </c>
      <c r="GZ35" t="e">
        <f>'2.4.Функции'!HD72+"BYw!$2A"</f>
        <v>#VALUE!</v>
      </c>
      <c r="HA35" t="e">
        <f>'2.4.Функции'!HE72+"BYw!$2B"</f>
        <v>#VALUE!</v>
      </c>
      <c r="HB35" t="e">
        <f>'2.4.Функции'!HF72+"BYw!$2C"</f>
        <v>#VALUE!</v>
      </c>
      <c r="HC35" t="e">
        <f>'2.4.Функции'!HG72+"BYw!$2D"</f>
        <v>#VALUE!</v>
      </c>
      <c r="HD35" t="e">
        <f>'2.4.Функции'!HH72+"BYw!$2E"</f>
        <v>#VALUE!</v>
      </c>
      <c r="HE35" t="e">
        <f>'2.4.Функции'!HI72+"BYw!$2F"</f>
        <v>#VALUE!</v>
      </c>
      <c r="HF35" t="e">
        <f>'2.4.Функции'!HJ72+"BYw!$2G"</f>
        <v>#VALUE!</v>
      </c>
      <c r="HG35" t="e">
        <f>'2.4.Функции'!HK72+"BYw!$2H"</f>
        <v>#VALUE!</v>
      </c>
      <c r="HH35" t="e">
        <f>'2.4.Функции'!HL72+"BYw!$2I"</f>
        <v>#VALUE!</v>
      </c>
      <c r="HI35" t="e">
        <f>'2.4.Функции'!HM72+"BYw!$2J"</f>
        <v>#VALUE!</v>
      </c>
      <c r="HJ35" t="e">
        <f>'2.4.Функции'!HN72+"BYw!$2K"</f>
        <v>#VALUE!</v>
      </c>
      <c r="HK35" t="e">
        <f>'2.4.Функции'!HO72+"BYw!$2L"</f>
        <v>#VALUE!</v>
      </c>
      <c r="HL35" t="e">
        <f>'2.4.Функции'!HP72+"BYw!$2M"</f>
        <v>#VALUE!</v>
      </c>
      <c r="HM35" t="e">
        <f>'2.4.Функции'!HQ72+"BYw!$2N"</f>
        <v>#VALUE!</v>
      </c>
      <c r="HN35" t="e">
        <f>'2.4.Функции'!HR72+"BYw!$2O"</f>
        <v>#VALUE!</v>
      </c>
      <c r="HO35" t="e">
        <f>'2.4.Функции'!HS72+"BYw!$2P"</f>
        <v>#VALUE!</v>
      </c>
      <c r="HP35" t="e">
        <f>'2.4.Функции'!HT72+"BYw!$2Q"</f>
        <v>#VALUE!</v>
      </c>
      <c r="HQ35" t="e">
        <f>'2.4.Функции'!HU72+"BYw!$2R"</f>
        <v>#VALUE!</v>
      </c>
      <c r="HR35" t="e">
        <f>'2.4.Функции'!HV72+"BYw!$2S"</f>
        <v>#VALUE!</v>
      </c>
      <c r="HS35" t="e">
        <f>'2.4.Функции'!HW72+"BYw!$2T"</f>
        <v>#VALUE!</v>
      </c>
      <c r="HT35" t="e">
        <f>'2.4.Функции'!HX72+"BYw!$2U"</f>
        <v>#VALUE!</v>
      </c>
      <c r="HU35" t="e">
        <f>'2.4.Функции'!HY72+"BYw!$2V"</f>
        <v>#VALUE!</v>
      </c>
      <c r="HV35" t="e">
        <f>'2.4.Функции'!HZ72+"BYw!$2W"</f>
        <v>#VALUE!</v>
      </c>
      <c r="HW35" t="e">
        <f>'2.4.Функции'!IA72+"BYw!$2X"</f>
        <v>#VALUE!</v>
      </c>
      <c r="HX35" t="e">
        <f>'2.4.Функции'!IB72+"BYw!$2Y"</f>
        <v>#VALUE!</v>
      </c>
      <c r="HY35" t="e">
        <f>'2.4.Функции'!IC72+"BYw!$2Z"</f>
        <v>#VALUE!</v>
      </c>
      <c r="HZ35" t="e">
        <f>'2.4.Функции'!ID72+"BYw!$2["</f>
        <v>#VALUE!</v>
      </c>
      <c r="IA35" t="e">
        <f>'2.4.Функции'!IE72+"BYw!$2\"</f>
        <v>#VALUE!</v>
      </c>
      <c r="IB35" t="e">
        <f>'2.4.Функции'!IF72+"BYw!$2]"</f>
        <v>#VALUE!</v>
      </c>
      <c r="IC35" t="e">
        <f>'2.4.Функции'!IG72+"BYw!$2^"</f>
        <v>#VALUE!</v>
      </c>
      <c r="ID35" t="e">
        <f>'2.4.Функции'!IH72+"BYw!$2_"</f>
        <v>#VALUE!</v>
      </c>
      <c r="IE35" t="e">
        <f>'2.4.Функции'!II72+"BYw!$2`"</f>
        <v>#VALUE!</v>
      </c>
      <c r="IF35" t="e">
        <f>'2.4.Функции'!IJ72+"BYw!$2a"</f>
        <v>#VALUE!</v>
      </c>
      <c r="IG35" t="e">
        <f>'2.4.Функции'!IK72+"BYw!$2b"</f>
        <v>#VALUE!</v>
      </c>
      <c r="IH35" t="e">
        <f>'2.4.Функции'!IL72+"BYw!$2c"</f>
        <v>#VALUE!</v>
      </c>
      <c r="II35" t="e">
        <f>'2.4.Функции'!IM72+"BYw!$2d"</f>
        <v>#VALUE!</v>
      </c>
      <c r="IJ35" t="e">
        <f>'2.4.Функции'!IN72+"BYw!$2e"</f>
        <v>#VALUE!</v>
      </c>
      <c r="IK35" t="e">
        <f>'2.4.Функции'!IO72+"BYw!$2f"</f>
        <v>#VALUE!</v>
      </c>
      <c r="IL35" t="e">
        <f>'2.4.Функции'!IP72+"BYw!$2g"</f>
        <v>#VALUE!</v>
      </c>
      <c r="IM35" t="e">
        <f>'2.4.Функции'!IQ72+"BYw!$2h"</f>
        <v>#VALUE!</v>
      </c>
      <c r="IN35" t="e">
        <f>'2.4.Функции'!IR72+"BYw!$2i"</f>
        <v>#VALUE!</v>
      </c>
      <c r="IO35" t="e">
        <f>'2.4.Функции'!IS72+"BYw!$2j"</f>
        <v>#VALUE!</v>
      </c>
      <c r="IP35" t="e">
        <f>'2.4.Функции'!IT72+"BYw!$2k"</f>
        <v>#VALUE!</v>
      </c>
      <c r="IQ35" t="e">
        <f>'2.4.Функции'!IU72+"BYw!$2l"</f>
        <v>#VALUE!</v>
      </c>
      <c r="IR35" t="e">
        <f>'2.4.Функции'!IV72+"BYw!$2m"</f>
        <v>#VALUE!</v>
      </c>
      <c r="IS35" t="e">
        <f>'2.4.Функции'!IW72+"BYw!$2n"</f>
        <v>#VALUE!</v>
      </c>
      <c r="IT35" t="e">
        <f>'2.4.Функции'!IX72+"BYw!$2o"</f>
        <v>#VALUE!</v>
      </c>
      <c r="IU35" t="e">
        <f>'2.4.Функции'!IY72+"BYw!$2p"</f>
        <v>#VALUE!</v>
      </c>
      <c r="IV35" t="e">
        <f>'2.4.Функции'!IZ72+"BYw!$2q"</f>
        <v>#VALUE!</v>
      </c>
    </row>
    <row r="36" spans="6:256" x14ac:dyDescent="0.2">
      <c r="F36" t="e">
        <f>'2.4.Функции'!JA72+"BYw!$2r"</f>
        <v>#VALUE!</v>
      </c>
      <c r="G36" t="e">
        <f>'2.4.Функции'!JB72+"BYw!$2s"</f>
        <v>#VALUE!</v>
      </c>
      <c r="H36" t="e">
        <f>'2.4.Функции'!JC72+"BYw!$2t"</f>
        <v>#VALUE!</v>
      </c>
      <c r="I36" t="e">
        <f>'2.4.Функции'!JD72+"BYw!$2u"</f>
        <v>#VALUE!</v>
      </c>
      <c r="J36" t="e">
        <f>'2.4.Функции'!JE72+"BYw!$2v"</f>
        <v>#VALUE!</v>
      </c>
      <c r="K36" t="e">
        <f>'2.4.Функции'!JF72+"BYw!$2w"</f>
        <v>#VALUE!</v>
      </c>
      <c r="L36" t="e">
        <f>'2.4.Функции'!JG72+"BYw!$2x"</f>
        <v>#VALUE!</v>
      </c>
      <c r="M36" t="e">
        <f>'2.4.Функции'!JH72+"BYw!$2y"</f>
        <v>#VALUE!</v>
      </c>
      <c r="N36" t="e">
        <f>'2.4.Функции'!JI72+"BYw!$2z"</f>
        <v>#VALUE!</v>
      </c>
      <c r="O36" t="e">
        <f>'2.4.Функции'!JJ72+"BYw!$2{"</f>
        <v>#VALUE!</v>
      </c>
      <c r="P36" t="e">
        <f>'2.4.Функции'!JK72+"BYw!$2|"</f>
        <v>#VALUE!</v>
      </c>
      <c r="Q36" t="e">
        <f>'2.4.Функции'!JL72+"BYw!$2}"</f>
        <v>#VALUE!</v>
      </c>
      <c r="R36" t="e">
        <f>'2.4.Функции'!JM72+"BYw!$2~"</f>
        <v>#VALUE!</v>
      </c>
      <c r="S36" t="e">
        <f>'2.4.Функции'!JN72+"BYw!$3#"</f>
        <v>#VALUE!</v>
      </c>
      <c r="T36" t="e">
        <f>'2.4.Функции'!JO72+"BYw!$3$"</f>
        <v>#VALUE!</v>
      </c>
      <c r="U36" t="e">
        <f>'2.4.Функции'!JP72+"BYw!$3%"</f>
        <v>#VALUE!</v>
      </c>
      <c r="V36" t="e">
        <f>'2.4.Функции'!JQ72+"BYw!$3&amp;"</f>
        <v>#VALUE!</v>
      </c>
      <c r="W36" t="e">
        <f>'2.4.Функции'!JR72+"BYw!$3'"</f>
        <v>#VALUE!</v>
      </c>
      <c r="X36" t="e">
        <f>'2.4.Функции'!JS72+"BYw!$3("</f>
        <v>#VALUE!</v>
      </c>
      <c r="Y36" t="e">
        <f>'2.4.Функции'!JT72+"BYw!$3)"</f>
        <v>#VALUE!</v>
      </c>
      <c r="Z36" t="e">
        <f>'2.4.Функции'!JU72+"BYw!$3."</f>
        <v>#VALUE!</v>
      </c>
      <c r="AA36" t="e">
        <f>'2.4.Функции'!JV72+"BYw!$3/"</f>
        <v>#VALUE!</v>
      </c>
      <c r="AB36" t="e">
        <f>'2.4.Функции'!JW72+"BYw!$30"</f>
        <v>#VALUE!</v>
      </c>
      <c r="AC36" t="e">
        <f>'2.4.Функции'!JX72+"BYw!$31"</f>
        <v>#VALUE!</v>
      </c>
      <c r="AD36" t="e">
        <f>'2.4.Функции'!JY72+"BYw!$32"</f>
        <v>#VALUE!</v>
      </c>
      <c r="AE36" t="e">
        <f>'2.4.Функции'!JZ72+"BYw!$33"</f>
        <v>#VALUE!</v>
      </c>
      <c r="AF36" t="e">
        <f>'2.4.Функции'!KA72+"BYw!$34"</f>
        <v>#VALUE!</v>
      </c>
      <c r="AG36" t="e">
        <f>'2.4.Функции'!KB72+"BYw!$35"</f>
        <v>#VALUE!</v>
      </c>
      <c r="AH36" t="e">
        <f>'2.4.Функции'!KC72+"BYw!$36"</f>
        <v>#VALUE!</v>
      </c>
      <c r="AI36" t="e">
        <f>'2.4.Функции'!KD72+"BYw!$37"</f>
        <v>#VALUE!</v>
      </c>
      <c r="AJ36" t="e">
        <f>'2.4.Функции'!KE72+"BYw!$38"</f>
        <v>#VALUE!</v>
      </c>
      <c r="AK36" t="e">
        <f>'2.4.Функции'!KF72+"BYw!$39"</f>
        <v>#VALUE!</v>
      </c>
      <c r="AL36" t="e">
        <f>'2.4.Функции'!KG72+"BYw!$3:"</f>
        <v>#VALUE!</v>
      </c>
      <c r="AM36" t="e">
        <f>'2.4.Функции'!KH72+"BYw!$3;"</f>
        <v>#VALUE!</v>
      </c>
      <c r="AN36" t="e">
        <f>'2.4.Функции'!KI72+"BYw!$3&lt;"</f>
        <v>#VALUE!</v>
      </c>
      <c r="AO36" t="e">
        <f>'2.4.Функции'!KJ72+"BYw!$3="</f>
        <v>#VALUE!</v>
      </c>
      <c r="AP36" t="e">
        <f>'2.4.Функции'!KK72+"BYw!$3&gt;"</f>
        <v>#VALUE!</v>
      </c>
      <c r="AQ36" t="e">
        <f>'2.4.Функции'!KL72+"BYw!$3?"</f>
        <v>#VALUE!</v>
      </c>
      <c r="AR36" t="e">
        <f>'2.4.Функции'!KM72+"BYw!$3@"</f>
        <v>#VALUE!</v>
      </c>
      <c r="AS36" t="e">
        <f>'2.4.Функции'!KN72+"BYw!$3A"</f>
        <v>#VALUE!</v>
      </c>
      <c r="AT36" t="e">
        <f>'2.4.Функции'!KO72+"BYw!$3B"</f>
        <v>#VALUE!</v>
      </c>
      <c r="AU36" t="e">
        <f>'2.4.Функции'!KP72+"BYw!$3C"</f>
        <v>#VALUE!</v>
      </c>
      <c r="AV36" t="e">
        <f>'2.4.Функции'!KQ72+"BYw!$3D"</f>
        <v>#VALUE!</v>
      </c>
      <c r="AW36" t="e">
        <f>'2.4.Функции'!KR72+"BYw!$3E"</f>
        <v>#VALUE!</v>
      </c>
      <c r="AX36" t="e">
        <f>'2.4.Функции'!KS72+"BYw!$3F"</f>
        <v>#VALUE!</v>
      </c>
      <c r="AY36" t="e">
        <f>'2.4.Функции'!KT72+"BYw!$3G"</f>
        <v>#VALUE!</v>
      </c>
      <c r="AZ36" t="e">
        <f>'2.4.Функции'!KU72+"BYw!$3H"</f>
        <v>#VALUE!</v>
      </c>
      <c r="BA36" t="e">
        <f>'2.4.Функции'!KV72+"BYw!$3I"</f>
        <v>#VALUE!</v>
      </c>
      <c r="BB36" t="e">
        <f>'2.4.Функции'!KW72+"BYw!$3J"</f>
        <v>#VALUE!</v>
      </c>
      <c r="BC36" t="e">
        <f>'2.4.Функции'!KX72+"BYw!$3K"</f>
        <v>#VALUE!</v>
      </c>
      <c r="BD36" t="e">
        <f>'2.4.Функции'!KY72+"BYw!$3L"</f>
        <v>#VALUE!</v>
      </c>
      <c r="BE36" t="e">
        <f>'2.4.Функции'!KZ72+"BYw!$3M"</f>
        <v>#VALUE!</v>
      </c>
      <c r="BF36" t="e">
        <f>'2.4.Функции'!LA72+"BYw!$3N"</f>
        <v>#VALUE!</v>
      </c>
      <c r="BG36" t="e">
        <f>'2.4.Функции'!LB72+"BYw!$3O"</f>
        <v>#VALUE!</v>
      </c>
      <c r="BH36" t="e">
        <f>'2.4.Функции'!LC72+"BYw!$3P"</f>
        <v>#VALUE!</v>
      </c>
      <c r="BI36" t="e">
        <f>'2.4.Функции'!LD72+"BYw!$3Q"</f>
        <v>#VALUE!</v>
      </c>
      <c r="BJ36" t="e">
        <f>'2.4.Функции'!LE72+"BYw!$3R"</f>
        <v>#VALUE!</v>
      </c>
      <c r="BK36" t="e">
        <f>'2.4.Функции'!LF72+"BYw!$3S"</f>
        <v>#VALUE!</v>
      </c>
      <c r="BL36" t="e">
        <f>'2.4.Функции'!LG72+"BYw!$3T"</f>
        <v>#VALUE!</v>
      </c>
      <c r="BM36" t="e">
        <f>'2.4.Функции'!LH72+"BYw!$3U"</f>
        <v>#VALUE!</v>
      </c>
      <c r="BN36" t="e">
        <f>'2.4.Функции'!LI72+"BYw!$3V"</f>
        <v>#VALUE!</v>
      </c>
      <c r="BO36" t="e">
        <f>'2.4.Функции'!LJ72+"BYw!$3W"</f>
        <v>#VALUE!</v>
      </c>
      <c r="BP36" t="e">
        <f>'2.4.Функции'!LK72+"BYw!$3X"</f>
        <v>#VALUE!</v>
      </c>
      <c r="BQ36" t="e">
        <f>'2.4.Функции'!LL72+"BYw!$3Y"</f>
        <v>#VALUE!</v>
      </c>
      <c r="BR36" t="e">
        <f>'2.4.Функции'!LM72+"BYw!$3Z"</f>
        <v>#VALUE!</v>
      </c>
      <c r="BS36" t="e">
        <f>'2.4.Функции'!LN72+"BYw!$3["</f>
        <v>#VALUE!</v>
      </c>
      <c r="BT36" t="e">
        <f>'2.4.Функции'!LO72+"BYw!$3\"</f>
        <v>#VALUE!</v>
      </c>
      <c r="BU36" t="e">
        <f>'2.4.Функции'!LP72+"BYw!$3]"</f>
        <v>#VALUE!</v>
      </c>
      <c r="BV36" t="e">
        <f>'2.4.Функции'!LQ72+"BYw!$3^"</f>
        <v>#VALUE!</v>
      </c>
      <c r="BW36" t="e">
        <f>'2.4.Функции'!LR72+"BYw!$3_"</f>
        <v>#VALUE!</v>
      </c>
      <c r="BX36" t="e">
        <f>'2.4.Функции'!LS72+"BYw!$3`"</f>
        <v>#VALUE!</v>
      </c>
      <c r="BY36" t="e">
        <f>'2.4.Функции'!LT72+"BYw!$3a"</f>
        <v>#VALUE!</v>
      </c>
      <c r="BZ36" t="e">
        <f>'2.4.Функции'!LU72+"BYw!$3b"</f>
        <v>#VALUE!</v>
      </c>
      <c r="CA36" t="e">
        <f>'2.4.Функции'!LV72+"BYw!$3c"</f>
        <v>#VALUE!</v>
      </c>
      <c r="CB36" t="e">
        <f>'2.4.Функции'!LW72+"BYw!$3d"</f>
        <v>#VALUE!</v>
      </c>
      <c r="CC36" t="e">
        <f>'2.4.Функции'!LX72+"BYw!$3e"</f>
        <v>#VALUE!</v>
      </c>
      <c r="CD36" t="e">
        <f>'2.4.Функции'!LY72+"BYw!$3f"</f>
        <v>#VALUE!</v>
      </c>
      <c r="CE36" t="e">
        <f>'2.4.Функции'!LZ72+"BYw!$3g"</f>
        <v>#VALUE!</v>
      </c>
      <c r="CF36" t="e">
        <f>'2.4.Функции'!MA72+"BYw!$3h"</f>
        <v>#VALUE!</v>
      </c>
      <c r="CG36" t="e">
        <f>'2.4.Функции'!MB72+"BYw!$3i"</f>
        <v>#VALUE!</v>
      </c>
      <c r="CH36" t="e">
        <f>'2.4.Функции'!MC72+"BYw!$3j"</f>
        <v>#VALUE!</v>
      </c>
      <c r="CI36" t="e">
        <f>'2.4.Функции'!MD72+"BYw!$3k"</f>
        <v>#VALUE!</v>
      </c>
      <c r="CJ36" t="e">
        <f>'2.4.Функции'!ME72+"BYw!$3l"</f>
        <v>#VALUE!</v>
      </c>
      <c r="CK36" t="e">
        <f>'2.4.Функции'!MF72+"BYw!$3m"</f>
        <v>#VALUE!</v>
      </c>
      <c r="CL36" t="e">
        <f>'2.4.Функции'!MG72+"BYw!$3n"</f>
        <v>#VALUE!</v>
      </c>
      <c r="CM36" t="e">
        <f>'2.4.Функции'!MH72+"BYw!$3o"</f>
        <v>#VALUE!</v>
      </c>
      <c r="CN36" t="e">
        <f>'2.4.Функции'!MI72+"BYw!$3p"</f>
        <v>#VALUE!</v>
      </c>
      <c r="CO36" t="e">
        <f>'2.4.Функции'!MJ72+"BYw!$3q"</f>
        <v>#VALUE!</v>
      </c>
      <c r="CP36" t="e">
        <f>'2.4.Функции'!MK72+"BYw!$3r"</f>
        <v>#VALUE!</v>
      </c>
      <c r="CQ36" t="e">
        <f>'2.4.Функции'!ML72+"BYw!$3s"</f>
        <v>#VALUE!</v>
      </c>
      <c r="CR36" t="e">
        <f>'2.4.Функции'!MM72+"BYw!$3t"</f>
        <v>#VALUE!</v>
      </c>
      <c r="CS36" t="e">
        <f>'2.4.Функции'!MN72+"BYw!$3u"</f>
        <v>#VALUE!</v>
      </c>
      <c r="CT36" t="e">
        <f>'2.4.Функции'!MO72+"BYw!$3v"</f>
        <v>#VALUE!</v>
      </c>
      <c r="CU36" t="e">
        <f>'2.4.Функции'!MP72+"BYw!$3w"</f>
        <v>#VALUE!</v>
      </c>
      <c r="CV36" t="e">
        <f>'2.4.Функции'!MQ72+"BYw!$3x"</f>
        <v>#VALUE!</v>
      </c>
      <c r="CW36" t="e">
        <f>'2.4.Функции'!MR72+"BYw!$3y"</f>
        <v>#VALUE!</v>
      </c>
      <c r="CX36" t="e">
        <f>'2.4.Функции'!MS72+"BYw!$3z"</f>
        <v>#VALUE!</v>
      </c>
      <c r="CY36" t="e">
        <f>'2.4.Функции'!MT72+"BYw!$3{"</f>
        <v>#VALUE!</v>
      </c>
      <c r="CZ36" t="e">
        <f>'2.4.Функции'!MU72+"BYw!$3|"</f>
        <v>#VALUE!</v>
      </c>
      <c r="DA36" t="e">
        <f>'2.4.Функции'!MV72+"BYw!$3}"</f>
        <v>#VALUE!</v>
      </c>
      <c r="DB36" t="e">
        <f>'2.4.Функции'!MW72+"BYw!$3~"</f>
        <v>#VALUE!</v>
      </c>
      <c r="DC36" t="e">
        <f>'2.4.Функции'!MX72+"BYw!$4#"</f>
        <v>#VALUE!</v>
      </c>
      <c r="DD36" t="e">
        <f>'2.4.Функции'!MY72+"BYw!$4$"</f>
        <v>#VALUE!</v>
      </c>
      <c r="DE36" t="e">
        <f>'2.4.Функции'!MZ72+"BYw!$4%"</f>
        <v>#VALUE!</v>
      </c>
      <c r="DF36" t="e">
        <f>'2.4.Функции'!NA72+"BYw!$4&amp;"</f>
        <v>#VALUE!</v>
      </c>
      <c r="DG36" t="e">
        <f>'2.4.Функции'!NB72+"BYw!$4'"</f>
        <v>#VALUE!</v>
      </c>
      <c r="DH36" t="e">
        <f>'2.4.Функции'!NC72+"BYw!$4("</f>
        <v>#VALUE!</v>
      </c>
      <c r="DI36" t="e">
        <f>'2.4.Функции'!ND72+"BYw!$4)"</f>
        <v>#VALUE!</v>
      </c>
      <c r="DJ36" t="e">
        <f>'2.4.Функции'!NE72+"BYw!$4."</f>
        <v>#VALUE!</v>
      </c>
      <c r="DK36" t="e">
        <f>'2.4.Функции'!NF72+"BYw!$4/"</f>
        <v>#VALUE!</v>
      </c>
      <c r="DL36" t="e">
        <f>'2.4.Функции'!NG72+"BYw!$40"</f>
        <v>#VALUE!</v>
      </c>
      <c r="DM36" t="e">
        <f>'2.4.Функции'!NH72+"BYw!$41"</f>
        <v>#VALUE!</v>
      </c>
      <c r="DN36" t="e">
        <f>'2.4.Функции'!NI72+"BYw!$42"</f>
        <v>#VALUE!</v>
      </c>
      <c r="DO36" t="e">
        <f>'2.4.Функции'!NJ72+"BYw!$43"</f>
        <v>#VALUE!</v>
      </c>
      <c r="DP36" t="e">
        <f>'2.4.Функции'!NK72+"BYw!$44"</f>
        <v>#VALUE!</v>
      </c>
      <c r="DQ36" t="e">
        <f>'2.4.Функции'!NL72+"BYw!$45"</f>
        <v>#VALUE!</v>
      </c>
      <c r="DR36" t="e">
        <f>'2.4.Функции'!NM72+"BYw!$46"</f>
        <v>#VALUE!</v>
      </c>
      <c r="DS36" t="e">
        <f>'2.4.Функции'!NN72+"BYw!$47"</f>
        <v>#VALUE!</v>
      </c>
      <c r="DT36" t="e">
        <f>'2.4.Функции'!NO72+"BYw!$48"</f>
        <v>#VALUE!</v>
      </c>
      <c r="DU36" t="e">
        <f>'2.4.Функции'!NP72+"BYw!$49"</f>
        <v>#VALUE!</v>
      </c>
      <c r="DV36" t="e">
        <f>'2.4.Функции'!NQ72+"BYw!$4:"</f>
        <v>#VALUE!</v>
      </c>
      <c r="DW36" t="e">
        <f>'2.4.Функции'!NR72+"BYw!$4;"</f>
        <v>#VALUE!</v>
      </c>
      <c r="DX36" t="e">
        <f>'2.4.Функции'!NS72+"BYw!$4&lt;"</f>
        <v>#VALUE!</v>
      </c>
      <c r="DY36" t="e">
        <f>'2.4.Функции'!NT72+"BYw!$4="</f>
        <v>#VALUE!</v>
      </c>
      <c r="DZ36" t="e">
        <f>'2.4.Функции'!NU72+"BYw!$4&gt;"</f>
        <v>#VALUE!</v>
      </c>
      <c r="EA36" t="e">
        <f>'2.4.Функции'!NV72+"BYw!$4?"</f>
        <v>#VALUE!</v>
      </c>
      <c r="EB36" t="e">
        <f>'2.4.Функции'!NW72+"BYw!$4@"</f>
        <v>#VALUE!</v>
      </c>
      <c r="EC36" t="e">
        <f>'2.4.Функции'!NX72+"BYw!$4A"</f>
        <v>#VALUE!</v>
      </c>
      <c r="ED36" t="e">
        <f>'2.4.Функции'!NY72+"BYw!$4B"</f>
        <v>#VALUE!</v>
      </c>
      <c r="EE36" t="e">
        <f>'2.4.Функции'!NZ72+"BYw!$4C"</f>
        <v>#VALUE!</v>
      </c>
      <c r="EF36" t="e">
        <f>'2.4.Функции'!OA72+"BYw!$4D"</f>
        <v>#VALUE!</v>
      </c>
      <c r="EG36" t="e">
        <f>'2.4.Функции'!OB72+"BYw!$4E"</f>
        <v>#VALUE!</v>
      </c>
      <c r="EH36" t="e">
        <f>'2.4.Функции'!OC72+"BYw!$4F"</f>
        <v>#VALUE!</v>
      </c>
      <c r="EI36" t="e">
        <f>'2.4.Функции'!OD72+"BYw!$4G"</f>
        <v>#VALUE!</v>
      </c>
      <c r="EJ36" t="e">
        <f>'2.4.Функции'!OE72+"BYw!$4H"</f>
        <v>#VALUE!</v>
      </c>
      <c r="EK36" t="e">
        <f>'2.4.Функции'!OF72+"BYw!$4I"</f>
        <v>#VALUE!</v>
      </c>
      <c r="EL36" t="e">
        <f>'2.4.Функции'!OG72+"BYw!$4J"</f>
        <v>#VALUE!</v>
      </c>
      <c r="EM36" t="e">
        <f>'2.4.Функции'!OH72+"BYw!$4K"</f>
        <v>#VALUE!</v>
      </c>
      <c r="EN36" t="e">
        <f>'2.4.Функции'!OI72+"BYw!$4L"</f>
        <v>#VALUE!</v>
      </c>
      <c r="EO36" t="e">
        <f>'2.4.Функции'!OJ72+"BYw!$4M"</f>
        <v>#VALUE!</v>
      </c>
      <c r="EP36" t="e">
        <f>'2.4.Функции'!OK72+"BYw!$4N"</f>
        <v>#VALUE!</v>
      </c>
      <c r="EQ36" t="e">
        <f>'2.4.Функции'!OL72+"BYw!$4O"</f>
        <v>#VALUE!</v>
      </c>
      <c r="ER36" t="e">
        <f>'2.4.Функции'!OM72+"BYw!$4P"</f>
        <v>#VALUE!</v>
      </c>
      <c r="ES36" t="e">
        <f>'2.4.Функции'!ON72+"BYw!$4Q"</f>
        <v>#VALUE!</v>
      </c>
      <c r="ET36" t="e">
        <f>'2.4.Функции'!OO72+"BYw!$4R"</f>
        <v>#VALUE!</v>
      </c>
      <c r="EU36" t="e">
        <f>'2.4.Функции'!OP72+"BYw!$4S"</f>
        <v>#VALUE!</v>
      </c>
      <c r="EV36" t="e">
        <f>'2.4.Функции'!OQ72+"BYw!$4T"</f>
        <v>#VALUE!</v>
      </c>
      <c r="EW36" t="e">
        <f>'2.4.Функции'!OR72+"BYw!$4U"</f>
        <v>#VALUE!</v>
      </c>
      <c r="EX36" t="e">
        <f>'2.4.Функции'!OS72+"BYw!$4V"</f>
        <v>#VALUE!</v>
      </c>
      <c r="EY36" t="e">
        <f>'2.4.Функции'!OT72+"BYw!$4W"</f>
        <v>#VALUE!</v>
      </c>
      <c r="EZ36" t="e">
        <f>'2.4.Функции'!OU72+"BYw!$4X"</f>
        <v>#VALUE!</v>
      </c>
      <c r="FA36" t="e">
        <f>'2.4.Функции'!OV72+"BYw!$4Y"</f>
        <v>#VALUE!</v>
      </c>
      <c r="FB36" t="e">
        <f>'2.4.Функции'!OW72+"BYw!$4Z"</f>
        <v>#VALUE!</v>
      </c>
      <c r="FC36" t="e">
        <f>'2.4.Функции'!OX72+"BYw!$4["</f>
        <v>#VALUE!</v>
      </c>
      <c r="FD36" t="e">
        <f>'2.4.Функции'!OY72+"BYw!$4\"</f>
        <v>#VALUE!</v>
      </c>
      <c r="FE36" t="e">
        <f>'2.4.Функции'!OZ72+"BYw!$4]"</f>
        <v>#VALUE!</v>
      </c>
      <c r="FF36" t="e">
        <f>'2.4.Функции'!PA72+"BYw!$4^"</f>
        <v>#VALUE!</v>
      </c>
      <c r="FG36" t="e">
        <f>'2.4.Функции'!PB72+"BYw!$4_"</f>
        <v>#VALUE!</v>
      </c>
      <c r="FH36" t="e">
        <f>'2.4.Функции'!PC72+"BYw!$4`"</f>
        <v>#VALUE!</v>
      </c>
      <c r="FI36" t="e">
        <f>'2.4.Функции'!PD72+"BYw!$4a"</f>
        <v>#VALUE!</v>
      </c>
      <c r="FJ36" t="e">
        <f>'2.4.Функции'!PE72+"BYw!$4b"</f>
        <v>#VALUE!</v>
      </c>
      <c r="FK36" t="e">
        <f>'2.4.Функции'!PF72+"BYw!$4c"</f>
        <v>#VALUE!</v>
      </c>
      <c r="FL36" t="e">
        <f>'2.4.Функции'!PG72+"BYw!$4d"</f>
        <v>#VALUE!</v>
      </c>
      <c r="FM36" t="e">
        <f>'2.4.Функции'!PH72+"BYw!$4e"</f>
        <v>#VALUE!</v>
      </c>
      <c r="FN36" t="e">
        <f>'2.4.Функции'!PI72+"BYw!$4f"</f>
        <v>#VALUE!</v>
      </c>
      <c r="FO36" t="e">
        <f>'2.4.Функции'!PJ72+"BYw!$4g"</f>
        <v>#VALUE!</v>
      </c>
      <c r="FP36" t="e">
        <f>'2.4.Функции'!PK72+"BYw!$4h"</f>
        <v>#VALUE!</v>
      </c>
      <c r="FQ36" t="e">
        <f>'2.4.Функции'!PL72+"BYw!$4i"</f>
        <v>#VALUE!</v>
      </c>
      <c r="FR36" t="e">
        <f>'2.4.Функции'!PM72+"BYw!$4j"</f>
        <v>#VALUE!</v>
      </c>
      <c r="FS36" t="e">
        <f>'2.4.Функции'!PN72+"BYw!$4k"</f>
        <v>#VALUE!</v>
      </c>
      <c r="FT36" t="e">
        <f>'2.4.Функции'!PO72+"BYw!$4l"</f>
        <v>#VALUE!</v>
      </c>
      <c r="FU36" t="e">
        <f>'2.4.Функции'!PP72+"BYw!$4m"</f>
        <v>#VALUE!</v>
      </c>
      <c r="FV36" t="e">
        <f>'2.4.Функции'!PQ72+"BYw!$4n"</f>
        <v>#VALUE!</v>
      </c>
      <c r="FW36" t="e">
        <f>'2.4.Функции'!PR72+"BYw!$4o"</f>
        <v>#VALUE!</v>
      </c>
      <c r="FX36" t="e">
        <f>'2.4.Функции'!PS72+"BYw!$4p"</f>
        <v>#VALUE!</v>
      </c>
      <c r="FY36" t="e">
        <f>'2.4.Функции'!PT72+"BYw!$4q"</f>
        <v>#VALUE!</v>
      </c>
      <c r="FZ36" t="e">
        <f>'2.4.Функции'!PU72+"BYw!$4r"</f>
        <v>#VALUE!</v>
      </c>
      <c r="GA36" t="e">
        <f>'2.4.Функции'!PV72+"BYw!$4s"</f>
        <v>#VALUE!</v>
      </c>
      <c r="GB36" t="e">
        <f>'2.4.Функции'!PW72+"BYw!$4t"</f>
        <v>#VALUE!</v>
      </c>
      <c r="GC36" t="e">
        <f>'2.4.Функции'!PX72+"BYw!$4u"</f>
        <v>#VALUE!</v>
      </c>
      <c r="GD36" t="e">
        <f>'2.4.Функции'!PY72+"BYw!$4v"</f>
        <v>#VALUE!</v>
      </c>
      <c r="GE36" t="e">
        <f>'2.4.Функции'!PZ72+"BYw!$4w"</f>
        <v>#VALUE!</v>
      </c>
      <c r="GF36" t="e">
        <f>'2.4.Функции'!QA72+"BYw!$4x"</f>
        <v>#VALUE!</v>
      </c>
      <c r="GG36" t="e">
        <f>'2.4.Функции'!QB72+"BYw!$4y"</f>
        <v>#VALUE!</v>
      </c>
      <c r="GH36" t="e">
        <f>'2.4.Функции'!QC72+"BYw!$4z"</f>
        <v>#VALUE!</v>
      </c>
      <c r="GI36" t="e">
        <f>'2.4.Функции'!QD72+"BYw!$4{"</f>
        <v>#VALUE!</v>
      </c>
      <c r="GJ36" t="e">
        <f>'2.4.Функции'!QE72+"BYw!$4|"</f>
        <v>#VALUE!</v>
      </c>
      <c r="GK36" t="e">
        <f>'2.4.Функции'!QF72+"BYw!$4}"</f>
        <v>#VALUE!</v>
      </c>
      <c r="GL36" t="e">
        <f>'2.4.Функции'!QG72+"BYw!$4~"</f>
        <v>#VALUE!</v>
      </c>
      <c r="GM36" t="e">
        <f>'2.4.Функции'!QH72+"BYw!$5#"</f>
        <v>#VALUE!</v>
      </c>
      <c r="GN36" t="e">
        <f>'2.4.Функции'!QI72+"BYw!$5$"</f>
        <v>#VALUE!</v>
      </c>
      <c r="GO36" t="e">
        <f>'2.4.Функции'!QJ72+"BYw!$5%"</f>
        <v>#VALUE!</v>
      </c>
      <c r="GP36" t="e">
        <f>'2.4.Функции'!QK72+"BYw!$5&amp;"</f>
        <v>#VALUE!</v>
      </c>
      <c r="GQ36" t="e">
        <f>'2.4.Функции'!QL72+"BYw!$5'"</f>
        <v>#VALUE!</v>
      </c>
      <c r="GR36" t="e">
        <f>'2.4.Функции'!QM72+"BYw!$5("</f>
        <v>#VALUE!</v>
      </c>
      <c r="GS36" t="e">
        <f>'2.4.Функции'!QN72+"BYw!$5)"</f>
        <v>#VALUE!</v>
      </c>
      <c r="GT36" t="e">
        <f>'2.4.Функции'!QO72+"BYw!$5."</f>
        <v>#VALUE!</v>
      </c>
      <c r="GU36" t="e">
        <f>'2.4.Функции'!QP72+"BYw!$5/"</f>
        <v>#VALUE!</v>
      </c>
      <c r="GV36" t="e">
        <f>'2.4.Функции'!QQ72+"BYw!$50"</f>
        <v>#VALUE!</v>
      </c>
      <c r="GW36" t="e">
        <f>'2.4.Функции'!QR72+"BYw!$51"</f>
        <v>#VALUE!</v>
      </c>
      <c r="GX36" t="e">
        <f>'2.4.Функции'!QS72+"BYw!$52"</f>
        <v>#VALUE!</v>
      </c>
      <c r="GY36" t="e">
        <f>'2.4.Функции'!QT72+"BYw!$53"</f>
        <v>#VALUE!</v>
      </c>
      <c r="GZ36" t="e">
        <f>'2.4.Функции'!QU72+"BYw!$54"</f>
        <v>#VALUE!</v>
      </c>
      <c r="HA36" t="e">
        <f>'2.4.Функции'!QV72+"BYw!$55"</f>
        <v>#VALUE!</v>
      </c>
      <c r="HB36" t="e">
        <f>'2.4.Функции'!QW72+"BYw!$56"</f>
        <v>#VALUE!</v>
      </c>
      <c r="HC36" t="e">
        <f>'2.4.Функции'!QX72+"BYw!$57"</f>
        <v>#VALUE!</v>
      </c>
      <c r="HD36" t="e">
        <f>'2.4.Функции'!QY72+"BYw!$58"</f>
        <v>#VALUE!</v>
      </c>
      <c r="HE36" t="e">
        <f>'2.4.Функции'!QZ72+"BYw!$59"</f>
        <v>#VALUE!</v>
      </c>
      <c r="HF36" t="e">
        <f>'2.4.Функции'!RA72+"BYw!$5:"</f>
        <v>#VALUE!</v>
      </c>
      <c r="HG36" t="e">
        <f>'2.4.Функции'!RB72+"BYw!$5;"</f>
        <v>#VALUE!</v>
      </c>
      <c r="HH36" t="e">
        <f>'2.4.Функции'!RC72+"BYw!$5&lt;"</f>
        <v>#VALUE!</v>
      </c>
      <c r="HI36" t="e">
        <f>'2.4.Функции'!RD72+"BYw!$5="</f>
        <v>#VALUE!</v>
      </c>
      <c r="HJ36" t="e">
        <f>'2.4.Функции'!RE72+"BYw!$5&gt;"</f>
        <v>#VALUE!</v>
      </c>
      <c r="HK36" t="e">
        <f>'2.4.Функции'!RF72+"BYw!$5?"</f>
        <v>#VALUE!</v>
      </c>
      <c r="HL36" t="e">
        <f>'2.4.Функции'!RG72+"BYw!$5@"</f>
        <v>#VALUE!</v>
      </c>
      <c r="HM36" t="e">
        <f>'2.4.Функции'!RH72+"BYw!$5A"</f>
        <v>#VALUE!</v>
      </c>
      <c r="HN36" t="e">
        <f>'2.4.Функции'!RI72+"BYw!$5B"</f>
        <v>#VALUE!</v>
      </c>
      <c r="HO36" t="e">
        <f>'2.4.Функции'!RJ72+"BYw!$5C"</f>
        <v>#VALUE!</v>
      </c>
      <c r="HP36" t="e">
        <f>'2.4.Функции'!RK72+"BYw!$5D"</f>
        <v>#VALUE!</v>
      </c>
      <c r="HQ36" t="e">
        <f>'2.4.Функции'!RL72+"BYw!$5E"</f>
        <v>#VALUE!</v>
      </c>
      <c r="HR36" t="e">
        <f>'2.4.Функции'!RM72+"BYw!$5F"</f>
        <v>#VALUE!</v>
      </c>
      <c r="HS36" t="e">
        <f>'2.4.Функции'!RN72+"BYw!$5G"</f>
        <v>#VALUE!</v>
      </c>
      <c r="HT36" t="e">
        <f>'2.4.Функции'!RO72+"BYw!$5H"</f>
        <v>#VALUE!</v>
      </c>
      <c r="HU36" t="e">
        <f>'2.4.Функции'!RP72+"BYw!$5I"</f>
        <v>#VALUE!</v>
      </c>
      <c r="HV36" t="e">
        <f>'2.4.Функции'!RQ72+"BYw!$5J"</f>
        <v>#VALUE!</v>
      </c>
      <c r="HW36" t="e">
        <f>'2.4.Функции'!RR72+"BYw!$5K"</f>
        <v>#VALUE!</v>
      </c>
      <c r="HX36" t="e">
        <f>'2.4.Функции'!RS72+"BYw!$5L"</f>
        <v>#VALUE!</v>
      </c>
      <c r="HY36" t="e">
        <f>'2.4.Функции'!RT72+"BYw!$5M"</f>
        <v>#VALUE!</v>
      </c>
      <c r="HZ36" t="e">
        <f>'2.4.Функции'!RU72+"BYw!$5N"</f>
        <v>#VALUE!</v>
      </c>
      <c r="IA36" t="e">
        <f>'2.4.Функции'!RV72+"BYw!$5O"</f>
        <v>#VALUE!</v>
      </c>
      <c r="IB36" t="e">
        <f>'2.4.Функции'!RW72+"BYw!$5P"</f>
        <v>#VALUE!</v>
      </c>
      <c r="IC36" t="e">
        <f>'2.4.Функции'!RX72+"BYw!$5Q"</f>
        <v>#VALUE!</v>
      </c>
      <c r="ID36" t="e">
        <f>'2.4.Функции'!RY72+"BYw!$5R"</f>
        <v>#VALUE!</v>
      </c>
      <c r="IE36" t="e">
        <f>'2.4.Функции'!RZ72+"BYw!$5S"</f>
        <v>#VALUE!</v>
      </c>
      <c r="IF36" t="e">
        <f>'2.4.Функции'!SA72+"BYw!$5T"</f>
        <v>#VALUE!</v>
      </c>
      <c r="IG36" t="e">
        <f>'2.4.Функции'!SB72+"BYw!$5U"</f>
        <v>#VALUE!</v>
      </c>
      <c r="IH36" t="e">
        <f>'2.4.Функции'!SC72+"BYw!$5V"</f>
        <v>#VALUE!</v>
      </c>
      <c r="II36" t="e">
        <f>'2.4.Функции'!SD72+"BYw!$5W"</f>
        <v>#VALUE!</v>
      </c>
      <c r="IJ36" t="e">
        <f>'2.4.Функции'!SE72+"BYw!$5X"</f>
        <v>#VALUE!</v>
      </c>
      <c r="IK36" t="e">
        <f>'2.4.Функции'!SF72+"BYw!$5Y"</f>
        <v>#VALUE!</v>
      </c>
      <c r="IL36" t="e">
        <f>'2.4.Функции'!SG72+"BYw!$5Z"</f>
        <v>#VALUE!</v>
      </c>
      <c r="IM36" t="e">
        <f>'2.4.Функции'!SH72+"BYw!$5["</f>
        <v>#VALUE!</v>
      </c>
      <c r="IN36" t="e">
        <f>'2.4.Функции'!SI72+"BYw!$5\"</f>
        <v>#VALUE!</v>
      </c>
      <c r="IO36" t="e">
        <f>'2.4.Функции'!SJ72+"BYw!$5]"</f>
        <v>#VALUE!</v>
      </c>
      <c r="IP36" t="e">
        <f>'2.4.Функции'!SK72+"BYw!$5^"</f>
        <v>#VALUE!</v>
      </c>
      <c r="IQ36" t="e">
        <f>'2.4.Функции'!SL72+"BYw!$5_"</f>
        <v>#VALUE!</v>
      </c>
      <c r="IR36" t="e">
        <f>'2.4.Функции'!SM72+"BYw!$5`"</f>
        <v>#VALUE!</v>
      </c>
      <c r="IS36" t="e">
        <f>'2.4.Функции'!SN72+"BYw!$5a"</f>
        <v>#VALUE!</v>
      </c>
      <c r="IT36" t="e">
        <f>'2.4.Функции'!SO72+"BYw!$5b"</f>
        <v>#VALUE!</v>
      </c>
      <c r="IU36" t="e">
        <f>'2.4.Функции'!SP72+"BYw!$5c"</f>
        <v>#VALUE!</v>
      </c>
      <c r="IV36" t="e">
        <f>'2.4.Функции'!SQ72+"BYw!$5d"</f>
        <v>#VALUE!</v>
      </c>
    </row>
    <row r="37" spans="6:256" x14ac:dyDescent="0.2">
      <c r="F37" t="e">
        <f>'2.4.Функции'!SR72+"BYw!$5e"</f>
        <v>#VALUE!</v>
      </c>
      <c r="G37" t="e">
        <f>'2.4.Функции'!SS72+"BYw!$5f"</f>
        <v>#VALUE!</v>
      </c>
      <c r="H37" t="e">
        <f>'2.4.Функции'!ST72+"BYw!$5g"</f>
        <v>#VALUE!</v>
      </c>
      <c r="I37" t="e">
        <f>'2.4.Функции'!SU72+"BYw!$5h"</f>
        <v>#VALUE!</v>
      </c>
      <c r="J37" t="e">
        <f>'2.4.Функции'!SV72+"BYw!$5i"</f>
        <v>#VALUE!</v>
      </c>
      <c r="K37" t="e">
        <f>'2.4.Функции'!SW72+"BYw!$5j"</f>
        <v>#VALUE!</v>
      </c>
      <c r="L37" t="e">
        <f>'2.4.Функции'!SX72+"BYw!$5k"</f>
        <v>#VALUE!</v>
      </c>
      <c r="M37" t="e">
        <f>'2.4.Функции'!SY72+"BYw!$5l"</f>
        <v>#VALUE!</v>
      </c>
      <c r="N37" t="e">
        <f>'2.4.Функции'!SZ72+"BYw!$5m"</f>
        <v>#VALUE!</v>
      </c>
      <c r="O37" t="e">
        <f>'2.4.Функции'!TA72+"BYw!$5n"</f>
        <v>#VALUE!</v>
      </c>
      <c r="P37" t="e">
        <f>'2.4.Функции'!TB72+"BYw!$5o"</f>
        <v>#VALUE!</v>
      </c>
      <c r="Q37" t="e">
        <f>'2.4.Функции'!TC72+"BYw!$5p"</f>
        <v>#VALUE!</v>
      </c>
      <c r="R37" t="e">
        <f>'2.4.Функции'!TD72+"BYw!$5q"</f>
        <v>#VALUE!</v>
      </c>
      <c r="S37" t="e">
        <f>'2.4.Функции'!TE72+"BYw!$5r"</f>
        <v>#VALUE!</v>
      </c>
      <c r="T37" t="e">
        <f>'2.4.Функции'!TF72+"BYw!$5s"</f>
        <v>#VALUE!</v>
      </c>
      <c r="U37" t="e">
        <f>'2.4.Функции'!TG72+"BYw!$5t"</f>
        <v>#VALUE!</v>
      </c>
      <c r="V37" t="e">
        <f>'2.4.Функции'!TH72+"BYw!$5u"</f>
        <v>#VALUE!</v>
      </c>
      <c r="W37" t="e">
        <f>'2.4.Функции'!TI72+"BYw!$5v"</f>
        <v>#VALUE!</v>
      </c>
      <c r="X37" t="e">
        <f>'2.4.Функции'!TJ72+"BYw!$5w"</f>
        <v>#VALUE!</v>
      </c>
      <c r="Y37" t="e">
        <f>'2.4.Функции'!TK72+"BYw!$5x"</f>
        <v>#VALUE!</v>
      </c>
      <c r="Z37" t="e">
        <f>'2.4.Функции'!TL72+"BYw!$5y"</f>
        <v>#VALUE!</v>
      </c>
      <c r="AA37" t="e">
        <f>'2.4.Функции'!TM72+"BYw!$5z"</f>
        <v>#VALUE!</v>
      </c>
      <c r="AB37" t="e">
        <f>'2.4.Функции'!TN72+"BYw!$5{"</f>
        <v>#VALUE!</v>
      </c>
      <c r="AC37" t="e">
        <f>'2.4.Функции'!TO72+"BYw!$5|"</f>
        <v>#VALUE!</v>
      </c>
      <c r="AD37" t="e">
        <f>'2.4.Функции'!TP72+"BYw!$5}"</f>
        <v>#VALUE!</v>
      </c>
      <c r="AE37" t="e">
        <f>'2.4.Функции'!TQ72+"BYw!$5~"</f>
        <v>#VALUE!</v>
      </c>
      <c r="AF37" t="e">
        <f>'2.4.Функции'!TR72+"BYw!$6#"</f>
        <v>#VALUE!</v>
      </c>
      <c r="AG37" t="e">
        <f>'2.4.Функции'!TS72+"BYw!$6$"</f>
        <v>#VALUE!</v>
      </c>
      <c r="AH37" t="e">
        <f>'2.4.Функции'!TT72+"BYw!$6%"</f>
        <v>#VALUE!</v>
      </c>
      <c r="AI37" t="e">
        <f>'2.4.Функции'!TU72+"BYw!$6&amp;"</f>
        <v>#VALUE!</v>
      </c>
      <c r="AJ37" t="e">
        <f>'2.4.Функции'!TV72+"BYw!$6'"</f>
        <v>#VALUE!</v>
      </c>
      <c r="AK37" t="e">
        <f>'2.4.Функции'!TW72+"BYw!$6("</f>
        <v>#VALUE!</v>
      </c>
      <c r="AL37" t="e">
        <f>'2.4.Функции'!TX72+"BYw!$6)"</f>
        <v>#VALUE!</v>
      </c>
      <c r="AM37" t="e">
        <f>'2.4.Функции'!TY72+"BYw!$6."</f>
        <v>#VALUE!</v>
      </c>
      <c r="AN37" t="e">
        <f>'2.4.Функции'!TZ72+"BYw!$6/"</f>
        <v>#VALUE!</v>
      </c>
      <c r="AO37" t="e">
        <f>'2.4.Функции'!UA72+"BYw!$60"</f>
        <v>#VALUE!</v>
      </c>
      <c r="AP37" t="e">
        <f>'2.4.Функции'!UB72+"BYw!$61"</f>
        <v>#VALUE!</v>
      </c>
      <c r="AQ37" t="e">
        <f>'2.4.Функции'!UC72+"BYw!$62"</f>
        <v>#VALUE!</v>
      </c>
      <c r="AR37" t="e">
        <f>'2.4.Функции'!UD72+"BYw!$63"</f>
        <v>#VALUE!</v>
      </c>
      <c r="AS37" t="e">
        <f>'2.4.Функции'!UE72+"BYw!$64"</f>
        <v>#VALUE!</v>
      </c>
      <c r="AT37" t="e">
        <f>'2.4.Функции'!UF72+"BYw!$65"</f>
        <v>#VALUE!</v>
      </c>
      <c r="AU37" t="e">
        <f>'2.4.Функции'!UG72+"BYw!$66"</f>
        <v>#VALUE!</v>
      </c>
      <c r="AV37" t="e">
        <f>'2.4.Функции'!UH72+"BYw!$67"</f>
        <v>#VALUE!</v>
      </c>
      <c r="AW37" t="e">
        <f>'2.4.Функции'!UI72+"BYw!$68"</f>
        <v>#VALUE!</v>
      </c>
      <c r="AX37" t="e">
        <f>'2.4.Функции'!UJ72+"BYw!$69"</f>
        <v>#VALUE!</v>
      </c>
      <c r="AY37" t="e">
        <f>'2.4.Функции'!UK72+"BYw!$6:"</f>
        <v>#VALUE!</v>
      </c>
      <c r="AZ37" t="e">
        <f>'2.4.Функции'!UL72+"BYw!$6;"</f>
        <v>#VALUE!</v>
      </c>
      <c r="BA37" t="e">
        <f>'2.4.Функции'!UM72+"BYw!$6&lt;"</f>
        <v>#VALUE!</v>
      </c>
      <c r="BB37" t="e">
        <f>'2.4.Функции'!UN72+"BYw!$6="</f>
        <v>#VALUE!</v>
      </c>
      <c r="BC37" t="e">
        <f>'2.4.Функции'!UO72+"BYw!$6&gt;"</f>
        <v>#VALUE!</v>
      </c>
      <c r="BD37" t="e">
        <f>'2.4.Функции'!UP72+"BYw!$6?"</f>
        <v>#VALUE!</v>
      </c>
      <c r="BE37" t="e">
        <f>'2.4.Функции'!UQ72+"BYw!$6@"</f>
        <v>#VALUE!</v>
      </c>
      <c r="BF37" t="e">
        <f>'2.4.Функции'!UR72+"BYw!$6A"</f>
        <v>#VALUE!</v>
      </c>
      <c r="BG37" t="e">
        <f>'2.4.Функции'!US72+"BYw!$6B"</f>
        <v>#VALUE!</v>
      </c>
      <c r="BH37" t="e">
        <f>'2.4.Функции'!UT72+"BYw!$6C"</f>
        <v>#VALUE!</v>
      </c>
      <c r="BI37" t="e">
        <f>'2.4.Функции'!UU72+"BYw!$6D"</f>
        <v>#VALUE!</v>
      </c>
      <c r="BJ37" t="e">
        <f>'2.4.Функции'!UV72+"BYw!$6E"</f>
        <v>#VALUE!</v>
      </c>
      <c r="BK37" t="e">
        <f>'2.4.Функции'!UW72+"BYw!$6F"</f>
        <v>#VALUE!</v>
      </c>
      <c r="BL37" t="e">
        <f>'2.4.Функции'!UX72+"BYw!$6G"</f>
        <v>#VALUE!</v>
      </c>
      <c r="BM37" t="e">
        <f>'2.4.Функции'!UY72+"BYw!$6H"</f>
        <v>#VALUE!</v>
      </c>
      <c r="BN37" t="e">
        <f>'2.4.Функции'!UZ72+"BYw!$6I"</f>
        <v>#VALUE!</v>
      </c>
      <c r="BO37" t="e">
        <f>'2.4.Функции'!VA72+"BYw!$6J"</f>
        <v>#VALUE!</v>
      </c>
      <c r="BP37" t="e">
        <f>'2.4.Функции'!VB72+"BYw!$6K"</f>
        <v>#VALUE!</v>
      </c>
      <c r="BQ37" t="e">
        <f>'2.4.Функции'!VC72+"BYw!$6L"</f>
        <v>#VALUE!</v>
      </c>
      <c r="BR37" t="e">
        <f>'2.4.Функции'!VD72+"BYw!$6M"</f>
        <v>#VALUE!</v>
      </c>
      <c r="BS37" t="e">
        <f>'2.4.Функции'!VE72+"BYw!$6N"</f>
        <v>#VALUE!</v>
      </c>
      <c r="BT37" t="e">
        <f>'2.4.Функции'!VF72+"BYw!$6O"</f>
        <v>#VALUE!</v>
      </c>
      <c r="BU37" t="e">
        <f>'2.4.Функции'!VG72+"BYw!$6P"</f>
        <v>#VALUE!</v>
      </c>
      <c r="BV37" t="e">
        <f>'2.4.Функции'!VH72+"BYw!$6Q"</f>
        <v>#VALUE!</v>
      </c>
      <c r="BW37" t="e">
        <f>'2.4.Функции'!VI72+"BYw!$6R"</f>
        <v>#VALUE!</v>
      </c>
      <c r="BX37" t="e">
        <f>'2.4.Функции'!VJ72+"BYw!$6S"</f>
        <v>#VALUE!</v>
      </c>
      <c r="BY37" t="e">
        <f>'2.4.Функции'!VK72+"BYw!$6T"</f>
        <v>#VALUE!</v>
      </c>
      <c r="BZ37" t="e">
        <f>'2.4.Функции'!VL72+"BYw!$6U"</f>
        <v>#VALUE!</v>
      </c>
      <c r="CA37" t="e">
        <f>'2.4.Функции'!VM72+"BYw!$6V"</f>
        <v>#VALUE!</v>
      </c>
      <c r="CB37" t="e">
        <f>'2.4.Функции'!VN72+"BYw!$6W"</f>
        <v>#VALUE!</v>
      </c>
      <c r="CC37" t="e">
        <f>'2.4.Функции'!VO72+"BYw!$6X"</f>
        <v>#VALUE!</v>
      </c>
      <c r="CD37" t="e">
        <f>'2.4.Функции'!VP72+"BYw!$6Y"</f>
        <v>#VALUE!</v>
      </c>
      <c r="CE37" t="e">
        <f>'2.4.Функции'!VQ72+"BYw!$6Z"</f>
        <v>#VALUE!</v>
      </c>
      <c r="CF37" t="e">
        <f>'2.4.Функции'!VR72+"BYw!$6["</f>
        <v>#VALUE!</v>
      </c>
      <c r="CG37" t="e">
        <f>'2.4.Функции'!VS72+"BYw!$6\"</f>
        <v>#VALUE!</v>
      </c>
      <c r="CH37" t="e">
        <f>'2.4.Функции'!VT72+"BYw!$6]"</f>
        <v>#VALUE!</v>
      </c>
      <c r="CI37" t="e">
        <f>'2.4.Функции'!VU72+"BYw!$6^"</f>
        <v>#VALUE!</v>
      </c>
      <c r="CJ37" t="e">
        <f>'2.4.Функции'!VV72+"BYw!$6_"</f>
        <v>#VALUE!</v>
      </c>
      <c r="CK37" t="e">
        <f>'2.4.Функции'!VW72+"BYw!$6`"</f>
        <v>#VALUE!</v>
      </c>
      <c r="CL37" t="e">
        <f>'2.4.Функции'!VX72+"BYw!$6a"</f>
        <v>#VALUE!</v>
      </c>
      <c r="CM37" t="e">
        <f>'2.4.Функции'!VY72+"BYw!$6b"</f>
        <v>#VALUE!</v>
      </c>
      <c r="CN37" t="e">
        <f>'2.4.Функции'!VZ72+"BYw!$6c"</f>
        <v>#VALUE!</v>
      </c>
      <c r="CO37" t="e">
        <f>'2.4.Функции'!WA72+"BYw!$6d"</f>
        <v>#VALUE!</v>
      </c>
      <c r="CP37" t="e">
        <f>'2.4.Функции'!WB72+"BYw!$6e"</f>
        <v>#VALUE!</v>
      </c>
      <c r="CQ37" t="e">
        <f>'2.4.Функции'!WC72+"BYw!$6f"</f>
        <v>#VALUE!</v>
      </c>
      <c r="CR37" t="e">
        <f>'2.4.Функции'!WD72+"BYw!$6g"</f>
        <v>#VALUE!</v>
      </c>
      <c r="CS37" t="e">
        <f>'2.4.Функции'!WE72+"BYw!$6h"</f>
        <v>#VALUE!</v>
      </c>
      <c r="CT37" t="e">
        <f>'2.4.Функции'!WF72+"BYw!$6i"</f>
        <v>#VALUE!</v>
      </c>
      <c r="CU37" t="e">
        <f>'2.4.Функции'!WG72+"BYw!$6j"</f>
        <v>#VALUE!</v>
      </c>
      <c r="CV37" t="e">
        <f>'2.4.Функции'!WH72+"BYw!$6k"</f>
        <v>#VALUE!</v>
      </c>
      <c r="CW37" t="e">
        <f>'2.4.Функции'!WI72+"BYw!$6l"</f>
        <v>#VALUE!</v>
      </c>
      <c r="CX37" t="e">
        <f>'2.4.Функции'!WJ72+"BYw!$6m"</f>
        <v>#VALUE!</v>
      </c>
      <c r="CY37" t="e">
        <f>'2.4.Функции'!WK72+"BYw!$6n"</f>
        <v>#VALUE!</v>
      </c>
      <c r="CZ37" t="e">
        <f>'2.4.Функции'!WL72+"BYw!$6o"</f>
        <v>#VALUE!</v>
      </c>
      <c r="DA37" t="e">
        <f>'2.4.Функции'!WM72+"BYw!$6p"</f>
        <v>#VALUE!</v>
      </c>
      <c r="DB37" t="e">
        <f>'2.4.Функции'!WN72+"BYw!$6q"</f>
        <v>#VALUE!</v>
      </c>
      <c r="DC37" t="e">
        <f>'2.4.Функции'!WO72+"BYw!$6r"</f>
        <v>#VALUE!</v>
      </c>
      <c r="DD37" t="e">
        <f>'2.4.Функции'!WP72+"BYw!$6s"</f>
        <v>#VALUE!</v>
      </c>
      <c r="DE37" t="e">
        <f>'2.4.Функции'!WQ72+"BYw!$6t"</f>
        <v>#VALUE!</v>
      </c>
      <c r="DF37" t="e">
        <f>'2.4.Функции'!WR72+"BYw!$6u"</f>
        <v>#VALUE!</v>
      </c>
      <c r="DG37" t="e">
        <f>'2.4.Функции'!WS72+"BYw!$6v"</f>
        <v>#VALUE!</v>
      </c>
      <c r="DH37" t="e">
        <f>'2.4.Функции'!WT72+"BYw!$6w"</f>
        <v>#VALUE!</v>
      </c>
      <c r="DI37" t="e">
        <f>'2.4.Функции'!WU72+"BYw!$6x"</f>
        <v>#VALUE!</v>
      </c>
      <c r="DJ37" t="e">
        <f>'2.4.Функции'!WV72+"BYw!$6y"</f>
        <v>#VALUE!</v>
      </c>
      <c r="DK37" t="e">
        <f>'2.4.Функции'!WW72+"BYw!$6z"</f>
        <v>#VALUE!</v>
      </c>
      <c r="DL37" t="e">
        <f>'2.4.Функции'!WX72+"BYw!$6{"</f>
        <v>#VALUE!</v>
      </c>
      <c r="DM37" t="e">
        <f>'2.4.Функции'!WY72+"BYw!$6|"</f>
        <v>#VALUE!</v>
      </c>
      <c r="DN37" t="e">
        <f>'2.4.Функции'!WZ72+"BYw!$6}"</f>
        <v>#VALUE!</v>
      </c>
      <c r="DO37" t="e">
        <f>'2.4.Функции'!XA72+"BYw!$6~"</f>
        <v>#VALUE!</v>
      </c>
      <c r="DP37" t="e">
        <f>'2.4.Функции'!XB72+"BYw!$7#"</f>
        <v>#VALUE!</v>
      </c>
      <c r="DQ37" t="e">
        <f>'2.4.Функции'!XC72+"BYw!$7$"</f>
        <v>#VALUE!</v>
      </c>
      <c r="DR37" t="e">
        <f>'2.4.Функции'!XD72+"BYw!$7%"</f>
        <v>#VALUE!</v>
      </c>
      <c r="DS37" t="e">
        <f>'2.4.Функции'!XE72+"BYw!$7&amp;"</f>
        <v>#VALUE!</v>
      </c>
      <c r="DT37" t="e">
        <f>'2.4.Функции'!XF72+"BYw!$7'"</f>
        <v>#VALUE!</v>
      </c>
      <c r="DU37" t="e">
        <f>'2.4.Функции'!XG72+"BYw!$7("</f>
        <v>#VALUE!</v>
      </c>
      <c r="DV37" t="e">
        <f>'2.4.Функции'!XH72+"BYw!$7)"</f>
        <v>#VALUE!</v>
      </c>
      <c r="DW37" t="e">
        <f>'2.4.Функции'!XI72+"BYw!$7."</f>
        <v>#VALUE!</v>
      </c>
      <c r="DX37" t="e">
        <f>'2.4.Функции'!XJ72+"BYw!$7/"</f>
        <v>#VALUE!</v>
      </c>
      <c r="DY37" t="e">
        <f>'2.4.Функции'!XK72+"BYw!$70"</f>
        <v>#VALUE!</v>
      </c>
      <c r="DZ37" t="e">
        <f>'2.4.Функции'!XL72+"BYw!$71"</f>
        <v>#VALUE!</v>
      </c>
      <c r="EA37" t="e">
        <f>'2.4.Функции'!XM72+"BYw!$72"</f>
        <v>#VALUE!</v>
      </c>
      <c r="EB37" t="e">
        <f>'2.4.Функции'!XN72+"BYw!$73"</f>
        <v>#VALUE!</v>
      </c>
      <c r="EC37" t="e">
        <f>'2.4.Функции'!XO72+"BYw!$74"</f>
        <v>#VALUE!</v>
      </c>
      <c r="ED37" t="e">
        <f>'2.4.Функции'!XP72+"BYw!$75"</f>
        <v>#VALUE!</v>
      </c>
      <c r="EE37" t="e">
        <f>'2.4.Функции'!XQ72+"BYw!$76"</f>
        <v>#VALUE!</v>
      </c>
      <c r="EF37" t="e">
        <f>'2.4.Функции'!XR72+"BYw!$77"</f>
        <v>#VALUE!</v>
      </c>
      <c r="EG37" t="e">
        <f>'2.4.Функции'!XS72+"BYw!$78"</f>
        <v>#VALUE!</v>
      </c>
      <c r="EH37" t="e">
        <f>'2.4.Функции'!XT72+"BYw!$79"</f>
        <v>#VALUE!</v>
      </c>
      <c r="EI37" t="e">
        <f>'2.4.Функции'!XU72+"BYw!$7:"</f>
        <v>#VALUE!</v>
      </c>
      <c r="EJ37" t="e">
        <f>'2.4.Функции'!XV72+"BYw!$7;"</f>
        <v>#VALUE!</v>
      </c>
      <c r="EK37" t="e">
        <f>'2.4.Функции'!XW72+"BYw!$7&lt;"</f>
        <v>#VALUE!</v>
      </c>
      <c r="EL37" t="e">
        <f>'2.4.Функции'!XX72+"BYw!$7="</f>
        <v>#VALUE!</v>
      </c>
      <c r="EM37" t="e">
        <f>'2.4.Функции'!XY72+"BYw!$7&gt;"</f>
        <v>#VALUE!</v>
      </c>
      <c r="EN37" t="e">
        <f>'2.4.Функции'!XZ72+"BYw!$7?"</f>
        <v>#VALUE!</v>
      </c>
      <c r="EO37" t="e">
        <f>'2.4.Функции'!YA72+"BYw!$7@"</f>
        <v>#VALUE!</v>
      </c>
      <c r="EP37" t="e">
        <f>'2.4.Функции'!YB72+"BYw!$7A"</f>
        <v>#VALUE!</v>
      </c>
      <c r="EQ37" t="e">
        <f>'2.4.Функции'!YC72+"BYw!$7B"</f>
        <v>#VALUE!</v>
      </c>
      <c r="ER37" t="e">
        <f>'2.4.Функции'!YD72+"BYw!$7C"</f>
        <v>#VALUE!</v>
      </c>
      <c r="ES37" t="e">
        <f>'2.4.Функции'!YE72+"BYw!$7D"</f>
        <v>#VALUE!</v>
      </c>
      <c r="ET37" t="e">
        <f>'2.4.Функции'!YF72+"BYw!$7E"</f>
        <v>#VALUE!</v>
      </c>
      <c r="EU37" t="e">
        <f>'2.4.Функции'!YG72+"BYw!$7F"</f>
        <v>#VALUE!</v>
      </c>
      <c r="EV37" t="e">
        <f>'2.4.Функции'!YH72+"BYw!$7G"</f>
        <v>#VALUE!</v>
      </c>
      <c r="EW37" t="e">
        <f>'2.4.Функции'!YI72+"BYw!$7H"</f>
        <v>#VALUE!</v>
      </c>
      <c r="EX37" t="e">
        <f>'2.4.Функции'!YJ72+"BYw!$7I"</f>
        <v>#VALUE!</v>
      </c>
      <c r="EY37" t="e">
        <f>'2.4.Функции'!YK72+"BYw!$7J"</f>
        <v>#VALUE!</v>
      </c>
      <c r="EZ37" t="e">
        <f>'2.4.Функции'!YL72+"BYw!$7K"</f>
        <v>#VALUE!</v>
      </c>
      <c r="FA37" t="e">
        <f>'2.4.Функции'!YM72+"BYw!$7L"</f>
        <v>#VALUE!</v>
      </c>
      <c r="FB37" t="e">
        <f>'2.4.Функции'!YN72+"BYw!$7M"</f>
        <v>#VALUE!</v>
      </c>
      <c r="FC37" t="e">
        <f>'2.4.Функции'!YO72+"BYw!$7N"</f>
        <v>#VALUE!</v>
      </c>
      <c r="FD37" t="e">
        <f>'2.4.Функции'!YP72+"BYw!$7O"</f>
        <v>#VALUE!</v>
      </c>
      <c r="FE37" t="e">
        <f>'2.4.Функции'!YQ72+"BYw!$7P"</f>
        <v>#VALUE!</v>
      </c>
      <c r="FF37" t="e">
        <f>'2.4.Функции'!YR72+"BYw!$7Q"</f>
        <v>#VALUE!</v>
      </c>
      <c r="FG37" t="e">
        <f>'2.4.Функции'!YS72+"BYw!$7R"</f>
        <v>#VALUE!</v>
      </c>
      <c r="FH37" t="e">
        <f>'2.4.Функции'!YT72+"BYw!$7S"</f>
        <v>#VALUE!</v>
      </c>
      <c r="FI37" t="e">
        <f>'2.4.Функции'!YU72+"BYw!$7T"</f>
        <v>#VALUE!</v>
      </c>
      <c r="FJ37" t="e">
        <f>'2.4.Функции'!YV72+"BYw!$7U"</f>
        <v>#VALUE!</v>
      </c>
      <c r="FK37" t="e">
        <f>'2.4.Функции'!YW72+"BYw!$7V"</f>
        <v>#VALUE!</v>
      </c>
      <c r="FL37" t="e">
        <f>'2.4.Функции'!YX72+"BYw!$7W"</f>
        <v>#VALUE!</v>
      </c>
      <c r="FM37" t="e">
        <f>'2.4.Функции'!YY72+"BYw!$7X"</f>
        <v>#VALUE!</v>
      </c>
      <c r="FN37" t="e">
        <f>'2.4.Функции'!YZ72+"BYw!$7Y"</f>
        <v>#VALUE!</v>
      </c>
      <c r="FO37" t="e">
        <f>'2.4.Функции'!ZA72+"BYw!$7Z"</f>
        <v>#VALUE!</v>
      </c>
      <c r="FP37" t="e">
        <f>'2.4.Функции'!ZB72+"BYw!$7["</f>
        <v>#VALUE!</v>
      </c>
      <c r="FQ37" t="e">
        <f>'2.4.Функции'!ZC72+"BYw!$7\"</f>
        <v>#VALUE!</v>
      </c>
      <c r="FR37" t="e">
        <f>'2.4.Функции'!ZD72+"BYw!$7]"</f>
        <v>#VALUE!</v>
      </c>
      <c r="FS37" t="e">
        <f>'2.4.Функции'!ZE72+"BYw!$7^"</f>
        <v>#VALUE!</v>
      </c>
      <c r="FT37" t="e">
        <f>'2.4.Функции'!ZF72+"BYw!$7_"</f>
        <v>#VALUE!</v>
      </c>
      <c r="FU37" t="e">
        <f>'2.4.Функции'!ZG72+"BYw!$7`"</f>
        <v>#VALUE!</v>
      </c>
      <c r="FV37" t="e">
        <f>'2.4.Функции'!ZH72+"BYw!$7a"</f>
        <v>#VALUE!</v>
      </c>
      <c r="FW37" t="e">
        <f>'2.4.Функции'!ZI72+"BYw!$7b"</f>
        <v>#VALUE!</v>
      </c>
      <c r="FX37" t="e">
        <f>'2.4.Функции'!ZJ72+"BYw!$7c"</f>
        <v>#VALUE!</v>
      </c>
      <c r="FY37" t="e">
        <f>'2.4.Функции'!ZK72+"BYw!$7d"</f>
        <v>#VALUE!</v>
      </c>
      <c r="FZ37" t="e">
        <f>'2.4.Функции'!ZL72+"BYw!$7e"</f>
        <v>#VALUE!</v>
      </c>
      <c r="GA37" t="e">
        <f>'2.4.Функции'!ZM72+"BYw!$7f"</f>
        <v>#VALUE!</v>
      </c>
      <c r="GB37" t="e">
        <f>'2.4.Функции'!ZN72+"BYw!$7g"</f>
        <v>#VALUE!</v>
      </c>
      <c r="GC37" t="e">
        <f>'2.4.Функции'!ZO72+"BYw!$7h"</f>
        <v>#VALUE!</v>
      </c>
      <c r="GD37" t="e">
        <f>'2.4.Функции'!ZP72+"BYw!$7i"</f>
        <v>#VALUE!</v>
      </c>
      <c r="GE37" t="e">
        <f>'2.4.Функции'!ZQ72+"BYw!$7j"</f>
        <v>#VALUE!</v>
      </c>
      <c r="GF37" t="e">
        <f>'2.4.Функции'!ZR72+"BYw!$7k"</f>
        <v>#VALUE!</v>
      </c>
      <c r="GG37" t="e">
        <f>'2.4.Функции'!ZS72+"BYw!$7l"</f>
        <v>#VALUE!</v>
      </c>
      <c r="GH37" t="e">
        <f>'2.4.Функции'!ZT72+"BYw!$7m"</f>
        <v>#VALUE!</v>
      </c>
      <c r="GI37" t="e">
        <f>'2.4.Функции'!ZU72+"BYw!$7n"</f>
        <v>#VALUE!</v>
      </c>
      <c r="GJ37" t="e">
        <f>'2.4.Функции'!ZV72+"BYw!$7o"</f>
        <v>#VALUE!</v>
      </c>
      <c r="GK37" t="e">
        <f>'2.4.Функции'!ZW72+"BYw!$7p"</f>
        <v>#VALUE!</v>
      </c>
      <c r="GL37" t="e">
        <f>'2.4.Функции'!ZX72+"BYw!$7q"</f>
        <v>#VALUE!</v>
      </c>
      <c r="GM37" t="e">
        <f>'2.4.Функции'!ZY72+"BYw!$7r"</f>
        <v>#VALUE!</v>
      </c>
      <c r="GN37" t="e">
        <f>'2.4.Функции'!ZZ72+"BYw!$7s"</f>
        <v>#VALUE!</v>
      </c>
      <c r="GO37" t="e">
        <f>'2.4.Функции'!AAA72+"BYw!$7t"</f>
        <v>#VALUE!</v>
      </c>
      <c r="GP37" t="e">
        <f>'2.4.Функции'!AAB72+"BYw!$7u"</f>
        <v>#VALUE!</v>
      </c>
      <c r="GQ37" t="e">
        <f>'2.4.Функции'!AAC72+"BYw!$7v"</f>
        <v>#VALUE!</v>
      </c>
      <c r="GR37" t="e">
        <f>'2.4.Функции'!AAD72+"BYw!$7w"</f>
        <v>#VALUE!</v>
      </c>
      <c r="GS37" t="e">
        <f>'2.4.Функции'!AAE72+"BYw!$7x"</f>
        <v>#VALUE!</v>
      </c>
      <c r="GT37" t="e">
        <f>'2.4.Функции'!AAF72+"BYw!$7y"</f>
        <v>#VALUE!</v>
      </c>
      <c r="GU37" t="e">
        <f>'2.4.Функции'!AAG72+"BYw!$7z"</f>
        <v>#VALUE!</v>
      </c>
      <c r="GV37" t="e">
        <f>'2.4.Функции'!AAH72+"BYw!$7{"</f>
        <v>#VALUE!</v>
      </c>
      <c r="GW37" t="e">
        <f>'2.4.Функции'!AAI72+"BYw!$7|"</f>
        <v>#VALUE!</v>
      </c>
      <c r="GX37" t="e">
        <f>'2.4.Функции'!AAJ72+"BYw!$7}"</f>
        <v>#VALUE!</v>
      </c>
      <c r="GY37" t="e">
        <f>'2.4.Функции'!AAK72+"BYw!$7~"</f>
        <v>#VALUE!</v>
      </c>
      <c r="GZ37" t="e">
        <f>'2.4.Функции'!AAL72+"BYw!$8#"</f>
        <v>#VALUE!</v>
      </c>
      <c r="HA37" t="e">
        <f>'2.4.Функции'!AAM72+"BYw!$8$"</f>
        <v>#VALUE!</v>
      </c>
      <c r="HB37" t="e">
        <f>'2.4.Функции'!AAN72+"BYw!$8%"</f>
        <v>#VALUE!</v>
      </c>
      <c r="HC37" t="e">
        <f>'2.4.Функции'!AAO72+"BYw!$8&amp;"</f>
        <v>#VALUE!</v>
      </c>
      <c r="HD37" t="e">
        <f>'2.4.Функции'!AAP72+"BYw!$8'"</f>
        <v>#VALUE!</v>
      </c>
      <c r="HE37" t="e">
        <f>'2.4.Функции'!AAQ72+"BYw!$8("</f>
        <v>#VALUE!</v>
      </c>
      <c r="HF37" t="e">
        <f>'2.4.Функции'!AAR72+"BYw!$8)"</f>
        <v>#VALUE!</v>
      </c>
      <c r="HG37" t="e">
        <f>'2.4.Функции'!AAS72+"BYw!$8."</f>
        <v>#VALUE!</v>
      </c>
      <c r="HH37" t="e">
        <f>'2.4.Функции'!AAT72+"BYw!$8/"</f>
        <v>#VALUE!</v>
      </c>
      <c r="HI37" t="e">
        <f>'2.4.Функции'!AAU72+"BYw!$80"</f>
        <v>#VALUE!</v>
      </c>
      <c r="HJ37" t="e">
        <f>'2.4.Функции'!AAV72+"BYw!$81"</f>
        <v>#VALUE!</v>
      </c>
      <c r="HK37" t="e">
        <f>'2.4.Функции'!AAW72+"BYw!$82"</f>
        <v>#VALUE!</v>
      </c>
      <c r="HL37" t="e">
        <f>'2.4.Функции'!AAX72+"BYw!$83"</f>
        <v>#VALUE!</v>
      </c>
      <c r="HM37" t="e">
        <f>'2.4.Функции'!AAY72+"BYw!$84"</f>
        <v>#VALUE!</v>
      </c>
      <c r="HN37" t="e">
        <f>'2.4.Функции'!AAZ72+"BYw!$85"</f>
        <v>#VALUE!</v>
      </c>
      <c r="HO37" t="e">
        <f>'2.4.Функции'!ABA72+"BYw!$86"</f>
        <v>#VALUE!</v>
      </c>
      <c r="HP37" t="e">
        <f>'2.4.Функции'!ABB72+"BYw!$87"</f>
        <v>#VALUE!</v>
      </c>
      <c r="HQ37" t="e">
        <f>'2.4.Функции'!ABC72+"BYw!$88"</f>
        <v>#VALUE!</v>
      </c>
      <c r="HR37" t="e">
        <f>'2.4.Функции'!ABD72+"BYw!$89"</f>
        <v>#VALUE!</v>
      </c>
      <c r="HS37" t="e">
        <f>'2.4.Функции'!ABE72+"BYw!$8:"</f>
        <v>#VALUE!</v>
      </c>
      <c r="HT37" t="e">
        <f>'2.4.Функции'!ABF72+"BYw!$8;"</f>
        <v>#VALUE!</v>
      </c>
      <c r="HU37" t="e">
        <f>'2.4.Функции'!ABG72+"BYw!$8&lt;"</f>
        <v>#VALUE!</v>
      </c>
      <c r="HV37" t="e">
        <f>'2.4.Функции'!ABH72+"BYw!$8="</f>
        <v>#VALUE!</v>
      </c>
      <c r="HW37" t="e">
        <f>'2.4.Функции'!ABI72+"BYw!$8&gt;"</f>
        <v>#VALUE!</v>
      </c>
      <c r="HX37" t="e">
        <f>'2.4.Функции'!ABJ72+"BYw!$8?"</f>
        <v>#VALUE!</v>
      </c>
      <c r="HY37" t="e">
        <f>'2.4.Функции'!ABK72+"BYw!$8@"</f>
        <v>#VALUE!</v>
      </c>
      <c r="HZ37" t="e">
        <f>'2.4.Функции'!ABL72+"BYw!$8A"</f>
        <v>#VALUE!</v>
      </c>
      <c r="IA37" t="e">
        <f>'2.4.Функции'!ABM72+"BYw!$8B"</f>
        <v>#VALUE!</v>
      </c>
      <c r="IB37" t="e">
        <f>'2.4.Функции'!ABN72+"BYw!$8C"</f>
        <v>#VALUE!</v>
      </c>
      <c r="IC37" t="e">
        <f>'2.4.Функции'!ABO72+"BYw!$8D"</f>
        <v>#VALUE!</v>
      </c>
      <c r="ID37" t="e">
        <f>'2.4.Функции'!ABP72+"BYw!$8E"</f>
        <v>#VALUE!</v>
      </c>
      <c r="IE37" t="e">
        <f>'2.4.Функции'!ABQ72+"BYw!$8F"</f>
        <v>#VALUE!</v>
      </c>
      <c r="IF37" t="e">
        <f>'2.4.Функции'!ABR72+"BYw!$8G"</f>
        <v>#VALUE!</v>
      </c>
      <c r="IG37" t="e">
        <f>'2.4.Функции'!ABS72+"BYw!$8H"</f>
        <v>#VALUE!</v>
      </c>
      <c r="IH37" t="e">
        <f>'2.4.Функции'!ABT72+"BYw!$8I"</f>
        <v>#VALUE!</v>
      </c>
      <c r="II37" t="e">
        <f>'2.4.Функции'!ABU72+"BYw!$8J"</f>
        <v>#VALUE!</v>
      </c>
      <c r="IJ37" t="e">
        <f>'2.4.Функции'!ABV72+"BYw!$8K"</f>
        <v>#VALUE!</v>
      </c>
      <c r="IK37" t="e">
        <f>'2.4.Функции'!ABW72+"BYw!$8L"</f>
        <v>#VALUE!</v>
      </c>
      <c r="IL37" t="e">
        <f>'2.4.Функции'!ABX72+"BYw!$8M"</f>
        <v>#VALUE!</v>
      </c>
      <c r="IM37" t="e">
        <f>'2.4.Функции'!ABY72+"BYw!$8N"</f>
        <v>#VALUE!</v>
      </c>
      <c r="IN37" t="e">
        <f>'2.4.Функции'!ABZ72+"BYw!$8O"</f>
        <v>#VALUE!</v>
      </c>
      <c r="IO37" t="e">
        <f>'2.4.Функции'!ACA72+"BYw!$8P"</f>
        <v>#VALUE!</v>
      </c>
      <c r="IP37" t="e">
        <f>'2.4.Функции'!ACB72+"BYw!$8Q"</f>
        <v>#VALUE!</v>
      </c>
      <c r="IQ37" t="e">
        <f>'2.4.Функции'!ACC72+"BYw!$8R"</f>
        <v>#VALUE!</v>
      </c>
      <c r="IR37" t="e">
        <f>'2.4.Функции'!ACD72+"BYw!$8S"</f>
        <v>#VALUE!</v>
      </c>
      <c r="IS37" t="e">
        <f>'2.4.Функции'!ACE72+"BYw!$8T"</f>
        <v>#VALUE!</v>
      </c>
      <c r="IT37" t="e">
        <f>'2.4.Функции'!ACF72+"BYw!$8U"</f>
        <v>#VALUE!</v>
      </c>
      <c r="IU37" t="e">
        <f>'2.4.Функции'!ACG72+"BYw!$8V"</f>
        <v>#VALUE!</v>
      </c>
      <c r="IV37" t="e">
        <f>'2.4.Функции'!ACH72+"BYw!$8W"</f>
        <v>#VALUE!</v>
      </c>
    </row>
    <row r="38" spans="6:256" x14ac:dyDescent="0.2">
      <c r="F38" t="e">
        <f>'2.4.Функции'!ACI72+"BYw!$8X"</f>
        <v>#VALUE!</v>
      </c>
      <c r="G38" t="e">
        <f>'2.4.Функции'!ACJ72+"BYw!$8Y"</f>
        <v>#VALUE!</v>
      </c>
      <c r="H38" t="e">
        <f>'2.4.Функции'!ACK72+"BYw!$8Z"</f>
        <v>#VALUE!</v>
      </c>
      <c r="I38" t="e">
        <f>'2.4.Функции'!ACL72+"BYw!$8["</f>
        <v>#VALUE!</v>
      </c>
      <c r="J38" t="e">
        <f>'2.4.Функции'!ACM72+"BYw!$8\"</f>
        <v>#VALUE!</v>
      </c>
      <c r="K38" t="e">
        <f>'2.4.Функции'!ACN72+"BYw!$8]"</f>
        <v>#VALUE!</v>
      </c>
      <c r="L38" t="e">
        <f>'2.4.Функции'!ACO72+"BYw!$8^"</f>
        <v>#VALUE!</v>
      </c>
      <c r="M38" t="e">
        <f>'2.4.Функции'!ACP72+"BYw!$8_"</f>
        <v>#VALUE!</v>
      </c>
      <c r="N38" t="e">
        <f>'2.4.Функции'!ACQ72+"BYw!$8`"</f>
        <v>#VALUE!</v>
      </c>
      <c r="O38" t="e">
        <f>'2.4.Функции'!ACR72+"BYw!$8a"</f>
        <v>#VALUE!</v>
      </c>
      <c r="P38" t="e">
        <f>'2.4.Функции'!ACS72+"BYw!$8b"</f>
        <v>#VALUE!</v>
      </c>
      <c r="Q38" t="e">
        <f>'2.4.Функции'!ACT72+"BYw!$8c"</f>
        <v>#VALUE!</v>
      </c>
      <c r="R38" t="e">
        <f>'2.4.Функции'!ACU72+"BYw!$8d"</f>
        <v>#VALUE!</v>
      </c>
      <c r="S38" t="e">
        <f>'2.4.Функции'!ACV72+"BYw!$8e"</f>
        <v>#VALUE!</v>
      </c>
      <c r="T38" t="e">
        <f>'2.4.Функции'!ACW72+"BYw!$8f"</f>
        <v>#VALUE!</v>
      </c>
      <c r="U38" t="e">
        <f>'2.4.Функции'!ACX72+"BYw!$8g"</f>
        <v>#VALUE!</v>
      </c>
      <c r="V38" t="e">
        <f>'2.4.Функции'!ACY72+"BYw!$8h"</f>
        <v>#VALUE!</v>
      </c>
      <c r="W38" t="e">
        <f>'2.4.Функции'!ACZ72+"BYw!$8i"</f>
        <v>#VALUE!</v>
      </c>
      <c r="X38" t="e">
        <f>'2.4.Функции'!ADA72+"BYw!$8j"</f>
        <v>#VALUE!</v>
      </c>
      <c r="Y38" t="e">
        <f>'2.4.Функции'!ADB72+"BYw!$8k"</f>
        <v>#VALUE!</v>
      </c>
      <c r="Z38" t="e">
        <f>'2.4.Функции'!ADC72+"BYw!$8l"</f>
        <v>#VALUE!</v>
      </c>
      <c r="AA38" t="e">
        <f>'2.4.Функции'!ADD72+"BYw!$8m"</f>
        <v>#VALUE!</v>
      </c>
      <c r="AB38" t="e">
        <f>'2.4.Функции'!ADE72+"BYw!$8n"</f>
        <v>#VALUE!</v>
      </c>
      <c r="AC38" t="e">
        <f>'2.4.Функции'!ADF72+"BYw!$8o"</f>
        <v>#VALUE!</v>
      </c>
      <c r="AD38" t="e">
        <f>'2.4.Функции'!ADG72+"BYw!$8p"</f>
        <v>#VALUE!</v>
      </c>
      <c r="AE38" t="e">
        <f>'2.4.Функции'!ADH72+"BYw!$8q"</f>
        <v>#VALUE!</v>
      </c>
      <c r="AF38" t="e">
        <f>'2.4.Функции'!ADI72+"BYw!$8r"</f>
        <v>#VALUE!</v>
      </c>
      <c r="AG38" t="e">
        <f>'2.4.Функции'!ADJ72+"BYw!$8s"</f>
        <v>#VALUE!</v>
      </c>
      <c r="AH38" t="e">
        <f>'2.4.Функции'!ADK72+"BYw!$8t"</f>
        <v>#VALUE!</v>
      </c>
      <c r="AI38" t="e">
        <f>'2.4.Функции'!ADL72+"BYw!$8u"</f>
        <v>#VALUE!</v>
      </c>
      <c r="AJ38" t="e">
        <f>'2.4.Функции'!ADM72+"BYw!$8v"</f>
        <v>#VALUE!</v>
      </c>
      <c r="AK38" t="e">
        <f>'2.4.Функции'!ADN72+"BYw!$8w"</f>
        <v>#VALUE!</v>
      </c>
      <c r="AL38" t="e">
        <f>'2.4.Функции'!ADO72+"BYw!$8x"</f>
        <v>#VALUE!</v>
      </c>
      <c r="AM38" t="e">
        <f>'2.4.Функции'!ADP72+"BYw!$8y"</f>
        <v>#VALUE!</v>
      </c>
      <c r="AN38" t="e">
        <f>'2.4.Функции'!ADQ72+"BYw!$8z"</f>
        <v>#VALUE!</v>
      </c>
      <c r="AO38" t="e">
        <f>'2.4.Функции'!ADR72+"BYw!$8{"</f>
        <v>#VALUE!</v>
      </c>
      <c r="AP38" t="e">
        <f>'2.4.Функции'!ADS72+"BYw!$8|"</f>
        <v>#VALUE!</v>
      </c>
      <c r="AQ38" t="e">
        <f>'2.4.Функции'!ADT72+"BYw!$8}"</f>
        <v>#VALUE!</v>
      </c>
      <c r="AR38" t="e">
        <f>'2.4.Функции'!ADU72+"BYw!$8~"</f>
        <v>#VALUE!</v>
      </c>
      <c r="AS38" t="e">
        <f>'2.4.Функции'!ADV72+"BYw!$9#"</f>
        <v>#VALUE!</v>
      </c>
      <c r="AT38" t="e">
        <f>'2.4.Функции'!ADW72+"BYw!$9$"</f>
        <v>#VALUE!</v>
      </c>
      <c r="AU38" t="e">
        <f>'2.4.Функции'!ADX72+"BYw!$9%"</f>
        <v>#VALUE!</v>
      </c>
      <c r="AV38" t="e">
        <f>'2.4.Функции'!ADY72+"BYw!$9&amp;"</f>
        <v>#VALUE!</v>
      </c>
      <c r="AW38" t="e">
        <f>'2.4.Функции'!ADZ72+"BYw!$9'"</f>
        <v>#VALUE!</v>
      </c>
      <c r="AX38" t="e">
        <f>'2.4.Функции'!AEA72+"BYw!$9("</f>
        <v>#VALUE!</v>
      </c>
      <c r="AY38" t="e">
        <f>'2.4.Функции'!AEB72+"BYw!$9)"</f>
        <v>#VALUE!</v>
      </c>
      <c r="AZ38" t="e">
        <f>'2.4.Функции'!AEC72+"BYw!$9."</f>
        <v>#VALUE!</v>
      </c>
      <c r="BA38" t="e">
        <f>'2.4.Функции'!AED72+"BYw!$9/"</f>
        <v>#VALUE!</v>
      </c>
      <c r="BB38" t="e">
        <f>'2.4.Функции'!AEE72+"BYw!$90"</f>
        <v>#VALUE!</v>
      </c>
      <c r="BC38" t="e">
        <f>'2.4.Функции'!AEF72+"BYw!$91"</f>
        <v>#VALUE!</v>
      </c>
      <c r="BD38" t="e">
        <f>'2.4.Функции'!AEG72+"BYw!$92"</f>
        <v>#VALUE!</v>
      </c>
      <c r="BE38" t="e">
        <f>'2.4.Функции'!AEH72+"BYw!$93"</f>
        <v>#VALUE!</v>
      </c>
      <c r="BF38" t="e">
        <f>'2.4.Функции'!AEI72+"BYw!$94"</f>
        <v>#VALUE!</v>
      </c>
      <c r="BG38" t="e">
        <f>'2.4.Функции'!AEJ72+"BYw!$95"</f>
        <v>#VALUE!</v>
      </c>
      <c r="BH38" t="e">
        <f>'2.4.Функции'!AEK72+"BYw!$96"</f>
        <v>#VALUE!</v>
      </c>
      <c r="BI38" t="e">
        <f>'2.4.Функции'!AEL72+"BYw!$97"</f>
        <v>#VALUE!</v>
      </c>
      <c r="BJ38" t="e">
        <f>'2.4.Функции'!AEM72+"BYw!$98"</f>
        <v>#VALUE!</v>
      </c>
      <c r="BK38" t="e">
        <f>'2.4.Функции'!AEN72+"BYw!$99"</f>
        <v>#VALUE!</v>
      </c>
      <c r="BL38" t="e">
        <f>'2.4.Функции'!AEO72+"BYw!$9:"</f>
        <v>#VALUE!</v>
      </c>
      <c r="BM38" t="e">
        <f>'2.4.Функции'!AEP72+"BYw!$9;"</f>
        <v>#VALUE!</v>
      </c>
      <c r="BN38" t="e">
        <f>'2.4.Функции'!AEQ72+"BYw!$9&lt;"</f>
        <v>#VALUE!</v>
      </c>
      <c r="BO38" t="e">
        <f>'2.4.Функции'!AER72+"BYw!$9="</f>
        <v>#VALUE!</v>
      </c>
      <c r="BP38" t="e">
        <f>'2.4.Функции'!AES72+"BYw!$9&gt;"</f>
        <v>#VALUE!</v>
      </c>
      <c r="BQ38" t="e">
        <f>'2.4.Функции'!AET72+"BYw!$9?"</f>
        <v>#VALUE!</v>
      </c>
      <c r="BR38" t="e">
        <f>'2.4.Функции'!AEU72+"BYw!$9@"</f>
        <v>#VALUE!</v>
      </c>
      <c r="BS38" t="e">
        <f>'2.4.Функции'!AEV72+"BYw!$9A"</f>
        <v>#VALUE!</v>
      </c>
      <c r="BT38" t="e">
        <f>'2.4.Функции'!AEW72+"BYw!$9B"</f>
        <v>#VALUE!</v>
      </c>
      <c r="BU38" t="e">
        <f>'2.4.Функции'!AEX72+"BYw!$9C"</f>
        <v>#VALUE!</v>
      </c>
      <c r="BV38" t="e">
        <f>'2.4.Функции'!AEY72+"BYw!$9D"</f>
        <v>#VALUE!</v>
      </c>
      <c r="BW38" t="e">
        <f>'2.4.Функции'!AEZ72+"BYw!$9E"</f>
        <v>#VALUE!</v>
      </c>
      <c r="BX38" t="e">
        <f>'2.4.Функции'!AFA72+"BYw!$9F"</f>
        <v>#VALUE!</v>
      </c>
      <c r="BY38" t="e">
        <f>'2.4.Функции'!AFB72+"BYw!$9G"</f>
        <v>#VALUE!</v>
      </c>
      <c r="BZ38" t="e">
        <f>'2.4.Функции'!AFC72+"BYw!$9H"</f>
        <v>#VALUE!</v>
      </c>
      <c r="CA38" t="e">
        <f>'2.4.Функции'!AFD72+"BYw!$9I"</f>
        <v>#VALUE!</v>
      </c>
      <c r="CB38" t="e">
        <f>'2.4.Функции'!AFE72+"BYw!$9J"</f>
        <v>#VALUE!</v>
      </c>
      <c r="CC38" t="e">
        <f>'2.4.Функции'!AFF72+"BYw!$9K"</f>
        <v>#VALUE!</v>
      </c>
      <c r="CD38" t="e">
        <f>'2.4.Функции'!AFG72+"BYw!$9L"</f>
        <v>#VALUE!</v>
      </c>
      <c r="CE38" t="e">
        <f>'2.4.Функции'!AFH72+"BYw!$9M"</f>
        <v>#VALUE!</v>
      </c>
      <c r="CF38" t="e">
        <f>'2.4.Функции'!AFI72+"BYw!$9N"</f>
        <v>#VALUE!</v>
      </c>
      <c r="CG38" t="e">
        <f>'2.4.Функции'!AFJ72+"BYw!$9O"</f>
        <v>#VALUE!</v>
      </c>
      <c r="CH38" t="e">
        <f>'2.4.Функции'!AFK72+"BYw!$9P"</f>
        <v>#VALUE!</v>
      </c>
      <c r="CI38" t="e">
        <f>'2.4.Функции'!AFL72+"BYw!$9Q"</f>
        <v>#VALUE!</v>
      </c>
      <c r="CJ38" t="e">
        <f>'2.4.Функции'!AFM72+"BYw!$9R"</f>
        <v>#VALUE!</v>
      </c>
      <c r="CK38" t="e">
        <f>'2.4.Функции'!AFN72+"BYw!$9S"</f>
        <v>#VALUE!</v>
      </c>
      <c r="CL38" t="e">
        <f>'2.4.Функции'!AFO72+"BYw!$9T"</f>
        <v>#VALUE!</v>
      </c>
      <c r="CM38" t="e">
        <f>'2.4.Функции'!AFP72+"BYw!$9U"</f>
        <v>#VALUE!</v>
      </c>
      <c r="CN38" t="e">
        <f>'2.4.Функции'!AFQ72+"BYw!$9V"</f>
        <v>#VALUE!</v>
      </c>
      <c r="CO38" t="e">
        <f>'2.4.Функции'!AFR72+"BYw!$9W"</f>
        <v>#VALUE!</v>
      </c>
      <c r="CP38" t="e">
        <f>'2.4.Функции'!AFS72+"BYw!$9X"</f>
        <v>#VALUE!</v>
      </c>
      <c r="CQ38" t="e">
        <f>'2.4.Функции'!AFT72+"BYw!$9Y"</f>
        <v>#VALUE!</v>
      </c>
      <c r="CR38" t="e">
        <f>'2.4.Функции'!AFU72+"BYw!$9Z"</f>
        <v>#VALUE!</v>
      </c>
      <c r="CS38" t="e">
        <f>'2.4.Функции'!AFV72+"BYw!$9["</f>
        <v>#VALUE!</v>
      </c>
      <c r="CT38" t="e">
        <f>'2.4.Функции'!AFW72+"BYw!$9\"</f>
        <v>#VALUE!</v>
      </c>
      <c r="CU38" t="e">
        <f>'2.4.Функции'!AFX72+"BYw!$9]"</f>
        <v>#VALUE!</v>
      </c>
      <c r="CV38" t="e">
        <f>'2.4.Функции'!AFY72+"BYw!$9^"</f>
        <v>#VALUE!</v>
      </c>
      <c r="CW38" t="e">
        <f>'2.4.Функции'!AFZ72+"BYw!$9_"</f>
        <v>#VALUE!</v>
      </c>
      <c r="CX38" t="e">
        <f>'2.4.Функции'!AGA72+"BYw!$9`"</f>
        <v>#VALUE!</v>
      </c>
      <c r="CY38" t="e">
        <f>'2.4.Функции'!AGB72+"BYw!$9a"</f>
        <v>#VALUE!</v>
      </c>
      <c r="CZ38" t="e">
        <f>'2.4.Функции'!AGC72+"BYw!$9b"</f>
        <v>#VALUE!</v>
      </c>
      <c r="DA38" t="e">
        <f>'2.4.Функции'!AGD72+"BYw!$9c"</f>
        <v>#VALUE!</v>
      </c>
      <c r="DB38" t="e">
        <f>'2.4.Функции'!AGE72+"BYw!$9d"</f>
        <v>#VALUE!</v>
      </c>
      <c r="DC38" t="e">
        <f>'2.4.Функции'!AGF72+"BYw!$9e"</f>
        <v>#VALUE!</v>
      </c>
      <c r="DD38" t="e">
        <f>'2.4.Функции'!AGG72+"BYw!$9f"</f>
        <v>#VALUE!</v>
      </c>
      <c r="DE38" t="e">
        <f>'2.4.Функции'!AGH72+"BYw!$9g"</f>
        <v>#VALUE!</v>
      </c>
      <c r="DF38" t="e">
        <f>'2.4.Функции'!AGI72+"BYw!$9h"</f>
        <v>#VALUE!</v>
      </c>
      <c r="DG38" t="e">
        <f>'2.4.Функции'!AGJ72+"BYw!$9i"</f>
        <v>#VALUE!</v>
      </c>
      <c r="DH38" t="e">
        <f>'2.4.Функции'!AGK72+"BYw!$9j"</f>
        <v>#VALUE!</v>
      </c>
      <c r="DI38" t="e">
        <f>'2.4.Функции'!AGL72+"BYw!$9k"</f>
        <v>#VALUE!</v>
      </c>
      <c r="DJ38" t="e">
        <f>'2.4.Функции'!AGM72+"BYw!$9l"</f>
        <v>#VALUE!</v>
      </c>
      <c r="DK38" t="e">
        <f>'2.4.Функции'!AGN72+"BYw!$9m"</f>
        <v>#VALUE!</v>
      </c>
      <c r="DL38" t="e">
        <f>'2.4.Функции'!AGO72+"BYw!$9n"</f>
        <v>#VALUE!</v>
      </c>
      <c r="DM38" t="e">
        <f>'2.4.Функции'!AGP72+"BYw!$9o"</f>
        <v>#VALUE!</v>
      </c>
      <c r="DN38" t="e">
        <f>'2.4.Функции'!AGQ72+"BYw!$9p"</f>
        <v>#VALUE!</v>
      </c>
      <c r="DO38" t="e">
        <f>'2.4.Функции'!AGR72+"BYw!$9q"</f>
        <v>#VALUE!</v>
      </c>
      <c r="DP38" t="e">
        <f>'2.4.Функции'!AGS72+"BYw!$9r"</f>
        <v>#VALUE!</v>
      </c>
      <c r="DQ38" t="e">
        <f>'2.4.Функции'!AGT72+"BYw!$9s"</f>
        <v>#VALUE!</v>
      </c>
      <c r="DR38" t="e">
        <f>'2.4.Функции'!AGU72+"BYw!$9t"</f>
        <v>#VALUE!</v>
      </c>
      <c r="DS38" t="e">
        <f>'2.4.Функции'!AGV72+"BYw!$9u"</f>
        <v>#VALUE!</v>
      </c>
      <c r="DT38" t="e">
        <f>'2.4.Функции'!AGW72+"BYw!$9v"</f>
        <v>#VALUE!</v>
      </c>
      <c r="DU38" t="e">
        <f>'2.4.Функции'!AGX72+"BYw!$9w"</f>
        <v>#VALUE!</v>
      </c>
      <c r="DV38" t="e">
        <f>'2.4.Функции'!AGY72+"BYw!$9x"</f>
        <v>#VALUE!</v>
      </c>
      <c r="DW38" t="e">
        <f>'2.4.Функции'!AGZ72+"BYw!$9y"</f>
        <v>#VALUE!</v>
      </c>
      <c r="DX38" t="e">
        <f>'2.4.Функции'!AHA72+"BYw!$9z"</f>
        <v>#VALUE!</v>
      </c>
      <c r="DY38" t="e">
        <f>'2.4.Функции'!AHB72+"BYw!$9{"</f>
        <v>#VALUE!</v>
      </c>
      <c r="DZ38" t="e">
        <f>'2.4.Функции'!AHC72+"BYw!$9|"</f>
        <v>#VALUE!</v>
      </c>
      <c r="EA38" t="e">
        <f>'2.4.Функции'!AHD72+"BYw!$9}"</f>
        <v>#VALUE!</v>
      </c>
      <c r="EB38" t="e">
        <f>'2.4.Функции'!AHE72+"BYw!$9~"</f>
        <v>#VALUE!</v>
      </c>
      <c r="EC38" t="e">
        <f>'2.4.Функции'!AHF72+"BYw!$:#"</f>
        <v>#VALUE!</v>
      </c>
      <c r="ED38" t="e">
        <f>'2.4.Функции'!AHG72+"BYw!$:$"</f>
        <v>#VALUE!</v>
      </c>
      <c r="EE38" t="e">
        <f>'2.4.Функции'!AHH72+"BYw!$:%"</f>
        <v>#VALUE!</v>
      </c>
      <c r="EF38" t="e">
        <f>'2.4.Функции'!AHI72+"BYw!$:&amp;"</f>
        <v>#VALUE!</v>
      </c>
      <c r="EG38" t="e">
        <f>'2.4.Функции'!AHJ72+"BYw!$:'"</f>
        <v>#VALUE!</v>
      </c>
      <c r="EH38" t="e">
        <f>'2.4.Функции'!AHK72+"BYw!$:("</f>
        <v>#VALUE!</v>
      </c>
      <c r="EI38" t="e">
        <f>'2.4.Функции'!AHL72+"BYw!$:)"</f>
        <v>#VALUE!</v>
      </c>
      <c r="EJ38" t="e">
        <f>'2.4.Функции'!AHM72+"BYw!$:."</f>
        <v>#VALUE!</v>
      </c>
      <c r="EK38" t="e">
        <f>'2.4.Функции'!AHN72+"BYw!$:/"</f>
        <v>#VALUE!</v>
      </c>
      <c r="EL38" t="e">
        <f>'2.4.Функции'!AHO72+"BYw!$:0"</f>
        <v>#VALUE!</v>
      </c>
      <c r="EM38" t="e">
        <f>'2.4.Функции'!AHP72+"BYw!$:1"</f>
        <v>#VALUE!</v>
      </c>
      <c r="EN38" t="e">
        <f>'2.4.Функции'!AHQ72+"BYw!$:2"</f>
        <v>#VALUE!</v>
      </c>
      <c r="EO38" t="e">
        <f>'2.4.Функции'!AHR72+"BYw!$:3"</f>
        <v>#VALUE!</v>
      </c>
      <c r="EP38" t="e">
        <f>'2.4.Функции'!AHS72+"BYw!$:4"</f>
        <v>#VALUE!</v>
      </c>
      <c r="EQ38" t="e">
        <f>'2.4.Функции'!AHT72+"BYw!$:5"</f>
        <v>#VALUE!</v>
      </c>
      <c r="ER38" t="e">
        <f>'2.4.Функции'!AHU72+"BYw!$:6"</f>
        <v>#VALUE!</v>
      </c>
      <c r="ES38" t="e">
        <f>'2.4.Функции'!AHV72+"BYw!$:7"</f>
        <v>#VALUE!</v>
      </c>
      <c r="ET38" t="e">
        <f>'2.4.Функции'!AHW72+"BYw!$:8"</f>
        <v>#VALUE!</v>
      </c>
      <c r="EU38" t="e">
        <f>'2.4.Функции'!AHX72+"BYw!$:9"</f>
        <v>#VALUE!</v>
      </c>
      <c r="EV38" t="e">
        <f>'2.4.Функции'!AHY72+"BYw!$::"</f>
        <v>#VALUE!</v>
      </c>
      <c r="EW38" t="e">
        <f>'2.4.Функции'!AHZ72+"BYw!$:;"</f>
        <v>#VALUE!</v>
      </c>
      <c r="EX38" t="e">
        <f>'2.4.Функции'!AIA72+"BYw!$:&lt;"</f>
        <v>#VALUE!</v>
      </c>
      <c r="EY38" t="e">
        <f>'2.4.Функции'!AIB72+"BYw!$:="</f>
        <v>#VALUE!</v>
      </c>
      <c r="EZ38" t="e">
        <f>'2.4.Функции'!AIC72+"BYw!$:&gt;"</f>
        <v>#VALUE!</v>
      </c>
      <c r="FA38" t="e">
        <f>'2.4.Функции'!AID72+"BYw!$:?"</f>
        <v>#VALUE!</v>
      </c>
      <c r="FB38" t="e">
        <f>'2.4.Функции'!AIE72+"BYw!$:@"</f>
        <v>#VALUE!</v>
      </c>
      <c r="FC38" t="e">
        <f>'2.4.Функции'!AIF72+"BYw!$:A"</f>
        <v>#VALUE!</v>
      </c>
      <c r="FD38" t="e">
        <f>'2.4.Функции'!AIG72+"BYw!$:B"</f>
        <v>#VALUE!</v>
      </c>
      <c r="FE38" t="e">
        <f>'2.4.Функции'!AIH72+"BYw!$:C"</f>
        <v>#VALUE!</v>
      </c>
      <c r="FF38" t="e">
        <f>'2.4.Функции'!A73+"BYw!$:D"</f>
        <v>#VALUE!</v>
      </c>
      <c r="FG38" s="116" t="e">
        <f>'2.4.Функции'!B73+"BYw!$:E"</f>
        <v>#VALUE!</v>
      </c>
      <c r="FH38" t="e">
        <f>'2.4.Функции'!C73+"BYw!$:F"</f>
        <v>#VALUE!</v>
      </c>
      <c r="FI38" s="119" t="e">
        <f>'2.4.Функции'!D73+"BYw!$:G"</f>
        <v>#VALUE!</v>
      </c>
      <c r="FJ38" s="119" t="e">
        <f>'2.4.Функции'!E73+"BYw!$:H"</f>
        <v>#VALUE!</v>
      </c>
      <c r="FK38" s="119" t="e">
        <f>'2.4.Функции'!F73+"BYw!$:I"</f>
        <v>#VALUE!</v>
      </c>
      <c r="FL38" s="119" t="e">
        <f>'2.4.Функции'!G73+"BYw!$:J"</f>
        <v>#VALUE!</v>
      </c>
      <c r="FM38" s="119" t="e">
        <f>'2.4.Функции'!H73+"BYw!$:K"</f>
        <v>#VALUE!</v>
      </c>
      <c r="FN38" s="119" t="e">
        <f>'2.4.Функции'!I73+"BYw!$:L"</f>
        <v>#VALUE!</v>
      </c>
      <c r="FO38" s="119" t="e">
        <f>'2.4.Функции'!J73+"BYw!$:M"</f>
        <v>#VALUE!</v>
      </c>
      <c r="FP38" s="119" t="e">
        <f>'2.4.Функции'!K73+"BYw!$:N"</f>
        <v>#VALUE!</v>
      </c>
      <c r="FQ38" t="e">
        <f>'2.4.Функции'!L73+"BYw!$:O"</f>
        <v>#VALUE!</v>
      </c>
      <c r="FR38" t="e">
        <f>'2.4.Функции'!M73+"BYw!$:P"</f>
        <v>#VALUE!</v>
      </c>
      <c r="FS38" t="e">
        <f>'2.4.Функции'!N73+"BYw!$:Q"</f>
        <v>#VALUE!</v>
      </c>
      <c r="FT38" t="e">
        <f>'2.4.Функции'!O73+"BYw!$:R"</f>
        <v>#VALUE!</v>
      </c>
      <c r="FU38" t="e">
        <f>'2.4.Функции'!P73+"BYw!$:S"</f>
        <v>#VALUE!</v>
      </c>
      <c r="FV38" t="e">
        <f>'2.4.Функции'!Q73+"BYw!$:T"</f>
        <v>#VALUE!</v>
      </c>
      <c r="FW38" t="e">
        <f>'2.4.Функции'!R73+"BYw!$:U"</f>
        <v>#VALUE!</v>
      </c>
      <c r="FX38" t="e">
        <f>'2.4.Функции'!S73+"BYw!$:V"</f>
        <v>#VALUE!</v>
      </c>
      <c r="FY38" t="e">
        <f>'2.4.Функции'!T73+"BYw!$:W"</f>
        <v>#VALUE!</v>
      </c>
      <c r="FZ38" t="e">
        <f>'2.4.Функции'!U73+"BYw!$:X"</f>
        <v>#VALUE!</v>
      </c>
      <c r="GA38" t="e">
        <f>'2.4.Функции'!V73+"BYw!$:Y"</f>
        <v>#VALUE!</v>
      </c>
      <c r="GB38" t="e">
        <f>'2.4.Функции'!W73+"BYw!$:Z"</f>
        <v>#VALUE!</v>
      </c>
      <c r="GC38" t="e">
        <f>'2.4.Функции'!X73+"BYw!$:["</f>
        <v>#VALUE!</v>
      </c>
      <c r="GD38" t="e">
        <f>'2.4.Функции'!Y73+"BYw!$:\"</f>
        <v>#VALUE!</v>
      </c>
      <c r="GE38" t="e">
        <f>'2.4.Функции'!Z73+"BYw!$:]"</f>
        <v>#VALUE!</v>
      </c>
      <c r="GF38" t="e">
        <f>'2.4.Функции'!AA73+"BYw!$:^"</f>
        <v>#VALUE!</v>
      </c>
      <c r="GG38" t="e">
        <f>'2.4.Функции'!AB73+"BYw!$:_"</f>
        <v>#VALUE!</v>
      </c>
      <c r="GH38" t="e">
        <f>'2.4.Функции'!AC73+"BYw!$:`"</f>
        <v>#VALUE!</v>
      </c>
      <c r="GI38" t="e">
        <f>'2.4.Функции'!AD73+"BYw!$:a"</f>
        <v>#VALUE!</v>
      </c>
      <c r="GJ38" t="e">
        <f>'2.4.Функции'!AE73+"BYw!$:b"</f>
        <v>#VALUE!</v>
      </c>
      <c r="GK38" t="e">
        <f>'2.4.Функции'!AF73+"BYw!$:c"</f>
        <v>#VALUE!</v>
      </c>
      <c r="GL38" t="e">
        <f>'2.4.Функции'!AG73+"BYw!$:d"</f>
        <v>#VALUE!</v>
      </c>
      <c r="GM38" t="e">
        <f>'2.4.Функции'!AH73+"BYw!$:e"</f>
        <v>#VALUE!</v>
      </c>
      <c r="GN38" t="e">
        <f>'2.4.Функции'!AI73+"BYw!$:f"</f>
        <v>#VALUE!</v>
      </c>
      <c r="GO38" t="e">
        <f>'2.4.Функции'!AJ73+"BYw!$:g"</f>
        <v>#VALUE!</v>
      </c>
      <c r="GP38" t="e">
        <f>'2.4.Функции'!AK73+"BYw!$:h"</f>
        <v>#VALUE!</v>
      </c>
      <c r="GQ38" t="e">
        <f>'2.4.Функции'!AL73+"BYw!$:i"</f>
        <v>#VALUE!</v>
      </c>
      <c r="GR38" t="e">
        <f>'2.4.Функции'!AM73+"BYw!$:j"</f>
        <v>#VALUE!</v>
      </c>
      <c r="GS38" t="e">
        <f>'2.4.Функции'!AN73+"BYw!$:k"</f>
        <v>#VALUE!</v>
      </c>
      <c r="GT38" t="e">
        <f>'2.4.Функции'!AO73+"BYw!$:l"</f>
        <v>#VALUE!</v>
      </c>
      <c r="GU38" t="e">
        <f>'2.4.Функции'!AP73+"BYw!$:m"</f>
        <v>#VALUE!</v>
      </c>
      <c r="GV38" t="e">
        <f>'2.4.Функции'!AQ73+"BYw!$:n"</f>
        <v>#VALUE!</v>
      </c>
      <c r="GW38" t="e">
        <f>'2.4.Функции'!AR73+"BYw!$:o"</f>
        <v>#VALUE!</v>
      </c>
      <c r="GX38" t="e">
        <f>'2.4.Функции'!AS73+"BYw!$:p"</f>
        <v>#VALUE!</v>
      </c>
      <c r="GY38" t="e">
        <f>'2.4.Функции'!AT73+"BYw!$:q"</f>
        <v>#VALUE!</v>
      </c>
      <c r="GZ38" t="e">
        <f>'2.4.Функции'!AU73+"BYw!$:r"</f>
        <v>#VALUE!</v>
      </c>
      <c r="HA38" t="e">
        <f>'2.4.Функции'!AV73+"BYw!$:s"</f>
        <v>#VALUE!</v>
      </c>
      <c r="HB38" t="e">
        <f>'2.4.Функции'!AW73+"BYw!$:t"</f>
        <v>#VALUE!</v>
      </c>
      <c r="HC38" t="e">
        <f>'2.4.Функции'!AX73+"BYw!$:u"</f>
        <v>#VALUE!</v>
      </c>
      <c r="HD38" t="e">
        <f>'2.4.Функции'!AY73+"BYw!$:v"</f>
        <v>#VALUE!</v>
      </c>
      <c r="HE38" t="e">
        <f>'2.4.Функции'!AZ73+"BYw!$:w"</f>
        <v>#VALUE!</v>
      </c>
      <c r="HF38" t="e">
        <f>'2.4.Функции'!BA73+"BYw!$:x"</f>
        <v>#VALUE!</v>
      </c>
      <c r="HG38" t="e">
        <f>'2.4.Функции'!BB73+"BYw!$:y"</f>
        <v>#VALUE!</v>
      </c>
      <c r="HH38" t="e">
        <f>'2.4.Функции'!BC73+"BYw!$:z"</f>
        <v>#VALUE!</v>
      </c>
      <c r="HI38" t="e">
        <f>'2.4.Функции'!BD73+"BYw!$:{"</f>
        <v>#VALUE!</v>
      </c>
      <c r="HJ38" t="e">
        <f>'2.4.Функции'!BE73+"BYw!$:|"</f>
        <v>#VALUE!</v>
      </c>
      <c r="HK38" t="e">
        <f>'2.4.Функции'!BF73+"BYw!$:}"</f>
        <v>#VALUE!</v>
      </c>
      <c r="HL38" t="e">
        <f>'2.4.Функции'!BG73+"BYw!$:~"</f>
        <v>#VALUE!</v>
      </c>
      <c r="HM38" t="e">
        <f>'2.4.Функции'!BH73+"BYw!$;#"</f>
        <v>#VALUE!</v>
      </c>
      <c r="HN38" t="e">
        <f>'2.4.Функции'!BI73+"BYw!$;$"</f>
        <v>#VALUE!</v>
      </c>
      <c r="HO38" t="e">
        <f>'2.4.Функции'!BJ73+"BYw!$;%"</f>
        <v>#VALUE!</v>
      </c>
      <c r="HP38" t="e">
        <f>'2.4.Функции'!BK73+"BYw!$;&amp;"</f>
        <v>#VALUE!</v>
      </c>
      <c r="HQ38" t="e">
        <f>'2.4.Функции'!BL73+"BYw!$;'"</f>
        <v>#VALUE!</v>
      </c>
      <c r="HR38" t="e">
        <f>'2.4.Функции'!BM73+"BYw!$;("</f>
        <v>#VALUE!</v>
      </c>
      <c r="HS38" t="e">
        <f>'2.4.Функции'!BN73+"BYw!$;)"</f>
        <v>#VALUE!</v>
      </c>
      <c r="HT38" t="e">
        <f>'2.4.Функции'!BO73+"BYw!$;."</f>
        <v>#VALUE!</v>
      </c>
      <c r="HU38" t="e">
        <f>'2.4.Функции'!BP73+"BYw!$;/"</f>
        <v>#VALUE!</v>
      </c>
      <c r="HV38" t="e">
        <f>'2.4.Функции'!BQ73+"BYw!$;0"</f>
        <v>#VALUE!</v>
      </c>
      <c r="HW38" t="e">
        <f>'2.4.Функции'!BR73+"BYw!$;1"</f>
        <v>#VALUE!</v>
      </c>
      <c r="HX38" t="e">
        <f>'2.4.Функции'!BS73+"BYw!$;2"</f>
        <v>#VALUE!</v>
      </c>
      <c r="HY38" t="e">
        <f>'2.4.Функции'!BT73+"BYw!$;3"</f>
        <v>#VALUE!</v>
      </c>
      <c r="HZ38" t="e">
        <f>'2.4.Функции'!BU73+"BYw!$;4"</f>
        <v>#VALUE!</v>
      </c>
      <c r="IA38" t="e">
        <f>'2.4.Функции'!BV73+"BYw!$;5"</f>
        <v>#VALUE!</v>
      </c>
      <c r="IB38" t="e">
        <f>'2.4.Функции'!BW73+"BYw!$;6"</f>
        <v>#VALUE!</v>
      </c>
      <c r="IC38" t="e">
        <f>'2.4.Функции'!BX73+"BYw!$;7"</f>
        <v>#VALUE!</v>
      </c>
      <c r="ID38" t="e">
        <f>'2.4.Функции'!BY73+"BYw!$;8"</f>
        <v>#VALUE!</v>
      </c>
      <c r="IE38" t="e">
        <f>'2.4.Функции'!BZ73+"BYw!$;9"</f>
        <v>#VALUE!</v>
      </c>
      <c r="IF38" t="e">
        <f>'2.4.Функции'!CA73+"BYw!$;:"</f>
        <v>#VALUE!</v>
      </c>
      <c r="IG38" t="e">
        <f>'2.4.Функции'!CB73+"BYw!$;;"</f>
        <v>#VALUE!</v>
      </c>
      <c r="IH38" t="e">
        <f>'2.4.Функции'!CC73+"BYw!$;&lt;"</f>
        <v>#VALUE!</v>
      </c>
      <c r="II38" t="e">
        <f>'2.4.Функции'!CD73+"BYw!$;="</f>
        <v>#VALUE!</v>
      </c>
      <c r="IJ38" t="e">
        <f>'2.4.Функции'!CE73+"BYw!$;&gt;"</f>
        <v>#VALUE!</v>
      </c>
      <c r="IK38" t="e">
        <f>'2.4.Функции'!CF73+"BYw!$;?"</f>
        <v>#VALUE!</v>
      </c>
      <c r="IL38" t="e">
        <f>'2.4.Функции'!CG73+"BYw!$;@"</f>
        <v>#VALUE!</v>
      </c>
      <c r="IM38" t="e">
        <f>'2.4.Функции'!CH73+"BYw!$;A"</f>
        <v>#VALUE!</v>
      </c>
      <c r="IN38" t="e">
        <f>'2.4.Функции'!CI73+"BYw!$;B"</f>
        <v>#VALUE!</v>
      </c>
      <c r="IO38" t="e">
        <f>'2.4.Функции'!CJ73+"BYw!$;C"</f>
        <v>#VALUE!</v>
      </c>
      <c r="IP38" t="e">
        <f>'2.4.Функции'!CK73+"BYw!$;D"</f>
        <v>#VALUE!</v>
      </c>
      <c r="IQ38" t="e">
        <f>'2.4.Функции'!CL73+"BYw!$;E"</f>
        <v>#VALUE!</v>
      </c>
      <c r="IR38" t="e">
        <f>'2.4.Функции'!CM73+"BYw!$;F"</f>
        <v>#VALUE!</v>
      </c>
      <c r="IS38" t="e">
        <f>'2.4.Функции'!CN73+"BYw!$;G"</f>
        <v>#VALUE!</v>
      </c>
      <c r="IT38" t="e">
        <f>'2.4.Функции'!CO73+"BYw!$;H"</f>
        <v>#VALUE!</v>
      </c>
      <c r="IU38" t="e">
        <f>'2.4.Функции'!CP73+"BYw!$;I"</f>
        <v>#VALUE!</v>
      </c>
      <c r="IV38" t="e">
        <f>'2.4.Функции'!CQ73+"BYw!$;J"</f>
        <v>#VALUE!</v>
      </c>
    </row>
    <row r="39" spans="6:256" x14ac:dyDescent="0.2">
      <c r="F39" t="e">
        <f>'2.4.Функции'!CR73+"BYw!$;K"</f>
        <v>#VALUE!</v>
      </c>
      <c r="G39" t="e">
        <f>'2.4.Функции'!CS73+"BYw!$;L"</f>
        <v>#VALUE!</v>
      </c>
      <c r="H39" t="e">
        <f>'2.4.Функции'!CT73+"BYw!$;M"</f>
        <v>#VALUE!</v>
      </c>
      <c r="I39" t="e">
        <f>'2.4.Функции'!CU73+"BYw!$;N"</f>
        <v>#VALUE!</v>
      </c>
      <c r="J39" t="e">
        <f>'2.4.Функции'!CV73+"BYw!$;O"</f>
        <v>#VALUE!</v>
      </c>
      <c r="K39" t="e">
        <f>'2.4.Функции'!CW73+"BYw!$;P"</f>
        <v>#VALUE!</v>
      </c>
      <c r="L39" t="e">
        <f>'2.4.Функции'!CX73+"BYw!$;Q"</f>
        <v>#VALUE!</v>
      </c>
      <c r="M39" t="e">
        <f>'2.4.Функции'!CY73+"BYw!$;R"</f>
        <v>#VALUE!</v>
      </c>
      <c r="N39" t="e">
        <f>'2.4.Функции'!CZ73+"BYw!$;S"</f>
        <v>#VALUE!</v>
      </c>
      <c r="O39" t="e">
        <f>'2.4.Функции'!DA73+"BYw!$;T"</f>
        <v>#VALUE!</v>
      </c>
      <c r="P39" t="e">
        <f>'2.4.Функции'!DB73+"BYw!$;U"</f>
        <v>#VALUE!</v>
      </c>
      <c r="Q39" t="e">
        <f>'2.4.Функции'!DC73+"BYw!$;V"</f>
        <v>#VALUE!</v>
      </c>
      <c r="R39" t="e">
        <f>'2.4.Функции'!DD73+"BYw!$;W"</f>
        <v>#VALUE!</v>
      </c>
      <c r="S39" t="e">
        <f>'2.4.Функции'!DE73+"BYw!$;X"</f>
        <v>#VALUE!</v>
      </c>
      <c r="T39" t="e">
        <f>'2.4.Функции'!DF73+"BYw!$;Y"</f>
        <v>#VALUE!</v>
      </c>
      <c r="U39" t="e">
        <f>'2.4.Функции'!DG73+"BYw!$;Z"</f>
        <v>#VALUE!</v>
      </c>
      <c r="V39" t="e">
        <f>'2.4.Функции'!DH73+"BYw!$;["</f>
        <v>#VALUE!</v>
      </c>
      <c r="W39" t="e">
        <f>'2.4.Функции'!DI73+"BYw!$;\"</f>
        <v>#VALUE!</v>
      </c>
      <c r="X39" t="e">
        <f>'2.4.Функции'!DJ73+"BYw!$;]"</f>
        <v>#VALUE!</v>
      </c>
      <c r="Y39" t="e">
        <f>'2.4.Функции'!DK73+"BYw!$;^"</f>
        <v>#VALUE!</v>
      </c>
      <c r="Z39" t="e">
        <f>'2.4.Функции'!DL73+"BYw!$;_"</f>
        <v>#VALUE!</v>
      </c>
      <c r="AA39" t="e">
        <f>'2.4.Функции'!DM73+"BYw!$;`"</f>
        <v>#VALUE!</v>
      </c>
      <c r="AB39" t="e">
        <f>'2.4.Функции'!DN73+"BYw!$;a"</f>
        <v>#VALUE!</v>
      </c>
      <c r="AC39" t="e">
        <f>'2.4.Функции'!DO73+"BYw!$;b"</f>
        <v>#VALUE!</v>
      </c>
      <c r="AD39" t="e">
        <f>'2.4.Функции'!DP73+"BYw!$;c"</f>
        <v>#VALUE!</v>
      </c>
      <c r="AE39" t="e">
        <f>'2.4.Функции'!DQ73+"BYw!$;d"</f>
        <v>#VALUE!</v>
      </c>
      <c r="AF39" t="e">
        <f>'2.4.Функции'!DR73+"BYw!$;e"</f>
        <v>#VALUE!</v>
      </c>
      <c r="AG39" t="e">
        <f>'2.4.Функции'!DS73+"BYw!$;f"</f>
        <v>#VALUE!</v>
      </c>
      <c r="AH39" t="e">
        <f>'2.4.Функции'!DT73+"BYw!$;g"</f>
        <v>#VALUE!</v>
      </c>
      <c r="AI39" t="e">
        <f>'2.4.Функции'!DU73+"BYw!$;h"</f>
        <v>#VALUE!</v>
      </c>
      <c r="AJ39" t="e">
        <f>'2.4.Функции'!DV73+"BYw!$;i"</f>
        <v>#VALUE!</v>
      </c>
      <c r="AK39" t="e">
        <f>'2.4.Функции'!DW73+"BYw!$;j"</f>
        <v>#VALUE!</v>
      </c>
      <c r="AL39" t="e">
        <f>'2.4.Функции'!DX73+"BYw!$;k"</f>
        <v>#VALUE!</v>
      </c>
      <c r="AM39" t="e">
        <f>'2.4.Функции'!DY73+"BYw!$;l"</f>
        <v>#VALUE!</v>
      </c>
      <c r="AN39" t="e">
        <f>'2.4.Функции'!DZ73+"BYw!$;m"</f>
        <v>#VALUE!</v>
      </c>
      <c r="AO39" t="e">
        <f>'2.4.Функции'!EA73+"BYw!$;n"</f>
        <v>#VALUE!</v>
      </c>
      <c r="AP39" t="e">
        <f>'2.4.Функции'!EB73+"BYw!$;o"</f>
        <v>#VALUE!</v>
      </c>
      <c r="AQ39" t="e">
        <f>'2.4.Функции'!EC73+"BYw!$;p"</f>
        <v>#VALUE!</v>
      </c>
      <c r="AR39" t="e">
        <f>'2.4.Функции'!ED73+"BYw!$;q"</f>
        <v>#VALUE!</v>
      </c>
      <c r="AS39" t="e">
        <f>'2.4.Функции'!EE73+"BYw!$;r"</f>
        <v>#VALUE!</v>
      </c>
      <c r="AT39" t="e">
        <f>'2.4.Функции'!EF73+"BYw!$;s"</f>
        <v>#VALUE!</v>
      </c>
      <c r="AU39" t="e">
        <f>'2.4.Функции'!EG73+"BYw!$;t"</f>
        <v>#VALUE!</v>
      </c>
      <c r="AV39" t="e">
        <f>'2.4.Функции'!EH73+"BYw!$;u"</f>
        <v>#VALUE!</v>
      </c>
      <c r="AW39" t="e">
        <f>'2.4.Функции'!EI73+"BYw!$;v"</f>
        <v>#VALUE!</v>
      </c>
      <c r="AX39" t="e">
        <f>'2.4.Функции'!EJ73+"BYw!$;w"</f>
        <v>#VALUE!</v>
      </c>
      <c r="AY39" t="e">
        <f>'2.4.Функции'!EK73+"BYw!$;x"</f>
        <v>#VALUE!</v>
      </c>
      <c r="AZ39" t="e">
        <f>'2.4.Функции'!EL73+"BYw!$;y"</f>
        <v>#VALUE!</v>
      </c>
      <c r="BA39" t="e">
        <f>'2.4.Функции'!EM73+"BYw!$;z"</f>
        <v>#VALUE!</v>
      </c>
      <c r="BB39" t="e">
        <f>'2.4.Функции'!EN73+"BYw!$;{"</f>
        <v>#VALUE!</v>
      </c>
      <c r="BC39" t="e">
        <f>'2.4.Функции'!EO73+"BYw!$;|"</f>
        <v>#VALUE!</v>
      </c>
      <c r="BD39" t="e">
        <f>'2.4.Функции'!EP73+"BYw!$;}"</f>
        <v>#VALUE!</v>
      </c>
      <c r="BE39" t="e">
        <f>'2.4.Функции'!EQ73+"BYw!$;~"</f>
        <v>#VALUE!</v>
      </c>
      <c r="BF39" t="e">
        <f>'2.4.Функции'!ER73+"BYw!$&lt;#"</f>
        <v>#VALUE!</v>
      </c>
      <c r="BG39" t="e">
        <f>'2.4.Функции'!ES73+"BYw!$&lt;$"</f>
        <v>#VALUE!</v>
      </c>
      <c r="BH39" t="e">
        <f>'2.4.Функции'!ET73+"BYw!$&lt;%"</f>
        <v>#VALUE!</v>
      </c>
      <c r="BI39" t="e">
        <f>'2.4.Функции'!EU73+"BYw!$&lt;&amp;"</f>
        <v>#VALUE!</v>
      </c>
      <c r="BJ39" t="e">
        <f>'2.4.Функции'!EV73+"BYw!$&lt;'"</f>
        <v>#VALUE!</v>
      </c>
      <c r="BK39" t="e">
        <f>'2.4.Функции'!EW73+"BYw!$&lt;("</f>
        <v>#VALUE!</v>
      </c>
      <c r="BL39" t="e">
        <f>'2.4.Функции'!EX73+"BYw!$&lt;)"</f>
        <v>#VALUE!</v>
      </c>
      <c r="BM39" t="e">
        <f>'2.4.Функции'!EY73+"BYw!$&lt;."</f>
        <v>#VALUE!</v>
      </c>
      <c r="BN39" t="e">
        <f>'2.4.Функции'!EZ73+"BYw!$&lt;/"</f>
        <v>#VALUE!</v>
      </c>
      <c r="BO39" t="e">
        <f>'2.4.Функции'!FA73+"BYw!$&lt;0"</f>
        <v>#VALUE!</v>
      </c>
      <c r="BP39" t="e">
        <f>'2.4.Функции'!FB73+"BYw!$&lt;1"</f>
        <v>#VALUE!</v>
      </c>
      <c r="BQ39" t="e">
        <f>'2.4.Функции'!FC73+"BYw!$&lt;2"</f>
        <v>#VALUE!</v>
      </c>
      <c r="BR39" t="e">
        <f>'2.4.Функции'!FD73+"BYw!$&lt;3"</f>
        <v>#VALUE!</v>
      </c>
      <c r="BS39" t="e">
        <f>'2.4.Функции'!FE73+"BYw!$&lt;4"</f>
        <v>#VALUE!</v>
      </c>
      <c r="BT39" t="e">
        <f>'2.4.Функции'!FF73+"BYw!$&lt;5"</f>
        <v>#VALUE!</v>
      </c>
      <c r="BU39" t="e">
        <f>'2.4.Функции'!FG73+"BYw!$&lt;6"</f>
        <v>#VALUE!</v>
      </c>
      <c r="BV39" t="e">
        <f>'2.4.Функции'!FH73+"BYw!$&lt;7"</f>
        <v>#VALUE!</v>
      </c>
      <c r="BW39" t="e">
        <f>'2.4.Функции'!FI73+"BYw!$&lt;8"</f>
        <v>#VALUE!</v>
      </c>
      <c r="BX39" t="e">
        <f>'2.4.Функции'!FJ73+"BYw!$&lt;9"</f>
        <v>#VALUE!</v>
      </c>
      <c r="BY39" t="e">
        <f>'2.4.Функции'!FK73+"BYw!$&lt;:"</f>
        <v>#VALUE!</v>
      </c>
      <c r="BZ39" t="e">
        <f>'2.4.Функции'!FL73+"BYw!$&lt;;"</f>
        <v>#VALUE!</v>
      </c>
      <c r="CA39" t="e">
        <f>'2.4.Функции'!FM73+"BYw!$&lt;&lt;"</f>
        <v>#VALUE!</v>
      </c>
      <c r="CB39" t="e">
        <f>'2.4.Функции'!FN73+"BYw!$&lt;="</f>
        <v>#VALUE!</v>
      </c>
      <c r="CC39" t="e">
        <f>'2.4.Функции'!FO73+"BYw!$&lt;&gt;"</f>
        <v>#VALUE!</v>
      </c>
      <c r="CD39" t="e">
        <f>'2.4.Функции'!FP73+"BYw!$&lt;?"</f>
        <v>#VALUE!</v>
      </c>
      <c r="CE39" t="e">
        <f>'2.4.Функции'!FQ73+"BYw!$&lt;@"</f>
        <v>#VALUE!</v>
      </c>
      <c r="CF39" t="e">
        <f>'2.4.Функции'!FR73+"BYw!$&lt;A"</f>
        <v>#VALUE!</v>
      </c>
      <c r="CG39" t="e">
        <f>'2.4.Функции'!FS73+"BYw!$&lt;B"</f>
        <v>#VALUE!</v>
      </c>
      <c r="CH39" t="e">
        <f>'2.4.Функции'!FT73+"BYw!$&lt;C"</f>
        <v>#VALUE!</v>
      </c>
      <c r="CI39" t="e">
        <f>'2.4.Функции'!FU73+"BYw!$&lt;D"</f>
        <v>#VALUE!</v>
      </c>
      <c r="CJ39" t="e">
        <f>'2.4.Функции'!FV73+"BYw!$&lt;E"</f>
        <v>#VALUE!</v>
      </c>
      <c r="CK39" t="e">
        <f>'2.4.Функции'!FW73+"BYw!$&lt;F"</f>
        <v>#VALUE!</v>
      </c>
      <c r="CL39" t="e">
        <f>'2.4.Функции'!FX73+"BYw!$&lt;G"</f>
        <v>#VALUE!</v>
      </c>
      <c r="CM39" t="e">
        <f>'2.4.Функции'!FY73+"BYw!$&lt;H"</f>
        <v>#VALUE!</v>
      </c>
      <c r="CN39" t="e">
        <f>'2.4.Функции'!FZ73+"BYw!$&lt;I"</f>
        <v>#VALUE!</v>
      </c>
      <c r="CO39" t="e">
        <f>'2.4.Функции'!GA73+"BYw!$&lt;J"</f>
        <v>#VALUE!</v>
      </c>
      <c r="CP39" t="e">
        <f>'2.4.Функции'!GB73+"BYw!$&lt;K"</f>
        <v>#VALUE!</v>
      </c>
      <c r="CQ39" t="e">
        <f>'2.4.Функции'!GC73+"BYw!$&lt;L"</f>
        <v>#VALUE!</v>
      </c>
      <c r="CR39" t="e">
        <f>'2.4.Функции'!GD73+"BYw!$&lt;M"</f>
        <v>#VALUE!</v>
      </c>
      <c r="CS39" t="e">
        <f>'2.4.Функции'!GE73+"BYw!$&lt;N"</f>
        <v>#VALUE!</v>
      </c>
      <c r="CT39" t="e">
        <f>'2.4.Функции'!GF73+"BYw!$&lt;O"</f>
        <v>#VALUE!</v>
      </c>
      <c r="CU39" t="e">
        <f>'2.4.Функции'!GG73+"BYw!$&lt;P"</f>
        <v>#VALUE!</v>
      </c>
      <c r="CV39" t="e">
        <f>'2.4.Функции'!GH73+"BYw!$&lt;Q"</f>
        <v>#VALUE!</v>
      </c>
      <c r="CW39" t="e">
        <f>'2.4.Функции'!GI73+"BYw!$&lt;R"</f>
        <v>#VALUE!</v>
      </c>
      <c r="CX39" t="e">
        <f>'2.4.Функции'!GJ73+"BYw!$&lt;S"</f>
        <v>#VALUE!</v>
      </c>
      <c r="CY39" t="e">
        <f>'2.4.Функции'!GK73+"BYw!$&lt;T"</f>
        <v>#VALUE!</v>
      </c>
      <c r="CZ39" t="e">
        <f>'2.4.Функции'!GL73+"BYw!$&lt;U"</f>
        <v>#VALUE!</v>
      </c>
      <c r="DA39" t="e">
        <f>'2.4.Функции'!GM73+"BYw!$&lt;V"</f>
        <v>#VALUE!</v>
      </c>
      <c r="DB39" t="e">
        <f>'2.4.Функции'!GN73+"BYw!$&lt;W"</f>
        <v>#VALUE!</v>
      </c>
      <c r="DC39" t="e">
        <f>'2.4.Функции'!GO73+"BYw!$&lt;X"</f>
        <v>#VALUE!</v>
      </c>
      <c r="DD39" t="e">
        <f>'2.4.Функции'!GP73+"BYw!$&lt;Y"</f>
        <v>#VALUE!</v>
      </c>
      <c r="DE39" t="e">
        <f>'2.4.Функции'!GQ73+"BYw!$&lt;Z"</f>
        <v>#VALUE!</v>
      </c>
      <c r="DF39" t="e">
        <f>'2.4.Функции'!GR73+"BYw!$&lt;["</f>
        <v>#VALUE!</v>
      </c>
      <c r="DG39" t="e">
        <f>'2.4.Функции'!GS73+"BYw!$&lt;\"</f>
        <v>#VALUE!</v>
      </c>
      <c r="DH39" t="e">
        <f>'2.4.Функции'!GT73+"BYw!$&lt;]"</f>
        <v>#VALUE!</v>
      </c>
      <c r="DI39" t="e">
        <f>'2.4.Функции'!GU73+"BYw!$&lt;^"</f>
        <v>#VALUE!</v>
      </c>
      <c r="DJ39" t="e">
        <f>'2.4.Функции'!GV73+"BYw!$&lt;_"</f>
        <v>#VALUE!</v>
      </c>
      <c r="DK39" t="e">
        <f>'2.4.Функции'!GW73+"BYw!$&lt;`"</f>
        <v>#VALUE!</v>
      </c>
      <c r="DL39" t="e">
        <f>'2.4.Функции'!GX73+"BYw!$&lt;a"</f>
        <v>#VALUE!</v>
      </c>
      <c r="DM39" t="e">
        <f>'2.4.Функции'!GY73+"BYw!$&lt;b"</f>
        <v>#VALUE!</v>
      </c>
      <c r="DN39" t="e">
        <f>'2.4.Функции'!GZ73+"BYw!$&lt;c"</f>
        <v>#VALUE!</v>
      </c>
      <c r="DO39" t="e">
        <f>'2.4.Функции'!HA73+"BYw!$&lt;d"</f>
        <v>#VALUE!</v>
      </c>
      <c r="DP39" t="e">
        <f>'2.4.Функции'!HB73+"BYw!$&lt;e"</f>
        <v>#VALUE!</v>
      </c>
      <c r="DQ39" t="e">
        <f>'2.4.Функции'!HC73+"BYw!$&lt;f"</f>
        <v>#VALUE!</v>
      </c>
      <c r="DR39" t="e">
        <f>'2.4.Функции'!HD73+"BYw!$&lt;g"</f>
        <v>#VALUE!</v>
      </c>
      <c r="DS39" t="e">
        <f>'2.4.Функции'!HE73+"BYw!$&lt;h"</f>
        <v>#VALUE!</v>
      </c>
      <c r="DT39" t="e">
        <f>'2.4.Функции'!HF73+"BYw!$&lt;i"</f>
        <v>#VALUE!</v>
      </c>
      <c r="DU39" t="e">
        <f>'2.4.Функции'!HG73+"BYw!$&lt;j"</f>
        <v>#VALUE!</v>
      </c>
      <c r="DV39" t="e">
        <f>'2.4.Функции'!HH73+"BYw!$&lt;k"</f>
        <v>#VALUE!</v>
      </c>
      <c r="DW39" t="e">
        <f>'2.4.Функции'!HI73+"BYw!$&lt;l"</f>
        <v>#VALUE!</v>
      </c>
      <c r="DX39" t="e">
        <f>'2.4.Функции'!HJ73+"BYw!$&lt;m"</f>
        <v>#VALUE!</v>
      </c>
      <c r="DY39" t="e">
        <f>'2.4.Функции'!HK73+"BYw!$&lt;n"</f>
        <v>#VALUE!</v>
      </c>
      <c r="DZ39" t="e">
        <f>'2.4.Функции'!HL73+"BYw!$&lt;o"</f>
        <v>#VALUE!</v>
      </c>
      <c r="EA39" t="e">
        <f>'2.4.Функции'!HM73+"BYw!$&lt;p"</f>
        <v>#VALUE!</v>
      </c>
      <c r="EB39" t="e">
        <f>'2.4.Функции'!HN73+"BYw!$&lt;q"</f>
        <v>#VALUE!</v>
      </c>
      <c r="EC39" t="e">
        <f>'2.4.Функции'!HO73+"BYw!$&lt;r"</f>
        <v>#VALUE!</v>
      </c>
      <c r="ED39" t="e">
        <f>'2.4.Функции'!HP73+"BYw!$&lt;s"</f>
        <v>#VALUE!</v>
      </c>
      <c r="EE39" t="e">
        <f>'2.4.Функции'!HQ73+"BYw!$&lt;t"</f>
        <v>#VALUE!</v>
      </c>
      <c r="EF39" t="e">
        <f>'2.4.Функции'!HR73+"BYw!$&lt;u"</f>
        <v>#VALUE!</v>
      </c>
      <c r="EG39" t="e">
        <f>'2.4.Функции'!HS73+"BYw!$&lt;v"</f>
        <v>#VALUE!</v>
      </c>
      <c r="EH39" t="e">
        <f>'2.4.Функции'!HT73+"BYw!$&lt;w"</f>
        <v>#VALUE!</v>
      </c>
      <c r="EI39" t="e">
        <f>'2.4.Функции'!HU73+"BYw!$&lt;x"</f>
        <v>#VALUE!</v>
      </c>
      <c r="EJ39" t="e">
        <f>'2.4.Функции'!HV73+"BYw!$&lt;y"</f>
        <v>#VALUE!</v>
      </c>
      <c r="EK39" t="e">
        <f>'2.4.Функции'!HW73+"BYw!$&lt;z"</f>
        <v>#VALUE!</v>
      </c>
      <c r="EL39" t="e">
        <f>'2.4.Функции'!HX73+"BYw!$&lt;{"</f>
        <v>#VALUE!</v>
      </c>
      <c r="EM39" t="e">
        <f>'2.4.Функции'!HY73+"BYw!$&lt;|"</f>
        <v>#VALUE!</v>
      </c>
      <c r="EN39" t="e">
        <f>'2.4.Функции'!HZ73+"BYw!$&lt;}"</f>
        <v>#VALUE!</v>
      </c>
      <c r="EO39" t="e">
        <f>'2.4.Функции'!IA73+"BYw!$&lt;~"</f>
        <v>#VALUE!</v>
      </c>
      <c r="EP39" t="e">
        <f>'2.4.Функции'!IB73+"BYw!$=#"</f>
        <v>#VALUE!</v>
      </c>
      <c r="EQ39" t="e">
        <f>'2.4.Функции'!IC73+"BYw!$=$"</f>
        <v>#VALUE!</v>
      </c>
      <c r="ER39" t="e">
        <f>'2.4.Функции'!ID73+"BYw!$=%"</f>
        <v>#VALUE!</v>
      </c>
      <c r="ES39" t="e">
        <f>'2.4.Функции'!IE73+"BYw!$=&amp;"</f>
        <v>#VALUE!</v>
      </c>
      <c r="ET39" t="e">
        <f>'2.4.Функции'!IF73+"BYw!$='"</f>
        <v>#VALUE!</v>
      </c>
      <c r="EU39" t="e">
        <f>'2.4.Функции'!IG73+"BYw!$=("</f>
        <v>#VALUE!</v>
      </c>
      <c r="EV39" t="e">
        <f>'2.4.Функции'!IH73+"BYw!$=)"</f>
        <v>#VALUE!</v>
      </c>
      <c r="EW39" t="e">
        <f>'2.4.Функции'!II73+"BYw!$=."</f>
        <v>#VALUE!</v>
      </c>
      <c r="EX39" t="e">
        <f>'2.4.Функции'!IJ73+"BYw!$=/"</f>
        <v>#VALUE!</v>
      </c>
      <c r="EY39" t="e">
        <f>'2.4.Функции'!IK73+"BYw!$=0"</f>
        <v>#VALUE!</v>
      </c>
      <c r="EZ39" t="e">
        <f>'2.4.Функции'!IL73+"BYw!$=1"</f>
        <v>#VALUE!</v>
      </c>
      <c r="FA39" t="e">
        <f>'2.4.Функции'!IM73+"BYw!$=2"</f>
        <v>#VALUE!</v>
      </c>
      <c r="FB39" t="e">
        <f>'2.4.Функции'!IN73+"BYw!$=3"</f>
        <v>#VALUE!</v>
      </c>
      <c r="FC39" t="e">
        <f>'2.4.Функции'!IO73+"BYw!$=4"</f>
        <v>#VALUE!</v>
      </c>
      <c r="FD39" t="e">
        <f>'2.4.Функции'!IP73+"BYw!$=5"</f>
        <v>#VALUE!</v>
      </c>
      <c r="FE39" t="e">
        <f>'2.4.Функции'!IQ73+"BYw!$=6"</f>
        <v>#VALUE!</v>
      </c>
      <c r="FF39" t="e">
        <f>'2.4.Функции'!IR73+"BYw!$=7"</f>
        <v>#VALUE!</v>
      </c>
      <c r="FG39" t="e">
        <f>'2.4.Функции'!IS73+"BYw!$=8"</f>
        <v>#VALUE!</v>
      </c>
      <c r="FH39" t="e">
        <f>'2.4.Функции'!IT73+"BYw!$=9"</f>
        <v>#VALUE!</v>
      </c>
      <c r="FI39" t="e">
        <f>'2.4.Функции'!IU73+"BYw!$=:"</f>
        <v>#VALUE!</v>
      </c>
      <c r="FJ39" t="e">
        <f>'2.4.Функции'!IV73+"BYw!$=;"</f>
        <v>#VALUE!</v>
      </c>
      <c r="FK39" t="e">
        <f>'2.4.Функции'!IW73+"BYw!$=&lt;"</f>
        <v>#VALUE!</v>
      </c>
      <c r="FL39" t="e">
        <f>'2.4.Функции'!IX73+"BYw!$=="</f>
        <v>#VALUE!</v>
      </c>
      <c r="FM39" t="e">
        <f>'2.4.Функции'!IY73+"BYw!$=&gt;"</f>
        <v>#VALUE!</v>
      </c>
      <c r="FN39" t="e">
        <f>'2.4.Функции'!IZ73+"BYw!$=?"</f>
        <v>#VALUE!</v>
      </c>
      <c r="FO39" t="e">
        <f>'2.4.Функции'!JA73+"BYw!$=@"</f>
        <v>#VALUE!</v>
      </c>
      <c r="FP39" t="e">
        <f>'2.4.Функции'!JB73+"BYw!$=A"</f>
        <v>#VALUE!</v>
      </c>
      <c r="FQ39" t="e">
        <f>'2.4.Функции'!JC73+"BYw!$=B"</f>
        <v>#VALUE!</v>
      </c>
      <c r="FR39" t="e">
        <f>'2.4.Функции'!JD73+"BYw!$=C"</f>
        <v>#VALUE!</v>
      </c>
      <c r="FS39" t="e">
        <f>'2.4.Функции'!JE73+"BYw!$=D"</f>
        <v>#VALUE!</v>
      </c>
      <c r="FT39" t="e">
        <f>'2.4.Функции'!JF73+"BYw!$=E"</f>
        <v>#VALUE!</v>
      </c>
      <c r="FU39" t="e">
        <f>'2.4.Функции'!JG73+"BYw!$=F"</f>
        <v>#VALUE!</v>
      </c>
      <c r="FV39" t="e">
        <f>'2.4.Функции'!JH73+"BYw!$=G"</f>
        <v>#VALUE!</v>
      </c>
      <c r="FW39" t="e">
        <f>'2.4.Функции'!JI73+"BYw!$=H"</f>
        <v>#VALUE!</v>
      </c>
      <c r="FX39" t="e">
        <f>'2.4.Функции'!JJ73+"BYw!$=I"</f>
        <v>#VALUE!</v>
      </c>
      <c r="FY39" t="e">
        <f>'2.4.Функции'!JK73+"BYw!$=J"</f>
        <v>#VALUE!</v>
      </c>
      <c r="FZ39" t="e">
        <f>'2.4.Функции'!JL73+"BYw!$=K"</f>
        <v>#VALUE!</v>
      </c>
      <c r="GA39" t="e">
        <f>'2.4.Функции'!JM73+"BYw!$=L"</f>
        <v>#VALUE!</v>
      </c>
      <c r="GB39" t="e">
        <f>'2.4.Функции'!JN73+"BYw!$=M"</f>
        <v>#VALUE!</v>
      </c>
      <c r="GC39" t="e">
        <f>'2.4.Функции'!JO73+"BYw!$=N"</f>
        <v>#VALUE!</v>
      </c>
      <c r="GD39" t="e">
        <f>'2.4.Функции'!JP73+"BYw!$=O"</f>
        <v>#VALUE!</v>
      </c>
      <c r="GE39" t="e">
        <f>'2.4.Функции'!JQ73+"BYw!$=P"</f>
        <v>#VALUE!</v>
      </c>
      <c r="GF39" t="e">
        <f>'2.4.Функции'!JR73+"BYw!$=Q"</f>
        <v>#VALUE!</v>
      </c>
      <c r="GG39" t="e">
        <f>'2.4.Функции'!JS73+"BYw!$=R"</f>
        <v>#VALUE!</v>
      </c>
      <c r="GH39" t="e">
        <f>'2.4.Функции'!JT73+"BYw!$=S"</f>
        <v>#VALUE!</v>
      </c>
      <c r="GI39" t="e">
        <f>'2.4.Функции'!JU73+"BYw!$=T"</f>
        <v>#VALUE!</v>
      </c>
      <c r="GJ39" t="e">
        <f>'2.4.Функции'!JV73+"BYw!$=U"</f>
        <v>#VALUE!</v>
      </c>
      <c r="GK39" t="e">
        <f>'2.4.Функции'!JW73+"BYw!$=V"</f>
        <v>#VALUE!</v>
      </c>
      <c r="GL39" t="e">
        <f>'2.4.Функции'!JX73+"BYw!$=W"</f>
        <v>#VALUE!</v>
      </c>
      <c r="GM39" t="e">
        <f>'2.4.Функции'!JY73+"BYw!$=X"</f>
        <v>#VALUE!</v>
      </c>
      <c r="GN39" t="e">
        <f>'2.4.Функции'!JZ73+"BYw!$=Y"</f>
        <v>#VALUE!</v>
      </c>
      <c r="GO39" t="e">
        <f>'2.4.Функции'!KA73+"BYw!$=Z"</f>
        <v>#VALUE!</v>
      </c>
      <c r="GP39" t="e">
        <f>'2.4.Функции'!KB73+"BYw!$=["</f>
        <v>#VALUE!</v>
      </c>
      <c r="GQ39" t="e">
        <f>'2.4.Функции'!KC73+"BYw!$=\"</f>
        <v>#VALUE!</v>
      </c>
      <c r="GR39" t="e">
        <f>'2.4.Функции'!KD73+"BYw!$=]"</f>
        <v>#VALUE!</v>
      </c>
      <c r="GS39" t="e">
        <f>'2.4.Функции'!KE73+"BYw!$=^"</f>
        <v>#VALUE!</v>
      </c>
      <c r="GT39" t="e">
        <f>'2.4.Функции'!KF73+"BYw!$=_"</f>
        <v>#VALUE!</v>
      </c>
      <c r="GU39" t="e">
        <f>'2.4.Функции'!KG73+"BYw!$=`"</f>
        <v>#VALUE!</v>
      </c>
      <c r="GV39" t="e">
        <f>'2.4.Функции'!KH73+"BYw!$=a"</f>
        <v>#VALUE!</v>
      </c>
      <c r="GW39" t="e">
        <f>'2.4.Функции'!KI73+"BYw!$=b"</f>
        <v>#VALUE!</v>
      </c>
      <c r="GX39" t="e">
        <f>'2.4.Функции'!KJ73+"BYw!$=c"</f>
        <v>#VALUE!</v>
      </c>
      <c r="GY39" t="e">
        <f>'2.4.Функции'!KK73+"BYw!$=d"</f>
        <v>#VALUE!</v>
      </c>
      <c r="GZ39" t="e">
        <f>'2.4.Функции'!KL73+"BYw!$=e"</f>
        <v>#VALUE!</v>
      </c>
      <c r="HA39" t="e">
        <f>'2.4.Функции'!KM73+"BYw!$=f"</f>
        <v>#VALUE!</v>
      </c>
      <c r="HB39" t="e">
        <f>'2.4.Функции'!KN73+"BYw!$=g"</f>
        <v>#VALUE!</v>
      </c>
      <c r="HC39" t="e">
        <f>'2.4.Функции'!KO73+"BYw!$=h"</f>
        <v>#VALUE!</v>
      </c>
      <c r="HD39" t="e">
        <f>'2.4.Функции'!KP73+"BYw!$=i"</f>
        <v>#VALUE!</v>
      </c>
      <c r="HE39" t="e">
        <f>'2.4.Функции'!KQ73+"BYw!$=j"</f>
        <v>#VALUE!</v>
      </c>
      <c r="HF39" t="e">
        <f>'2.4.Функции'!KR73+"BYw!$=k"</f>
        <v>#VALUE!</v>
      </c>
      <c r="HG39" t="e">
        <f>'2.4.Функции'!KS73+"BYw!$=l"</f>
        <v>#VALUE!</v>
      </c>
      <c r="HH39" t="e">
        <f>'2.4.Функции'!KT73+"BYw!$=m"</f>
        <v>#VALUE!</v>
      </c>
      <c r="HI39" t="e">
        <f>'2.4.Функции'!KU73+"BYw!$=n"</f>
        <v>#VALUE!</v>
      </c>
      <c r="HJ39" t="e">
        <f>'2.4.Функции'!KV73+"BYw!$=o"</f>
        <v>#VALUE!</v>
      </c>
      <c r="HK39" t="e">
        <f>'2.4.Функции'!KW73+"BYw!$=p"</f>
        <v>#VALUE!</v>
      </c>
      <c r="HL39" t="e">
        <f>'2.4.Функции'!KX73+"BYw!$=q"</f>
        <v>#VALUE!</v>
      </c>
      <c r="HM39" t="e">
        <f>'2.4.Функции'!KY73+"BYw!$=r"</f>
        <v>#VALUE!</v>
      </c>
      <c r="HN39" t="e">
        <f>'2.4.Функции'!KZ73+"BYw!$=s"</f>
        <v>#VALUE!</v>
      </c>
      <c r="HO39" t="e">
        <f>'2.4.Функции'!LA73+"BYw!$=t"</f>
        <v>#VALUE!</v>
      </c>
      <c r="HP39" t="e">
        <f>'2.4.Функции'!LB73+"BYw!$=u"</f>
        <v>#VALUE!</v>
      </c>
      <c r="HQ39" t="e">
        <f>'2.4.Функции'!LC73+"BYw!$=v"</f>
        <v>#VALUE!</v>
      </c>
      <c r="HR39" t="e">
        <f>'2.4.Функции'!LD73+"BYw!$=w"</f>
        <v>#VALUE!</v>
      </c>
      <c r="HS39" t="e">
        <f>'2.4.Функции'!LE73+"BYw!$=x"</f>
        <v>#VALUE!</v>
      </c>
      <c r="HT39" t="e">
        <f>'2.4.Функции'!LF73+"BYw!$=y"</f>
        <v>#VALUE!</v>
      </c>
      <c r="HU39" t="e">
        <f>'2.4.Функции'!LG73+"BYw!$=z"</f>
        <v>#VALUE!</v>
      </c>
      <c r="HV39" t="e">
        <f>'2.4.Функции'!LH73+"BYw!$={"</f>
        <v>#VALUE!</v>
      </c>
      <c r="HW39" t="e">
        <f>'2.4.Функции'!LI73+"BYw!$=|"</f>
        <v>#VALUE!</v>
      </c>
      <c r="HX39" t="e">
        <f>'2.4.Функции'!LJ73+"BYw!$=}"</f>
        <v>#VALUE!</v>
      </c>
      <c r="HY39" t="e">
        <f>'2.4.Функции'!LK73+"BYw!$=~"</f>
        <v>#VALUE!</v>
      </c>
      <c r="HZ39" t="e">
        <f>'2.4.Функции'!LL73+"BYw!$&gt;#"</f>
        <v>#VALUE!</v>
      </c>
      <c r="IA39" t="e">
        <f>'2.4.Функции'!LM73+"BYw!$&gt;$"</f>
        <v>#VALUE!</v>
      </c>
      <c r="IB39" t="e">
        <f>'2.4.Функции'!LN73+"BYw!$&gt;%"</f>
        <v>#VALUE!</v>
      </c>
      <c r="IC39" t="e">
        <f>'2.4.Функции'!LO73+"BYw!$&gt;&amp;"</f>
        <v>#VALUE!</v>
      </c>
      <c r="ID39" t="e">
        <f>'2.4.Функции'!LP73+"BYw!$&gt;'"</f>
        <v>#VALUE!</v>
      </c>
      <c r="IE39" t="e">
        <f>'2.4.Функции'!LQ73+"BYw!$&gt;("</f>
        <v>#VALUE!</v>
      </c>
      <c r="IF39" t="e">
        <f>'2.4.Функции'!LR73+"BYw!$&gt;)"</f>
        <v>#VALUE!</v>
      </c>
      <c r="IG39" t="e">
        <f>'2.4.Функции'!LS73+"BYw!$&gt;."</f>
        <v>#VALUE!</v>
      </c>
      <c r="IH39" t="e">
        <f>'2.4.Функции'!LT73+"BYw!$&gt;/"</f>
        <v>#VALUE!</v>
      </c>
      <c r="II39" t="e">
        <f>'2.4.Функции'!LU73+"BYw!$&gt;0"</f>
        <v>#VALUE!</v>
      </c>
      <c r="IJ39" t="e">
        <f>'2.4.Функции'!LV73+"BYw!$&gt;1"</f>
        <v>#VALUE!</v>
      </c>
      <c r="IK39" t="e">
        <f>'2.4.Функции'!LW73+"BYw!$&gt;2"</f>
        <v>#VALUE!</v>
      </c>
      <c r="IL39" t="e">
        <f>'2.4.Функции'!LX73+"BYw!$&gt;3"</f>
        <v>#VALUE!</v>
      </c>
      <c r="IM39" t="e">
        <f>'2.4.Функции'!LY73+"BYw!$&gt;4"</f>
        <v>#VALUE!</v>
      </c>
      <c r="IN39" t="e">
        <f>'2.4.Функции'!LZ73+"BYw!$&gt;5"</f>
        <v>#VALUE!</v>
      </c>
      <c r="IO39" t="e">
        <f>'2.4.Функции'!MA73+"BYw!$&gt;6"</f>
        <v>#VALUE!</v>
      </c>
      <c r="IP39" t="e">
        <f>'2.4.Функции'!MB73+"BYw!$&gt;7"</f>
        <v>#VALUE!</v>
      </c>
      <c r="IQ39" t="e">
        <f>'2.4.Функции'!MC73+"BYw!$&gt;8"</f>
        <v>#VALUE!</v>
      </c>
      <c r="IR39" t="e">
        <f>'2.4.Функции'!MD73+"BYw!$&gt;9"</f>
        <v>#VALUE!</v>
      </c>
      <c r="IS39" t="e">
        <f>'2.4.Функции'!ME73+"BYw!$&gt;:"</f>
        <v>#VALUE!</v>
      </c>
      <c r="IT39" t="e">
        <f>'2.4.Функции'!MF73+"BYw!$&gt;;"</f>
        <v>#VALUE!</v>
      </c>
      <c r="IU39" t="e">
        <f>'2.4.Функции'!MG73+"BYw!$&gt;&lt;"</f>
        <v>#VALUE!</v>
      </c>
      <c r="IV39" t="e">
        <f>'2.4.Функции'!MH73+"BYw!$&gt;="</f>
        <v>#VALUE!</v>
      </c>
    </row>
    <row r="40" spans="6:256" x14ac:dyDescent="0.2">
      <c r="F40" t="e">
        <f>'2.4.Функции'!MI73+"BYw!$&gt;&gt;"</f>
        <v>#VALUE!</v>
      </c>
      <c r="G40" t="e">
        <f>'2.4.Функции'!MJ73+"BYw!$&gt;?"</f>
        <v>#VALUE!</v>
      </c>
      <c r="H40" t="e">
        <f>'2.4.Функции'!MK73+"BYw!$&gt;@"</f>
        <v>#VALUE!</v>
      </c>
      <c r="I40" t="e">
        <f>'2.4.Функции'!ML73+"BYw!$&gt;A"</f>
        <v>#VALUE!</v>
      </c>
      <c r="J40" t="e">
        <f>'2.4.Функции'!MM73+"BYw!$&gt;B"</f>
        <v>#VALUE!</v>
      </c>
      <c r="K40" t="e">
        <f>'2.4.Функции'!MN73+"BYw!$&gt;C"</f>
        <v>#VALUE!</v>
      </c>
      <c r="L40" t="e">
        <f>'2.4.Функции'!MO73+"BYw!$&gt;D"</f>
        <v>#VALUE!</v>
      </c>
      <c r="M40" t="e">
        <f>'2.4.Функции'!MP73+"BYw!$&gt;E"</f>
        <v>#VALUE!</v>
      </c>
      <c r="N40" t="e">
        <f>'2.4.Функции'!MQ73+"BYw!$&gt;F"</f>
        <v>#VALUE!</v>
      </c>
      <c r="O40" t="e">
        <f>'2.4.Функции'!MR73+"BYw!$&gt;G"</f>
        <v>#VALUE!</v>
      </c>
      <c r="P40" t="e">
        <f>'2.4.Функции'!MS73+"BYw!$&gt;H"</f>
        <v>#VALUE!</v>
      </c>
      <c r="Q40" t="e">
        <f>'2.4.Функции'!MT73+"BYw!$&gt;I"</f>
        <v>#VALUE!</v>
      </c>
      <c r="R40" t="e">
        <f>'2.4.Функции'!MU73+"BYw!$&gt;J"</f>
        <v>#VALUE!</v>
      </c>
      <c r="S40" t="e">
        <f>'2.4.Функции'!MV73+"BYw!$&gt;K"</f>
        <v>#VALUE!</v>
      </c>
      <c r="T40" t="e">
        <f>'2.4.Функции'!MW73+"BYw!$&gt;L"</f>
        <v>#VALUE!</v>
      </c>
      <c r="U40" t="e">
        <f>'2.4.Функции'!MX73+"BYw!$&gt;M"</f>
        <v>#VALUE!</v>
      </c>
      <c r="V40" t="e">
        <f>'2.4.Функции'!MY73+"BYw!$&gt;N"</f>
        <v>#VALUE!</v>
      </c>
      <c r="W40" t="e">
        <f>'2.4.Функции'!MZ73+"BYw!$&gt;O"</f>
        <v>#VALUE!</v>
      </c>
      <c r="X40" t="e">
        <f>'2.4.Функции'!NA73+"BYw!$&gt;P"</f>
        <v>#VALUE!</v>
      </c>
      <c r="Y40" t="e">
        <f>'2.4.Функции'!NB73+"BYw!$&gt;Q"</f>
        <v>#VALUE!</v>
      </c>
      <c r="Z40" t="e">
        <f>'2.4.Функции'!NC73+"BYw!$&gt;R"</f>
        <v>#VALUE!</v>
      </c>
      <c r="AA40" t="e">
        <f>'2.4.Функции'!ND73+"BYw!$&gt;S"</f>
        <v>#VALUE!</v>
      </c>
      <c r="AB40" t="e">
        <f>'2.4.Функции'!NE73+"BYw!$&gt;T"</f>
        <v>#VALUE!</v>
      </c>
      <c r="AC40" t="e">
        <f>'2.4.Функции'!NF73+"BYw!$&gt;U"</f>
        <v>#VALUE!</v>
      </c>
      <c r="AD40" t="e">
        <f>'2.4.Функции'!NG73+"BYw!$&gt;V"</f>
        <v>#VALUE!</v>
      </c>
      <c r="AE40" t="e">
        <f>'2.4.Функции'!NH73+"BYw!$&gt;W"</f>
        <v>#VALUE!</v>
      </c>
      <c r="AF40" t="e">
        <f>'2.4.Функции'!NI73+"BYw!$&gt;X"</f>
        <v>#VALUE!</v>
      </c>
      <c r="AG40" t="e">
        <f>'2.4.Функции'!NJ73+"BYw!$&gt;Y"</f>
        <v>#VALUE!</v>
      </c>
      <c r="AH40" t="e">
        <f>'2.4.Функции'!NK73+"BYw!$&gt;Z"</f>
        <v>#VALUE!</v>
      </c>
      <c r="AI40" t="e">
        <f>'2.4.Функции'!NL73+"BYw!$&gt;["</f>
        <v>#VALUE!</v>
      </c>
      <c r="AJ40" t="e">
        <f>'2.4.Функции'!NM73+"BYw!$&gt;\"</f>
        <v>#VALUE!</v>
      </c>
      <c r="AK40" t="e">
        <f>'2.4.Функции'!NN73+"BYw!$&gt;]"</f>
        <v>#VALUE!</v>
      </c>
      <c r="AL40" t="e">
        <f>'2.4.Функции'!NO73+"BYw!$&gt;^"</f>
        <v>#VALUE!</v>
      </c>
      <c r="AM40" t="e">
        <f>'2.4.Функции'!NP73+"BYw!$&gt;_"</f>
        <v>#VALUE!</v>
      </c>
      <c r="AN40" t="e">
        <f>'2.4.Функции'!NQ73+"BYw!$&gt;`"</f>
        <v>#VALUE!</v>
      </c>
      <c r="AO40" t="e">
        <f>'2.4.Функции'!NR73+"BYw!$&gt;a"</f>
        <v>#VALUE!</v>
      </c>
      <c r="AP40" t="e">
        <f>'2.4.Функции'!NS73+"BYw!$&gt;b"</f>
        <v>#VALUE!</v>
      </c>
      <c r="AQ40" t="e">
        <f>'2.4.Функции'!NT73+"BYw!$&gt;c"</f>
        <v>#VALUE!</v>
      </c>
      <c r="AR40" t="e">
        <f>'2.4.Функции'!NU73+"BYw!$&gt;d"</f>
        <v>#VALUE!</v>
      </c>
      <c r="AS40" t="e">
        <f>'2.4.Функции'!NV73+"BYw!$&gt;e"</f>
        <v>#VALUE!</v>
      </c>
      <c r="AT40" t="e">
        <f>'2.4.Функции'!NW73+"BYw!$&gt;f"</f>
        <v>#VALUE!</v>
      </c>
      <c r="AU40" t="e">
        <f>'2.4.Функции'!NX73+"BYw!$&gt;g"</f>
        <v>#VALUE!</v>
      </c>
      <c r="AV40" t="e">
        <f>'2.4.Функции'!NY73+"BYw!$&gt;h"</f>
        <v>#VALUE!</v>
      </c>
      <c r="AW40" t="e">
        <f>'2.4.Функции'!NZ73+"BYw!$&gt;i"</f>
        <v>#VALUE!</v>
      </c>
      <c r="AX40" t="e">
        <f>'2.4.Функции'!OA73+"BYw!$&gt;j"</f>
        <v>#VALUE!</v>
      </c>
      <c r="AY40" t="e">
        <f>'2.4.Функции'!OB73+"BYw!$&gt;k"</f>
        <v>#VALUE!</v>
      </c>
      <c r="AZ40" t="e">
        <f>'2.4.Функции'!OC73+"BYw!$&gt;l"</f>
        <v>#VALUE!</v>
      </c>
      <c r="BA40" t="e">
        <f>'2.4.Функции'!OD73+"BYw!$&gt;m"</f>
        <v>#VALUE!</v>
      </c>
      <c r="BB40" t="e">
        <f>'2.4.Функции'!OE73+"BYw!$&gt;n"</f>
        <v>#VALUE!</v>
      </c>
      <c r="BC40" t="e">
        <f>'2.4.Функции'!OF73+"BYw!$&gt;o"</f>
        <v>#VALUE!</v>
      </c>
      <c r="BD40" t="e">
        <f>'2.4.Функции'!OG73+"BYw!$&gt;p"</f>
        <v>#VALUE!</v>
      </c>
      <c r="BE40" t="e">
        <f>'2.4.Функции'!OH73+"BYw!$&gt;q"</f>
        <v>#VALUE!</v>
      </c>
      <c r="BF40" t="e">
        <f>'2.4.Функции'!OI73+"BYw!$&gt;r"</f>
        <v>#VALUE!</v>
      </c>
      <c r="BG40" t="e">
        <f>'2.4.Функции'!OJ73+"BYw!$&gt;s"</f>
        <v>#VALUE!</v>
      </c>
      <c r="BH40" t="e">
        <f>'2.4.Функции'!OK73+"BYw!$&gt;t"</f>
        <v>#VALUE!</v>
      </c>
      <c r="BI40" t="e">
        <f>'2.4.Функции'!OL73+"BYw!$&gt;u"</f>
        <v>#VALUE!</v>
      </c>
      <c r="BJ40" t="e">
        <f>'2.4.Функции'!OM73+"BYw!$&gt;v"</f>
        <v>#VALUE!</v>
      </c>
      <c r="BK40" t="e">
        <f>'2.4.Функции'!ON73+"BYw!$&gt;w"</f>
        <v>#VALUE!</v>
      </c>
      <c r="BL40" t="e">
        <f>'2.4.Функции'!OO73+"BYw!$&gt;x"</f>
        <v>#VALUE!</v>
      </c>
      <c r="BM40" t="e">
        <f>'2.4.Функции'!OP73+"BYw!$&gt;y"</f>
        <v>#VALUE!</v>
      </c>
      <c r="BN40" t="e">
        <f>'2.4.Функции'!OQ73+"BYw!$&gt;z"</f>
        <v>#VALUE!</v>
      </c>
      <c r="BO40" t="e">
        <f>'2.4.Функции'!OR73+"BYw!$&gt;{"</f>
        <v>#VALUE!</v>
      </c>
      <c r="BP40" t="e">
        <f>'2.4.Функции'!OS73+"BYw!$&gt;|"</f>
        <v>#VALUE!</v>
      </c>
      <c r="BQ40" t="e">
        <f>'2.4.Функции'!OT73+"BYw!$&gt;}"</f>
        <v>#VALUE!</v>
      </c>
      <c r="BR40" t="e">
        <f>'2.4.Функции'!OU73+"BYw!$&gt;~"</f>
        <v>#VALUE!</v>
      </c>
      <c r="BS40" t="e">
        <f>'2.4.Функции'!OV73+"BYw!$?#"</f>
        <v>#VALUE!</v>
      </c>
      <c r="BT40" t="e">
        <f>'2.4.Функции'!OW73+"BYw!$?$"</f>
        <v>#VALUE!</v>
      </c>
      <c r="BU40" t="e">
        <f>'2.4.Функции'!OX73+"BYw!$?%"</f>
        <v>#VALUE!</v>
      </c>
      <c r="BV40" t="e">
        <f>'2.4.Функции'!OY73+"BYw!$?&amp;"</f>
        <v>#VALUE!</v>
      </c>
      <c r="BW40" t="e">
        <f>'2.4.Функции'!OZ73+"BYw!$?'"</f>
        <v>#VALUE!</v>
      </c>
      <c r="BX40" t="e">
        <f>'2.4.Функции'!PA73+"BYw!$?("</f>
        <v>#VALUE!</v>
      </c>
      <c r="BY40" t="e">
        <f>'2.4.Функции'!PB73+"BYw!$?)"</f>
        <v>#VALUE!</v>
      </c>
      <c r="BZ40" t="e">
        <f>'2.4.Функции'!PC73+"BYw!$?."</f>
        <v>#VALUE!</v>
      </c>
      <c r="CA40" t="e">
        <f>'2.4.Функции'!PD73+"BYw!$?/"</f>
        <v>#VALUE!</v>
      </c>
      <c r="CB40" t="e">
        <f>'2.4.Функции'!PE73+"BYw!$?0"</f>
        <v>#VALUE!</v>
      </c>
      <c r="CC40" t="e">
        <f>'2.4.Функции'!PF73+"BYw!$?1"</f>
        <v>#VALUE!</v>
      </c>
      <c r="CD40" t="e">
        <f>'2.4.Функции'!PG73+"BYw!$?2"</f>
        <v>#VALUE!</v>
      </c>
      <c r="CE40" t="e">
        <f>'2.4.Функции'!PH73+"BYw!$?3"</f>
        <v>#VALUE!</v>
      </c>
      <c r="CF40" t="e">
        <f>'2.4.Функции'!PI73+"BYw!$?4"</f>
        <v>#VALUE!</v>
      </c>
      <c r="CG40" t="e">
        <f>'2.4.Функции'!PJ73+"BYw!$?5"</f>
        <v>#VALUE!</v>
      </c>
      <c r="CH40" t="e">
        <f>'2.4.Функции'!PK73+"BYw!$?6"</f>
        <v>#VALUE!</v>
      </c>
      <c r="CI40" t="e">
        <f>'2.4.Функции'!PL73+"BYw!$?7"</f>
        <v>#VALUE!</v>
      </c>
      <c r="CJ40" t="e">
        <f>'2.4.Функции'!PM73+"BYw!$?8"</f>
        <v>#VALUE!</v>
      </c>
      <c r="CK40" t="e">
        <f>'2.4.Функции'!PN73+"BYw!$?9"</f>
        <v>#VALUE!</v>
      </c>
      <c r="CL40" t="e">
        <f>'2.4.Функции'!PO73+"BYw!$?:"</f>
        <v>#VALUE!</v>
      </c>
      <c r="CM40" t="e">
        <f>'2.4.Функции'!PP73+"BYw!$?;"</f>
        <v>#VALUE!</v>
      </c>
      <c r="CN40" t="e">
        <f>'2.4.Функции'!PQ73+"BYw!$?&lt;"</f>
        <v>#VALUE!</v>
      </c>
      <c r="CO40" t="e">
        <f>'2.4.Функции'!PR73+"BYw!$?="</f>
        <v>#VALUE!</v>
      </c>
      <c r="CP40" t="e">
        <f>'2.4.Функции'!PS73+"BYw!$?&gt;"</f>
        <v>#VALUE!</v>
      </c>
      <c r="CQ40" t="e">
        <f>'2.4.Функции'!PT73+"BYw!$??"</f>
        <v>#VALUE!</v>
      </c>
      <c r="CR40" t="e">
        <f>'2.4.Функции'!PU73+"BYw!$?@"</f>
        <v>#VALUE!</v>
      </c>
      <c r="CS40" t="e">
        <f>'2.4.Функции'!PV73+"BYw!$?A"</f>
        <v>#VALUE!</v>
      </c>
      <c r="CT40" t="e">
        <f>'2.4.Функции'!PW73+"BYw!$?B"</f>
        <v>#VALUE!</v>
      </c>
      <c r="CU40" t="e">
        <f>'2.4.Функции'!PX73+"BYw!$?C"</f>
        <v>#VALUE!</v>
      </c>
      <c r="CV40" t="e">
        <f>'2.4.Функции'!PY73+"BYw!$?D"</f>
        <v>#VALUE!</v>
      </c>
      <c r="CW40" t="e">
        <f>'2.4.Функции'!PZ73+"BYw!$?E"</f>
        <v>#VALUE!</v>
      </c>
      <c r="CX40" t="e">
        <f>'2.4.Функции'!QA73+"BYw!$?F"</f>
        <v>#VALUE!</v>
      </c>
      <c r="CY40" t="e">
        <f>'2.4.Функции'!QB73+"BYw!$?G"</f>
        <v>#VALUE!</v>
      </c>
      <c r="CZ40" t="e">
        <f>'2.4.Функции'!QC73+"BYw!$?H"</f>
        <v>#VALUE!</v>
      </c>
      <c r="DA40" t="e">
        <f>'2.4.Функции'!QD73+"BYw!$?I"</f>
        <v>#VALUE!</v>
      </c>
      <c r="DB40" t="e">
        <f>'2.4.Функции'!QE73+"BYw!$?J"</f>
        <v>#VALUE!</v>
      </c>
      <c r="DC40" t="e">
        <f>'2.4.Функции'!QF73+"BYw!$?K"</f>
        <v>#VALUE!</v>
      </c>
      <c r="DD40" t="e">
        <f>'2.4.Функции'!QG73+"BYw!$?L"</f>
        <v>#VALUE!</v>
      </c>
      <c r="DE40" t="e">
        <f>'2.4.Функции'!QH73+"BYw!$?M"</f>
        <v>#VALUE!</v>
      </c>
      <c r="DF40" t="e">
        <f>'2.4.Функции'!QI73+"BYw!$?N"</f>
        <v>#VALUE!</v>
      </c>
      <c r="DG40" t="e">
        <f>'2.4.Функции'!QJ73+"BYw!$?O"</f>
        <v>#VALUE!</v>
      </c>
      <c r="DH40" t="e">
        <f>'2.4.Функции'!QK73+"BYw!$?P"</f>
        <v>#VALUE!</v>
      </c>
      <c r="DI40" t="e">
        <f>'2.4.Функции'!QL73+"BYw!$?Q"</f>
        <v>#VALUE!</v>
      </c>
      <c r="DJ40" t="e">
        <f>'2.4.Функции'!QM73+"BYw!$?R"</f>
        <v>#VALUE!</v>
      </c>
      <c r="DK40" t="e">
        <f>'2.4.Функции'!QN73+"BYw!$?S"</f>
        <v>#VALUE!</v>
      </c>
      <c r="DL40" t="e">
        <f>'2.4.Функции'!QO73+"BYw!$?T"</f>
        <v>#VALUE!</v>
      </c>
      <c r="DM40" t="e">
        <f>'2.4.Функции'!QP73+"BYw!$?U"</f>
        <v>#VALUE!</v>
      </c>
      <c r="DN40" t="e">
        <f>'2.4.Функции'!QQ73+"BYw!$?V"</f>
        <v>#VALUE!</v>
      </c>
      <c r="DO40" t="e">
        <f>'2.4.Функции'!QR73+"BYw!$?W"</f>
        <v>#VALUE!</v>
      </c>
      <c r="DP40" t="e">
        <f>'2.4.Функции'!QS73+"BYw!$?X"</f>
        <v>#VALUE!</v>
      </c>
      <c r="DQ40" t="e">
        <f>'2.4.Функции'!QT73+"BYw!$?Y"</f>
        <v>#VALUE!</v>
      </c>
      <c r="DR40" t="e">
        <f>'2.4.Функции'!QU73+"BYw!$?Z"</f>
        <v>#VALUE!</v>
      </c>
      <c r="DS40" t="e">
        <f>'2.4.Функции'!QV73+"BYw!$?["</f>
        <v>#VALUE!</v>
      </c>
      <c r="DT40" t="e">
        <f>'2.4.Функции'!QW73+"BYw!$?\"</f>
        <v>#VALUE!</v>
      </c>
      <c r="DU40" t="e">
        <f>'2.4.Функции'!QX73+"BYw!$?]"</f>
        <v>#VALUE!</v>
      </c>
      <c r="DV40" t="e">
        <f>'2.4.Функции'!QY73+"BYw!$?^"</f>
        <v>#VALUE!</v>
      </c>
      <c r="DW40" t="e">
        <f>'2.4.Функции'!QZ73+"BYw!$?_"</f>
        <v>#VALUE!</v>
      </c>
      <c r="DX40" t="e">
        <f>'2.4.Функции'!RA73+"BYw!$?`"</f>
        <v>#VALUE!</v>
      </c>
      <c r="DY40" t="e">
        <f>'2.4.Функции'!RB73+"BYw!$?a"</f>
        <v>#VALUE!</v>
      </c>
      <c r="DZ40" t="e">
        <f>'2.4.Функции'!RC73+"BYw!$?b"</f>
        <v>#VALUE!</v>
      </c>
      <c r="EA40" t="e">
        <f>'2.4.Функции'!RD73+"BYw!$?c"</f>
        <v>#VALUE!</v>
      </c>
      <c r="EB40" t="e">
        <f>'2.4.Функции'!RE73+"BYw!$?d"</f>
        <v>#VALUE!</v>
      </c>
      <c r="EC40" t="e">
        <f>'2.4.Функции'!RF73+"BYw!$?e"</f>
        <v>#VALUE!</v>
      </c>
      <c r="ED40" t="e">
        <f>'2.4.Функции'!RG73+"BYw!$?f"</f>
        <v>#VALUE!</v>
      </c>
      <c r="EE40" t="e">
        <f>'2.4.Функции'!RH73+"BYw!$?g"</f>
        <v>#VALUE!</v>
      </c>
      <c r="EF40" t="e">
        <f>'2.4.Функции'!RI73+"BYw!$?h"</f>
        <v>#VALUE!</v>
      </c>
      <c r="EG40" t="e">
        <f>'2.4.Функции'!RJ73+"BYw!$?i"</f>
        <v>#VALUE!</v>
      </c>
      <c r="EH40" t="e">
        <f>'2.4.Функции'!RK73+"BYw!$?j"</f>
        <v>#VALUE!</v>
      </c>
      <c r="EI40" t="e">
        <f>'2.4.Функции'!RL73+"BYw!$?k"</f>
        <v>#VALUE!</v>
      </c>
      <c r="EJ40" t="e">
        <f>'2.4.Функции'!RM73+"BYw!$?l"</f>
        <v>#VALUE!</v>
      </c>
      <c r="EK40" t="e">
        <f>'2.4.Функции'!RN73+"BYw!$?m"</f>
        <v>#VALUE!</v>
      </c>
      <c r="EL40" t="e">
        <f>'2.4.Функции'!RO73+"BYw!$?n"</f>
        <v>#VALUE!</v>
      </c>
      <c r="EM40" t="e">
        <f>'2.4.Функции'!RP73+"BYw!$?o"</f>
        <v>#VALUE!</v>
      </c>
      <c r="EN40" t="e">
        <f>'2.4.Функции'!RQ73+"BYw!$?p"</f>
        <v>#VALUE!</v>
      </c>
      <c r="EO40" t="e">
        <f>'2.4.Функции'!RR73+"BYw!$?q"</f>
        <v>#VALUE!</v>
      </c>
      <c r="EP40" t="e">
        <f>'2.4.Функции'!RS73+"BYw!$?r"</f>
        <v>#VALUE!</v>
      </c>
      <c r="EQ40" t="e">
        <f>'2.4.Функции'!RT73+"BYw!$?s"</f>
        <v>#VALUE!</v>
      </c>
      <c r="ER40" t="e">
        <f>'2.4.Функции'!RU73+"BYw!$?t"</f>
        <v>#VALUE!</v>
      </c>
      <c r="ES40" t="e">
        <f>'2.4.Функции'!RV73+"BYw!$?u"</f>
        <v>#VALUE!</v>
      </c>
      <c r="ET40" t="e">
        <f>'2.4.Функции'!RW73+"BYw!$?v"</f>
        <v>#VALUE!</v>
      </c>
      <c r="EU40" t="e">
        <f>'2.4.Функции'!RX73+"BYw!$?w"</f>
        <v>#VALUE!</v>
      </c>
      <c r="EV40" t="e">
        <f>'2.4.Функции'!RY73+"BYw!$?x"</f>
        <v>#VALUE!</v>
      </c>
      <c r="EW40" t="e">
        <f>'2.4.Функции'!RZ73+"BYw!$?y"</f>
        <v>#VALUE!</v>
      </c>
      <c r="EX40" t="e">
        <f>'2.4.Функции'!SA73+"BYw!$?z"</f>
        <v>#VALUE!</v>
      </c>
      <c r="EY40" t="e">
        <f>'2.4.Функции'!SB73+"BYw!$?{"</f>
        <v>#VALUE!</v>
      </c>
      <c r="EZ40" t="e">
        <f>'2.4.Функции'!SC73+"BYw!$?|"</f>
        <v>#VALUE!</v>
      </c>
      <c r="FA40" t="e">
        <f>'2.4.Функции'!SD73+"BYw!$?}"</f>
        <v>#VALUE!</v>
      </c>
      <c r="FB40" t="e">
        <f>'2.4.Функции'!SE73+"BYw!$?~"</f>
        <v>#VALUE!</v>
      </c>
      <c r="FC40" t="e">
        <f>'2.4.Функции'!SF73+"BYw!$@#"</f>
        <v>#VALUE!</v>
      </c>
      <c r="FD40" t="e">
        <f>'2.4.Функции'!SG73+"BYw!$@$"</f>
        <v>#VALUE!</v>
      </c>
      <c r="FE40" t="e">
        <f>'2.4.Функции'!SH73+"BYw!$@%"</f>
        <v>#VALUE!</v>
      </c>
      <c r="FF40" t="e">
        <f>'2.4.Функции'!SI73+"BYw!$@&amp;"</f>
        <v>#VALUE!</v>
      </c>
      <c r="FG40" t="e">
        <f>'2.4.Функции'!SJ73+"BYw!$@'"</f>
        <v>#VALUE!</v>
      </c>
      <c r="FH40" t="e">
        <f>'2.4.Функции'!SK73+"BYw!$@("</f>
        <v>#VALUE!</v>
      </c>
      <c r="FI40" t="e">
        <f>'2.4.Функции'!SL73+"BYw!$@)"</f>
        <v>#VALUE!</v>
      </c>
      <c r="FJ40" t="e">
        <f>'2.4.Функции'!SM73+"BYw!$@."</f>
        <v>#VALUE!</v>
      </c>
      <c r="FK40" t="e">
        <f>'2.4.Функции'!SN73+"BYw!$@/"</f>
        <v>#VALUE!</v>
      </c>
      <c r="FL40" t="e">
        <f>'2.4.Функции'!SO73+"BYw!$@0"</f>
        <v>#VALUE!</v>
      </c>
      <c r="FM40" t="e">
        <f>'2.4.Функции'!SP73+"BYw!$@1"</f>
        <v>#VALUE!</v>
      </c>
      <c r="FN40" t="e">
        <f>'2.4.Функции'!SQ73+"BYw!$@2"</f>
        <v>#VALUE!</v>
      </c>
      <c r="FO40" t="e">
        <f>'2.4.Функции'!SR73+"BYw!$@3"</f>
        <v>#VALUE!</v>
      </c>
      <c r="FP40" t="e">
        <f>'2.4.Функции'!SS73+"BYw!$@4"</f>
        <v>#VALUE!</v>
      </c>
      <c r="FQ40" t="e">
        <f>'2.4.Функции'!ST73+"BYw!$@5"</f>
        <v>#VALUE!</v>
      </c>
      <c r="FR40" t="e">
        <f>'2.4.Функции'!SU73+"BYw!$@6"</f>
        <v>#VALUE!</v>
      </c>
      <c r="FS40" t="e">
        <f>'2.4.Функции'!SV73+"BYw!$@7"</f>
        <v>#VALUE!</v>
      </c>
      <c r="FT40" t="e">
        <f>'2.4.Функции'!SW73+"BYw!$@8"</f>
        <v>#VALUE!</v>
      </c>
      <c r="FU40" t="e">
        <f>'2.4.Функции'!SX73+"BYw!$@9"</f>
        <v>#VALUE!</v>
      </c>
      <c r="FV40" t="e">
        <f>'2.4.Функции'!SY73+"BYw!$@:"</f>
        <v>#VALUE!</v>
      </c>
      <c r="FW40" t="e">
        <f>'2.4.Функции'!SZ73+"BYw!$@;"</f>
        <v>#VALUE!</v>
      </c>
      <c r="FX40" t="e">
        <f>'2.4.Функции'!TA73+"BYw!$@&lt;"</f>
        <v>#VALUE!</v>
      </c>
      <c r="FY40" t="e">
        <f>'2.4.Функции'!TB73+"BYw!$@="</f>
        <v>#VALUE!</v>
      </c>
      <c r="FZ40" t="e">
        <f>'2.4.Функции'!TC73+"BYw!$@&gt;"</f>
        <v>#VALUE!</v>
      </c>
      <c r="GA40" t="e">
        <f>'2.4.Функции'!TD73+"BYw!$@?"</f>
        <v>#VALUE!</v>
      </c>
      <c r="GB40" t="e">
        <f>'2.4.Функции'!TE73+"BYw!$@@"</f>
        <v>#VALUE!</v>
      </c>
      <c r="GC40" t="e">
        <f>'2.4.Функции'!TF73+"BYw!$@A"</f>
        <v>#VALUE!</v>
      </c>
      <c r="GD40" t="e">
        <f>'2.4.Функции'!TG73+"BYw!$@B"</f>
        <v>#VALUE!</v>
      </c>
      <c r="GE40" t="e">
        <f>'2.4.Функции'!TH73+"BYw!$@C"</f>
        <v>#VALUE!</v>
      </c>
      <c r="GF40" t="e">
        <f>'2.4.Функции'!TI73+"BYw!$@D"</f>
        <v>#VALUE!</v>
      </c>
      <c r="GG40" t="e">
        <f>'2.4.Функции'!TJ73+"BYw!$@E"</f>
        <v>#VALUE!</v>
      </c>
      <c r="GH40" t="e">
        <f>'2.4.Функции'!TK73+"BYw!$@F"</f>
        <v>#VALUE!</v>
      </c>
      <c r="GI40" t="e">
        <f>'2.4.Функции'!TL73+"BYw!$@G"</f>
        <v>#VALUE!</v>
      </c>
      <c r="GJ40" t="e">
        <f>'2.4.Функции'!TM73+"BYw!$@H"</f>
        <v>#VALUE!</v>
      </c>
      <c r="GK40" t="e">
        <f>'2.4.Функции'!TN73+"BYw!$@I"</f>
        <v>#VALUE!</v>
      </c>
      <c r="GL40" t="e">
        <f>'2.4.Функции'!TO73+"BYw!$@J"</f>
        <v>#VALUE!</v>
      </c>
      <c r="GM40" t="e">
        <f>'2.4.Функции'!TP73+"BYw!$@K"</f>
        <v>#VALUE!</v>
      </c>
      <c r="GN40" t="e">
        <f>'2.4.Функции'!TQ73+"BYw!$@L"</f>
        <v>#VALUE!</v>
      </c>
      <c r="GO40" t="e">
        <f>'2.4.Функции'!TR73+"BYw!$@M"</f>
        <v>#VALUE!</v>
      </c>
      <c r="GP40" t="e">
        <f>'2.4.Функции'!TS73+"BYw!$@N"</f>
        <v>#VALUE!</v>
      </c>
      <c r="GQ40" t="e">
        <f>'2.4.Функции'!TT73+"BYw!$@O"</f>
        <v>#VALUE!</v>
      </c>
      <c r="GR40" t="e">
        <f>'2.4.Функции'!TU73+"BYw!$@P"</f>
        <v>#VALUE!</v>
      </c>
      <c r="GS40" t="e">
        <f>'2.4.Функции'!TV73+"BYw!$@Q"</f>
        <v>#VALUE!</v>
      </c>
      <c r="GT40" t="e">
        <f>'2.4.Функции'!TW73+"BYw!$@R"</f>
        <v>#VALUE!</v>
      </c>
      <c r="GU40" t="e">
        <f>'2.4.Функции'!TX73+"BYw!$@S"</f>
        <v>#VALUE!</v>
      </c>
      <c r="GV40" t="e">
        <f>'2.4.Функции'!TY73+"BYw!$@T"</f>
        <v>#VALUE!</v>
      </c>
      <c r="GW40" t="e">
        <f>'2.4.Функции'!TZ73+"BYw!$@U"</f>
        <v>#VALUE!</v>
      </c>
      <c r="GX40" t="e">
        <f>'2.4.Функции'!UA73+"BYw!$@V"</f>
        <v>#VALUE!</v>
      </c>
      <c r="GY40" t="e">
        <f>'2.4.Функции'!UB73+"BYw!$@W"</f>
        <v>#VALUE!</v>
      </c>
      <c r="GZ40" t="e">
        <f>'2.4.Функции'!UC73+"BYw!$@X"</f>
        <v>#VALUE!</v>
      </c>
      <c r="HA40" t="e">
        <f>'2.4.Функции'!UD73+"BYw!$@Y"</f>
        <v>#VALUE!</v>
      </c>
      <c r="HB40" t="e">
        <f>'2.4.Функции'!UE73+"BYw!$@Z"</f>
        <v>#VALUE!</v>
      </c>
      <c r="HC40" t="e">
        <f>'2.4.Функции'!UF73+"BYw!$@["</f>
        <v>#VALUE!</v>
      </c>
      <c r="HD40" t="e">
        <f>'2.4.Функции'!UG73+"BYw!$@\"</f>
        <v>#VALUE!</v>
      </c>
      <c r="HE40" t="e">
        <f>'2.4.Функции'!UH73+"BYw!$@]"</f>
        <v>#VALUE!</v>
      </c>
      <c r="HF40" t="e">
        <f>'2.4.Функции'!UI73+"BYw!$@^"</f>
        <v>#VALUE!</v>
      </c>
      <c r="HG40" t="e">
        <f>'2.4.Функции'!UJ73+"BYw!$@_"</f>
        <v>#VALUE!</v>
      </c>
      <c r="HH40" t="e">
        <f>'2.4.Функции'!UK73+"BYw!$@`"</f>
        <v>#VALUE!</v>
      </c>
      <c r="HI40" t="e">
        <f>'2.4.Функции'!UL73+"BYw!$@a"</f>
        <v>#VALUE!</v>
      </c>
      <c r="HJ40" t="e">
        <f>'2.4.Функции'!UM73+"BYw!$@b"</f>
        <v>#VALUE!</v>
      </c>
      <c r="HK40" t="e">
        <f>'2.4.Функции'!UN73+"BYw!$@c"</f>
        <v>#VALUE!</v>
      </c>
      <c r="HL40" t="e">
        <f>'2.4.Функции'!UO73+"BYw!$@d"</f>
        <v>#VALUE!</v>
      </c>
      <c r="HM40" t="e">
        <f>'2.4.Функции'!UP73+"BYw!$@e"</f>
        <v>#VALUE!</v>
      </c>
      <c r="HN40" t="e">
        <f>'2.4.Функции'!UQ73+"BYw!$@f"</f>
        <v>#VALUE!</v>
      </c>
      <c r="HO40" t="e">
        <f>'2.4.Функции'!UR73+"BYw!$@g"</f>
        <v>#VALUE!</v>
      </c>
      <c r="HP40" t="e">
        <f>'2.4.Функции'!US73+"BYw!$@h"</f>
        <v>#VALUE!</v>
      </c>
      <c r="HQ40" t="e">
        <f>'2.4.Функции'!UT73+"BYw!$@i"</f>
        <v>#VALUE!</v>
      </c>
      <c r="HR40" t="e">
        <f>'2.4.Функции'!UU73+"BYw!$@j"</f>
        <v>#VALUE!</v>
      </c>
      <c r="HS40" t="e">
        <f>'2.4.Функции'!UV73+"BYw!$@k"</f>
        <v>#VALUE!</v>
      </c>
      <c r="HT40" t="e">
        <f>'2.4.Функции'!UW73+"BYw!$@l"</f>
        <v>#VALUE!</v>
      </c>
      <c r="HU40" t="e">
        <f>'2.4.Функции'!UX73+"BYw!$@m"</f>
        <v>#VALUE!</v>
      </c>
      <c r="HV40" t="e">
        <f>'2.4.Функции'!UY73+"BYw!$@n"</f>
        <v>#VALUE!</v>
      </c>
      <c r="HW40" t="e">
        <f>'2.4.Функции'!UZ73+"BYw!$@o"</f>
        <v>#VALUE!</v>
      </c>
      <c r="HX40" t="e">
        <f>'2.4.Функции'!VA73+"BYw!$@p"</f>
        <v>#VALUE!</v>
      </c>
      <c r="HY40" t="e">
        <f>'2.4.Функции'!VB73+"BYw!$@q"</f>
        <v>#VALUE!</v>
      </c>
      <c r="HZ40" t="e">
        <f>'2.4.Функции'!VC73+"BYw!$@r"</f>
        <v>#VALUE!</v>
      </c>
      <c r="IA40" t="e">
        <f>'2.4.Функции'!VD73+"BYw!$@s"</f>
        <v>#VALUE!</v>
      </c>
      <c r="IB40" t="e">
        <f>'2.4.Функции'!VE73+"BYw!$@t"</f>
        <v>#VALUE!</v>
      </c>
      <c r="IC40" t="e">
        <f>'2.4.Функции'!VF73+"BYw!$@u"</f>
        <v>#VALUE!</v>
      </c>
      <c r="ID40" t="e">
        <f>'2.4.Функции'!VG73+"BYw!$@v"</f>
        <v>#VALUE!</v>
      </c>
      <c r="IE40" t="e">
        <f>'2.4.Функции'!VH73+"BYw!$@w"</f>
        <v>#VALUE!</v>
      </c>
      <c r="IF40" t="e">
        <f>'2.4.Функции'!VI73+"BYw!$@x"</f>
        <v>#VALUE!</v>
      </c>
      <c r="IG40" t="e">
        <f>'2.4.Функции'!VJ73+"BYw!$@y"</f>
        <v>#VALUE!</v>
      </c>
      <c r="IH40" t="e">
        <f>'2.4.Функции'!VK73+"BYw!$@z"</f>
        <v>#VALUE!</v>
      </c>
      <c r="II40" t="e">
        <f>'2.4.Функции'!VL73+"BYw!$@{"</f>
        <v>#VALUE!</v>
      </c>
      <c r="IJ40" t="e">
        <f>'2.4.Функции'!VM73+"BYw!$@|"</f>
        <v>#VALUE!</v>
      </c>
      <c r="IK40" t="e">
        <f>'2.4.Функции'!VN73+"BYw!$@}"</f>
        <v>#VALUE!</v>
      </c>
      <c r="IL40" t="e">
        <f>'2.4.Функции'!VO73+"BYw!$@~"</f>
        <v>#VALUE!</v>
      </c>
      <c r="IM40" t="e">
        <f>'2.4.Функции'!VP73+"BYw!$A#"</f>
        <v>#VALUE!</v>
      </c>
      <c r="IN40" t="e">
        <f>'2.4.Функции'!VQ73+"BYw!$A$"</f>
        <v>#VALUE!</v>
      </c>
      <c r="IO40" t="e">
        <f>'2.4.Функции'!VR73+"BYw!$A%"</f>
        <v>#VALUE!</v>
      </c>
      <c r="IP40" t="e">
        <f>'2.4.Функции'!VS73+"BYw!$A&amp;"</f>
        <v>#VALUE!</v>
      </c>
      <c r="IQ40" t="e">
        <f>'2.4.Функции'!VT73+"BYw!$A'"</f>
        <v>#VALUE!</v>
      </c>
      <c r="IR40" t="e">
        <f>'2.4.Функции'!VU73+"BYw!$A("</f>
        <v>#VALUE!</v>
      </c>
      <c r="IS40" t="e">
        <f>'2.4.Функции'!VV73+"BYw!$A)"</f>
        <v>#VALUE!</v>
      </c>
      <c r="IT40" t="e">
        <f>'2.4.Функции'!VW73+"BYw!$A."</f>
        <v>#VALUE!</v>
      </c>
      <c r="IU40" t="e">
        <f>'2.4.Функции'!VX73+"BYw!$A/"</f>
        <v>#VALUE!</v>
      </c>
      <c r="IV40" t="e">
        <f>'2.4.Функции'!VY73+"BYw!$A0"</f>
        <v>#VALUE!</v>
      </c>
    </row>
    <row r="41" spans="6:256" x14ac:dyDescent="0.2">
      <c r="F41" t="e">
        <f>'2.4.Функции'!VZ73+"BYw!$A1"</f>
        <v>#VALUE!</v>
      </c>
      <c r="G41" t="e">
        <f>'2.4.Функции'!WA73+"BYw!$A2"</f>
        <v>#VALUE!</v>
      </c>
      <c r="H41" t="e">
        <f>'2.4.Функции'!WB73+"BYw!$A3"</f>
        <v>#VALUE!</v>
      </c>
      <c r="I41" t="e">
        <f>'2.4.Функции'!WC73+"BYw!$A4"</f>
        <v>#VALUE!</v>
      </c>
      <c r="J41" t="e">
        <f>'2.4.Функции'!WD73+"BYw!$A5"</f>
        <v>#VALUE!</v>
      </c>
      <c r="K41" t="e">
        <f>'2.4.Функции'!WE73+"BYw!$A6"</f>
        <v>#VALUE!</v>
      </c>
      <c r="L41" t="e">
        <f>'2.4.Функции'!WF73+"BYw!$A7"</f>
        <v>#VALUE!</v>
      </c>
      <c r="M41" t="e">
        <f>'2.4.Функции'!WG73+"BYw!$A8"</f>
        <v>#VALUE!</v>
      </c>
      <c r="N41" t="e">
        <f>'2.4.Функции'!WH73+"BYw!$A9"</f>
        <v>#VALUE!</v>
      </c>
      <c r="O41" t="e">
        <f>'2.4.Функции'!WI73+"BYw!$A:"</f>
        <v>#VALUE!</v>
      </c>
      <c r="P41" t="e">
        <f>'2.4.Функции'!WJ73+"BYw!$A;"</f>
        <v>#VALUE!</v>
      </c>
      <c r="Q41" t="e">
        <f>'2.4.Функции'!WK73+"BYw!$A&lt;"</f>
        <v>#VALUE!</v>
      </c>
      <c r="R41" t="e">
        <f>'2.4.Функции'!WL73+"BYw!$A="</f>
        <v>#VALUE!</v>
      </c>
      <c r="S41" t="e">
        <f>'2.4.Функции'!WM73+"BYw!$A&gt;"</f>
        <v>#VALUE!</v>
      </c>
      <c r="T41" t="e">
        <f>'2.4.Функции'!WN73+"BYw!$A?"</f>
        <v>#VALUE!</v>
      </c>
      <c r="U41" t="e">
        <f>'2.4.Функции'!WO73+"BYw!$A@"</f>
        <v>#VALUE!</v>
      </c>
      <c r="V41" t="e">
        <f>'2.4.Функции'!WP73+"BYw!$AA"</f>
        <v>#VALUE!</v>
      </c>
      <c r="W41" t="e">
        <f>'2.4.Функции'!WQ73+"BYw!$AB"</f>
        <v>#VALUE!</v>
      </c>
      <c r="X41" t="e">
        <f>'2.4.Функции'!WR73+"BYw!$AC"</f>
        <v>#VALUE!</v>
      </c>
      <c r="Y41" t="e">
        <f>'2.4.Функции'!WS73+"BYw!$AD"</f>
        <v>#VALUE!</v>
      </c>
      <c r="Z41" t="e">
        <f>'2.4.Функции'!WT73+"BYw!$AE"</f>
        <v>#VALUE!</v>
      </c>
      <c r="AA41" t="e">
        <f>'2.4.Функции'!WU73+"BYw!$AF"</f>
        <v>#VALUE!</v>
      </c>
      <c r="AB41" t="e">
        <f>'2.4.Функции'!WV73+"BYw!$AG"</f>
        <v>#VALUE!</v>
      </c>
      <c r="AC41" t="e">
        <f>'2.4.Функции'!WW73+"BYw!$AH"</f>
        <v>#VALUE!</v>
      </c>
      <c r="AD41" t="e">
        <f>'2.4.Функции'!WX73+"BYw!$AI"</f>
        <v>#VALUE!</v>
      </c>
      <c r="AE41" t="e">
        <f>'2.4.Функции'!WY73+"BYw!$AJ"</f>
        <v>#VALUE!</v>
      </c>
      <c r="AF41" t="e">
        <f>'2.4.Функции'!WZ73+"BYw!$AK"</f>
        <v>#VALUE!</v>
      </c>
      <c r="AG41" t="e">
        <f>'2.4.Функции'!XA73+"BYw!$AL"</f>
        <v>#VALUE!</v>
      </c>
      <c r="AH41" t="e">
        <f>'2.4.Функции'!XB73+"BYw!$AM"</f>
        <v>#VALUE!</v>
      </c>
      <c r="AI41" t="e">
        <f>'2.4.Функции'!XC73+"BYw!$AN"</f>
        <v>#VALUE!</v>
      </c>
      <c r="AJ41" t="e">
        <f>'2.4.Функции'!XD73+"BYw!$AO"</f>
        <v>#VALUE!</v>
      </c>
      <c r="AK41" t="e">
        <f>'2.4.Функции'!XE73+"BYw!$AP"</f>
        <v>#VALUE!</v>
      </c>
      <c r="AL41" t="e">
        <f>'2.4.Функции'!XF73+"BYw!$AQ"</f>
        <v>#VALUE!</v>
      </c>
      <c r="AM41" t="e">
        <f>'2.4.Функции'!XG73+"BYw!$AR"</f>
        <v>#VALUE!</v>
      </c>
      <c r="AN41" t="e">
        <f>'2.4.Функции'!XH73+"BYw!$AS"</f>
        <v>#VALUE!</v>
      </c>
      <c r="AO41" t="e">
        <f>'2.4.Функции'!XI73+"BYw!$AT"</f>
        <v>#VALUE!</v>
      </c>
      <c r="AP41" t="e">
        <f>'2.4.Функции'!XJ73+"BYw!$AU"</f>
        <v>#VALUE!</v>
      </c>
      <c r="AQ41" t="e">
        <f>'2.4.Функции'!XK73+"BYw!$AV"</f>
        <v>#VALUE!</v>
      </c>
      <c r="AR41" t="e">
        <f>'2.4.Функции'!XL73+"BYw!$AW"</f>
        <v>#VALUE!</v>
      </c>
      <c r="AS41" t="e">
        <f>'2.4.Функции'!XM73+"BYw!$AX"</f>
        <v>#VALUE!</v>
      </c>
      <c r="AT41" t="e">
        <f>'2.4.Функции'!XN73+"BYw!$AY"</f>
        <v>#VALUE!</v>
      </c>
      <c r="AU41" t="e">
        <f>'2.4.Функции'!XO73+"BYw!$AZ"</f>
        <v>#VALUE!</v>
      </c>
      <c r="AV41" t="e">
        <f>'2.4.Функции'!XP73+"BYw!$A["</f>
        <v>#VALUE!</v>
      </c>
      <c r="AW41" t="e">
        <f>'2.4.Функции'!XQ73+"BYw!$A\"</f>
        <v>#VALUE!</v>
      </c>
      <c r="AX41" t="e">
        <f>'2.4.Функции'!XR73+"BYw!$A]"</f>
        <v>#VALUE!</v>
      </c>
      <c r="AY41" t="e">
        <f>'2.4.Функции'!XS73+"BYw!$A^"</f>
        <v>#VALUE!</v>
      </c>
      <c r="AZ41" t="e">
        <f>'2.4.Функции'!XT73+"BYw!$A_"</f>
        <v>#VALUE!</v>
      </c>
      <c r="BA41" t="e">
        <f>'2.4.Функции'!XU73+"BYw!$A`"</f>
        <v>#VALUE!</v>
      </c>
      <c r="BB41" t="e">
        <f>'2.4.Функции'!XV73+"BYw!$Aa"</f>
        <v>#VALUE!</v>
      </c>
      <c r="BC41" t="e">
        <f>'2.4.Функции'!XW73+"BYw!$Ab"</f>
        <v>#VALUE!</v>
      </c>
      <c r="BD41" t="e">
        <f>'2.4.Функции'!XX73+"BYw!$Ac"</f>
        <v>#VALUE!</v>
      </c>
      <c r="BE41" t="e">
        <f>'2.4.Функции'!XY73+"BYw!$Ad"</f>
        <v>#VALUE!</v>
      </c>
      <c r="BF41" t="e">
        <f>'2.4.Функции'!XZ73+"BYw!$Ae"</f>
        <v>#VALUE!</v>
      </c>
      <c r="BG41" t="e">
        <f>'2.4.Функции'!YA73+"BYw!$Af"</f>
        <v>#VALUE!</v>
      </c>
      <c r="BH41" t="e">
        <f>'2.4.Функции'!YB73+"BYw!$Ag"</f>
        <v>#VALUE!</v>
      </c>
      <c r="BI41" t="e">
        <f>'2.4.Функции'!YC73+"BYw!$Ah"</f>
        <v>#VALUE!</v>
      </c>
      <c r="BJ41" t="e">
        <f>'2.4.Функции'!YD73+"BYw!$Ai"</f>
        <v>#VALUE!</v>
      </c>
      <c r="BK41" t="e">
        <f>'2.4.Функции'!YE73+"BYw!$Aj"</f>
        <v>#VALUE!</v>
      </c>
      <c r="BL41" t="e">
        <f>'2.4.Функции'!YF73+"BYw!$Ak"</f>
        <v>#VALUE!</v>
      </c>
      <c r="BM41" t="e">
        <f>'2.4.Функции'!YG73+"BYw!$Al"</f>
        <v>#VALUE!</v>
      </c>
      <c r="BN41" t="e">
        <f>'2.4.Функции'!YH73+"BYw!$Am"</f>
        <v>#VALUE!</v>
      </c>
      <c r="BO41" t="e">
        <f>'2.4.Функции'!YI73+"BYw!$An"</f>
        <v>#VALUE!</v>
      </c>
      <c r="BP41" t="e">
        <f>'2.4.Функции'!YJ73+"BYw!$Ao"</f>
        <v>#VALUE!</v>
      </c>
      <c r="BQ41" t="e">
        <f>'2.4.Функции'!YK73+"BYw!$Ap"</f>
        <v>#VALUE!</v>
      </c>
      <c r="BR41" t="e">
        <f>'2.4.Функции'!YL73+"BYw!$Aq"</f>
        <v>#VALUE!</v>
      </c>
      <c r="BS41" t="e">
        <f>'2.4.Функции'!YM73+"BYw!$Ar"</f>
        <v>#VALUE!</v>
      </c>
      <c r="BT41" t="e">
        <f>'2.4.Функции'!YN73+"BYw!$As"</f>
        <v>#VALUE!</v>
      </c>
      <c r="BU41" t="e">
        <f>'2.4.Функции'!YO73+"BYw!$At"</f>
        <v>#VALUE!</v>
      </c>
      <c r="BV41" t="e">
        <f>'2.4.Функции'!YP73+"BYw!$Au"</f>
        <v>#VALUE!</v>
      </c>
      <c r="BW41" t="e">
        <f>'2.4.Функции'!YQ73+"BYw!$Av"</f>
        <v>#VALUE!</v>
      </c>
      <c r="BX41" t="e">
        <f>'2.4.Функции'!YR73+"BYw!$Aw"</f>
        <v>#VALUE!</v>
      </c>
      <c r="BY41" t="e">
        <f>'2.4.Функции'!YS73+"BYw!$Ax"</f>
        <v>#VALUE!</v>
      </c>
      <c r="BZ41" t="e">
        <f>'2.4.Функции'!YT73+"BYw!$Ay"</f>
        <v>#VALUE!</v>
      </c>
      <c r="CA41" t="e">
        <f>'2.4.Функции'!YU73+"BYw!$Az"</f>
        <v>#VALUE!</v>
      </c>
      <c r="CB41" t="e">
        <f>'2.4.Функции'!YV73+"BYw!$A{"</f>
        <v>#VALUE!</v>
      </c>
      <c r="CC41" t="e">
        <f>'2.4.Функции'!YW73+"BYw!$A|"</f>
        <v>#VALUE!</v>
      </c>
      <c r="CD41" t="e">
        <f>'2.4.Функции'!YX73+"BYw!$A}"</f>
        <v>#VALUE!</v>
      </c>
      <c r="CE41" t="e">
        <f>'2.4.Функции'!YY73+"BYw!$A~"</f>
        <v>#VALUE!</v>
      </c>
      <c r="CF41" t="e">
        <f>'2.4.Функции'!YZ73+"BYw!$B#"</f>
        <v>#VALUE!</v>
      </c>
      <c r="CG41" t="e">
        <f>'2.4.Функции'!ZA73+"BYw!$B$"</f>
        <v>#VALUE!</v>
      </c>
      <c r="CH41" t="e">
        <f>'2.4.Функции'!ZB73+"BYw!$B%"</f>
        <v>#VALUE!</v>
      </c>
      <c r="CI41" t="e">
        <f>'2.4.Функции'!ZC73+"BYw!$B&amp;"</f>
        <v>#VALUE!</v>
      </c>
      <c r="CJ41" t="e">
        <f>'2.4.Функции'!ZD73+"BYw!$B'"</f>
        <v>#VALUE!</v>
      </c>
      <c r="CK41" t="e">
        <f>'2.4.Функции'!ZE73+"BYw!$B("</f>
        <v>#VALUE!</v>
      </c>
      <c r="CL41" t="e">
        <f>'2.4.Функции'!ZF73+"BYw!$B)"</f>
        <v>#VALUE!</v>
      </c>
      <c r="CM41" t="e">
        <f>'2.4.Функции'!ZG73+"BYw!$B."</f>
        <v>#VALUE!</v>
      </c>
      <c r="CN41" t="e">
        <f>'2.4.Функции'!ZH73+"BYw!$B/"</f>
        <v>#VALUE!</v>
      </c>
      <c r="CO41" t="e">
        <f>'2.4.Функции'!ZI73+"BYw!$B0"</f>
        <v>#VALUE!</v>
      </c>
      <c r="CP41" t="e">
        <f>'2.4.Функции'!ZJ73+"BYw!$B1"</f>
        <v>#VALUE!</v>
      </c>
      <c r="CQ41" t="e">
        <f>'2.4.Функции'!ZK73+"BYw!$B2"</f>
        <v>#VALUE!</v>
      </c>
      <c r="CR41" t="e">
        <f>'2.4.Функции'!ZL73+"BYw!$B3"</f>
        <v>#VALUE!</v>
      </c>
      <c r="CS41" t="e">
        <f>'2.4.Функции'!ZM73+"BYw!$B4"</f>
        <v>#VALUE!</v>
      </c>
      <c r="CT41" t="e">
        <f>'2.4.Функции'!ZN73+"BYw!$B5"</f>
        <v>#VALUE!</v>
      </c>
      <c r="CU41" t="e">
        <f>'2.4.Функции'!ZO73+"BYw!$B6"</f>
        <v>#VALUE!</v>
      </c>
      <c r="CV41" t="e">
        <f>'2.4.Функции'!ZP73+"BYw!$B7"</f>
        <v>#VALUE!</v>
      </c>
      <c r="CW41" t="e">
        <f>'2.4.Функции'!ZQ73+"BYw!$B8"</f>
        <v>#VALUE!</v>
      </c>
      <c r="CX41" t="e">
        <f>'2.4.Функции'!ZR73+"BYw!$B9"</f>
        <v>#VALUE!</v>
      </c>
      <c r="CY41" t="e">
        <f>'2.4.Функции'!ZS73+"BYw!$B:"</f>
        <v>#VALUE!</v>
      </c>
      <c r="CZ41" t="e">
        <f>'2.4.Функции'!ZT73+"BYw!$B;"</f>
        <v>#VALUE!</v>
      </c>
      <c r="DA41" t="e">
        <f>'2.4.Функции'!ZU73+"BYw!$B&lt;"</f>
        <v>#VALUE!</v>
      </c>
      <c r="DB41" t="e">
        <f>'2.4.Функции'!ZV73+"BYw!$B="</f>
        <v>#VALUE!</v>
      </c>
      <c r="DC41" t="e">
        <f>'2.4.Функции'!ZW73+"BYw!$B&gt;"</f>
        <v>#VALUE!</v>
      </c>
      <c r="DD41" t="e">
        <f>'2.4.Функции'!ZX73+"BYw!$B?"</f>
        <v>#VALUE!</v>
      </c>
      <c r="DE41" t="e">
        <f>'2.4.Функции'!ZY73+"BYw!$B@"</f>
        <v>#VALUE!</v>
      </c>
      <c r="DF41" t="e">
        <f>'2.4.Функции'!ZZ73+"BYw!$BA"</f>
        <v>#VALUE!</v>
      </c>
      <c r="DG41" t="e">
        <f>'2.4.Функции'!AAA73+"BYw!$BB"</f>
        <v>#VALUE!</v>
      </c>
      <c r="DH41" t="e">
        <f>'2.4.Функции'!AAB73+"BYw!$BC"</f>
        <v>#VALUE!</v>
      </c>
      <c r="DI41" t="e">
        <f>'2.4.Функции'!AAC73+"BYw!$BD"</f>
        <v>#VALUE!</v>
      </c>
      <c r="DJ41" t="e">
        <f>'2.4.Функции'!AAD73+"BYw!$BE"</f>
        <v>#VALUE!</v>
      </c>
      <c r="DK41" t="e">
        <f>'2.4.Функции'!AAE73+"BYw!$BF"</f>
        <v>#VALUE!</v>
      </c>
      <c r="DL41" t="e">
        <f>'2.4.Функции'!AAF73+"BYw!$BG"</f>
        <v>#VALUE!</v>
      </c>
      <c r="DM41" t="e">
        <f>'2.4.Функции'!AAG73+"BYw!$BH"</f>
        <v>#VALUE!</v>
      </c>
      <c r="DN41" t="e">
        <f>'2.4.Функции'!AAH73+"BYw!$BI"</f>
        <v>#VALUE!</v>
      </c>
      <c r="DO41" t="e">
        <f>'2.4.Функции'!AAI73+"BYw!$BJ"</f>
        <v>#VALUE!</v>
      </c>
      <c r="DP41" t="e">
        <f>'2.4.Функции'!AAJ73+"BYw!$BK"</f>
        <v>#VALUE!</v>
      </c>
      <c r="DQ41" t="e">
        <f>'2.4.Функции'!AAK73+"BYw!$BL"</f>
        <v>#VALUE!</v>
      </c>
      <c r="DR41" t="e">
        <f>'2.4.Функции'!AAL73+"BYw!$BM"</f>
        <v>#VALUE!</v>
      </c>
      <c r="DS41" t="e">
        <f>'2.4.Функции'!AAM73+"BYw!$BN"</f>
        <v>#VALUE!</v>
      </c>
      <c r="DT41" t="e">
        <f>'2.4.Функции'!AAN73+"BYw!$BO"</f>
        <v>#VALUE!</v>
      </c>
      <c r="DU41" t="e">
        <f>'2.4.Функции'!AAO73+"BYw!$BP"</f>
        <v>#VALUE!</v>
      </c>
      <c r="DV41" t="e">
        <f>'2.4.Функции'!AAP73+"BYw!$BQ"</f>
        <v>#VALUE!</v>
      </c>
      <c r="DW41" t="e">
        <f>'2.4.Функции'!AAQ73+"BYw!$BR"</f>
        <v>#VALUE!</v>
      </c>
      <c r="DX41" t="e">
        <f>'2.4.Функции'!AAR73+"BYw!$BS"</f>
        <v>#VALUE!</v>
      </c>
      <c r="DY41" t="e">
        <f>'2.4.Функции'!AAS73+"BYw!$BT"</f>
        <v>#VALUE!</v>
      </c>
      <c r="DZ41" t="e">
        <f>'2.4.Функции'!AAT73+"BYw!$BU"</f>
        <v>#VALUE!</v>
      </c>
      <c r="EA41" t="e">
        <f>'2.4.Функции'!AAU73+"BYw!$BV"</f>
        <v>#VALUE!</v>
      </c>
      <c r="EB41" t="e">
        <f>'2.4.Функции'!AAV73+"BYw!$BW"</f>
        <v>#VALUE!</v>
      </c>
      <c r="EC41" t="e">
        <f>'2.4.Функции'!AAW73+"BYw!$BX"</f>
        <v>#VALUE!</v>
      </c>
      <c r="ED41" t="e">
        <f>'2.4.Функции'!AAX73+"BYw!$BY"</f>
        <v>#VALUE!</v>
      </c>
      <c r="EE41" t="e">
        <f>'2.4.Функции'!AAY73+"BYw!$BZ"</f>
        <v>#VALUE!</v>
      </c>
      <c r="EF41" t="e">
        <f>'2.4.Функции'!AAZ73+"BYw!$B["</f>
        <v>#VALUE!</v>
      </c>
      <c r="EG41" t="e">
        <f>'2.4.Функции'!ABA73+"BYw!$B\"</f>
        <v>#VALUE!</v>
      </c>
      <c r="EH41" t="e">
        <f>'2.4.Функции'!ABB73+"BYw!$B]"</f>
        <v>#VALUE!</v>
      </c>
      <c r="EI41" t="e">
        <f>'2.4.Функции'!ABC73+"BYw!$B^"</f>
        <v>#VALUE!</v>
      </c>
      <c r="EJ41" t="e">
        <f>'2.4.Функции'!ABD73+"BYw!$B_"</f>
        <v>#VALUE!</v>
      </c>
      <c r="EK41" t="e">
        <f>'2.4.Функции'!ABE73+"BYw!$B`"</f>
        <v>#VALUE!</v>
      </c>
      <c r="EL41" t="e">
        <f>'2.4.Функции'!ABF73+"BYw!$Ba"</f>
        <v>#VALUE!</v>
      </c>
      <c r="EM41" t="e">
        <f>'2.4.Функции'!ABG73+"BYw!$Bb"</f>
        <v>#VALUE!</v>
      </c>
      <c r="EN41" t="e">
        <f>'2.4.Функции'!ABH73+"BYw!$Bc"</f>
        <v>#VALUE!</v>
      </c>
      <c r="EO41" t="e">
        <f>'2.4.Функции'!ABI73+"BYw!$Bd"</f>
        <v>#VALUE!</v>
      </c>
      <c r="EP41" t="e">
        <f>'2.4.Функции'!ABJ73+"BYw!$Be"</f>
        <v>#VALUE!</v>
      </c>
      <c r="EQ41" t="e">
        <f>'2.4.Функции'!ABK73+"BYw!$Bf"</f>
        <v>#VALUE!</v>
      </c>
      <c r="ER41" t="e">
        <f>'2.4.Функции'!ABL73+"BYw!$Bg"</f>
        <v>#VALUE!</v>
      </c>
      <c r="ES41" t="e">
        <f>'2.4.Функции'!ABM73+"BYw!$Bh"</f>
        <v>#VALUE!</v>
      </c>
      <c r="ET41" t="e">
        <f>'2.4.Функции'!ABN73+"BYw!$Bi"</f>
        <v>#VALUE!</v>
      </c>
      <c r="EU41" t="e">
        <f>'2.4.Функции'!ABO73+"BYw!$Bj"</f>
        <v>#VALUE!</v>
      </c>
      <c r="EV41" t="e">
        <f>'2.4.Функции'!ABP73+"BYw!$Bk"</f>
        <v>#VALUE!</v>
      </c>
      <c r="EW41" t="e">
        <f>'2.4.Функции'!ABQ73+"BYw!$Bl"</f>
        <v>#VALUE!</v>
      </c>
      <c r="EX41" t="e">
        <f>'2.4.Функции'!ABR73+"BYw!$Bm"</f>
        <v>#VALUE!</v>
      </c>
      <c r="EY41" t="e">
        <f>'2.4.Функции'!ABS73+"BYw!$Bn"</f>
        <v>#VALUE!</v>
      </c>
      <c r="EZ41" t="e">
        <f>'2.4.Функции'!ABT73+"BYw!$Bo"</f>
        <v>#VALUE!</v>
      </c>
      <c r="FA41" t="e">
        <f>'2.4.Функции'!ABU73+"BYw!$Bp"</f>
        <v>#VALUE!</v>
      </c>
      <c r="FB41" t="e">
        <f>'2.4.Функции'!ABV73+"BYw!$Bq"</f>
        <v>#VALUE!</v>
      </c>
      <c r="FC41" t="e">
        <f>'2.4.Функции'!ABW73+"BYw!$Br"</f>
        <v>#VALUE!</v>
      </c>
      <c r="FD41" t="e">
        <f>'2.4.Функции'!ABX73+"BYw!$Bs"</f>
        <v>#VALUE!</v>
      </c>
      <c r="FE41" t="e">
        <f>'2.4.Функции'!ABY73+"BYw!$Bt"</f>
        <v>#VALUE!</v>
      </c>
      <c r="FF41" t="e">
        <f>'2.4.Функции'!ABZ73+"BYw!$Bu"</f>
        <v>#VALUE!</v>
      </c>
      <c r="FG41" t="e">
        <f>'2.4.Функции'!ACA73+"BYw!$Bv"</f>
        <v>#VALUE!</v>
      </c>
      <c r="FH41" t="e">
        <f>'2.4.Функции'!ACB73+"BYw!$Bw"</f>
        <v>#VALUE!</v>
      </c>
      <c r="FI41" t="e">
        <f>'2.4.Функции'!ACC73+"BYw!$Bx"</f>
        <v>#VALUE!</v>
      </c>
      <c r="FJ41" t="e">
        <f>'2.4.Функции'!ACD73+"BYw!$By"</f>
        <v>#VALUE!</v>
      </c>
      <c r="FK41" t="e">
        <f>'2.4.Функции'!ACE73+"BYw!$Bz"</f>
        <v>#VALUE!</v>
      </c>
      <c r="FL41" t="e">
        <f>'2.4.Функции'!ACF73+"BYw!$B{"</f>
        <v>#VALUE!</v>
      </c>
      <c r="FM41" t="e">
        <f>'2.4.Функции'!ACG73+"BYw!$B|"</f>
        <v>#VALUE!</v>
      </c>
      <c r="FN41" t="e">
        <f>'2.4.Функции'!ACH73+"BYw!$B}"</f>
        <v>#VALUE!</v>
      </c>
      <c r="FO41" t="e">
        <f>'2.4.Функции'!ACI73+"BYw!$B~"</f>
        <v>#VALUE!</v>
      </c>
      <c r="FP41" t="e">
        <f>'2.4.Функции'!ACJ73+"BYw!$C#"</f>
        <v>#VALUE!</v>
      </c>
      <c r="FQ41" t="e">
        <f>'2.4.Функции'!ACK73+"BYw!$C$"</f>
        <v>#VALUE!</v>
      </c>
      <c r="FR41" t="e">
        <f>'2.4.Функции'!ACL73+"BYw!$C%"</f>
        <v>#VALUE!</v>
      </c>
      <c r="FS41" t="e">
        <f>'2.4.Функции'!ACM73+"BYw!$C&amp;"</f>
        <v>#VALUE!</v>
      </c>
      <c r="FT41" t="e">
        <f>'2.4.Функции'!ACN73+"BYw!$C'"</f>
        <v>#VALUE!</v>
      </c>
      <c r="FU41" t="e">
        <f>'2.4.Функции'!ACO73+"BYw!$C("</f>
        <v>#VALUE!</v>
      </c>
      <c r="FV41" t="e">
        <f>'2.4.Функции'!ACP73+"BYw!$C)"</f>
        <v>#VALUE!</v>
      </c>
      <c r="FW41" t="e">
        <f>'2.4.Функции'!ACQ73+"BYw!$C."</f>
        <v>#VALUE!</v>
      </c>
      <c r="FX41" t="e">
        <f>'2.4.Функции'!ACR73+"BYw!$C/"</f>
        <v>#VALUE!</v>
      </c>
      <c r="FY41" t="e">
        <f>'2.4.Функции'!ACS73+"BYw!$C0"</f>
        <v>#VALUE!</v>
      </c>
      <c r="FZ41" t="e">
        <f>'2.4.Функции'!ACT73+"BYw!$C1"</f>
        <v>#VALUE!</v>
      </c>
      <c r="GA41" t="e">
        <f>'2.4.Функции'!ACU73+"BYw!$C2"</f>
        <v>#VALUE!</v>
      </c>
      <c r="GB41" t="e">
        <f>'2.4.Функции'!ACV73+"BYw!$C3"</f>
        <v>#VALUE!</v>
      </c>
      <c r="GC41" t="e">
        <f>'2.4.Функции'!ACW73+"BYw!$C4"</f>
        <v>#VALUE!</v>
      </c>
      <c r="GD41" t="e">
        <f>'2.4.Функции'!ACX73+"BYw!$C5"</f>
        <v>#VALUE!</v>
      </c>
      <c r="GE41" t="e">
        <f>'2.4.Функции'!ACY73+"BYw!$C6"</f>
        <v>#VALUE!</v>
      </c>
      <c r="GF41" t="e">
        <f>'2.4.Функции'!ACZ73+"BYw!$C7"</f>
        <v>#VALUE!</v>
      </c>
      <c r="GG41" t="e">
        <f>'2.4.Функции'!ADA73+"BYw!$C8"</f>
        <v>#VALUE!</v>
      </c>
      <c r="GH41" t="e">
        <f>'2.4.Функции'!ADB73+"BYw!$C9"</f>
        <v>#VALUE!</v>
      </c>
      <c r="GI41" t="e">
        <f>'2.4.Функции'!ADC73+"BYw!$C:"</f>
        <v>#VALUE!</v>
      </c>
      <c r="GJ41" t="e">
        <f>'2.4.Функции'!ADD73+"BYw!$C;"</f>
        <v>#VALUE!</v>
      </c>
      <c r="GK41" t="e">
        <f>'2.4.Функции'!ADE73+"BYw!$C&lt;"</f>
        <v>#VALUE!</v>
      </c>
      <c r="GL41" t="e">
        <f>'2.4.Функции'!ADF73+"BYw!$C="</f>
        <v>#VALUE!</v>
      </c>
      <c r="GM41" t="e">
        <f>'2.4.Функции'!ADG73+"BYw!$C&gt;"</f>
        <v>#VALUE!</v>
      </c>
      <c r="GN41" t="e">
        <f>'2.4.Функции'!ADH73+"BYw!$C?"</f>
        <v>#VALUE!</v>
      </c>
      <c r="GO41" t="e">
        <f>'2.4.Функции'!ADI73+"BYw!$C@"</f>
        <v>#VALUE!</v>
      </c>
      <c r="GP41" t="e">
        <f>'2.4.Функции'!ADJ73+"BYw!$CA"</f>
        <v>#VALUE!</v>
      </c>
      <c r="GQ41" t="e">
        <f>'2.4.Функции'!ADK73+"BYw!$CB"</f>
        <v>#VALUE!</v>
      </c>
      <c r="GR41" t="e">
        <f>'2.4.Функции'!ADL73+"BYw!$CC"</f>
        <v>#VALUE!</v>
      </c>
      <c r="GS41" t="e">
        <f>'2.4.Функции'!ADM73+"BYw!$CD"</f>
        <v>#VALUE!</v>
      </c>
      <c r="GT41" t="e">
        <f>'2.4.Функции'!ADN73+"BYw!$CE"</f>
        <v>#VALUE!</v>
      </c>
      <c r="GU41" t="e">
        <f>'2.4.Функции'!ADO73+"BYw!$CF"</f>
        <v>#VALUE!</v>
      </c>
      <c r="GV41" t="e">
        <f>'2.4.Функции'!ADP73+"BYw!$CG"</f>
        <v>#VALUE!</v>
      </c>
      <c r="GW41" t="e">
        <f>'2.4.Функции'!ADQ73+"BYw!$CH"</f>
        <v>#VALUE!</v>
      </c>
      <c r="GX41" t="e">
        <f>'2.4.Функции'!ADR73+"BYw!$CI"</f>
        <v>#VALUE!</v>
      </c>
      <c r="GY41" t="e">
        <f>'2.4.Функции'!ADS73+"BYw!$CJ"</f>
        <v>#VALUE!</v>
      </c>
      <c r="GZ41" t="e">
        <f>'2.4.Функции'!ADT73+"BYw!$CK"</f>
        <v>#VALUE!</v>
      </c>
      <c r="HA41" t="e">
        <f>'2.4.Функции'!ADU73+"BYw!$CL"</f>
        <v>#VALUE!</v>
      </c>
      <c r="HB41" t="e">
        <f>'2.4.Функции'!ADV73+"BYw!$CM"</f>
        <v>#VALUE!</v>
      </c>
      <c r="HC41" t="e">
        <f>'2.4.Функции'!ADW73+"BYw!$CN"</f>
        <v>#VALUE!</v>
      </c>
      <c r="HD41" t="e">
        <f>'2.4.Функции'!ADX73+"BYw!$CO"</f>
        <v>#VALUE!</v>
      </c>
      <c r="HE41" t="e">
        <f>'2.4.Функции'!ADY73+"BYw!$CP"</f>
        <v>#VALUE!</v>
      </c>
      <c r="HF41" t="e">
        <f>'2.4.Функции'!ADZ73+"BYw!$CQ"</f>
        <v>#VALUE!</v>
      </c>
      <c r="HG41" t="e">
        <f>'2.4.Функции'!AEA73+"BYw!$CR"</f>
        <v>#VALUE!</v>
      </c>
      <c r="HH41" t="e">
        <f>'2.4.Функции'!AEB73+"BYw!$CS"</f>
        <v>#VALUE!</v>
      </c>
      <c r="HI41" t="e">
        <f>'2.4.Функции'!AEC73+"BYw!$CT"</f>
        <v>#VALUE!</v>
      </c>
      <c r="HJ41" t="e">
        <f>'2.4.Функции'!AED73+"BYw!$CU"</f>
        <v>#VALUE!</v>
      </c>
      <c r="HK41" t="e">
        <f>'2.4.Функции'!AEE73+"BYw!$CV"</f>
        <v>#VALUE!</v>
      </c>
      <c r="HL41" t="e">
        <f>'2.4.Функции'!AEF73+"BYw!$CW"</f>
        <v>#VALUE!</v>
      </c>
      <c r="HM41" t="e">
        <f>'2.4.Функции'!AEG73+"BYw!$CX"</f>
        <v>#VALUE!</v>
      </c>
      <c r="HN41" t="e">
        <f>'2.4.Функции'!AEH73+"BYw!$CY"</f>
        <v>#VALUE!</v>
      </c>
      <c r="HO41" t="e">
        <f>'2.4.Функции'!AEI73+"BYw!$CZ"</f>
        <v>#VALUE!</v>
      </c>
      <c r="HP41" t="e">
        <f>'2.4.Функции'!AEJ73+"BYw!$C["</f>
        <v>#VALUE!</v>
      </c>
      <c r="HQ41" t="e">
        <f>'2.4.Функции'!AEK73+"BYw!$C\"</f>
        <v>#VALUE!</v>
      </c>
      <c r="HR41" t="e">
        <f>'2.4.Функции'!AEL73+"BYw!$C]"</f>
        <v>#VALUE!</v>
      </c>
      <c r="HS41" t="e">
        <f>'2.4.Функции'!AEM73+"BYw!$C^"</f>
        <v>#VALUE!</v>
      </c>
      <c r="HT41" t="e">
        <f>'2.4.Функции'!AEN73+"BYw!$C_"</f>
        <v>#VALUE!</v>
      </c>
      <c r="HU41" t="e">
        <f>'2.4.Функции'!AEO73+"BYw!$C`"</f>
        <v>#VALUE!</v>
      </c>
      <c r="HV41" t="e">
        <f>'2.4.Функции'!AEP73+"BYw!$Ca"</f>
        <v>#VALUE!</v>
      </c>
      <c r="HW41" t="e">
        <f>'2.4.Функции'!AEQ73+"BYw!$Cb"</f>
        <v>#VALUE!</v>
      </c>
      <c r="HX41" t="e">
        <f>'2.4.Функции'!AER73+"BYw!$Cc"</f>
        <v>#VALUE!</v>
      </c>
      <c r="HY41" t="e">
        <f>'2.4.Функции'!AES73+"BYw!$Cd"</f>
        <v>#VALUE!</v>
      </c>
      <c r="HZ41" t="e">
        <f>'2.4.Функции'!AET73+"BYw!$Ce"</f>
        <v>#VALUE!</v>
      </c>
      <c r="IA41" t="e">
        <f>'2.4.Функции'!AEU73+"BYw!$Cf"</f>
        <v>#VALUE!</v>
      </c>
      <c r="IB41" t="e">
        <f>'2.4.Функции'!AEV73+"BYw!$Cg"</f>
        <v>#VALUE!</v>
      </c>
      <c r="IC41" t="e">
        <f>'2.4.Функции'!AEW73+"BYw!$Ch"</f>
        <v>#VALUE!</v>
      </c>
      <c r="ID41" t="e">
        <f>'2.4.Функции'!AEX73+"BYw!$Ci"</f>
        <v>#VALUE!</v>
      </c>
      <c r="IE41" t="e">
        <f>'2.4.Функции'!AEY73+"BYw!$Cj"</f>
        <v>#VALUE!</v>
      </c>
      <c r="IF41" t="e">
        <f>'2.4.Функции'!AEZ73+"BYw!$Ck"</f>
        <v>#VALUE!</v>
      </c>
      <c r="IG41" t="e">
        <f>'2.4.Функции'!AFA73+"BYw!$Cl"</f>
        <v>#VALUE!</v>
      </c>
      <c r="IH41" t="e">
        <f>'2.4.Функции'!AFB73+"BYw!$Cm"</f>
        <v>#VALUE!</v>
      </c>
      <c r="II41" t="e">
        <f>'2.4.Функции'!AFC73+"BYw!$Cn"</f>
        <v>#VALUE!</v>
      </c>
      <c r="IJ41" t="e">
        <f>'2.4.Функции'!AFD73+"BYw!$Co"</f>
        <v>#VALUE!</v>
      </c>
      <c r="IK41" t="e">
        <f>'2.4.Функции'!AFE73+"BYw!$Cp"</f>
        <v>#VALUE!</v>
      </c>
      <c r="IL41" t="e">
        <f>'2.4.Функции'!AFF73+"BYw!$Cq"</f>
        <v>#VALUE!</v>
      </c>
      <c r="IM41" t="e">
        <f>'2.4.Функции'!AFG73+"BYw!$Cr"</f>
        <v>#VALUE!</v>
      </c>
      <c r="IN41" t="e">
        <f>'2.4.Функции'!AFH73+"BYw!$Cs"</f>
        <v>#VALUE!</v>
      </c>
      <c r="IO41" t="e">
        <f>'2.4.Функции'!AFI73+"BYw!$Ct"</f>
        <v>#VALUE!</v>
      </c>
      <c r="IP41" t="e">
        <f>'2.4.Функции'!AFJ73+"BYw!$Cu"</f>
        <v>#VALUE!</v>
      </c>
      <c r="IQ41" t="e">
        <f>'2.4.Функции'!AFK73+"BYw!$Cv"</f>
        <v>#VALUE!</v>
      </c>
      <c r="IR41" t="e">
        <f>'2.4.Функции'!AFL73+"BYw!$Cw"</f>
        <v>#VALUE!</v>
      </c>
      <c r="IS41" t="e">
        <f>'2.4.Функции'!AFM73+"BYw!$Cx"</f>
        <v>#VALUE!</v>
      </c>
      <c r="IT41" t="e">
        <f>'2.4.Функции'!AFN73+"BYw!$Cy"</f>
        <v>#VALUE!</v>
      </c>
      <c r="IU41" t="e">
        <f>'2.4.Функции'!AFO73+"BYw!$Cz"</f>
        <v>#VALUE!</v>
      </c>
      <c r="IV41" t="e">
        <f>'2.4.Функции'!AFP73+"BYw!$C{"</f>
        <v>#VALUE!</v>
      </c>
    </row>
    <row r="42" spans="6:256" x14ac:dyDescent="0.2">
      <c r="F42" t="e">
        <f>'2.4.Функции'!AFQ73+"BYw!$C|"</f>
        <v>#VALUE!</v>
      </c>
      <c r="G42" t="e">
        <f>'2.4.Функции'!AFR73+"BYw!$C}"</f>
        <v>#VALUE!</v>
      </c>
      <c r="H42" t="e">
        <f>'2.4.Функции'!AFS73+"BYw!$C~"</f>
        <v>#VALUE!</v>
      </c>
      <c r="I42" t="e">
        <f>'2.4.Функции'!AFT73+"BYw!$D#"</f>
        <v>#VALUE!</v>
      </c>
      <c r="J42" t="e">
        <f>'2.4.Функции'!AFU73+"BYw!$D$"</f>
        <v>#VALUE!</v>
      </c>
      <c r="K42" t="e">
        <f>'2.4.Функции'!AFV73+"BYw!$D%"</f>
        <v>#VALUE!</v>
      </c>
      <c r="L42" t="e">
        <f>'2.4.Функции'!AFW73+"BYw!$D&amp;"</f>
        <v>#VALUE!</v>
      </c>
      <c r="M42" t="e">
        <f>'2.4.Функции'!AFX73+"BYw!$D'"</f>
        <v>#VALUE!</v>
      </c>
      <c r="N42" t="e">
        <f>'2.4.Функции'!AFY73+"BYw!$D("</f>
        <v>#VALUE!</v>
      </c>
      <c r="O42" t="e">
        <f>'2.4.Функции'!AFZ73+"BYw!$D)"</f>
        <v>#VALUE!</v>
      </c>
      <c r="P42" t="e">
        <f>'2.4.Функции'!AGA73+"BYw!$D."</f>
        <v>#VALUE!</v>
      </c>
      <c r="Q42" t="e">
        <f>'2.4.Функции'!AGB73+"BYw!$D/"</f>
        <v>#VALUE!</v>
      </c>
      <c r="R42" t="e">
        <f>'2.4.Функции'!AGC73+"BYw!$D0"</f>
        <v>#VALUE!</v>
      </c>
      <c r="S42" t="e">
        <f>'2.4.Функции'!AGD73+"BYw!$D1"</f>
        <v>#VALUE!</v>
      </c>
      <c r="T42" t="e">
        <f>'2.4.Функции'!AGE73+"BYw!$D2"</f>
        <v>#VALUE!</v>
      </c>
      <c r="U42" t="e">
        <f>'2.4.Функции'!AGF73+"BYw!$D3"</f>
        <v>#VALUE!</v>
      </c>
      <c r="V42" t="e">
        <f>'2.4.Функции'!AGG73+"BYw!$D4"</f>
        <v>#VALUE!</v>
      </c>
      <c r="W42" t="e">
        <f>'2.4.Функции'!AGH73+"BYw!$D5"</f>
        <v>#VALUE!</v>
      </c>
      <c r="X42" t="e">
        <f>'2.4.Функции'!AGI73+"BYw!$D6"</f>
        <v>#VALUE!</v>
      </c>
      <c r="Y42" t="e">
        <f>'2.4.Функции'!AGJ73+"BYw!$D7"</f>
        <v>#VALUE!</v>
      </c>
      <c r="Z42" t="e">
        <f>'2.4.Функции'!AGK73+"BYw!$D8"</f>
        <v>#VALUE!</v>
      </c>
      <c r="AA42" t="e">
        <f>'2.4.Функции'!AGL73+"BYw!$D9"</f>
        <v>#VALUE!</v>
      </c>
      <c r="AB42" t="e">
        <f>'2.4.Функции'!AGM73+"BYw!$D:"</f>
        <v>#VALUE!</v>
      </c>
      <c r="AC42" t="e">
        <f>'2.4.Функции'!AGN73+"BYw!$D;"</f>
        <v>#VALUE!</v>
      </c>
      <c r="AD42" t="e">
        <f>'2.4.Функции'!AGO73+"BYw!$D&lt;"</f>
        <v>#VALUE!</v>
      </c>
      <c r="AE42" t="e">
        <f>'2.4.Функции'!AGP73+"BYw!$D="</f>
        <v>#VALUE!</v>
      </c>
      <c r="AF42" t="e">
        <f>'2.4.Функции'!AGQ73+"BYw!$D&gt;"</f>
        <v>#VALUE!</v>
      </c>
      <c r="AG42" t="e">
        <f>'2.4.Функции'!AGR73+"BYw!$D?"</f>
        <v>#VALUE!</v>
      </c>
      <c r="AH42" t="e">
        <f>'2.4.Функции'!AGS73+"BYw!$D@"</f>
        <v>#VALUE!</v>
      </c>
      <c r="AI42" t="e">
        <f>'2.4.Функции'!AGT73+"BYw!$DA"</f>
        <v>#VALUE!</v>
      </c>
      <c r="AJ42" t="e">
        <f>'2.4.Функции'!AGU73+"BYw!$DB"</f>
        <v>#VALUE!</v>
      </c>
      <c r="AK42" t="e">
        <f>'2.4.Функции'!AGV73+"BYw!$DC"</f>
        <v>#VALUE!</v>
      </c>
      <c r="AL42" t="e">
        <f>'2.4.Функции'!AGW73+"BYw!$DD"</f>
        <v>#VALUE!</v>
      </c>
      <c r="AM42" t="e">
        <f>'2.4.Функции'!AGX73+"BYw!$DE"</f>
        <v>#VALUE!</v>
      </c>
      <c r="AN42" t="e">
        <f>'2.4.Функции'!AGY73+"BYw!$DF"</f>
        <v>#VALUE!</v>
      </c>
      <c r="AO42" t="e">
        <f>'2.4.Функции'!AGZ73+"BYw!$DG"</f>
        <v>#VALUE!</v>
      </c>
      <c r="AP42" t="e">
        <f>'2.4.Функции'!AHA73+"BYw!$DH"</f>
        <v>#VALUE!</v>
      </c>
      <c r="AQ42" t="e">
        <f>'2.4.Функции'!AHB73+"BYw!$DI"</f>
        <v>#VALUE!</v>
      </c>
      <c r="AR42" t="e">
        <f>'2.4.Функции'!AHC73+"BYw!$DJ"</f>
        <v>#VALUE!</v>
      </c>
      <c r="AS42" t="e">
        <f>'2.4.Функции'!AHD73+"BYw!$DK"</f>
        <v>#VALUE!</v>
      </c>
      <c r="AT42" t="e">
        <f>'2.4.Функции'!AHE73+"BYw!$DL"</f>
        <v>#VALUE!</v>
      </c>
      <c r="AU42" t="e">
        <f>'2.4.Функции'!AHF73+"BYw!$DM"</f>
        <v>#VALUE!</v>
      </c>
      <c r="AV42" t="e">
        <f>'2.4.Функции'!AHG73+"BYw!$DN"</f>
        <v>#VALUE!</v>
      </c>
      <c r="AW42" t="e">
        <f>'2.4.Функции'!AHH73+"BYw!$DO"</f>
        <v>#VALUE!</v>
      </c>
      <c r="AX42" t="e">
        <f>'2.4.Функции'!AHI73+"BYw!$DP"</f>
        <v>#VALUE!</v>
      </c>
      <c r="AY42" t="e">
        <f>'2.4.Функции'!AHJ73+"BYw!$DQ"</f>
        <v>#VALUE!</v>
      </c>
      <c r="AZ42" t="e">
        <f>'2.4.Функции'!AHK73+"BYw!$DR"</f>
        <v>#VALUE!</v>
      </c>
      <c r="BA42" t="e">
        <f>'2.4.Функции'!AHL73+"BYw!$DS"</f>
        <v>#VALUE!</v>
      </c>
      <c r="BB42" t="e">
        <f>'2.4.Функции'!AHM73+"BYw!$DT"</f>
        <v>#VALUE!</v>
      </c>
      <c r="BC42" t="e">
        <f>'2.4.Функции'!AHN73+"BYw!$DU"</f>
        <v>#VALUE!</v>
      </c>
      <c r="BD42" t="e">
        <f>'2.4.Функции'!AHO73+"BYw!$DV"</f>
        <v>#VALUE!</v>
      </c>
      <c r="BE42" t="e">
        <f>'2.4.Функции'!AHP73+"BYw!$DW"</f>
        <v>#VALUE!</v>
      </c>
      <c r="BF42" t="e">
        <f>'2.4.Функции'!AHQ73+"BYw!$DX"</f>
        <v>#VALUE!</v>
      </c>
      <c r="BG42" t="e">
        <f>'2.4.Функции'!AHR73+"BYw!$DY"</f>
        <v>#VALUE!</v>
      </c>
      <c r="BH42" t="e">
        <f>'2.4.Функции'!AHS73+"BYw!$DZ"</f>
        <v>#VALUE!</v>
      </c>
      <c r="BI42" t="e">
        <f>'2.4.Функции'!AHT73+"BYw!$D["</f>
        <v>#VALUE!</v>
      </c>
      <c r="BJ42" t="e">
        <f>'2.4.Функции'!AHU73+"BYw!$D\"</f>
        <v>#VALUE!</v>
      </c>
      <c r="BK42" t="e">
        <f>'2.4.Функции'!AHV73+"BYw!$D]"</f>
        <v>#VALUE!</v>
      </c>
      <c r="BL42" t="e">
        <f>'2.4.Функции'!AHW73+"BYw!$D^"</f>
        <v>#VALUE!</v>
      </c>
      <c r="BM42" t="e">
        <f>'2.4.Функции'!AHX73+"BYw!$D_"</f>
        <v>#VALUE!</v>
      </c>
      <c r="BN42" t="e">
        <f>'2.4.Функции'!AHY73+"BYw!$D`"</f>
        <v>#VALUE!</v>
      </c>
      <c r="BO42" t="e">
        <f>'2.4.Функции'!AHZ73+"BYw!$Da"</f>
        <v>#VALUE!</v>
      </c>
      <c r="BP42" t="e">
        <f>'2.4.Функции'!AIA73+"BYw!$Db"</f>
        <v>#VALUE!</v>
      </c>
      <c r="BQ42" t="e">
        <f>'2.4.Функции'!AIB73+"BYw!$Dc"</f>
        <v>#VALUE!</v>
      </c>
      <c r="BR42" t="e">
        <f>'2.4.Функции'!AIC73+"BYw!$Dd"</f>
        <v>#VALUE!</v>
      </c>
      <c r="BS42" t="e">
        <f>'2.4.Функции'!AID73+"BYw!$De"</f>
        <v>#VALUE!</v>
      </c>
      <c r="BT42" t="e">
        <f>'2.4.Функции'!AIE73+"BYw!$Df"</f>
        <v>#VALUE!</v>
      </c>
      <c r="BU42" t="e">
        <f>'2.4.Функции'!AIF73+"BYw!$Dg"</f>
        <v>#VALUE!</v>
      </c>
      <c r="BV42" t="e">
        <f>'2.4.Функции'!AIG73+"BYw!$Dh"</f>
        <v>#VALUE!</v>
      </c>
      <c r="BW42" t="e">
        <f>'2.4.Функции'!AIH73+"BYw!$Di"</f>
        <v>#VALUE!</v>
      </c>
      <c r="BX42" t="e">
        <f>'2.4.Функции'!A74+"BYw!$Dj"</f>
        <v>#VALUE!</v>
      </c>
      <c r="BY42" s="116" t="e">
        <f>'2.4.Функции'!B74+"BYw!$Dk"</f>
        <v>#VALUE!</v>
      </c>
      <c r="BZ42" t="e">
        <f>'2.4.Функции'!C74+"BYw!$Dl"</f>
        <v>#VALUE!</v>
      </c>
      <c r="CA42" s="119" t="e">
        <f>'2.4.Функции'!D74+"BYw!$Dm"</f>
        <v>#VALUE!</v>
      </c>
      <c r="CB42" s="119" t="e">
        <f>'2.4.Функции'!E74+"BYw!$Dn"</f>
        <v>#VALUE!</v>
      </c>
      <c r="CC42" s="119" t="e">
        <f>'2.4.Функции'!F74+"BYw!$Do"</f>
        <v>#VALUE!</v>
      </c>
      <c r="CD42" s="119" t="e">
        <f>'2.4.Функции'!G74+"BYw!$Dp"</f>
        <v>#VALUE!</v>
      </c>
      <c r="CE42" s="119" t="e">
        <f>'2.4.Функции'!H74+"BYw!$Dq"</f>
        <v>#VALUE!</v>
      </c>
      <c r="CF42" s="119" t="e">
        <f>'2.4.Функции'!I74+"BYw!$Dr"</f>
        <v>#VALUE!</v>
      </c>
      <c r="CG42" s="119" t="e">
        <f>'2.4.Функции'!J74+"BYw!$Ds"</f>
        <v>#VALUE!</v>
      </c>
      <c r="CH42" s="119" t="e">
        <f>'2.4.Функции'!K74+"BYw!$Dt"</f>
        <v>#VALUE!</v>
      </c>
      <c r="CI42" t="e">
        <f>'2.4.Функции'!A75+"BYw!$Du"</f>
        <v>#VALUE!</v>
      </c>
      <c r="CJ42" s="116" t="e">
        <f>'2.4.Функции'!B75+"BYw!$Dv"</f>
        <v>#VALUE!</v>
      </c>
      <c r="CK42" t="e">
        <f>'2.4.Функции'!C75+"BYw!$Dw"</f>
        <v>#VALUE!</v>
      </c>
      <c r="CL42" s="119" t="e">
        <f>'2.4.Функции'!D75+"BYw!$Dx"</f>
        <v>#VALUE!</v>
      </c>
      <c r="CM42" s="119" t="e">
        <f>'2.4.Функции'!E75+"BYw!$Dy"</f>
        <v>#VALUE!</v>
      </c>
      <c r="CN42" s="119" t="e">
        <f>'2.4.Функции'!F75+"BYw!$Dz"</f>
        <v>#VALUE!</v>
      </c>
      <c r="CO42" s="119" t="e">
        <f>'2.4.Функции'!G75+"BYw!$D{"</f>
        <v>#VALUE!</v>
      </c>
      <c r="CP42" s="119" t="e">
        <f>'2.4.Функции'!H75+"BYw!$D|"</f>
        <v>#VALUE!</v>
      </c>
      <c r="CQ42" s="119" t="e">
        <f>'2.4.Функции'!I75+"BYw!$D}"</f>
        <v>#VALUE!</v>
      </c>
      <c r="CR42" s="119" t="e">
        <f>'2.4.Функции'!J75+"BYw!$D~"</f>
        <v>#VALUE!</v>
      </c>
      <c r="CS42" s="119" t="e">
        <f>'2.4.Функции'!K75+"BYw!$E#"</f>
        <v>#VALUE!</v>
      </c>
      <c r="CT42" t="e">
        <f>'2.4.Функции'!A76+"BYw!$E$"</f>
        <v>#VALUE!</v>
      </c>
      <c r="CU42" s="116" t="e">
        <f>'2.4.Функции'!B76+"BYw!$E%"</f>
        <v>#VALUE!</v>
      </c>
      <c r="CV42" t="e">
        <f>'2.4.Функции'!C76+"BYw!$E&amp;"</f>
        <v>#VALUE!</v>
      </c>
      <c r="CW42" s="119" t="e">
        <f>'2.4.Функции'!D76+"BYw!$E'"</f>
        <v>#VALUE!</v>
      </c>
      <c r="CX42" s="119" t="e">
        <f>'2.4.Функции'!E76+"BYw!$E("</f>
        <v>#VALUE!</v>
      </c>
      <c r="CY42" s="119" t="e">
        <f>'2.4.Функции'!F76+"BYw!$E)"</f>
        <v>#VALUE!</v>
      </c>
      <c r="CZ42" s="119" t="e">
        <f>'2.4.Функции'!G76+"BYw!$E."</f>
        <v>#VALUE!</v>
      </c>
      <c r="DA42" s="119" t="e">
        <f>'2.4.Функции'!H76+"BYw!$E/"</f>
        <v>#VALUE!</v>
      </c>
      <c r="DB42" s="119" t="e">
        <f>'2.4.Функции'!I76+"BYw!$E0"</f>
        <v>#VALUE!</v>
      </c>
      <c r="DC42" s="119" t="e">
        <f>'2.4.Функции'!J76+"BYw!$E1"</f>
        <v>#VALUE!</v>
      </c>
      <c r="DD42" s="119" t="e">
        <f>'2.4.Функции'!K76+"BYw!$E2"</f>
        <v>#VALUE!</v>
      </c>
      <c r="DE42" t="e">
        <f>'2.4.Функции'!A77+"BYw!$E3"</f>
        <v>#VALUE!</v>
      </c>
      <c r="DF42" s="116" t="e">
        <f>'2.4.Функции'!B77+"BYw!$E4"</f>
        <v>#VALUE!</v>
      </c>
      <c r="DG42" t="e">
        <f>'2.4.Функции'!C77+"BYw!$E5"</f>
        <v>#VALUE!</v>
      </c>
      <c r="DH42" s="119" t="e">
        <f>'2.4.Функции'!D77+"BYw!$E6"</f>
        <v>#VALUE!</v>
      </c>
      <c r="DI42" s="119" t="e">
        <f>'2.4.Функции'!E77+"BYw!$E7"</f>
        <v>#VALUE!</v>
      </c>
      <c r="DJ42" s="119" t="e">
        <f>'2.4.Функции'!F77+"BYw!$E8"</f>
        <v>#VALUE!</v>
      </c>
      <c r="DK42" s="119" t="e">
        <f>'2.4.Функции'!G77+"BYw!$E9"</f>
        <v>#VALUE!</v>
      </c>
      <c r="DL42" s="119" t="e">
        <f>'2.4.Функции'!H77+"BYw!$E:"</f>
        <v>#VALUE!</v>
      </c>
      <c r="DM42" s="119" t="e">
        <f>'2.4.Функции'!I77+"BYw!$E;"</f>
        <v>#VALUE!</v>
      </c>
      <c r="DN42" s="119" t="e">
        <f>'2.4.Функции'!J77+"BYw!$E&lt;"</f>
        <v>#VALUE!</v>
      </c>
      <c r="DO42" s="119" t="e">
        <f>'2.4.Функции'!K77+"BYw!$E="</f>
        <v>#VALUE!</v>
      </c>
      <c r="DP42" t="e">
        <f>'2.4.Функции'!A78+"BYw!$E&gt;"</f>
        <v>#VALUE!</v>
      </c>
      <c r="DQ42" s="116" t="e">
        <f>'2.4.Функции'!B78+"BYw!$E?"</f>
        <v>#VALUE!</v>
      </c>
      <c r="DR42" t="e">
        <f>'2.4.Функции'!C78+"BYw!$E@"</f>
        <v>#VALUE!</v>
      </c>
      <c r="DS42" s="119" t="e">
        <f>'2.4.Функции'!D78+"BYw!$EA"</f>
        <v>#VALUE!</v>
      </c>
      <c r="DT42" s="119" t="e">
        <f>'2.4.Функции'!E78+"BYw!$EB"</f>
        <v>#VALUE!</v>
      </c>
      <c r="DU42" s="119" t="e">
        <f>'2.4.Функции'!F78+"BYw!$EC"</f>
        <v>#VALUE!</v>
      </c>
      <c r="DV42" s="119" t="e">
        <f>'2.4.Функции'!G78+"BYw!$ED"</f>
        <v>#VALUE!</v>
      </c>
      <c r="DW42" s="119" t="e">
        <f>'2.4.Функции'!H78+"BYw!$EE"</f>
        <v>#VALUE!</v>
      </c>
      <c r="DX42" s="119" t="e">
        <f>'2.4.Функции'!I78+"BYw!$EF"</f>
        <v>#VALUE!</v>
      </c>
      <c r="DY42" s="119" t="e">
        <f>'2.4.Функции'!J78+"BYw!$EG"</f>
        <v>#VALUE!</v>
      </c>
      <c r="DZ42" s="119" t="e">
        <f>'2.4.Функции'!K78+"BYw!$EH"</f>
        <v>#VALUE!</v>
      </c>
      <c r="EA42" t="e">
        <f>'2.4.Функции'!A79+"BYw!$EI"</f>
        <v>#VALUE!</v>
      </c>
      <c r="EB42" s="116" t="e">
        <f>'2.4.Функции'!B79+"BYw!$EJ"</f>
        <v>#VALUE!</v>
      </c>
      <c r="EC42" t="e">
        <f>'2.4.Функции'!C79+"BYw!$EK"</f>
        <v>#VALUE!</v>
      </c>
      <c r="ED42" s="119" t="e">
        <f>'2.4.Функции'!D79+"BYw!$EL"</f>
        <v>#VALUE!</v>
      </c>
      <c r="EE42" s="119" t="e">
        <f>'2.4.Функции'!E79+"BYw!$EM"</f>
        <v>#VALUE!</v>
      </c>
      <c r="EF42" s="119" t="e">
        <f>'2.4.Функции'!F79+"BYw!$EN"</f>
        <v>#VALUE!</v>
      </c>
      <c r="EG42" s="119" t="e">
        <f>'2.4.Функции'!G79+"BYw!$EO"</f>
        <v>#VALUE!</v>
      </c>
      <c r="EH42" s="119" t="e">
        <f>'2.4.Функции'!H79+"BYw!$EP"</f>
        <v>#VALUE!</v>
      </c>
      <c r="EI42" s="119" t="e">
        <f>'2.4.Функции'!I79+"BYw!$EQ"</f>
        <v>#VALUE!</v>
      </c>
      <c r="EJ42" s="119" t="e">
        <f>'2.4.Функции'!J79+"BYw!$ER"</f>
        <v>#VALUE!</v>
      </c>
      <c r="EK42" s="119" t="e">
        <f>'2.4.Функции'!K79+"BYw!$ES"</f>
        <v>#VALUE!</v>
      </c>
      <c r="EL42" t="e">
        <f>'2.4.Функции'!A80+"BYw!$ET"</f>
        <v>#VALUE!</v>
      </c>
      <c r="EM42" s="116" t="e">
        <f>'2.4.Функции'!B80+"BYw!$EU"</f>
        <v>#VALUE!</v>
      </c>
      <c r="EN42" t="e">
        <f>'2.4.Функции'!C80+"BYw!$EV"</f>
        <v>#VALUE!</v>
      </c>
      <c r="EO42" s="119" t="e">
        <f>'2.4.Функции'!D80+"BYw!$EW"</f>
        <v>#VALUE!</v>
      </c>
      <c r="EP42" s="119" t="e">
        <f>'2.4.Функции'!E80+"BYw!$EX"</f>
        <v>#VALUE!</v>
      </c>
      <c r="EQ42" s="119" t="e">
        <f>'2.4.Функции'!F80+"BYw!$EY"</f>
        <v>#VALUE!</v>
      </c>
      <c r="ER42" s="119" t="e">
        <f>'2.4.Функции'!G80+"BYw!$EZ"</f>
        <v>#VALUE!</v>
      </c>
      <c r="ES42" s="119" t="e">
        <f>'2.4.Функции'!H80+"BYw!$E["</f>
        <v>#VALUE!</v>
      </c>
      <c r="ET42" s="119" t="e">
        <f>'2.4.Функции'!I80+"BYw!$E\"</f>
        <v>#VALUE!</v>
      </c>
      <c r="EU42" s="119" t="e">
        <f>'2.4.Функции'!J80+"BYw!$E]"</f>
        <v>#VALUE!</v>
      </c>
      <c r="EV42" s="119" t="e">
        <f>'2.4.Функции'!K80+"BYw!$E^"</f>
        <v>#VALUE!</v>
      </c>
      <c r="EW42" t="e">
        <f>'2.4.Функции'!A81+"BYw!$E_"</f>
        <v>#VALUE!</v>
      </c>
      <c r="EX42" s="116" t="e">
        <f>'2.4.Функции'!B81+"BYw!$E`"</f>
        <v>#VALUE!</v>
      </c>
      <c r="EY42" t="e">
        <f>'2.4.Функции'!C81+"BYw!$Ea"</f>
        <v>#VALUE!</v>
      </c>
      <c r="EZ42" s="119" t="e">
        <f>'2.4.Функции'!D81+"BYw!$Eb"</f>
        <v>#VALUE!</v>
      </c>
      <c r="FA42" s="119" t="e">
        <f>'2.4.Функции'!E81+"BYw!$Ec"</f>
        <v>#VALUE!</v>
      </c>
      <c r="FB42" s="119" t="e">
        <f>'2.4.Функции'!F81+"BYw!$Ed"</f>
        <v>#VALUE!</v>
      </c>
      <c r="FC42" s="119" t="e">
        <f>'2.4.Функции'!G81+"BYw!$Ee"</f>
        <v>#VALUE!</v>
      </c>
      <c r="FD42" s="119" t="e">
        <f>'2.4.Функции'!H81+"BYw!$Ef"</f>
        <v>#VALUE!</v>
      </c>
      <c r="FE42" s="119" t="e">
        <f>'2.4.Функции'!I81+"BYw!$Eg"</f>
        <v>#VALUE!</v>
      </c>
      <c r="FF42" s="119" t="e">
        <f>'2.4.Функции'!J81+"BYw!$Eh"</f>
        <v>#VALUE!</v>
      </c>
      <c r="FG42" s="119" t="e">
        <f>'2.4.Функции'!K81+"BYw!$Ei"</f>
        <v>#VALUE!</v>
      </c>
      <c r="FH42" t="e">
        <f>'2.4.Функции'!A82+"BYw!$Ej"</f>
        <v>#VALUE!</v>
      </c>
      <c r="FI42" s="116" t="e">
        <f>'2.4.Функции'!B82+"BYw!$Ek"</f>
        <v>#VALUE!</v>
      </c>
      <c r="FJ42" t="e">
        <f>'2.4.Функции'!C82+"BYw!$El"</f>
        <v>#VALUE!</v>
      </c>
      <c r="FK42" s="119" t="e">
        <f>'2.4.Функции'!D82+"BYw!$Em"</f>
        <v>#VALUE!</v>
      </c>
      <c r="FL42" s="119" t="e">
        <f>'2.4.Функции'!E82+"BYw!$En"</f>
        <v>#VALUE!</v>
      </c>
      <c r="FM42" s="119" t="e">
        <f>'2.4.Функции'!F82+"BYw!$Eo"</f>
        <v>#VALUE!</v>
      </c>
      <c r="FN42" s="119" t="e">
        <f>'2.4.Функции'!G82+"BYw!$Ep"</f>
        <v>#VALUE!</v>
      </c>
      <c r="FO42" s="119" t="e">
        <f>'2.4.Функции'!H82+"BYw!$Eq"</f>
        <v>#VALUE!</v>
      </c>
      <c r="FP42" s="119" t="e">
        <f>'2.4.Функции'!I82+"BYw!$Er"</f>
        <v>#VALUE!</v>
      </c>
      <c r="FQ42" s="119" t="e">
        <f>'2.4.Функции'!J82+"BYw!$Es"</f>
        <v>#VALUE!</v>
      </c>
      <c r="FR42" s="119" t="e">
        <f>'2.4.Функции'!K82+"BYw!$Et"</f>
        <v>#VALUE!</v>
      </c>
      <c r="FS42" t="e">
        <f>'2.4.Функции'!A83+"BYw!$Eu"</f>
        <v>#VALUE!</v>
      </c>
      <c r="FT42" s="116" t="e">
        <f>'2.4.Функции'!B83+"BYw!$Ev"</f>
        <v>#VALUE!</v>
      </c>
      <c r="FU42" t="e">
        <f>'2.4.Функции'!C83+"BYw!$Ew"</f>
        <v>#VALUE!</v>
      </c>
      <c r="FV42" s="119" t="e">
        <f>'2.4.Функции'!D83+"BYw!$Ex"</f>
        <v>#VALUE!</v>
      </c>
      <c r="FW42" s="119" t="e">
        <f>'2.4.Функции'!E83+"BYw!$Ey"</f>
        <v>#VALUE!</v>
      </c>
      <c r="FX42" s="119" t="e">
        <f>'2.4.Функции'!F83+"BYw!$Ez"</f>
        <v>#VALUE!</v>
      </c>
      <c r="FY42" s="119" t="e">
        <f>'2.4.Функции'!G83+"BYw!$E{"</f>
        <v>#VALUE!</v>
      </c>
      <c r="FZ42" s="119" t="e">
        <f>'2.4.Функции'!H83+"BYw!$E|"</f>
        <v>#VALUE!</v>
      </c>
      <c r="GA42" s="119" t="e">
        <f>'2.4.Функции'!I83+"BYw!$E}"</f>
        <v>#VALUE!</v>
      </c>
      <c r="GB42" s="119" t="e">
        <f>'2.4.Функции'!J83+"BYw!$E~"</f>
        <v>#VALUE!</v>
      </c>
      <c r="GC42" s="119" t="e">
        <f>'2.4.Функции'!K83+"BYw!$F#"</f>
        <v>#VALUE!</v>
      </c>
      <c r="GD42" t="e">
        <f>'2.4.Функции'!A84+"BYw!$F$"</f>
        <v>#VALUE!</v>
      </c>
      <c r="GE42" s="116" t="e">
        <f>'2.4.Функции'!B84+"BYw!$F%"</f>
        <v>#VALUE!</v>
      </c>
      <c r="GF42" t="e">
        <f>'2.4.Функции'!C84+"BYw!$F&amp;"</f>
        <v>#VALUE!</v>
      </c>
      <c r="GG42" s="119" t="e">
        <f>'2.4.Функции'!D84+"BYw!$F'"</f>
        <v>#VALUE!</v>
      </c>
      <c r="GH42" s="119" t="e">
        <f>'2.4.Функции'!E84+"BYw!$F("</f>
        <v>#VALUE!</v>
      </c>
      <c r="GI42" s="119" t="e">
        <f>'2.4.Функции'!F84+"BYw!$F)"</f>
        <v>#VALUE!</v>
      </c>
      <c r="GJ42" s="119" t="e">
        <f>'2.4.Функции'!G84+"BYw!$F."</f>
        <v>#VALUE!</v>
      </c>
      <c r="GK42" s="119" t="e">
        <f>'2.4.Функции'!H84+"BYw!$F/"</f>
        <v>#VALUE!</v>
      </c>
      <c r="GL42" s="119" t="e">
        <f>'2.4.Функции'!I84+"BYw!$F0"</f>
        <v>#VALUE!</v>
      </c>
      <c r="GM42" s="119" t="e">
        <f>'2.4.Функции'!J84+"BYw!$F1"</f>
        <v>#VALUE!</v>
      </c>
      <c r="GN42" s="119" t="e">
        <f>'2.4.Функции'!K84+"BYw!$F2"</f>
        <v>#VALUE!</v>
      </c>
      <c r="GO42" t="e">
        <f>'2.4.Функции'!A85+"BYw!$F3"</f>
        <v>#VALUE!</v>
      </c>
      <c r="GP42" s="116" t="e">
        <f>'2.4.Функции'!B85+"BYw!$F4"</f>
        <v>#VALUE!</v>
      </c>
      <c r="GQ42" t="e">
        <f>'2.4.Функции'!C85+"BYw!$F5"</f>
        <v>#VALUE!</v>
      </c>
      <c r="GR42" s="119" t="e">
        <f>'2.4.Функции'!D85+"BYw!$F6"</f>
        <v>#VALUE!</v>
      </c>
      <c r="GS42" s="119" t="e">
        <f>'2.4.Функции'!E85+"BYw!$F7"</f>
        <v>#VALUE!</v>
      </c>
      <c r="GT42" s="119" t="e">
        <f>'2.4.Функции'!F85+"BYw!$F8"</f>
        <v>#VALUE!</v>
      </c>
      <c r="GU42" s="119" t="e">
        <f>'2.4.Функции'!G85+"BYw!$F9"</f>
        <v>#VALUE!</v>
      </c>
      <c r="GV42" s="119" t="e">
        <f>'2.4.Функции'!H85+"BYw!$F:"</f>
        <v>#VALUE!</v>
      </c>
      <c r="GW42" s="119" t="e">
        <f>'2.4.Функции'!I85+"BYw!$F;"</f>
        <v>#VALUE!</v>
      </c>
      <c r="GX42" s="119" t="e">
        <f>'2.4.Функции'!J85+"BYw!$F&lt;"</f>
        <v>#VALUE!</v>
      </c>
      <c r="GY42" s="119" t="e">
        <f>'2.4.Функции'!K85+"BYw!$F="</f>
        <v>#VALUE!</v>
      </c>
      <c r="GZ42" t="e">
        <f>'2.4.Функции'!A86+"BYw!$F&gt;"</f>
        <v>#VALUE!</v>
      </c>
      <c r="HA42" s="116" t="e">
        <f>'2.4.Функции'!B86+"BYw!$F?"</f>
        <v>#VALUE!</v>
      </c>
      <c r="HB42" t="e">
        <f>'2.4.Функции'!C86+"BYw!$F@"</f>
        <v>#VALUE!</v>
      </c>
      <c r="HC42" s="119" t="e">
        <f>'2.4.Функции'!D86+"BYw!$FA"</f>
        <v>#VALUE!</v>
      </c>
      <c r="HD42" s="119" t="e">
        <f>'2.4.Функции'!E86+"BYw!$FB"</f>
        <v>#VALUE!</v>
      </c>
      <c r="HE42" s="119" t="e">
        <f>'2.4.Функции'!F86+"BYw!$FC"</f>
        <v>#VALUE!</v>
      </c>
      <c r="HF42" s="119" t="e">
        <f>'2.4.Функции'!G86+"BYw!$FD"</f>
        <v>#VALUE!</v>
      </c>
      <c r="HG42" s="119" t="e">
        <f>'2.4.Функции'!H86+"BYw!$FE"</f>
        <v>#VALUE!</v>
      </c>
      <c r="HH42" s="119" t="e">
        <f>'2.4.Функции'!I86+"BYw!$FF"</f>
        <v>#VALUE!</v>
      </c>
      <c r="HI42" s="119" t="e">
        <f>'2.4.Функции'!J86+"BYw!$FG"</f>
        <v>#VALUE!</v>
      </c>
      <c r="HJ42" s="119" t="e">
        <f>'2.4.Функции'!K86+"BYw!$FH"</f>
        <v>#VALUE!</v>
      </c>
      <c r="HK42" t="e">
        <f>'2.4.Функции'!A87+"BYw!$FI"</f>
        <v>#VALUE!</v>
      </c>
      <c r="HL42" s="116" t="e">
        <f>'2.4.Функции'!B87+"BYw!$FJ"</f>
        <v>#VALUE!</v>
      </c>
      <c r="HM42" t="e">
        <f>'2.4.Функции'!C87+"BYw!$FK"</f>
        <v>#VALUE!</v>
      </c>
      <c r="HN42" s="119" t="e">
        <f>'2.4.Функции'!D87+"BYw!$FL"</f>
        <v>#VALUE!</v>
      </c>
      <c r="HO42" s="119" t="e">
        <f>'2.4.Функции'!E87+"BYw!$FM"</f>
        <v>#VALUE!</v>
      </c>
      <c r="HP42" s="119" t="e">
        <f>'2.4.Функции'!F87+"BYw!$FN"</f>
        <v>#VALUE!</v>
      </c>
      <c r="HQ42" s="119" t="e">
        <f>'2.4.Функции'!G87+"BYw!$FO"</f>
        <v>#VALUE!</v>
      </c>
      <c r="HR42" s="119" t="e">
        <f>'2.4.Функции'!H87+"BYw!$FP"</f>
        <v>#VALUE!</v>
      </c>
      <c r="HS42" s="119" t="e">
        <f>'2.4.Функции'!I87+"BYw!$FQ"</f>
        <v>#VALUE!</v>
      </c>
      <c r="HT42" s="119" t="e">
        <f>'2.4.Функции'!J87+"BYw!$FR"</f>
        <v>#VALUE!</v>
      </c>
      <c r="HU42" s="119" t="e">
        <f>'2.4.Функции'!K87+"BYw!$FS"</f>
        <v>#VALUE!</v>
      </c>
      <c r="HV42" t="e">
        <f>'2.4.Функции'!A88+"BYw!$FT"</f>
        <v>#VALUE!</v>
      </c>
      <c r="HW42" s="116" t="e">
        <f>'2.4.Функции'!B88+"BYw!$FU"</f>
        <v>#VALUE!</v>
      </c>
      <c r="HX42" t="e">
        <f>'2.4.Функции'!C88+"BYw!$FV"</f>
        <v>#VALUE!</v>
      </c>
      <c r="HY42" s="119" t="e">
        <f>'2.4.Функции'!D88+"BYw!$FW"</f>
        <v>#VALUE!</v>
      </c>
      <c r="HZ42" s="119" t="e">
        <f>'2.4.Функции'!E88+"BYw!$FX"</f>
        <v>#VALUE!</v>
      </c>
      <c r="IA42" s="119" t="e">
        <f>'2.4.Функции'!F88+"BYw!$FY"</f>
        <v>#VALUE!</v>
      </c>
      <c r="IB42" s="119" t="e">
        <f>'2.4.Функции'!G88+"BYw!$FZ"</f>
        <v>#VALUE!</v>
      </c>
      <c r="IC42" s="119" t="e">
        <f>'2.4.Функции'!H88+"BYw!$F["</f>
        <v>#VALUE!</v>
      </c>
      <c r="ID42" s="119" t="e">
        <f>'2.4.Функции'!I88+"BYw!$F\"</f>
        <v>#VALUE!</v>
      </c>
      <c r="IE42" s="119" t="e">
        <f>'2.4.Функции'!J88+"BYw!$F]"</f>
        <v>#VALUE!</v>
      </c>
      <c r="IF42" s="119" t="e">
        <f>'2.4.Функции'!K88+"BYw!$F^"</f>
        <v>#VALUE!</v>
      </c>
      <c r="IG42" t="e">
        <f>'2.4.Функции'!A89+"BYw!$F_"</f>
        <v>#VALUE!</v>
      </c>
      <c r="IH42" s="116" t="e">
        <f>'2.4.Функции'!B89+"BYw!$F`"</f>
        <v>#VALUE!</v>
      </c>
      <c r="II42" t="e">
        <f>'2.4.Функции'!C89+"BYw!$Fa"</f>
        <v>#VALUE!</v>
      </c>
      <c r="IJ42" s="119" t="e">
        <f>'2.4.Функции'!D89+"BYw!$Fb"</f>
        <v>#VALUE!</v>
      </c>
      <c r="IK42" s="119" t="e">
        <f>'2.4.Функции'!E89+"BYw!$Fc"</f>
        <v>#VALUE!</v>
      </c>
      <c r="IL42" s="119" t="e">
        <f>'2.4.Функции'!F89+"BYw!$Fd"</f>
        <v>#VALUE!</v>
      </c>
      <c r="IM42" s="119" t="e">
        <f>'2.4.Функции'!G89+"BYw!$Fe"</f>
        <v>#VALUE!</v>
      </c>
      <c r="IN42" s="119" t="e">
        <f>'2.4.Функции'!H89+"BYw!$Ff"</f>
        <v>#VALUE!</v>
      </c>
      <c r="IO42" s="119" t="e">
        <f>'2.4.Функции'!I89+"BYw!$Fg"</f>
        <v>#VALUE!</v>
      </c>
      <c r="IP42" s="119" t="e">
        <f>'2.4.Функции'!J89+"BYw!$Fh"</f>
        <v>#VALUE!</v>
      </c>
      <c r="IQ42" s="119" t="e">
        <f>'2.4.Функции'!K89+"BYw!$Fi"</f>
        <v>#VALUE!</v>
      </c>
      <c r="IR42" t="e">
        <f>'2.4.Функции'!A90+"BYw!$Fj"</f>
        <v>#VALUE!</v>
      </c>
      <c r="IS42" s="116" t="e">
        <f>'2.4.Функции'!B90+"BYw!$Fk"</f>
        <v>#VALUE!</v>
      </c>
      <c r="IT42" t="e">
        <f>'2.4.Функции'!C90+"BYw!$Fl"</f>
        <v>#VALUE!</v>
      </c>
      <c r="IU42" s="119" t="e">
        <f>'2.4.Функции'!D90+"BYw!$Fm"</f>
        <v>#VALUE!</v>
      </c>
      <c r="IV42" s="119" t="e">
        <f>'2.4.Функции'!E90+"BYw!$Fn"</f>
        <v>#VALUE!</v>
      </c>
    </row>
    <row r="43" spans="6:256" x14ac:dyDescent="0.2">
      <c r="F43" s="119" t="e">
        <f>'2.4.Функции'!F90+"BYw!$Fo"</f>
        <v>#VALUE!</v>
      </c>
      <c r="G43" s="119" t="e">
        <f>'2.4.Функции'!G90+"BYw!$Fp"</f>
        <v>#VALUE!</v>
      </c>
      <c r="H43" s="119" t="e">
        <f>'2.4.Функции'!H90+"BYw!$Fq"</f>
        <v>#VALUE!</v>
      </c>
      <c r="I43" s="119" t="e">
        <f>'2.4.Функции'!I90+"BYw!$Fr"</f>
        <v>#VALUE!</v>
      </c>
      <c r="J43" s="119" t="e">
        <f>'2.4.Функции'!J90+"BYw!$Fs"</f>
        <v>#VALUE!</v>
      </c>
      <c r="K43" s="119" t="e">
        <f>'2.4.Функции'!K90+"BYw!$Ft"</f>
        <v>#VALUE!</v>
      </c>
      <c r="L43" t="e">
        <f>'2.4.Функции'!A91+"BYw!$Fu"</f>
        <v>#VALUE!</v>
      </c>
      <c r="M43" s="116" t="e">
        <f>'2.4.Функции'!B91+"BYw!$Fv"</f>
        <v>#VALUE!</v>
      </c>
      <c r="N43" t="e">
        <f>'2.4.Функции'!C91+"BYw!$Fw"</f>
        <v>#VALUE!</v>
      </c>
      <c r="O43" s="119" t="e">
        <f>'2.4.Функции'!D91+"BYw!$Fx"</f>
        <v>#VALUE!</v>
      </c>
      <c r="P43" s="119" t="e">
        <f>'2.4.Функции'!E91+"BYw!$Fy"</f>
        <v>#VALUE!</v>
      </c>
      <c r="Q43" s="119" t="e">
        <f>'2.4.Функции'!F91+"BYw!$Fz"</f>
        <v>#VALUE!</v>
      </c>
      <c r="R43" s="119" t="e">
        <f>'2.4.Функции'!G91+"BYw!$F{"</f>
        <v>#VALUE!</v>
      </c>
      <c r="S43" s="119" t="e">
        <f>'2.4.Функции'!H91+"BYw!$F|"</f>
        <v>#VALUE!</v>
      </c>
      <c r="T43" s="119" t="e">
        <f>'2.4.Функции'!I91+"BYw!$F}"</f>
        <v>#VALUE!</v>
      </c>
      <c r="U43" s="119" t="e">
        <f>'2.4.Функции'!J91+"BYw!$F~"</f>
        <v>#VALUE!</v>
      </c>
      <c r="V43" s="119" t="e">
        <f>'2.4.Функции'!K91+"BYw!$G#"</f>
        <v>#VALUE!</v>
      </c>
      <c r="W43" t="e">
        <f>'2.4.Функции'!A92+"BYw!$G$"</f>
        <v>#VALUE!</v>
      </c>
      <c r="X43" s="116" t="e">
        <f>'2.4.Функции'!B92+"BYw!$G%"</f>
        <v>#VALUE!</v>
      </c>
      <c r="Y43" t="e">
        <f>'2.4.Функции'!C92+"BYw!$G&amp;"</f>
        <v>#VALUE!</v>
      </c>
      <c r="Z43" s="119" t="e">
        <f>'2.4.Функции'!D92+"BYw!$G'"</f>
        <v>#VALUE!</v>
      </c>
      <c r="AA43" s="119" t="e">
        <f>'2.4.Функции'!E92+"BYw!$G("</f>
        <v>#VALUE!</v>
      </c>
      <c r="AB43" s="119" t="e">
        <f>'2.4.Функции'!F92+"BYw!$G)"</f>
        <v>#VALUE!</v>
      </c>
      <c r="AC43" s="119" t="e">
        <f>'2.4.Функции'!G92+"BYw!$G."</f>
        <v>#VALUE!</v>
      </c>
      <c r="AD43" s="119" t="e">
        <f>'2.4.Функции'!H92+"BYw!$G/"</f>
        <v>#VALUE!</v>
      </c>
      <c r="AE43" s="119" t="e">
        <f>'2.4.Функции'!I92+"BYw!$G0"</f>
        <v>#VALUE!</v>
      </c>
      <c r="AF43" s="119" t="e">
        <f>'2.4.Функции'!J92+"BYw!$G1"</f>
        <v>#VALUE!</v>
      </c>
      <c r="AG43" s="119" t="e">
        <f>'2.4.Функции'!K92+"BYw!$G2"</f>
        <v>#VALUE!</v>
      </c>
      <c r="AH43" t="e">
        <f>'2.4.Функции'!A93+"BYw!$G3"</f>
        <v>#VALUE!</v>
      </c>
      <c r="AI43" s="116" t="e">
        <f>'2.4.Функции'!B93+"BYw!$G4"</f>
        <v>#VALUE!</v>
      </c>
      <c r="AJ43" t="e">
        <f>'2.4.Функции'!C93+"BYw!$G5"</f>
        <v>#VALUE!</v>
      </c>
      <c r="AK43" s="119" t="e">
        <f>'2.4.Функции'!D93+"BYw!$G6"</f>
        <v>#VALUE!</v>
      </c>
      <c r="AL43" s="119" t="e">
        <f>'2.4.Функции'!E93+"BYw!$G7"</f>
        <v>#VALUE!</v>
      </c>
      <c r="AM43" s="119" t="e">
        <f>'2.4.Функции'!F93+"BYw!$G8"</f>
        <v>#VALUE!</v>
      </c>
      <c r="AN43" s="119" t="e">
        <f>'2.4.Функции'!G93+"BYw!$G9"</f>
        <v>#VALUE!</v>
      </c>
      <c r="AO43" s="119" t="e">
        <f>'2.4.Функции'!H93+"BYw!$G:"</f>
        <v>#VALUE!</v>
      </c>
      <c r="AP43" s="119" t="e">
        <f>'2.4.Функции'!I93+"BYw!$G;"</f>
        <v>#VALUE!</v>
      </c>
      <c r="AQ43" s="119" t="e">
        <f>'2.4.Функции'!J93+"BYw!$G&lt;"</f>
        <v>#VALUE!</v>
      </c>
      <c r="AR43" s="119" t="e">
        <f>'2.4.Функции'!K93+"BYw!$G="</f>
        <v>#VALUE!</v>
      </c>
      <c r="AS43" t="e">
        <f>'2.4.Функции'!A94+"BYw!$G&gt;"</f>
        <v>#VALUE!</v>
      </c>
      <c r="AT43" s="116" t="e">
        <f>'2.4.Функции'!B94+"BYw!$G?"</f>
        <v>#VALUE!</v>
      </c>
      <c r="AU43" t="e">
        <f>'2.4.Функции'!C94+"BYw!$G@"</f>
        <v>#VALUE!</v>
      </c>
      <c r="AV43" s="119" t="e">
        <f>'2.4.Функции'!D94+"BYw!$GA"</f>
        <v>#VALUE!</v>
      </c>
      <c r="AW43" s="119" t="e">
        <f>'2.4.Функции'!E94+"BYw!$GB"</f>
        <v>#VALUE!</v>
      </c>
      <c r="AX43" s="119" t="e">
        <f>'2.4.Функции'!F94+"BYw!$GC"</f>
        <v>#VALUE!</v>
      </c>
      <c r="AY43" s="119" t="e">
        <f>'2.4.Функции'!G94+"BYw!$GD"</f>
        <v>#VALUE!</v>
      </c>
      <c r="AZ43" s="119" t="e">
        <f>'2.4.Функции'!H94+"BYw!$GE"</f>
        <v>#VALUE!</v>
      </c>
      <c r="BA43" s="119" t="e">
        <f>'2.4.Функции'!I94+"BYw!$GF"</f>
        <v>#VALUE!</v>
      </c>
      <c r="BB43" s="119" t="e">
        <f>'2.4.Функции'!J94+"BYw!$GG"</f>
        <v>#VALUE!</v>
      </c>
      <c r="BC43" s="119" t="e">
        <f>'2.4.Функции'!K94+"BYw!$GH"</f>
        <v>#VALUE!</v>
      </c>
      <c r="BD43" t="e">
        <f>'2.4.Функции'!A95+"BYw!$GI"</f>
        <v>#VALUE!</v>
      </c>
      <c r="BE43" s="116" t="e">
        <f>'2.4.Функции'!B95+"BYw!$GJ"</f>
        <v>#VALUE!</v>
      </c>
      <c r="BF43" t="e">
        <f>'2.4.Функции'!C95+"BYw!$GK"</f>
        <v>#VALUE!</v>
      </c>
      <c r="BG43" s="119" t="e">
        <f>'2.4.Функции'!D95+"BYw!$GL"</f>
        <v>#VALUE!</v>
      </c>
      <c r="BH43" s="119" t="e">
        <f>'2.4.Функции'!E95+"BYw!$GM"</f>
        <v>#VALUE!</v>
      </c>
      <c r="BI43" s="119" t="e">
        <f>'2.4.Функции'!F95+"BYw!$GN"</f>
        <v>#VALUE!</v>
      </c>
      <c r="BJ43" s="119" t="e">
        <f>'2.4.Функции'!G95+"BYw!$GO"</f>
        <v>#VALUE!</v>
      </c>
      <c r="BK43" s="119" t="e">
        <f>'2.4.Функции'!H95+"BYw!$GP"</f>
        <v>#VALUE!</v>
      </c>
      <c r="BL43" s="119" t="e">
        <f>'2.4.Функции'!I95+"BYw!$GQ"</f>
        <v>#VALUE!</v>
      </c>
      <c r="BM43" s="119" t="e">
        <f>'2.4.Функции'!J95+"BYw!$GR"</f>
        <v>#VALUE!</v>
      </c>
      <c r="BN43" s="119" t="e">
        <f>'2.4.Функции'!K95+"BYw!$GS"</f>
        <v>#VALUE!</v>
      </c>
      <c r="BO43" t="e">
        <f>'2.4.Функции'!A96+"BYw!$GT"</f>
        <v>#VALUE!</v>
      </c>
      <c r="BP43" s="116" t="e">
        <f>'2.4.Функции'!B96+"BYw!$GU"</f>
        <v>#VALUE!</v>
      </c>
      <c r="BQ43" t="e">
        <f>'2.4.Функции'!C96+"BYw!$GV"</f>
        <v>#VALUE!</v>
      </c>
      <c r="BR43" s="119" t="e">
        <f>'2.4.Функции'!D96+"BYw!$GW"</f>
        <v>#VALUE!</v>
      </c>
      <c r="BS43" s="119" t="e">
        <f>'2.4.Функции'!E96+"BYw!$GX"</f>
        <v>#VALUE!</v>
      </c>
      <c r="BT43" s="119" t="e">
        <f>'2.4.Функции'!F96+"BYw!$GY"</f>
        <v>#VALUE!</v>
      </c>
      <c r="BU43" s="119" t="e">
        <f>'2.4.Функции'!G96+"BYw!$GZ"</f>
        <v>#VALUE!</v>
      </c>
      <c r="BV43" s="119" t="e">
        <f>'2.4.Функции'!H96+"BYw!$G["</f>
        <v>#VALUE!</v>
      </c>
      <c r="BW43" s="119" t="e">
        <f>'2.4.Функции'!I96+"BYw!$G\"</f>
        <v>#VALUE!</v>
      </c>
      <c r="BX43" s="119" t="e">
        <f>'2.4.Функции'!J96+"BYw!$G]"</f>
        <v>#VALUE!</v>
      </c>
      <c r="BY43" s="119" t="e">
        <f>'2.4.Функции'!K96+"BYw!$G^"</f>
        <v>#VALUE!</v>
      </c>
      <c r="BZ43" t="e">
        <f>'2.4.Функции'!L96+"BYw!$G_"</f>
        <v>#VALUE!</v>
      </c>
      <c r="CA43" t="e">
        <f>'2.4.Функции'!M96+"BYw!$G`"</f>
        <v>#VALUE!</v>
      </c>
      <c r="CB43" t="e">
        <f>'2.4.Функции'!N96+"BYw!$Ga"</f>
        <v>#VALUE!</v>
      </c>
      <c r="CC43" t="e">
        <f>'2.4.Функции'!O96+"BYw!$Gb"</f>
        <v>#VALUE!</v>
      </c>
      <c r="CD43" t="e">
        <f>'2.4.Функции'!P96+"BYw!$Gc"</f>
        <v>#VALUE!</v>
      </c>
      <c r="CE43" t="e">
        <f>'2.4.Функции'!Q96+"BYw!$Gd"</f>
        <v>#VALUE!</v>
      </c>
      <c r="CF43" t="e">
        <f>'2.4.Функции'!R96+"BYw!$Ge"</f>
        <v>#VALUE!</v>
      </c>
      <c r="CG43" t="e">
        <f>'2.4.Функции'!S96+"BYw!$Gf"</f>
        <v>#VALUE!</v>
      </c>
      <c r="CH43" t="e">
        <f>'2.4.Функции'!T96+"BYw!$Gg"</f>
        <v>#VALUE!</v>
      </c>
      <c r="CI43" t="e">
        <f>'2.4.Функции'!U96+"BYw!$Gh"</f>
        <v>#VALUE!</v>
      </c>
      <c r="CJ43" t="e">
        <f>'2.4.Функции'!V96+"BYw!$Gi"</f>
        <v>#VALUE!</v>
      </c>
      <c r="CK43" t="e">
        <f>'2.4.Функции'!W96+"BYw!$Gj"</f>
        <v>#VALUE!</v>
      </c>
      <c r="CL43" t="e">
        <f>'2.4.Функции'!X96+"BYw!$Gk"</f>
        <v>#VALUE!</v>
      </c>
      <c r="CM43" t="e">
        <f>'2.4.Функции'!Y96+"BYw!$Gl"</f>
        <v>#VALUE!</v>
      </c>
      <c r="CN43" t="e">
        <f>'2.4.Функции'!Z96+"BYw!$Gm"</f>
        <v>#VALUE!</v>
      </c>
      <c r="CO43" t="e">
        <f>'2.4.Функции'!AA96+"BYw!$Gn"</f>
        <v>#VALUE!</v>
      </c>
      <c r="CP43" t="e">
        <f>'2.4.Функции'!AB96+"BYw!$Go"</f>
        <v>#VALUE!</v>
      </c>
      <c r="CQ43" t="e">
        <f>'2.4.Функции'!AC96+"BYw!$Gp"</f>
        <v>#VALUE!</v>
      </c>
      <c r="CR43" t="e">
        <f>'2.4.Функции'!A97+"BYw!$Gq"</f>
        <v>#VALUE!</v>
      </c>
      <c r="CS43" s="116" t="e">
        <f>'2.4.Функции'!B97+"BYw!$Gr"</f>
        <v>#VALUE!</v>
      </c>
      <c r="CT43" t="e">
        <f>'2.4.Функции'!C97+"BYw!$Gs"</f>
        <v>#VALUE!</v>
      </c>
      <c r="CU43" s="119" t="e">
        <f>'2.4.Функции'!D97+"BYw!$Gt"</f>
        <v>#VALUE!</v>
      </c>
      <c r="CV43" s="119" t="e">
        <f>'2.4.Функции'!E97+"BYw!$Gu"</f>
        <v>#VALUE!</v>
      </c>
      <c r="CW43" s="119" t="e">
        <f>'2.4.Функции'!F97+"BYw!$Gv"</f>
        <v>#VALUE!</v>
      </c>
      <c r="CX43" s="119" t="e">
        <f>'2.4.Функции'!G97+"BYw!$Gw"</f>
        <v>#VALUE!</v>
      </c>
      <c r="CY43" s="119" t="e">
        <f>'2.4.Функции'!H97+"BYw!$Gx"</f>
        <v>#VALUE!</v>
      </c>
      <c r="CZ43" s="119" t="e">
        <f>'2.4.Функции'!I97+"BYw!$Gy"</f>
        <v>#VALUE!</v>
      </c>
      <c r="DA43" s="119" t="e">
        <f>'2.4.Функции'!J97+"BYw!$Gz"</f>
        <v>#VALUE!</v>
      </c>
      <c r="DB43" s="119" t="e">
        <f>'2.4.Функции'!K97+"BYw!$G{"</f>
        <v>#VALUE!</v>
      </c>
      <c r="DC43" t="e">
        <f>'2.4.Функции'!L97+"BYw!$G|"</f>
        <v>#VALUE!</v>
      </c>
      <c r="DD43" t="e">
        <f>'2.4.Функции'!M97+"BYw!$G}"</f>
        <v>#VALUE!</v>
      </c>
      <c r="DE43" t="e">
        <f>'2.4.Функции'!N97+"BYw!$G~"</f>
        <v>#VALUE!</v>
      </c>
      <c r="DF43" t="e">
        <f>'2.4.Функции'!O97+"BYw!$H#"</f>
        <v>#VALUE!</v>
      </c>
      <c r="DG43" t="e">
        <f>'2.4.Функции'!P97+"BYw!$H$"</f>
        <v>#VALUE!</v>
      </c>
      <c r="DH43" t="e">
        <f>'2.4.Функции'!Q97+"BYw!$H%"</f>
        <v>#VALUE!</v>
      </c>
      <c r="DI43" t="e">
        <f>'2.4.Функции'!R97+"BYw!$H&amp;"</f>
        <v>#VALUE!</v>
      </c>
      <c r="DJ43" t="e">
        <f>'2.4.Функции'!S97+"BYw!$H'"</f>
        <v>#VALUE!</v>
      </c>
      <c r="DK43" t="e">
        <f>'2.4.Функции'!T97+"BYw!$H("</f>
        <v>#VALUE!</v>
      </c>
      <c r="DL43" t="e">
        <f>'2.4.Функции'!U97+"BYw!$H)"</f>
        <v>#VALUE!</v>
      </c>
      <c r="DM43" t="e">
        <f>'2.4.Функции'!V97+"BYw!$H."</f>
        <v>#VALUE!</v>
      </c>
      <c r="DN43" t="e">
        <f>'2.4.Функции'!W97+"BYw!$H/"</f>
        <v>#VALUE!</v>
      </c>
      <c r="DO43" t="e">
        <f>'2.4.Функции'!X97+"BYw!$H0"</f>
        <v>#VALUE!</v>
      </c>
      <c r="DP43" t="e">
        <f>'2.4.Функции'!Y97+"BYw!$H1"</f>
        <v>#VALUE!</v>
      </c>
      <c r="DQ43" t="e">
        <f>'2.4.Функции'!Z97+"BYw!$H2"</f>
        <v>#VALUE!</v>
      </c>
      <c r="DR43" t="e">
        <f>'2.4.Функции'!AA97+"BYw!$H3"</f>
        <v>#VALUE!</v>
      </c>
      <c r="DS43" t="e">
        <f>'2.4.Функции'!AB97+"BYw!$H4"</f>
        <v>#VALUE!</v>
      </c>
      <c r="DT43" t="e">
        <f>'2.4.Функции'!AC97+"BYw!$H5"</f>
        <v>#VALUE!</v>
      </c>
      <c r="DU43" t="e">
        <f>'2.4.Функции'!A98+"BYw!$H6"</f>
        <v>#VALUE!</v>
      </c>
      <c r="DV43" s="116" t="e">
        <f>'2.4.Функции'!B98+"BYw!$H7"</f>
        <v>#VALUE!</v>
      </c>
      <c r="DW43" t="e">
        <f>'2.4.Функции'!C98+"BYw!$H8"</f>
        <v>#VALUE!</v>
      </c>
      <c r="DX43" s="119" t="e">
        <f>'2.4.Функции'!D98+"BYw!$H9"</f>
        <v>#VALUE!</v>
      </c>
      <c r="DY43" s="119" t="e">
        <f>'2.4.Функции'!E98+"BYw!$H:"</f>
        <v>#VALUE!</v>
      </c>
      <c r="DZ43" s="119" t="e">
        <f>'2.4.Функции'!F98+"BYw!$H;"</f>
        <v>#VALUE!</v>
      </c>
      <c r="EA43" s="119" t="e">
        <f>'2.4.Функции'!G98+"BYw!$H&lt;"</f>
        <v>#VALUE!</v>
      </c>
      <c r="EB43" s="119" t="e">
        <f>'2.4.Функции'!H98+"BYw!$H="</f>
        <v>#VALUE!</v>
      </c>
      <c r="EC43" s="119" t="e">
        <f>'2.4.Функции'!I98+"BYw!$H&gt;"</f>
        <v>#VALUE!</v>
      </c>
      <c r="ED43" s="119" t="e">
        <f>'2.4.Функции'!J98+"BYw!$H?"</f>
        <v>#VALUE!</v>
      </c>
      <c r="EE43" s="119" t="e">
        <f>'2.4.Функции'!K98+"BYw!$H@"</f>
        <v>#VALUE!</v>
      </c>
      <c r="EF43" t="e">
        <f>'2.4.Функции'!L98+"BYw!$HA"</f>
        <v>#VALUE!</v>
      </c>
      <c r="EG43" t="e">
        <f>'2.4.Функции'!M98+"BYw!$HB"</f>
        <v>#VALUE!</v>
      </c>
      <c r="EH43" t="e">
        <f>'2.4.Функции'!N98+"BYw!$HC"</f>
        <v>#VALUE!</v>
      </c>
      <c r="EI43" t="e">
        <f>'2.4.Функции'!O98+"BYw!$HD"</f>
        <v>#VALUE!</v>
      </c>
      <c r="EJ43" t="e">
        <f>'2.4.Функции'!P98+"BYw!$HE"</f>
        <v>#VALUE!</v>
      </c>
      <c r="EK43" t="e">
        <f>'2.4.Функции'!Q98+"BYw!$HF"</f>
        <v>#VALUE!</v>
      </c>
      <c r="EL43" t="e">
        <f>'2.4.Функции'!R98+"BYw!$HG"</f>
        <v>#VALUE!</v>
      </c>
      <c r="EM43" t="e">
        <f>'2.4.Функции'!S98+"BYw!$HH"</f>
        <v>#VALUE!</v>
      </c>
      <c r="EN43" t="e">
        <f>'2.4.Функции'!T98+"BYw!$HI"</f>
        <v>#VALUE!</v>
      </c>
      <c r="EO43" t="e">
        <f>'2.4.Функции'!U98+"BYw!$HJ"</f>
        <v>#VALUE!</v>
      </c>
      <c r="EP43" t="e">
        <f>'2.4.Функции'!V98+"BYw!$HK"</f>
        <v>#VALUE!</v>
      </c>
      <c r="EQ43" t="e">
        <f>'2.4.Функции'!W98+"BYw!$HL"</f>
        <v>#VALUE!</v>
      </c>
      <c r="ER43" t="e">
        <f>'2.4.Функции'!X98+"BYw!$HM"</f>
        <v>#VALUE!</v>
      </c>
      <c r="ES43" t="e">
        <f>'2.4.Функции'!Y98+"BYw!$HN"</f>
        <v>#VALUE!</v>
      </c>
      <c r="ET43" t="e">
        <f>'2.4.Функции'!Z98+"BYw!$HO"</f>
        <v>#VALUE!</v>
      </c>
      <c r="EU43" t="e">
        <f>'2.4.Функции'!AA98+"BYw!$HP"</f>
        <v>#VALUE!</v>
      </c>
      <c r="EV43" t="e">
        <f>'2.4.Функции'!AB98+"BYw!$HQ"</f>
        <v>#VALUE!</v>
      </c>
      <c r="EW43" t="e">
        <f>'2.4.Функции'!AC98+"BYw!$HR"</f>
        <v>#VALUE!</v>
      </c>
      <c r="EX43" t="e">
        <f>'2.4.Функции'!A99+"BYw!$HS"</f>
        <v>#VALUE!</v>
      </c>
      <c r="EY43" s="116" t="e">
        <f>'2.4.Функции'!B99+"BYw!$HT"</f>
        <v>#VALUE!</v>
      </c>
      <c r="EZ43" t="e">
        <f>'2.4.Функции'!C99+"BYw!$HU"</f>
        <v>#VALUE!</v>
      </c>
      <c r="FA43" s="119" t="e">
        <f>'2.4.Функции'!D99+"BYw!$HV"</f>
        <v>#VALUE!</v>
      </c>
      <c r="FB43" s="119" t="e">
        <f>'2.4.Функции'!E99+"BYw!$HW"</f>
        <v>#VALUE!</v>
      </c>
      <c r="FC43" s="119" t="e">
        <f>'2.4.Функции'!F99+"BYw!$HX"</f>
        <v>#VALUE!</v>
      </c>
      <c r="FD43" s="119" t="e">
        <f>'2.4.Функции'!G99+"BYw!$HY"</f>
        <v>#VALUE!</v>
      </c>
      <c r="FE43" s="119" t="e">
        <f>'2.4.Функции'!H99+"BYw!$HZ"</f>
        <v>#VALUE!</v>
      </c>
      <c r="FF43" s="119" t="e">
        <f>'2.4.Функции'!I99+"BYw!$H["</f>
        <v>#VALUE!</v>
      </c>
      <c r="FG43" s="119" t="e">
        <f>'2.4.Функции'!J99+"BYw!$H\"</f>
        <v>#VALUE!</v>
      </c>
      <c r="FH43" s="119" t="e">
        <f>'2.4.Функции'!K99+"BYw!$H]"</f>
        <v>#VALUE!</v>
      </c>
      <c r="FI43" t="e">
        <f>'2.4.Функции'!L99+"BYw!$H^"</f>
        <v>#VALUE!</v>
      </c>
      <c r="FJ43" t="e">
        <f>'2.4.Функции'!M99+"BYw!$H_"</f>
        <v>#VALUE!</v>
      </c>
      <c r="FK43" t="e">
        <f>'2.4.Функции'!N99+"BYw!$H`"</f>
        <v>#VALUE!</v>
      </c>
      <c r="FL43" t="e">
        <f>'2.4.Функции'!O99+"BYw!$Ha"</f>
        <v>#VALUE!</v>
      </c>
      <c r="FM43" t="e">
        <f>'2.4.Функции'!P99+"BYw!$Hb"</f>
        <v>#VALUE!</v>
      </c>
      <c r="FN43" t="e">
        <f>'2.4.Функции'!Q99+"BYw!$Hc"</f>
        <v>#VALUE!</v>
      </c>
      <c r="FO43" t="e">
        <f>'2.4.Функции'!R99+"BYw!$Hd"</f>
        <v>#VALUE!</v>
      </c>
      <c r="FP43" t="e">
        <f>'2.4.Функции'!S99+"BYw!$He"</f>
        <v>#VALUE!</v>
      </c>
      <c r="FQ43" t="e">
        <f>'2.4.Функции'!T99+"BYw!$Hf"</f>
        <v>#VALUE!</v>
      </c>
      <c r="FR43" t="e">
        <f>'2.4.Функции'!U99+"BYw!$Hg"</f>
        <v>#VALUE!</v>
      </c>
      <c r="FS43" t="e">
        <f>'2.4.Функции'!V99+"BYw!$Hh"</f>
        <v>#VALUE!</v>
      </c>
      <c r="FT43" t="e">
        <f>'2.4.Функции'!W99+"BYw!$Hi"</f>
        <v>#VALUE!</v>
      </c>
      <c r="FU43" t="e">
        <f>'2.4.Функции'!X99+"BYw!$Hj"</f>
        <v>#VALUE!</v>
      </c>
      <c r="FV43" t="e">
        <f>'2.4.Функции'!Y99+"BYw!$Hk"</f>
        <v>#VALUE!</v>
      </c>
      <c r="FW43" t="e">
        <f>'2.4.Функции'!Z99+"BYw!$Hl"</f>
        <v>#VALUE!</v>
      </c>
      <c r="FX43" t="e">
        <f>'2.4.Функции'!AA99+"BYw!$Hm"</f>
        <v>#VALUE!</v>
      </c>
      <c r="FY43" t="e">
        <f>'2.4.Функции'!AB99+"BYw!$Hn"</f>
        <v>#VALUE!</v>
      </c>
      <c r="FZ43" t="e">
        <f>'2.4.Функции'!AC99+"BYw!$Ho"</f>
        <v>#VALUE!</v>
      </c>
      <c r="GA43" t="e">
        <f>'2.4.Функции'!A100+"BYw!$Hp"</f>
        <v>#VALUE!</v>
      </c>
      <c r="GB43" s="116" t="e">
        <f>'2.4.Функции'!B100+"BYw!$Hq"</f>
        <v>#VALUE!</v>
      </c>
      <c r="GC43" s="116" t="e">
        <f>'2.4.Функции'!C100+"BYw!$Hr"</f>
        <v>#VALUE!</v>
      </c>
      <c r="GD43" s="118" t="e">
        <f>'2.4.Функции'!D100+"BYw!$Hs"</f>
        <v>#VALUE!</v>
      </c>
      <c r="GE43" s="118" t="e">
        <f>'2.4.Функции'!E100+"BYw!$Ht"</f>
        <v>#VALUE!</v>
      </c>
      <c r="GF43" s="118" t="e">
        <f>'2.4.Функции'!F100+"BYw!$Hu"</f>
        <v>#VALUE!</v>
      </c>
      <c r="GG43" s="118" t="e">
        <f>'2.4.Функции'!G100+"BYw!$Hv"</f>
        <v>#VALUE!</v>
      </c>
      <c r="GH43" s="118" t="e">
        <f>'2.4.Функции'!H100+"BYw!$Hw"</f>
        <v>#VALUE!</v>
      </c>
      <c r="GI43" s="118" t="e">
        <f>'2.4.Функции'!I100+"BYw!$Hx"</f>
        <v>#VALUE!</v>
      </c>
      <c r="GJ43" s="118" t="e">
        <f>'2.4.Функции'!J100+"BYw!$Hy"</f>
        <v>#VALUE!</v>
      </c>
      <c r="GK43" s="118" t="e">
        <f>'2.4.Функции'!K100+"BYw!$Hz"</f>
        <v>#VALUE!</v>
      </c>
      <c r="GL43" t="e">
        <f>'2.4.Функции'!L100+"BYw!$H{"</f>
        <v>#VALUE!</v>
      </c>
      <c r="GM43" t="e">
        <f>'2.4.Функции'!M100+"BYw!$H|"</f>
        <v>#VALUE!</v>
      </c>
      <c r="GN43" t="e">
        <f>'2.4.Функции'!N100+"BYw!$H}"</f>
        <v>#VALUE!</v>
      </c>
      <c r="GO43" t="e">
        <f>'2.4.Функции'!O100+"BYw!$H~"</f>
        <v>#VALUE!</v>
      </c>
      <c r="GP43" t="e">
        <f>'2.4.Функции'!P100+"BYw!$I#"</f>
        <v>#VALUE!</v>
      </c>
      <c r="GQ43" t="e">
        <f>'2.4.Функции'!Q100+"BYw!$I$"</f>
        <v>#VALUE!</v>
      </c>
      <c r="GR43" t="e">
        <f>'2.4.Функции'!R100+"BYw!$I%"</f>
        <v>#VALUE!</v>
      </c>
      <c r="GS43" t="e">
        <f>'2.4.Функции'!S100+"BYw!$I&amp;"</f>
        <v>#VALUE!</v>
      </c>
      <c r="GT43" t="e">
        <f>'2.4.Функции'!T100+"BYw!$I'"</f>
        <v>#VALUE!</v>
      </c>
      <c r="GU43" t="e">
        <f>'2.4.Функции'!U100+"BYw!$I("</f>
        <v>#VALUE!</v>
      </c>
      <c r="GV43" t="e">
        <f>'2.4.Функции'!V100+"BYw!$I)"</f>
        <v>#VALUE!</v>
      </c>
      <c r="GW43" t="e">
        <f>'2.4.Функции'!W100+"BYw!$I."</f>
        <v>#VALUE!</v>
      </c>
      <c r="GX43" t="e">
        <f>'2.4.Функции'!X100+"BYw!$I/"</f>
        <v>#VALUE!</v>
      </c>
      <c r="GY43" t="e">
        <f>'2.4.Функции'!Y100+"BYw!$I0"</f>
        <v>#VALUE!</v>
      </c>
      <c r="GZ43" t="e">
        <f>'2.4.Функции'!Z100+"BYw!$I1"</f>
        <v>#VALUE!</v>
      </c>
      <c r="HA43" t="e">
        <f>'2.4.Функции'!AA100+"BYw!$I2"</f>
        <v>#VALUE!</v>
      </c>
      <c r="HB43" t="e">
        <f>'2.4.Функции'!AB100+"BYw!$I3"</f>
        <v>#VALUE!</v>
      </c>
      <c r="HC43" t="e">
        <f>'2.4.Функции'!AC100+"BYw!$I4"</f>
        <v>#VALUE!</v>
      </c>
      <c r="HD43" t="e">
        <f>'2.4.Функции'!A101+"BYw!$I5"</f>
        <v>#VALUE!</v>
      </c>
      <c r="HE43" s="116" t="e">
        <f>'2.4.Функции'!B101+"BYw!$I6"</f>
        <v>#VALUE!</v>
      </c>
      <c r="HF43" t="e">
        <f>'2.4.Функции'!C101+"BYw!$I7"</f>
        <v>#VALUE!</v>
      </c>
      <c r="HG43" s="119" t="e">
        <f>'2.4.Функции'!D101+"BYw!$I8"</f>
        <v>#VALUE!</v>
      </c>
      <c r="HH43" s="119" t="e">
        <f>'2.4.Функции'!E101+"BYw!$I9"</f>
        <v>#VALUE!</v>
      </c>
      <c r="HI43" s="119" t="e">
        <f>'2.4.Функции'!F101+"BYw!$I:"</f>
        <v>#VALUE!</v>
      </c>
      <c r="HJ43" s="119" t="e">
        <f>'2.4.Функции'!G101+"BYw!$I;"</f>
        <v>#VALUE!</v>
      </c>
      <c r="HK43" s="119" t="e">
        <f>'2.4.Функции'!H101+"BYw!$I&lt;"</f>
        <v>#VALUE!</v>
      </c>
      <c r="HL43" s="119" t="e">
        <f>'2.4.Функции'!I101+"BYw!$I="</f>
        <v>#VALUE!</v>
      </c>
      <c r="HM43" s="119" t="e">
        <f>'2.4.Функции'!J101+"BYw!$I&gt;"</f>
        <v>#VALUE!</v>
      </c>
      <c r="HN43" s="119" t="e">
        <f>'2.4.Функции'!K101+"BYw!$I?"</f>
        <v>#VALUE!</v>
      </c>
      <c r="HO43" t="e">
        <f>'2.4.Функции'!L101+"BYw!$I@"</f>
        <v>#VALUE!</v>
      </c>
      <c r="HP43" t="e">
        <f>'2.4.Функции'!M101+"BYw!$IA"</f>
        <v>#VALUE!</v>
      </c>
      <c r="HQ43" t="e">
        <f>'2.4.Функции'!N101+"BYw!$IB"</f>
        <v>#VALUE!</v>
      </c>
      <c r="HR43" t="e">
        <f>'2.4.Функции'!O101+"BYw!$IC"</f>
        <v>#VALUE!</v>
      </c>
      <c r="HS43" t="e">
        <f>'2.4.Функции'!P101+"BYw!$ID"</f>
        <v>#VALUE!</v>
      </c>
      <c r="HT43" t="e">
        <f>'2.4.Функции'!Q101+"BYw!$IE"</f>
        <v>#VALUE!</v>
      </c>
      <c r="HU43" t="e">
        <f>'2.4.Функции'!R101+"BYw!$IF"</f>
        <v>#VALUE!</v>
      </c>
      <c r="HV43" t="e">
        <f>'2.4.Функции'!S101+"BYw!$IG"</f>
        <v>#VALUE!</v>
      </c>
      <c r="HW43" t="e">
        <f>'2.4.Функции'!T101+"BYw!$IH"</f>
        <v>#VALUE!</v>
      </c>
      <c r="HX43" t="e">
        <f>'2.4.Функции'!U101+"BYw!$II"</f>
        <v>#VALUE!</v>
      </c>
      <c r="HY43" t="e">
        <f>'2.4.Функции'!V101+"BYw!$IJ"</f>
        <v>#VALUE!</v>
      </c>
      <c r="HZ43" t="e">
        <f>'2.4.Функции'!W101+"BYw!$IK"</f>
        <v>#VALUE!</v>
      </c>
      <c r="IA43" t="e">
        <f>'2.4.Функции'!X101+"BYw!$IL"</f>
        <v>#VALUE!</v>
      </c>
      <c r="IB43" t="e">
        <f>'2.4.Функции'!Y101+"BYw!$IM"</f>
        <v>#VALUE!</v>
      </c>
      <c r="IC43" t="e">
        <f>'2.4.Функции'!Z101+"BYw!$IN"</f>
        <v>#VALUE!</v>
      </c>
      <c r="ID43" t="e">
        <f>'2.4.Функции'!AA101+"BYw!$IO"</f>
        <v>#VALUE!</v>
      </c>
      <c r="IE43" t="e">
        <f>'2.4.Функции'!AB101+"BYw!$IP"</f>
        <v>#VALUE!</v>
      </c>
      <c r="IF43" t="e">
        <f>'2.4.Функции'!AC101+"BYw!$IQ"</f>
        <v>#VALUE!</v>
      </c>
      <c r="IG43" t="e">
        <f>'2.4.Функции'!A102+"BYw!$IR"</f>
        <v>#VALUE!</v>
      </c>
      <c r="IH43" s="116" t="e">
        <f>'2.4.Функции'!B102+"BYw!$IS"</f>
        <v>#VALUE!</v>
      </c>
      <c r="II43" t="e">
        <f>'2.4.Функции'!C102+"BYw!$IT"</f>
        <v>#VALUE!</v>
      </c>
      <c r="IJ43" s="119" t="e">
        <f>'2.4.Функции'!D102+"BYw!$IU"</f>
        <v>#VALUE!</v>
      </c>
      <c r="IK43" s="119" t="e">
        <f>'2.4.Функции'!E102+"BYw!$IV"</f>
        <v>#VALUE!</v>
      </c>
      <c r="IL43" s="119" t="e">
        <f>'2.4.Функции'!F102+"BYw!$IW"</f>
        <v>#VALUE!</v>
      </c>
      <c r="IM43" s="119" t="e">
        <f>'2.4.Функции'!G102+"BYw!$IX"</f>
        <v>#VALUE!</v>
      </c>
      <c r="IN43" s="119" t="e">
        <f>'2.4.Функции'!H102+"BYw!$IY"</f>
        <v>#VALUE!</v>
      </c>
      <c r="IO43" s="119" t="e">
        <f>'2.4.Функции'!I102+"BYw!$IZ"</f>
        <v>#VALUE!</v>
      </c>
      <c r="IP43" s="119" t="e">
        <f>'2.4.Функции'!J102+"BYw!$I["</f>
        <v>#VALUE!</v>
      </c>
      <c r="IQ43" s="119" t="e">
        <f>'2.4.Функции'!K102+"BYw!$I\"</f>
        <v>#VALUE!</v>
      </c>
      <c r="IR43" t="e">
        <f>'2.4.Функции'!A103+"BYw!$I]"</f>
        <v>#VALUE!</v>
      </c>
      <c r="IS43" s="116" t="e">
        <f>'2.4.Функции'!B103+"BYw!$I^"</f>
        <v>#VALUE!</v>
      </c>
      <c r="IT43" t="e">
        <f>'2.4.Функции'!C103+"BYw!$I_"</f>
        <v>#VALUE!</v>
      </c>
      <c r="IU43" s="119" t="e">
        <f>'2.4.Функции'!D103+"BYw!$I`"</f>
        <v>#VALUE!</v>
      </c>
      <c r="IV43" s="119" t="e">
        <f>'2.4.Функции'!E103+"BYw!$Ia"</f>
        <v>#VALUE!</v>
      </c>
    </row>
    <row r="44" spans="6:256" x14ac:dyDescent="0.2">
      <c r="F44" s="119" t="e">
        <f>'2.4.Функции'!F103+"BYw!$Ib"</f>
        <v>#VALUE!</v>
      </c>
      <c r="G44" s="119" t="e">
        <f>'2.4.Функции'!G103+"BYw!$Ic"</f>
        <v>#VALUE!</v>
      </c>
      <c r="H44" s="119" t="e">
        <f>'2.4.Функции'!H103+"BYw!$Id"</f>
        <v>#VALUE!</v>
      </c>
      <c r="I44" s="119" t="e">
        <f>'2.4.Функции'!I103+"BYw!$Ie"</f>
        <v>#VALUE!</v>
      </c>
      <c r="J44" s="119" t="e">
        <f>'2.4.Функции'!J103+"BYw!$If"</f>
        <v>#VALUE!</v>
      </c>
      <c r="K44" s="119" t="e">
        <f>'2.4.Функции'!K103+"BYw!$Ig"</f>
        <v>#VALUE!</v>
      </c>
      <c r="L44" t="e">
        <f>'2.4.Функции'!A104+"BYw!$Ih"</f>
        <v>#VALUE!</v>
      </c>
      <c r="M44" s="116" t="e">
        <f>'2.4.Функции'!B104+"BYw!$Ii"</f>
        <v>#VALUE!</v>
      </c>
      <c r="N44" t="e">
        <f>'2.4.Функции'!C104+"BYw!$Ij"</f>
        <v>#VALUE!</v>
      </c>
      <c r="O44" s="119" t="e">
        <f>'2.4.Функции'!D104+"BYw!$Ik"</f>
        <v>#VALUE!</v>
      </c>
      <c r="P44" s="119" t="e">
        <f>'2.4.Функции'!E104+"BYw!$Il"</f>
        <v>#VALUE!</v>
      </c>
      <c r="Q44" s="119" t="e">
        <f>'2.4.Функции'!F104+"BYw!$Im"</f>
        <v>#VALUE!</v>
      </c>
      <c r="R44" s="119" t="e">
        <f>'2.4.Функции'!G104+"BYw!$In"</f>
        <v>#VALUE!</v>
      </c>
      <c r="S44" s="119" t="e">
        <f>'2.4.Функции'!H104+"BYw!$Io"</f>
        <v>#VALUE!</v>
      </c>
      <c r="T44" s="119" t="e">
        <f>'2.4.Функции'!I104+"BYw!$Ip"</f>
        <v>#VALUE!</v>
      </c>
      <c r="U44" s="119" t="e">
        <f>'2.4.Функции'!J104+"BYw!$Iq"</f>
        <v>#VALUE!</v>
      </c>
      <c r="V44" s="119" t="e">
        <f>'2.4.Функции'!K104+"BYw!$Ir"</f>
        <v>#VALUE!</v>
      </c>
      <c r="W44" t="e">
        <f>'2.4.Функции'!A105+"BYw!$Is"</f>
        <v>#VALUE!</v>
      </c>
      <c r="X44" s="116" t="e">
        <f>'2.4.Функции'!B105+"BYw!$It"</f>
        <v>#VALUE!</v>
      </c>
      <c r="Y44" t="e">
        <f>'2.4.Функции'!C105+"BYw!$Iu"</f>
        <v>#VALUE!</v>
      </c>
      <c r="Z44" s="119" t="e">
        <f>'2.4.Функции'!D105+"BYw!$Iv"</f>
        <v>#VALUE!</v>
      </c>
      <c r="AA44" s="119" t="e">
        <f>'2.4.Функции'!E105+"BYw!$Iw"</f>
        <v>#VALUE!</v>
      </c>
      <c r="AB44" s="119" t="e">
        <f>'2.4.Функции'!F105+"BYw!$Ix"</f>
        <v>#VALUE!</v>
      </c>
      <c r="AC44" s="119" t="e">
        <f>'2.4.Функции'!G105+"BYw!$Iy"</f>
        <v>#VALUE!</v>
      </c>
      <c r="AD44" s="119" t="e">
        <f>'2.4.Функции'!H105+"BYw!$Iz"</f>
        <v>#VALUE!</v>
      </c>
      <c r="AE44" s="119" t="e">
        <f>'2.4.Функции'!I105+"BYw!$I{"</f>
        <v>#VALUE!</v>
      </c>
      <c r="AF44" s="119" t="e">
        <f>'2.4.Функции'!J105+"BYw!$I|"</f>
        <v>#VALUE!</v>
      </c>
      <c r="AG44" s="119" t="e">
        <f>'2.4.Функции'!K105+"BYw!$I}"</f>
        <v>#VALUE!</v>
      </c>
      <c r="AH44" t="e">
        <f>'2.4.Функции'!A106+"BYw!$I~"</f>
        <v>#VALUE!</v>
      </c>
      <c r="AI44" s="116" t="e">
        <f>'2.4.Функции'!B106+"BYw!$J#"</f>
        <v>#VALUE!</v>
      </c>
      <c r="AJ44" t="e">
        <f>'2.4.Функции'!C106+"BYw!$J$"</f>
        <v>#VALUE!</v>
      </c>
      <c r="AK44" s="119" t="e">
        <f>'2.4.Функции'!D106+"BYw!$J%"</f>
        <v>#VALUE!</v>
      </c>
      <c r="AL44" s="119" t="e">
        <f>'2.4.Функции'!E106+"BYw!$J&amp;"</f>
        <v>#VALUE!</v>
      </c>
      <c r="AM44" s="119" t="e">
        <f>'2.4.Функции'!F106+"BYw!$J'"</f>
        <v>#VALUE!</v>
      </c>
      <c r="AN44" s="119" t="e">
        <f>'2.4.Функции'!G106+"BYw!$J("</f>
        <v>#VALUE!</v>
      </c>
      <c r="AO44" s="119" t="e">
        <f>'2.4.Функции'!H106+"BYw!$J)"</f>
        <v>#VALUE!</v>
      </c>
      <c r="AP44" s="119" t="e">
        <f>'2.4.Функции'!I106+"BYw!$J."</f>
        <v>#VALUE!</v>
      </c>
      <c r="AQ44" s="119" t="e">
        <f>'2.4.Функции'!J106+"BYw!$J/"</f>
        <v>#VALUE!</v>
      </c>
      <c r="AR44" s="119" t="e">
        <f>'2.4.Функции'!K106+"BYw!$J0"</f>
        <v>#VALUE!</v>
      </c>
      <c r="AS44" t="e">
        <f>'2.4.Функции'!A107+"BYw!$J1"</f>
        <v>#VALUE!</v>
      </c>
      <c r="AT44" s="116" t="e">
        <f>'2.4.Функции'!B107+"BYw!$J2"</f>
        <v>#VALUE!</v>
      </c>
      <c r="AU44" t="e">
        <f>'2.4.Функции'!C107+"BYw!$J3"</f>
        <v>#VALUE!</v>
      </c>
      <c r="AV44" s="119" t="e">
        <f>'2.4.Функции'!D107+"BYw!$J4"</f>
        <v>#VALUE!</v>
      </c>
      <c r="AW44" s="119" t="e">
        <f>'2.4.Функции'!E107+"BYw!$J5"</f>
        <v>#VALUE!</v>
      </c>
      <c r="AX44" s="119" t="e">
        <f>'2.4.Функции'!F107+"BYw!$J6"</f>
        <v>#VALUE!</v>
      </c>
      <c r="AY44" s="119" t="e">
        <f>'2.4.Функции'!G107+"BYw!$J7"</f>
        <v>#VALUE!</v>
      </c>
      <c r="AZ44" s="119" t="e">
        <f>'2.4.Функции'!H107+"BYw!$J8"</f>
        <v>#VALUE!</v>
      </c>
      <c r="BA44" s="119" t="e">
        <f>'2.4.Функции'!I107+"BYw!$J9"</f>
        <v>#VALUE!</v>
      </c>
      <c r="BB44" s="119" t="e">
        <f>'2.4.Функции'!J107+"BYw!$J:"</f>
        <v>#VALUE!</v>
      </c>
      <c r="BC44" s="119" t="e">
        <f>'2.4.Функции'!K107+"BYw!$J;"</f>
        <v>#VALUE!</v>
      </c>
      <c r="BD44" t="e">
        <f>'2.4.Функции'!A108+"BYw!$J&lt;"</f>
        <v>#VALUE!</v>
      </c>
      <c r="BE44" s="116" t="e">
        <f>'2.4.Функции'!B108+"BYw!$J="</f>
        <v>#VALUE!</v>
      </c>
      <c r="BF44" t="e">
        <f>'2.4.Функции'!C108+"BYw!$J&gt;"</f>
        <v>#VALUE!</v>
      </c>
      <c r="BG44" s="119" t="e">
        <f>'2.4.Функции'!D108+"BYw!$J?"</f>
        <v>#VALUE!</v>
      </c>
      <c r="BH44" s="119" t="e">
        <f>'2.4.Функции'!E108+"BYw!$J@"</f>
        <v>#VALUE!</v>
      </c>
      <c r="BI44" s="119" t="e">
        <f>'2.4.Функции'!F108+"BYw!$JA"</f>
        <v>#VALUE!</v>
      </c>
      <c r="BJ44" s="119" t="e">
        <f>'2.4.Функции'!G108+"BYw!$JB"</f>
        <v>#VALUE!</v>
      </c>
      <c r="BK44" s="119" t="e">
        <f>'2.4.Функции'!H108+"BYw!$JC"</f>
        <v>#VALUE!</v>
      </c>
      <c r="BL44" s="119" t="e">
        <f>'2.4.Функции'!I108+"BYw!$JD"</f>
        <v>#VALUE!</v>
      </c>
      <c r="BM44" s="119" t="e">
        <f>'2.4.Функции'!J108+"BYw!$JE"</f>
        <v>#VALUE!</v>
      </c>
      <c r="BN44" s="119" t="e">
        <f>'2.4.Функции'!K108+"BYw!$JF"</f>
        <v>#VALUE!</v>
      </c>
      <c r="BO44" t="e">
        <f>'2.4.Функции'!A109+"BYw!$JG"</f>
        <v>#VALUE!</v>
      </c>
      <c r="BP44" s="116" t="e">
        <f>'2.4.Функции'!B109+"BYw!$JH"</f>
        <v>#VALUE!</v>
      </c>
      <c r="BQ44" t="e">
        <f>'2.4.Функции'!C109+"BYw!$JI"</f>
        <v>#VALUE!</v>
      </c>
      <c r="BR44" s="119" t="e">
        <f>'2.4.Функции'!D109+"BYw!$JJ"</f>
        <v>#VALUE!</v>
      </c>
      <c r="BS44" s="119" t="e">
        <f>'2.4.Функции'!E109+"BYw!$JK"</f>
        <v>#VALUE!</v>
      </c>
      <c r="BT44" s="119" t="e">
        <f>'2.4.Функции'!F109+"BYw!$JL"</f>
        <v>#VALUE!</v>
      </c>
      <c r="BU44" s="119" t="e">
        <f>'2.4.Функции'!G109+"BYw!$JM"</f>
        <v>#VALUE!</v>
      </c>
      <c r="BV44" s="119" t="e">
        <f>'2.4.Функции'!H109+"BYw!$JN"</f>
        <v>#VALUE!</v>
      </c>
      <c r="BW44" s="119" t="e">
        <f>'2.4.Функции'!I109+"BYw!$JO"</f>
        <v>#VALUE!</v>
      </c>
      <c r="BX44" s="119" t="e">
        <f>'2.4.Функции'!J109+"BYw!$JP"</f>
        <v>#VALUE!</v>
      </c>
      <c r="BY44" s="119" t="e">
        <f>'2.4.Функции'!K109+"BYw!$JQ"</f>
        <v>#VALUE!</v>
      </c>
      <c r="BZ44" s="116" t="e">
        <f>'2.4.Функции'!B110+"BYw!$JR"</f>
        <v>#VALUE!</v>
      </c>
      <c r="CA44" t="e">
        <f>'2.4.Функции'!C110+"BYw!$JS"</f>
        <v>#VALUE!</v>
      </c>
      <c r="CB44" t="e">
        <f>'2.4.Функции'!D110+"BYw!$JT"</f>
        <v>#VALUE!</v>
      </c>
      <c r="CC44" t="e">
        <f>'2.4.Функции'!E110+"BYw!$JU"</f>
        <v>#VALUE!</v>
      </c>
      <c r="CD44" t="e">
        <f>'2.4.Функции'!F110+"BYw!$JV"</f>
        <v>#VALUE!</v>
      </c>
      <c r="CE44" t="e">
        <f>'2.4.Функции'!G110+"BYw!$JW"</f>
        <v>#VALUE!</v>
      </c>
      <c r="CF44" t="e">
        <f>'2.4.Функции'!H110+"BYw!$JX"</f>
        <v>#VALUE!</v>
      </c>
      <c r="CG44" t="e">
        <f>'2.4.Функции'!I110+"BYw!$JY"</f>
        <v>#VALUE!</v>
      </c>
      <c r="CH44" t="e">
        <f>'2.4.Функции'!J110+"BYw!$JZ"</f>
        <v>#VALUE!</v>
      </c>
      <c r="CI44" t="e">
        <f>'2.4.Функции'!K110+"BYw!$J["</f>
        <v>#VALUE!</v>
      </c>
      <c r="CJ44" t="e">
        <f>'2.4.Функции'!L110+"BYw!$J\"</f>
        <v>#VALUE!</v>
      </c>
      <c r="CK44" t="e">
        <f>'2.4.Функции'!M110+"BYw!$J]"</f>
        <v>#VALUE!</v>
      </c>
      <c r="CL44" t="e">
        <f>'2.4.Функции'!N110+"BYw!$J^"</f>
        <v>#VALUE!</v>
      </c>
      <c r="CM44" t="e">
        <f>'2.4.Функции'!O110+"BYw!$J_"</f>
        <v>#VALUE!</v>
      </c>
      <c r="CN44" t="e">
        <f>'2.4.Функции'!P110+"BYw!$J`"</f>
        <v>#VALUE!</v>
      </c>
      <c r="CO44" t="e">
        <f>'2.4.Функции'!Q110+"BYw!$Ja"</f>
        <v>#VALUE!</v>
      </c>
      <c r="CP44" t="e">
        <f>'2.4.Функции'!R110+"BYw!$Jb"</f>
        <v>#VALUE!</v>
      </c>
      <c r="CQ44" t="e">
        <f>'2.4.Функции'!S110+"BYw!$Jc"</f>
        <v>#VALUE!</v>
      </c>
      <c r="CR44" t="e">
        <f>'2.4.Функции'!T110+"BYw!$Jd"</f>
        <v>#VALUE!</v>
      </c>
      <c r="CS44" t="e">
        <f>'2.4.Функции'!U110+"BYw!$Je"</f>
        <v>#VALUE!</v>
      </c>
      <c r="CT44" t="e">
        <f>'2.4.Функции'!V110+"BYw!$Jf"</f>
        <v>#VALUE!</v>
      </c>
      <c r="CU44" t="e">
        <f>'2.4.Функции'!W110+"BYw!$Jg"</f>
        <v>#VALUE!</v>
      </c>
      <c r="CV44" t="e">
        <f>'2.4.Функции'!X110+"BYw!$Jh"</f>
        <v>#VALUE!</v>
      </c>
      <c r="CW44" t="e">
        <f>'2.4.Функции'!Y110+"BYw!$Ji"</f>
        <v>#VALUE!</v>
      </c>
      <c r="CX44" t="e">
        <f>'2.4.Функции'!Z110+"BYw!$Jj"</f>
        <v>#VALUE!</v>
      </c>
      <c r="CY44" t="e">
        <f>'2.4.Функции'!AA110+"BYw!$Jk"</f>
        <v>#VALUE!</v>
      </c>
      <c r="CZ44" t="e">
        <f>'2.4.Функции'!AB110+"BYw!$Jl"</f>
        <v>#VALUE!</v>
      </c>
      <c r="DA44" t="e">
        <f>'2.4.Функции'!AC110+"BYw!$Jm"</f>
        <v>#VALUE!</v>
      </c>
      <c r="DB44" t="e">
        <f>'2.4.Функции'!B111+"BYw!$Jn"</f>
        <v>#VALUE!</v>
      </c>
      <c r="DC44" t="e">
        <f>'2.4.Функции'!C111+"BYw!$Jo"</f>
        <v>#VALUE!</v>
      </c>
      <c r="DD44" t="e">
        <f>'2.4.Функции'!D111+"BYw!$Jp"</f>
        <v>#VALUE!</v>
      </c>
      <c r="DE44" t="e">
        <f>'2.4.Функции'!E111+"BYw!$Jq"</f>
        <v>#VALUE!</v>
      </c>
      <c r="DF44" t="e">
        <f>'2.4.Функции'!F111+"BYw!$Jr"</f>
        <v>#VALUE!</v>
      </c>
      <c r="DG44" t="e">
        <f>'2.4.Функции'!G111+"BYw!$Js"</f>
        <v>#VALUE!</v>
      </c>
      <c r="DH44" t="e">
        <f>'2.4.Функции'!H111+"BYw!$Jt"</f>
        <v>#VALUE!</v>
      </c>
      <c r="DI44" t="e">
        <f>'2.4.Функции'!I111+"BYw!$Ju"</f>
        <v>#VALUE!</v>
      </c>
      <c r="DJ44" t="e">
        <f>'2.4.Функции'!J111+"BYw!$Jv"</f>
        <v>#VALUE!</v>
      </c>
      <c r="DK44" t="e">
        <f>'2.4.Функции'!K111+"BYw!$Jw"</f>
        <v>#VALUE!</v>
      </c>
      <c r="DL44" t="e">
        <f>'2.4.Функции'!L111+"BYw!$Jx"</f>
        <v>#VALUE!</v>
      </c>
      <c r="DM44" t="e">
        <f>'2.4.Функции'!M111+"BYw!$Jy"</f>
        <v>#VALUE!</v>
      </c>
      <c r="DN44" t="e">
        <f>'2.4.Функции'!N111+"BYw!$Jz"</f>
        <v>#VALUE!</v>
      </c>
      <c r="DO44" t="e">
        <f>'2.4.Функции'!O111+"BYw!$J{"</f>
        <v>#VALUE!</v>
      </c>
      <c r="DP44" t="e">
        <f>'2.4.Функции'!P111+"BYw!$J|"</f>
        <v>#VALUE!</v>
      </c>
      <c r="DQ44" t="e">
        <f>'2.4.Функции'!Q111+"BYw!$J}"</f>
        <v>#VALUE!</v>
      </c>
      <c r="DR44" t="e">
        <f>'2.4.Функции'!R111+"BYw!$J~"</f>
        <v>#VALUE!</v>
      </c>
      <c r="DS44" t="e">
        <f>'2.4.Функции'!S111+"BYw!$K#"</f>
        <v>#VALUE!</v>
      </c>
      <c r="DT44" t="e">
        <f>'2.4.Функции'!T111+"BYw!$K$"</f>
        <v>#VALUE!</v>
      </c>
      <c r="DU44" t="e">
        <f>'2.4.Функции'!U111+"BYw!$K%"</f>
        <v>#VALUE!</v>
      </c>
      <c r="DV44" t="e">
        <f>'2.4.Функции'!V111+"BYw!$K&amp;"</f>
        <v>#VALUE!</v>
      </c>
      <c r="DW44" t="e">
        <f>'2.4.Функции'!W111+"BYw!$K'"</f>
        <v>#VALUE!</v>
      </c>
      <c r="DX44" t="e">
        <f>'2.4.Функции'!X111+"BYw!$K("</f>
        <v>#VALUE!</v>
      </c>
      <c r="DY44" t="e">
        <f>'2.4.Функции'!Y111+"BYw!$K)"</f>
        <v>#VALUE!</v>
      </c>
      <c r="DZ44" t="e">
        <f>'2.4.Функции'!Z111+"BYw!$K."</f>
        <v>#VALUE!</v>
      </c>
      <c r="EA44" t="e">
        <f>'2.4.Функции'!AA111+"BYw!$K/"</f>
        <v>#VALUE!</v>
      </c>
      <c r="EB44" t="e">
        <f>'2.4.Функции'!AB111+"BYw!$K0"</f>
        <v>#VALUE!</v>
      </c>
      <c r="EC44" t="e">
        <f>'2.4.Функции'!AC111+"BYw!$K1"</f>
        <v>#VALUE!</v>
      </c>
      <c r="ED44" t="e">
        <f>'2.4.Функции'!B112+"BYw!$K2"</f>
        <v>#VALUE!</v>
      </c>
      <c r="EE44" t="e">
        <f>'2.4.Функции'!C112+"BYw!$K3"</f>
        <v>#VALUE!</v>
      </c>
      <c r="EF44" s="118" t="e">
        <f>'2.4.Функции'!D112+"BYw!$K4"</f>
        <v>#VALUE!</v>
      </c>
      <c r="EG44" s="118" t="e">
        <f>'2.4.Функции'!E112+"BYw!$K5"</f>
        <v>#VALUE!</v>
      </c>
      <c r="EH44" s="118" t="e">
        <f>'2.4.Функции'!F112+"BYw!$K6"</f>
        <v>#VALUE!</v>
      </c>
      <c r="EI44" s="118" t="e">
        <f>'2.4.Функции'!G112+"BYw!$K7"</f>
        <v>#VALUE!</v>
      </c>
      <c r="EJ44" s="118" t="e">
        <f>'2.4.Функции'!H112+"BYw!$K8"</f>
        <v>#VALUE!</v>
      </c>
      <c r="EK44" s="118" t="e">
        <f>'2.4.Функции'!I112+"BYw!$K9"</f>
        <v>#VALUE!</v>
      </c>
      <c r="EL44" s="118" t="e">
        <f>'2.4.Функции'!J112+"BYw!$K:"</f>
        <v>#VALUE!</v>
      </c>
      <c r="EM44" s="118" t="e">
        <f>'2.4.Функции'!K112+"BYw!$K;"</f>
        <v>#VALUE!</v>
      </c>
      <c r="EN44" t="e">
        <f>'2.4.Функции'!L112+"BYw!$K&lt;"</f>
        <v>#VALUE!</v>
      </c>
      <c r="EO44" t="e">
        <f>'2.4.Функции'!M112+"BYw!$K="</f>
        <v>#VALUE!</v>
      </c>
      <c r="EP44" t="e">
        <f>'2.4.Функции'!N112+"BYw!$K&gt;"</f>
        <v>#VALUE!</v>
      </c>
      <c r="EQ44" t="e">
        <f>'2.4.Функции'!O112+"BYw!$K?"</f>
        <v>#VALUE!</v>
      </c>
      <c r="ER44" t="e">
        <f>'2.4.Функции'!P112+"BYw!$K@"</f>
        <v>#VALUE!</v>
      </c>
      <c r="ES44" t="e">
        <f>'2.4.Функции'!Q112+"BYw!$KA"</f>
        <v>#VALUE!</v>
      </c>
      <c r="ET44" t="e">
        <f>'2.4.Функции'!R112+"BYw!$KB"</f>
        <v>#VALUE!</v>
      </c>
      <c r="EU44" t="e">
        <f>'2.4.Функции'!S112+"BYw!$KC"</f>
        <v>#VALUE!</v>
      </c>
      <c r="EV44" t="e">
        <f>'2.4.Функции'!T112+"BYw!$KD"</f>
        <v>#VALUE!</v>
      </c>
      <c r="EW44" t="e">
        <f>'2.4.Функции'!U112+"BYw!$KE"</f>
        <v>#VALUE!</v>
      </c>
      <c r="EX44" t="e">
        <f>'2.4.Функции'!V112+"BYw!$KF"</f>
        <v>#VALUE!</v>
      </c>
      <c r="EY44" t="e">
        <f>'2.4.Функции'!W112+"BYw!$KG"</f>
        <v>#VALUE!</v>
      </c>
      <c r="EZ44" t="e">
        <f>'2.4.Функции'!X112+"BYw!$KH"</f>
        <v>#VALUE!</v>
      </c>
      <c r="FA44" t="e">
        <f>'2.4.Функции'!Y112+"BYw!$KI"</f>
        <v>#VALUE!</v>
      </c>
      <c r="FB44" t="e">
        <f>'2.4.Функции'!Z112+"BYw!$KJ"</f>
        <v>#VALUE!</v>
      </c>
      <c r="FC44" t="e">
        <f>'2.4.Функции'!AA112+"BYw!$KK"</f>
        <v>#VALUE!</v>
      </c>
      <c r="FD44" t="e">
        <f>'2.4.Функции'!AB112+"BYw!$KL"</f>
        <v>#VALUE!</v>
      </c>
      <c r="FE44" t="e">
        <f>'2.4.Функции'!AC112+"BYw!$KM"</f>
        <v>#VALUE!</v>
      </c>
      <c r="FF44" t="e">
        <f>'2.4.Функции'!A113+"BYw!$KN"</f>
        <v>#VALUE!</v>
      </c>
      <c r="FG44" s="116" t="e">
        <f>'2.4.Функции'!B113+"BYw!$KO"</f>
        <v>#VALUE!</v>
      </c>
      <c r="FH44" t="e">
        <f>'2.4.Функции'!C113+"BYw!$KP"</f>
        <v>#VALUE!</v>
      </c>
      <c r="FI44" s="119" t="e">
        <f>'2.4.Функции'!D113+"BYw!$KQ"</f>
        <v>#VALUE!</v>
      </c>
      <c r="FJ44" s="119" t="e">
        <f>'2.4.Функции'!E113+"BYw!$KR"</f>
        <v>#VALUE!</v>
      </c>
      <c r="FK44" s="119" t="e">
        <f>'2.4.Функции'!F113+"BYw!$KS"</f>
        <v>#VALUE!</v>
      </c>
      <c r="FL44" s="119" t="e">
        <f>'2.4.Функции'!G113+"BYw!$KT"</f>
        <v>#VALUE!</v>
      </c>
      <c r="FM44" s="119" t="e">
        <f>'2.4.Функции'!H113+"BYw!$KU"</f>
        <v>#VALUE!</v>
      </c>
      <c r="FN44" s="119" t="e">
        <f>'2.4.Функции'!I113+"BYw!$KV"</f>
        <v>#VALUE!</v>
      </c>
      <c r="FO44" s="119" t="e">
        <f>'2.4.Функции'!J113+"BYw!$KW"</f>
        <v>#VALUE!</v>
      </c>
      <c r="FP44" s="119" t="e">
        <f>'2.4.Функции'!K113+"BYw!$KX"</f>
        <v>#VALUE!</v>
      </c>
      <c r="FQ44" t="e">
        <f>'2.4.Функции'!L113+"BYw!$KY"</f>
        <v>#VALUE!</v>
      </c>
      <c r="FR44" t="e">
        <f>'2.4.Функции'!M113+"BYw!$KZ"</f>
        <v>#VALUE!</v>
      </c>
      <c r="FS44" t="e">
        <f>'2.4.Функции'!N113+"BYw!$K["</f>
        <v>#VALUE!</v>
      </c>
      <c r="FT44" t="e">
        <f>'2.4.Функции'!O113+"BYw!$K\"</f>
        <v>#VALUE!</v>
      </c>
      <c r="FU44" t="e">
        <f>'2.4.Функции'!P113+"BYw!$K]"</f>
        <v>#VALUE!</v>
      </c>
      <c r="FV44" t="e">
        <f>'2.4.Функции'!Q113+"BYw!$K^"</f>
        <v>#VALUE!</v>
      </c>
      <c r="FW44" t="e">
        <f>'2.4.Функции'!R113+"BYw!$K_"</f>
        <v>#VALUE!</v>
      </c>
      <c r="FX44" t="e">
        <f>'2.4.Функции'!S113+"BYw!$K`"</f>
        <v>#VALUE!</v>
      </c>
      <c r="FY44" t="e">
        <f>'2.4.Функции'!T113+"BYw!$Ka"</f>
        <v>#VALUE!</v>
      </c>
      <c r="FZ44" t="e">
        <f>'2.4.Функции'!U113+"BYw!$Kb"</f>
        <v>#VALUE!</v>
      </c>
      <c r="GA44" t="e">
        <f>'2.4.Функции'!V113+"BYw!$Kc"</f>
        <v>#VALUE!</v>
      </c>
      <c r="GB44" t="e">
        <f>'2.4.Функции'!W113+"BYw!$Kd"</f>
        <v>#VALUE!</v>
      </c>
      <c r="GC44" t="e">
        <f>'2.4.Функции'!X113+"BYw!$Ke"</f>
        <v>#VALUE!</v>
      </c>
      <c r="GD44" t="e">
        <f>'2.4.Функции'!Y113+"BYw!$Kf"</f>
        <v>#VALUE!</v>
      </c>
      <c r="GE44" t="e">
        <f>'2.4.Функции'!Z113+"BYw!$Kg"</f>
        <v>#VALUE!</v>
      </c>
      <c r="GF44" t="e">
        <f>'2.4.Функции'!AA113+"BYw!$Kh"</f>
        <v>#VALUE!</v>
      </c>
      <c r="GG44" t="e">
        <f>'2.4.Функции'!AB113+"BYw!$Ki"</f>
        <v>#VALUE!</v>
      </c>
      <c r="GH44" t="e">
        <f>'2.4.Функции'!AC113+"BYw!$Kj"</f>
        <v>#VALUE!</v>
      </c>
      <c r="GI44" t="e">
        <f>'2.4.Функции'!A114+"BYw!$Kk"</f>
        <v>#VALUE!</v>
      </c>
      <c r="GJ44" s="116" t="e">
        <f>'2.4.Функции'!B114+"BYw!$Kl"</f>
        <v>#VALUE!</v>
      </c>
      <c r="GK44" t="e">
        <f>'2.4.Функции'!C114+"BYw!$Km"</f>
        <v>#VALUE!</v>
      </c>
      <c r="GL44" s="119" t="e">
        <f>'2.4.Функции'!D114+"BYw!$Kn"</f>
        <v>#VALUE!</v>
      </c>
      <c r="GM44" s="119" t="e">
        <f>'2.4.Функции'!E114+"BYw!$Ko"</f>
        <v>#VALUE!</v>
      </c>
      <c r="GN44" s="119" t="e">
        <f>'2.4.Функции'!F114+"BYw!$Kp"</f>
        <v>#VALUE!</v>
      </c>
      <c r="GO44" s="119" t="e">
        <f>'2.4.Функции'!G114+"BYw!$Kq"</f>
        <v>#VALUE!</v>
      </c>
      <c r="GP44" s="119" t="e">
        <f>'2.4.Функции'!H114+"BYw!$Kr"</f>
        <v>#VALUE!</v>
      </c>
      <c r="GQ44" s="119" t="e">
        <f>'2.4.Функции'!I114+"BYw!$Ks"</f>
        <v>#VALUE!</v>
      </c>
      <c r="GR44" s="119" t="e">
        <f>'2.4.Функции'!J114+"BYw!$Kt"</f>
        <v>#VALUE!</v>
      </c>
      <c r="GS44" s="119" t="e">
        <f>'2.4.Функции'!K114+"BYw!$Ku"</f>
        <v>#VALUE!</v>
      </c>
      <c r="GT44" t="e">
        <f>'2.4.Функции'!L114+"BYw!$Kv"</f>
        <v>#VALUE!</v>
      </c>
      <c r="GU44" t="e">
        <f>'2.4.Функции'!M114+"BYw!$Kw"</f>
        <v>#VALUE!</v>
      </c>
      <c r="GV44" t="e">
        <f>'2.4.Функции'!N114+"BYw!$Kx"</f>
        <v>#VALUE!</v>
      </c>
      <c r="GW44" t="e">
        <f>'2.4.Функции'!O114+"BYw!$Ky"</f>
        <v>#VALUE!</v>
      </c>
      <c r="GX44" t="e">
        <f>'2.4.Функции'!P114+"BYw!$Kz"</f>
        <v>#VALUE!</v>
      </c>
      <c r="GY44" t="e">
        <f>'2.4.Функции'!Q114+"BYw!$K{"</f>
        <v>#VALUE!</v>
      </c>
      <c r="GZ44" t="e">
        <f>'2.4.Функции'!R114+"BYw!$K|"</f>
        <v>#VALUE!</v>
      </c>
      <c r="HA44" t="e">
        <f>'2.4.Функции'!S114+"BYw!$K}"</f>
        <v>#VALUE!</v>
      </c>
      <c r="HB44" t="e">
        <f>'2.4.Функции'!T114+"BYw!$K~"</f>
        <v>#VALUE!</v>
      </c>
      <c r="HC44" t="e">
        <f>'2.4.Функции'!U114+"BYw!$L#"</f>
        <v>#VALUE!</v>
      </c>
      <c r="HD44" t="e">
        <f>'2.4.Функции'!V114+"BYw!$L$"</f>
        <v>#VALUE!</v>
      </c>
      <c r="HE44" t="e">
        <f>'2.4.Функции'!W114+"BYw!$L%"</f>
        <v>#VALUE!</v>
      </c>
      <c r="HF44" t="e">
        <f>'2.4.Функции'!X114+"BYw!$L&amp;"</f>
        <v>#VALUE!</v>
      </c>
      <c r="HG44" t="e">
        <f>'2.4.Функции'!Y114+"BYw!$L'"</f>
        <v>#VALUE!</v>
      </c>
      <c r="HH44" t="e">
        <f>'2.4.Функции'!Z114+"BYw!$L("</f>
        <v>#VALUE!</v>
      </c>
      <c r="HI44" t="e">
        <f>'2.4.Функции'!AA114+"BYw!$L)"</f>
        <v>#VALUE!</v>
      </c>
      <c r="HJ44" t="e">
        <f>'2.4.Функции'!AB114+"BYw!$L."</f>
        <v>#VALUE!</v>
      </c>
      <c r="HK44" t="e">
        <f>'2.4.Функции'!AC114+"BYw!$L/"</f>
        <v>#VALUE!</v>
      </c>
      <c r="HL44" t="e">
        <f>'2.4.Функции'!A115+"BYw!$L0"</f>
        <v>#VALUE!</v>
      </c>
      <c r="HM44" s="116" t="e">
        <f>'2.4.Функции'!B115+"BYw!$L1"</f>
        <v>#VALUE!</v>
      </c>
      <c r="HN44" t="e">
        <f>'2.4.Функции'!C115+"BYw!$L2"</f>
        <v>#VALUE!</v>
      </c>
      <c r="HO44" s="119" t="e">
        <f>'2.4.Функции'!D115+"BYw!$L3"</f>
        <v>#VALUE!</v>
      </c>
      <c r="HP44" s="119" t="e">
        <f>'2.4.Функции'!E115+"BYw!$L4"</f>
        <v>#VALUE!</v>
      </c>
      <c r="HQ44" s="119" t="e">
        <f>'2.4.Функции'!F115+"BYw!$L5"</f>
        <v>#VALUE!</v>
      </c>
      <c r="HR44" s="119" t="e">
        <f>'2.4.Функции'!G115+"BYw!$L6"</f>
        <v>#VALUE!</v>
      </c>
      <c r="HS44" s="119" t="e">
        <f>'2.4.Функции'!H115+"BYw!$L7"</f>
        <v>#VALUE!</v>
      </c>
      <c r="HT44" s="119" t="e">
        <f>'2.4.Функции'!I115+"BYw!$L8"</f>
        <v>#VALUE!</v>
      </c>
      <c r="HU44" s="119" t="e">
        <f>'2.4.Функции'!J115+"BYw!$L9"</f>
        <v>#VALUE!</v>
      </c>
      <c r="HV44" s="119" t="e">
        <f>'2.4.Функции'!K115+"BYw!$L:"</f>
        <v>#VALUE!</v>
      </c>
      <c r="HW44" t="e">
        <f>'2.4.Функции'!L115+"BYw!$L;"</f>
        <v>#VALUE!</v>
      </c>
      <c r="HX44" t="e">
        <f>'2.4.Функции'!M115+"BYw!$L&lt;"</f>
        <v>#VALUE!</v>
      </c>
      <c r="HY44" t="e">
        <f>'2.4.Функции'!N115+"BYw!$L="</f>
        <v>#VALUE!</v>
      </c>
      <c r="HZ44" t="e">
        <f>'2.4.Функции'!O115+"BYw!$L&gt;"</f>
        <v>#VALUE!</v>
      </c>
      <c r="IA44" t="e">
        <f>'2.4.Функции'!P115+"BYw!$L?"</f>
        <v>#VALUE!</v>
      </c>
      <c r="IB44" t="e">
        <f>'2.4.Функции'!Q115+"BYw!$L@"</f>
        <v>#VALUE!</v>
      </c>
      <c r="IC44" t="e">
        <f>'2.4.Функции'!R115+"BYw!$LA"</f>
        <v>#VALUE!</v>
      </c>
      <c r="ID44" t="e">
        <f>'2.4.Функции'!S115+"BYw!$LB"</f>
        <v>#VALUE!</v>
      </c>
      <c r="IE44" t="e">
        <f>'2.4.Функции'!T115+"BYw!$LC"</f>
        <v>#VALUE!</v>
      </c>
      <c r="IF44" t="e">
        <f>'2.4.Функции'!U115+"BYw!$LD"</f>
        <v>#VALUE!</v>
      </c>
      <c r="IG44" t="e">
        <f>'2.4.Функции'!V115+"BYw!$LE"</f>
        <v>#VALUE!</v>
      </c>
      <c r="IH44" t="e">
        <f>'2.4.Функции'!W115+"BYw!$LF"</f>
        <v>#VALUE!</v>
      </c>
      <c r="II44" t="e">
        <f>'2.4.Функции'!X115+"BYw!$LG"</f>
        <v>#VALUE!</v>
      </c>
      <c r="IJ44" t="e">
        <f>'2.4.Функции'!Y115+"BYw!$LH"</f>
        <v>#VALUE!</v>
      </c>
      <c r="IK44" t="e">
        <f>'2.4.Функции'!Z115+"BYw!$LI"</f>
        <v>#VALUE!</v>
      </c>
      <c r="IL44" t="e">
        <f>'2.4.Функции'!AA115+"BYw!$LJ"</f>
        <v>#VALUE!</v>
      </c>
      <c r="IM44" t="e">
        <f>'2.4.Функции'!AB115+"BYw!$LK"</f>
        <v>#VALUE!</v>
      </c>
      <c r="IN44" t="e">
        <f>'2.4.Функции'!AC115+"BYw!$LL"</f>
        <v>#VALUE!</v>
      </c>
      <c r="IO44" t="e">
        <f>'2.4.Функции'!A116+"BYw!$LM"</f>
        <v>#VALUE!</v>
      </c>
      <c r="IP44" s="116" t="e">
        <f>'2.4.Функции'!B116+"BYw!$LN"</f>
        <v>#VALUE!</v>
      </c>
      <c r="IQ44" t="e">
        <f>'2.4.Функции'!C116+"BYw!$LO"</f>
        <v>#VALUE!</v>
      </c>
      <c r="IR44" s="119" t="e">
        <f>'2.4.Функции'!D116+"BYw!$LP"</f>
        <v>#VALUE!</v>
      </c>
      <c r="IS44" s="119" t="e">
        <f>'2.4.Функции'!E116+"BYw!$LQ"</f>
        <v>#VALUE!</v>
      </c>
      <c r="IT44" s="119" t="e">
        <f>'2.4.Функции'!F116+"BYw!$LR"</f>
        <v>#VALUE!</v>
      </c>
      <c r="IU44" s="119" t="e">
        <f>'2.4.Функции'!G116+"BYw!$LS"</f>
        <v>#VALUE!</v>
      </c>
      <c r="IV44" s="119" t="e">
        <f>'2.4.Функции'!H116+"BYw!$LT"</f>
        <v>#VALUE!</v>
      </c>
    </row>
    <row r="45" spans="6:256" x14ac:dyDescent="0.2">
      <c r="F45" s="119" t="e">
        <f>'2.4.Функции'!I116+"BYw!$LU"</f>
        <v>#VALUE!</v>
      </c>
      <c r="G45" s="119" t="e">
        <f>'2.4.Функции'!J116+"BYw!$LV"</f>
        <v>#VALUE!</v>
      </c>
      <c r="H45" s="119" t="e">
        <f>'2.4.Функции'!K116+"BYw!$LW"</f>
        <v>#VALUE!</v>
      </c>
      <c r="I45" t="e">
        <f>'2.4.Функции'!L116+"BYw!$LX"</f>
        <v>#VALUE!</v>
      </c>
      <c r="J45" t="e">
        <f>'2.4.Функции'!M116+"BYw!$LY"</f>
        <v>#VALUE!</v>
      </c>
      <c r="K45" t="e">
        <f>'2.4.Функции'!N116+"BYw!$LZ"</f>
        <v>#VALUE!</v>
      </c>
      <c r="L45" t="e">
        <f>'2.4.Функции'!O116+"BYw!$L["</f>
        <v>#VALUE!</v>
      </c>
      <c r="M45" t="e">
        <f>'2.4.Функции'!P116+"BYw!$L\"</f>
        <v>#VALUE!</v>
      </c>
      <c r="N45" t="e">
        <f>'2.4.Функции'!Q116+"BYw!$L]"</f>
        <v>#VALUE!</v>
      </c>
      <c r="O45" t="e">
        <f>'2.4.Функции'!R116+"BYw!$L^"</f>
        <v>#VALUE!</v>
      </c>
      <c r="P45" t="e">
        <f>'2.4.Функции'!S116+"BYw!$L_"</f>
        <v>#VALUE!</v>
      </c>
      <c r="Q45" t="e">
        <f>'2.4.Функции'!T116+"BYw!$L`"</f>
        <v>#VALUE!</v>
      </c>
      <c r="R45" t="e">
        <f>'2.4.Функции'!U116+"BYw!$La"</f>
        <v>#VALUE!</v>
      </c>
      <c r="S45" t="e">
        <f>'2.4.Функции'!V116+"BYw!$Lb"</f>
        <v>#VALUE!</v>
      </c>
      <c r="T45" t="e">
        <f>'2.4.Функции'!W116+"BYw!$Lc"</f>
        <v>#VALUE!</v>
      </c>
      <c r="U45" t="e">
        <f>'2.4.Функции'!X116+"BYw!$Ld"</f>
        <v>#VALUE!</v>
      </c>
      <c r="V45" t="e">
        <f>'2.4.Функции'!Y116+"BYw!$Le"</f>
        <v>#VALUE!</v>
      </c>
      <c r="W45" t="e">
        <f>'2.4.Функции'!Z116+"BYw!$Lf"</f>
        <v>#VALUE!</v>
      </c>
      <c r="X45" t="e">
        <f>'2.4.Функции'!AA116+"BYw!$Lg"</f>
        <v>#VALUE!</v>
      </c>
      <c r="Y45" t="e">
        <f>'2.4.Функции'!AB116+"BYw!$Lh"</f>
        <v>#VALUE!</v>
      </c>
      <c r="Z45" t="e">
        <f>'2.4.Функции'!AC116+"BYw!$Li"</f>
        <v>#VALUE!</v>
      </c>
      <c r="AA45" t="e">
        <f>'2.4.Функции'!A117+"BYw!$Lj"</f>
        <v>#VALUE!</v>
      </c>
      <c r="AB45" t="e">
        <f>'2.4.Функции'!B117+"BYw!$Lk"</f>
        <v>#VALUE!</v>
      </c>
      <c r="AC45" t="e">
        <f>'2.4.Функции'!C117+"BYw!$Ll"</f>
        <v>#VALUE!</v>
      </c>
      <c r="AD45" s="118" t="e">
        <f>'2.4.Функции'!D117+"BYw!$Lm"</f>
        <v>#VALUE!</v>
      </c>
      <c r="AE45" s="118" t="e">
        <f>'2.4.Функции'!E117+"BYw!$Ln"</f>
        <v>#VALUE!</v>
      </c>
      <c r="AF45" s="118" t="e">
        <f>'2.4.Функции'!F117+"BYw!$Lo"</f>
        <v>#VALUE!</v>
      </c>
      <c r="AG45" s="118" t="e">
        <f>'2.4.Функции'!G117+"BYw!$Lp"</f>
        <v>#VALUE!</v>
      </c>
      <c r="AH45" s="118" t="e">
        <f>'2.4.Функции'!H117+"BYw!$Lq"</f>
        <v>#VALUE!</v>
      </c>
      <c r="AI45" s="118" t="e">
        <f>'2.4.Функции'!I117+"BYw!$Lr"</f>
        <v>#VALUE!</v>
      </c>
      <c r="AJ45" s="118" t="e">
        <f>'2.4.Функции'!J117+"BYw!$Ls"</f>
        <v>#VALUE!</v>
      </c>
      <c r="AK45" s="118" t="e">
        <f>'2.4.Функции'!K117+"BYw!$Lt"</f>
        <v>#VALUE!</v>
      </c>
      <c r="AL45" t="e">
        <f>'2.4.Функции'!L117+"BYw!$Lu"</f>
        <v>#VALUE!</v>
      </c>
      <c r="AM45" t="e">
        <f>'2.4.Функции'!M117+"BYw!$Lv"</f>
        <v>#VALUE!</v>
      </c>
      <c r="AN45" t="e">
        <f>'2.4.Функции'!N117+"BYw!$Lw"</f>
        <v>#VALUE!</v>
      </c>
      <c r="AO45" t="e">
        <f>'2.4.Функции'!O117+"BYw!$Lx"</f>
        <v>#VALUE!</v>
      </c>
      <c r="AP45" t="e">
        <f>'2.4.Функции'!P117+"BYw!$Ly"</f>
        <v>#VALUE!</v>
      </c>
      <c r="AQ45" t="e">
        <f>'2.4.Функции'!Q117+"BYw!$Lz"</f>
        <v>#VALUE!</v>
      </c>
      <c r="AR45" t="e">
        <f>'2.4.Функции'!R117+"BYw!$L{"</f>
        <v>#VALUE!</v>
      </c>
      <c r="AS45" t="e">
        <f>'2.4.Функции'!S117+"BYw!$L|"</f>
        <v>#VALUE!</v>
      </c>
      <c r="AT45" t="e">
        <f>'2.4.Функции'!T117+"BYw!$L}"</f>
        <v>#VALUE!</v>
      </c>
      <c r="AU45" t="e">
        <f>'2.4.Функции'!U117+"BYw!$L~"</f>
        <v>#VALUE!</v>
      </c>
      <c r="AV45" t="e">
        <f>'2.4.Функции'!V117+"BYw!$M#"</f>
        <v>#VALUE!</v>
      </c>
      <c r="AW45" t="e">
        <f>'2.4.Функции'!W117+"BYw!$M$"</f>
        <v>#VALUE!</v>
      </c>
      <c r="AX45" t="e">
        <f>'2.4.Функции'!X117+"BYw!$M%"</f>
        <v>#VALUE!</v>
      </c>
      <c r="AY45" t="e">
        <f>'2.4.Функции'!Y117+"BYw!$M&amp;"</f>
        <v>#VALUE!</v>
      </c>
      <c r="AZ45" t="e">
        <f>'2.4.Функции'!Z117+"BYw!$M'"</f>
        <v>#VALUE!</v>
      </c>
      <c r="BA45" t="e">
        <f>'2.4.Функции'!AA117+"BYw!$M("</f>
        <v>#VALUE!</v>
      </c>
      <c r="BB45" t="e">
        <f>'2.4.Функции'!AB117+"BYw!$M)"</f>
        <v>#VALUE!</v>
      </c>
      <c r="BC45" t="e">
        <f>'2.4.Функции'!AC117+"BYw!$M."</f>
        <v>#VALUE!</v>
      </c>
      <c r="BD45" t="e">
        <f>'2.4.Функции'!A118+"BYw!$M/"</f>
        <v>#VALUE!</v>
      </c>
      <c r="BE45" s="116" t="e">
        <f>'2.4.Функции'!B118+"BYw!$M0"</f>
        <v>#VALUE!</v>
      </c>
      <c r="BF45" t="e">
        <f>'2.4.Функции'!C118+"BYw!$M1"</f>
        <v>#VALUE!</v>
      </c>
      <c r="BG45" s="119" t="e">
        <f>'2.4.Функции'!D118+"BYw!$M2"</f>
        <v>#VALUE!</v>
      </c>
      <c r="BH45" s="119" t="e">
        <f>'2.4.Функции'!E118+"BYw!$M3"</f>
        <v>#VALUE!</v>
      </c>
      <c r="BI45" s="119" t="e">
        <f>'2.4.Функции'!F118+"BYw!$M4"</f>
        <v>#VALUE!</v>
      </c>
      <c r="BJ45" s="119" t="e">
        <f>'2.4.Функции'!G118+"BYw!$M5"</f>
        <v>#VALUE!</v>
      </c>
      <c r="BK45" s="119" t="e">
        <f>'2.4.Функции'!H118+"BYw!$M6"</f>
        <v>#VALUE!</v>
      </c>
      <c r="BL45" s="119" t="e">
        <f>'2.4.Функции'!I118+"BYw!$M7"</f>
        <v>#VALUE!</v>
      </c>
      <c r="BM45" s="119" t="e">
        <f>'2.4.Функции'!J118+"BYw!$M8"</f>
        <v>#VALUE!</v>
      </c>
      <c r="BN45" s="119" t="e">
        <f>'2.4.Функции'!K118+"BYw!$M9"</f>
        <v>#VALUE!</v>
      </c>
      <c r="BO45" t="e">
        <f>'2.4.Функции'!L118+"BYw!$M:"</f>
        <v>#VALUE!</v>
      </c>
      <c r="BP45" t="e">
        <f>'2.4.Функции'!M118+"BYw!$M;"</f>
        <v>#VALUE!</v>
      </c>
      <c r="BQ45" t="e">
        <f>'2.4.Функции'!N118+"BYw!$M&lt;"</f>
        <v>#VALUE!</v>
      </c>
      <c r="BR45" t="e">
        <f>'2.4.Функции'!O118+"BYw!$M="</f>
        <v>#VALUE!</v>
      </c>
      <c r="BS45" t="e">
        <f>'2.4.Функции'!P118+"BYw!$M&gt;"</f>
        <v>#VALUE!</v>
      </c>
      <c r="BT45" t="e">
        <f>'2.4.Функции'!Q118+"BYw!$M?"</f>
        <v>#VALUE!</v>
      </c>
      <c r="BU45" t="e">
        <f>'2.4.Функции'!R118+"BYw!$M@"</f>
        <v>#VALUE!</v>
      </c>
      <c r="BV45" t="e">
        <f>'2.4.Функции'!S118+"BYw!$MA"</f>
        <v>#VALUE!</v>
      </c>
      <c r="BW45" t="e">
        <f>'2.4.Функции'!T118+"BYw!$MB"</f>
        <v>#VALUE!</v>
      </c>
      <c r="BX45" t="e">
        <f>'2.4.Функции'!U118+"BYw!$MC"</f>
        <v>#VALUE!</v>
      </c>
      <c r="BY45" t="e">
        <f>'2.4.Функции'!V118+"BYw!$MD"</f>
        <v>#VALUE!</v>
      </c>
      <c r="BZ45" t="e">
        <f>'2.4.Функции'!W118+"BYw!$ME"</f>
        <v>#VALUE!</v>
      </c>
      <c r="CA45" t="e">
        <f>'2.4.Функции'!X118+"BYw!$MF"</f>
        <v>#VALUE!</v>
      </c>
      <c r="CB45" t="e">
        <f>'2.4.Функции'!Y118+"BYw!$MG"</f>
        <v>#VALUE!</v>
      </c>
      <c r="CC45" t="e">
        <f>'2.4.Функции'!Z118+"BYw!$MH"</f>
        <v>#VALUE!</v>
      </c>
      <c r="CD45" t="e">
        <f>'2.4.Функции'!AA118+"BYw!$MI"</f>
        <v>#VALUE!</v>
      </c>
      <c r="CE45" t="e">
        <f>'2.4.Функции'!AB118+"BYw!$MJ"</f>
        <v>#VALUE!</v>
      </c>
      <c r="CF45" t="e">
        <f>'2.4.Функции'!AC118+"BYw!$MK"</f>
        <v>#VALUE!</v>
      </c>
      <c r="CG45" t="e">
        <f>'2.4.Функции'!A119+"BYw!$ML"</f>
        <v>#VALUE!</v>
      </c>
      <c r="CH45" s="116" t="e">
        <f>'2.4.Функции'!B119+"BYw!$MM"</f>
        <v>#VALUE!</v>
      </c>
      <c r="CI45" t="e">
        <f>'2.4.Функции'!C119+"BYw!$MN"</f>
        <v>#VALUE!</v>
      </c>
      <c r="CJ45" s="119" t="e">
        <f>'2.4.Функции'!D119+"BYw!$MO"</f>
        <v>#VALUE!</v>
      </c>
      <c r="CK45" s="119" t="e">
        <f>'2.4.Функции'!E119+"BYw!$MP"</f>
        <v>#VALUE!</v>
      </c>
      <c r="CL45" s="119" t="e">
        <f>'2.4.Функции'!F119+"BYw!$MQ"</f>
        <v>#VALUE!</v>
      </c>
      <c r="CM45" s="119" t="e">
        <f>'2.4.Функции'!G119+"BYw!$MR"</f>
        <v>#VALUE!</v>
      </c>
      <c r="CN45" s="119" t="e">
        <f>'2.4.Функции'!H119+"BYw!$MS"</f>
        <v>#VALUE!</v>
      </c>
      <c r="CO45" s="119" t="e">
        <f>'2.4.Функции'!I119+"BYw!$MT"</f>
        <v>#VALUE!</v>
      </c>
      <c r="CP45" s="119" t="e">
        <f>'2.4.Функции'!J119+"BYw!$MU"</f>
        <v>#VALUE!</v>
      </c>
      <c r="CQ45" s="119" t="e">
        <f>'2.4.Функции'!K119+"BYw!$MV"</f>
        <v>#VALUE!</v>
      </c>
      <c r="CR45" t="e">
        <f>'2.4.Функции'!A120+"BYw!$MW"</f>
        <v>#VALUE!</v>
      </c>
      <c r="CS45" s="116" t="e">
        <f>'2.4.Функции'!B120+"BYw!$MX"</f>
        <v>#VALUE!</v>
      </c>
      <c r="CT45" t="e">
        <f>'2.4.Функции'!C120+"BYw!$MY"</f>
        <v>#VALUE!</v>
      </c>
      <c r="CU45" t="e">
        <f>'2.4.Функции'!D120+"BYw!$MZ"</f>
        <v>#VALUE!</v>
      </c>
      <c r="CV45" s="119" t="e">
        <f>'2.4.Функции'!E120+"BYw!$M["</f>
        <v>#VALUE!</v>
      </c>
      <c r="CW45" s="119" t="e">
        <f>'2.4.Функции'!F120+"BYw!$M\"</f>
        <v>#VALUE!</v>
      </c>
      <c r="CX45" s="119" t="e">
        <f>'2.4.Функции'!G120+"BYw!$M]"</f>
        <v>#VALUE!</v>
      </c>
      <c r="CY45" s="119" t="e">
        <f>'2.4.Функции'!H120+"BYw!$M^"</f>
        <v>#VALUE!</v>
      </c>
      <c r="CZ45" s="119" t="e">
        <f>'2.4.Функции'!I120+"BYw!$M_"</f>
        <v>#VALUE!</v>
      </c>
      <c r="DA45" s="119" t="e">
        <f>'2.4.Функции'!J120+"BYw!$M`"</f>
        <v>#VALUE!</v>
      </c>
      <c r="DB45" s="119" t="e">
        <f>'2.4.Функции'!K120+"BYw!$Ma"</f>
        <v>#VALUE!</v>
      </c>
      <c r="DC45" t="e">
        <f>'2.4.Функции'!A121+"BYw!$Mb"</f>
        <v>#VALUE!</v>
      </c>
      <c r="DD45" s="116" t="e">
        <f>'2.4.Функции'!B121+"BYw!$Mc"</f>
        <v>#VALUE!</v>
      </c>
      <c r="DE45" t="e">
        <f>'2.4.Функции'!C121+"BYw!$Md"</f>
        <v>#VALUE!</v>
      </c>
      <c r="DF45" t="e">
        <f>'2.4.Функции'!D121+"BYw!$Me"</f>
        <v>#VALUE!</v>
      </c>
      <c r="DG45" s="119" t="e">
        <f>'2.4.Функции'!E121+"BYw!$Mf"</f>
        <v>#VALUE!</v>
      </c>
      <c r="DH45" s="119" t="e">
        <f>'2.4.Функции'!F121+"BYw!$Mg"</f>
        <v>#VALUE!</v>
      </c>
      <c r="DI45" s="119" t="e">
        <f>'2.4.Функции'!G121+"BYw!$Mh"</f>
        <v>#VALUE!</v>
      </c>
      <c r="DJ45" s="119" t="e">
        <f>'2.4.Функции'!H121+"BYw!$Mi"</f>
        <v>#VALUE!</v>
      </c>
      <c r="DK45" s="119" t="e">
        <f>'2.4.Функции'!I121+"BYw!$Mj"</f>
        <v>#VALUE!</v>
      </c>
      <c r="DL45" s="119" t="e">
        <f>'2.4.Функции'!J121+"BYw!$Mk"</f>
        <v>#VALUE!</v>
      </c>
      <c r="DM45" s="119" t="e">
        <f>'2.4.Функции'!K121+"BYw!$Ml"</f>
        <v>#VALUE!</v>
      </c>
      <c r="DN45" t="e">
        <f>'2.4.Функции'!A122+"BYw!$Mm"</f>
        <v>#VALUE!</v>
      </c>
      <c r="DO45" s="116" t="e">
        <f>'2.4.Функции'!B122+"BYw!$Mn"</f>
        <v>#VALUE!</v>
      </c>
      <c r="DP45" t="e">
        <f>'2.4.Функции'!C122+"BYw!$Mo"</f>
        <v>#VALUE!</v>
      </c>
      <c r="DQ45" t="e">
        <f>'2.4.Функции'!D122+"BYw!$Mp"</f>
        <v>#VALUE!</v>
      </c>
      <c r="DR45" s="119" t="e">
        <f>'2.4.Функции'!E122+"BYw!$Mq"</f>
        <v>#VALUE!</v>
      </c>
      <c r="DS45" s="119" t="e">
        <f>'2.4.Функции'!F122+"BYw!$Mr"</f>
        <v>#VALUE!</v>
      </c>
      <c r="DT45" s="119" t="e">
        <f>'2.4.Функции'!G122+"BYw!$Ms"</f>
        <v>#VALUE!</v>
      </c>
      <c r="DU45" s="119" t="e">
        <f>'2.4.Функции'!H122+"BYw!$Mt"</f>
        <v>#VALUE!</v>
      </c>
      <c r="DV45" s="119" t="e">
        <f>'2.4.Функции'!I122+"BYw!$Mu"</f>
        <v>#VALUE!</v>
      </c>
      <c r="DW45" s="119" t="e">
        <f>'2.4.Функции'!J122+"BYw!$Mv"</f>
        <v>#VALUE!</v>
      </c>
      <c r="DX45" s="119" t="e">
        <f>'2.4.Функции'!K122+"BYw!$Mw"</f>
        <v>#VALUE!</v>
      </c>
      <c r="DY45" t="e">
        <f>'2.4.Функции'!L122+"BYw!$Mx"</f>
        <v>#VALUE!</v>
      </c>
      <c r="DZ45" t="e">
        <f>'2.4.Функции'!M122+"BYw!$My"</f>
        <v>#VALUE!</v>
      </c>
      <c r="EA45" t="e">
        <f>'2.4.Функции'!N122+"BYw!$Mz"</f>
        <v>#VALUE!</v>
      </c>
      <c r="EB45" t="e">
        <f>'2.4.Функции'!O122+"BYw!$M{"</f>
        <v>#VALUE!</v>
      </c>
      <c r="EC45" t="e">
        <f>'2.4.Функции'!P122+"BYw!$M|"</f>
        <v>#VALUE!</v>
      </c>
      <c r="ED45" t="e">
        <f>'2.4.Функции'!Q122+"BYw!$M}"</f>
        <v>#VALUE!</v>
      </c>
      <c r="EE45" t="e">
        <f>'2.4.Функции'!R122+"BYw!$M~"</f>
        <v>#VALUE!</v>
      </c>
      <c r="EF45" t="e">
        <f>'2.4.Функции'!S122+"BYw!$N#"</f>
        <v>#VALUE!</v>
      </c>
      <c r="EG45" t="e">
        <f>'2.4.Функции'!T122+"BYw!$N$"</f>
        <v>#VALUE!</v>
      </c>
      <c r="EH45" t="e">
        <f>'2.4.Функции'!U122+"BYw!$N%"</f>
        <v>#VALUE!</v>
      </c>
      <c r="EI45" t="e">
        <f>'2.4.Функции'!V122+"BYw!$N&amp;"</f>
        <v>#VALUE!</v>
      </c>
      <c r="EJ45" t="e">
        <f>'2.4.Функции'!W122+"BYw!$N'"</f>
        <v>#VALUE!</v>
      </c>
      <c r="EK45" t="e">
        <f>'2.4.Функции'!X122+"BYw!$N("</f>
        <v>#VALUE!</v>
      </c>
      <c r="EL45" t="e">
        <f>'2.4.Функции'!Y122+"BYw!$N)"</f>
        <v>#VALUE!</v>
      </c>
      <c r="EM45" t="e">
        <f>'2.4.Функции'!Z122+"BYw!$N."</f>
        <v>#VALUE!</v>
      </c>
      <c r="EN45" t="e">
        <f>'2.4.Функции'!AA122+"BYw!$N/"</f>
        <v>#VALUE!</v>
      </c>
      <c r="EO45" t="e">
        <f>'2.4.Функции'!AB122+"BYw!$N0"</f>
        <v>#VALUE!</v>
      </c>
      <c r="EP45" t="e">
        <f>'2.4.Функции'!AC122+"BYw!$N1"</f>
        <v>#VALUE!</v>
      </c>
      <c r="EQ45" t="e">
        <f>'2.4.Функции'!A123+"BYw!$N2"</f>
        <v>#VALUE!</v>
      </c>
      <c r="ER45" s="116" t="e">
        <f>'2.4.Функции'!B123+"BYw!$N3"</f>
        <v>#VALUE!</v>
      </c>
      <c r="ES45" t="e">
        <f>'2.4.Функции'!C123+"BYw!$N4"</f>
        <v>#VALUE!</v>
      </c>
      <c r="ET45" t="e">
        <f>'2.4.Функции'!D123+"BYw!$N5"</f>
        <v>#VALUE!</v>
      </c>
      <c r="EU45" s="119" t="e">
        <f>'2.4.Функции'!E123+"BYw!$N6"</f>
        <v>#VALUE!</v>
      </c>
      <c r="EV45" s="119" t="e">
        <f>'2.4.Функции'!F123+"BYw!$N7"</f>
        <v>#VALUE!</v>
      </c>
      <c r="EW45" s="119" t="e">
        <f>'2.4.Функции'!G123+"BYw!$N8"</f>
        <v>#VALUE!</v>
      </c>
      <c r="EX45" s="119" t="e">
        <f>'2.4.Функции'!H123+"BYw!$N9"</f>
        <v>#VALUE!</v>
      </c>
      <c r="EY45" s="119" t="e">
        <f>'2.4.Функции'!I123+"BYw!$N:"</f>
        <v>#VALUE!</v>
      </c>
      <c r="EZ45" s="119" t="e">
        <f>'2.4.Функции'!J123+"BYw!$N;"</f>
        <v>#VALUE!</v>
      </c>
      <c r="FA45" s="119" t="e">
        <f>'2.4.Функции'!K123+"BYw!$N&lt;"</f>
        <v>#VALUE!</v>
      </c>
      <c r="FB45" t="e">
        <f>'2.4.Функции'!A124+"BYw!$N="</f>
        <v>#VALUE!</v>
      </c>
      <c r="FC45" s="116" t="e">
        <f>'2.4.Функции'!B124+"BYw!$N&gt;"</f>
        <v>#VALUE!</v>
      </c>
      <c r="FD45" t="e">
        <f>'2.4.Функции'!C124+"BYw!$N?"</f>
        <v>#VALUE!</v>
      </c>
      <c r="FE45" t="e">
        <f>'2.4.Функции'!D124+"BYw!$N@"</f>
        <v>#VALUE!</v>
      </c>
      <c r="FF45" s="119" t="e">
        <f>'2.4.Функции'!E124+"BYw!$NA"</f>
        <v>#VALUE!</v>
      </c>
      <c r="FG45" s="119" t="e">
        <f>'2.4.Функции'!F124+"BYw!$NB"</f>
        <v>#VALUE!</v>
      </c>
      <c r="FH45" s="119" t="e">
        <f>'2.4.Функции'!G124+"BYw!$NC"</f>
        <v>#VALUE!</v>
      </c>
      <c r="FI45" s="119" t="e">
        <f>'2.4.Функции'!H124+"BYw!$ND"</f>
        <v>#VALUE!</v>
      </c>
      <c r="FJ45" s="119" t="e">
        <f>'2.4.Функции'!I124+"BYw!$NE"</f>
        <v>#VALUE!</v>
      </c>
      <c r="FK45" s="119" t="e">
        <f>'2.4.Функции'!J124+"BYw!$NF"</f>
        <v>#VALUE!</v>
      </c>
      <c r="FL45" s="119" t="e">
        <f>'2.4.Функции'!K124+"BYw!$NG"</f>
        <v>#VALUE!</v>
      </c>
      <c r="FM45" t="e">
        <f>'2.4.Функции'!L124+"BYw!$NH"</f>
        <v>#VALUE!</v>
      </c>
      <c r="FN45" t="e">
        <f>'2.4.Функции'!M124+"BYw!$NI"</f>
        <v>#VALUE!</v>
      </c>
      <c r="FO45" t="e">
        <f>'2.4.Функции'!N124+"BYw!$NJ"</f>
        <v>#VALUE!</v>
      </c>
      <c r="FP45" t="e">
        <f>'2.4.Функции'!O124+"BYw!$NK"</f>
        <v>#VALUE!</v>
      </c>
      <c r="FQ45" t="e">
        <f>'2.4.Функции'!P124+"BYw!$NL"</f>
        <v>#VALUE!</v>
      </c>
      <c r="FR45" t="e">
        <f>'2.4.Функции'!Q124+"BYw!$NM"</f>
        <v>#VALUE!</v>
      </c>
      <c r="FS45" t="e">
        <f>'2.4.Функции'!R124+"BYw!$NN"</f>
        <v>#VALUE!</v>
      </c>
      <c r="FT45" t="e">
        <f>'2.4.Функции'!S124+"BYw!$NO"</f>
        <v>#VALUE!</v>
      </c>
      <c r="FU45" t="e">
        <f>'2.4.Функции'!T124+"BYw!$NP"</f>
        <v>#VALUE!</v>
      </c>
      <c r="FV45" t="e">
        <f>'2.4.Функции'!U124+"BYw!$NQ"</f>
        <v>#VALUE!</v>
      </c>
      <c r="FW45" t="e">
        <f>'2.4.Функции'!V124+"BYw!$NR"</f>
        <v>#VALUE!</v>
      </c>
      <c r="FX45" t="e">
        <f>'2.4.Функции'!W124+"BYw!$NS"</f>
        <v>#VALUE!</v>
      </c>
      <c r="FY45" t="e">
        <f>'2.4.Функции'!X124+"BYw!$NT"</f>
        <v>#VALUE!</v>
      </c>
      <c r="FZ45" t="e">
        <f>'2.4.Функции'!Y124+"BYw!$NU"</f>
        <v>#VALUE!</v>
      </c>
      <c r="GA45" t="e">
        <f>'2.4.Функции'!Z124+"BYw!$NV"</f>
        <v>#VALUE!</v>
      </c>
      <c r="GB45" t="e">
        <f>'2.4.Функции'!AA124+"BYw!$NW"</f>
        <v>#VALUE!</v>
      </c>
      <c r="GC45" t="e">
        <f>'2.4.Функции'!AB124+"BYw!$NX"</f>
        <v>#VALUE!</v>
      </c>
      <c r="GD45" t="e">
        <f>'2.4.Функции'!AC124+"BYw!$NY"</f>
        <v>#VALUE!</v>
      </c>
      <c r="GE45" t="e">
        <f>'2.4.Функции'!A125+"BYw!$NZ"</f>
        <v>#VALUE!</v>
      </c>
      <c r="GF45" s="116" t="e">
        <f>'2.4.Функции'!B125+"BYw!$N["</f>
        <v>#VALUE!</v>
      </c>
      <c r="GG45" t="e">
        <f>'2.4.Функции'!C125+"BYw!$N\"</f>
        <v>#VALUE!</v>
      </c>
      <c r="GH45" t="e">
        <f>'2.4.Функции'!D125+"BYw!$N]"</f>
        <v>#VALUE!</v>
      </c>
      <c r="GI45" s="119" t="e">
        <f>'2.4.Функции'!E125+"BYw!$N^"</f>
        <v>#VALUE!</v>
      </c>
      <c r="GJ45" s="119" t="e">
        <f>'2.4.Функции'!F125+"BYw!$N_"</f>
        <v>#VALUE!</v>
      </c>
      <c r="GK45" s="119" t="e">
        <f>'2.4.Функции'!G125+"BYw!$N`"</f>
        <v>#VALUE!</v>
      </c>
      <c r="GL45" s="119" t="e">
        <f>'2.4.Функции'!H125+"BYw!$Na"</f>
        <v>#VALUE!</v>
      </c>
      <c r="GM45" s="119" t="e">
        <f>'2.4.Функции'!I125+"BYw!$Nb"</f>
        <v>#VALUE!</v>
      </c>
      <c r="GN45" s="119" t="e">
        <f>'2.4.Функции'!J125+"BYw!$Nc"</f>
        <v>#VALUE!</v>
      </c>
      <c r="GO45" t="e">
        <f>'2.4.Функции'!K125+"BYw!$Nd"</f>
        <v>#VALUE!</v>
      </c>
      <c r="GP45" t="e">
        <f>'2.4.Функции'!L125+"BYw!$Ne"</f>
        <v>#VALUE!</v>
      </c>
      <c r="GQ45" t="e">
        <f>'2.4.Функции'!M125+"BYw!$Nf"</f>
        <v>#VALUE!</v>
      </c>
      <c r="GR45" t="e">
        <f>'2.4.Функции'!N125+"BYw!$Ng"</f>
        <v>#VALUE!</v>
      </c>
      <c r="GS45" t="e">
        <f>'2.4.Функции'!O125+"BYw!$Nh"</f>
        <v>#VALUE!</v>
      </c>
      <c r="GT45" t="e">
        <f>'2.4.Функции'!P125+"BYw!$Ni"</f>
        <v>#VALUE!</v>
      </c>
      <c r="GU45" t="e">
        <f>'2.4.Функции'!Q125+"BYw!$Nj"</f>
        <v>#VALUE!</v>
      </c>
      <c r="GV45" t="e">
        <f>'2.4.Функции'!R125+"BYw!$Nk"</f>
        <v>#VALUE!</v>
      </c>
      <c r="GW45" t="e">
        <f>'2.4.Функции'!S125+"BYw!$Nl"</f>
        <v>#VALUE!</v>
      </c>
      <c r="GX45" t="e">
        <f>'2.4.Функции'!T125+"BYw!$Nm"</f>
        <v>#VALUE!</v>
      </c>
      <c r="GY45" t="e">
        <f>'2.4.Функции'!U125+"BYw!$Nn"</f>
        <v>#VALUE!</v>
      </c>
      <c r="GZ45" t="e">
        <f>'2.4.Функции'!V125+"BYw!$No"</f>
        <v>#VALUE!</v>
      </c>
      <c r="HA45" t="e">
        <f>'2.4.Функции'!W125+"BYw!$Np"</f>
        <v>#VALUE!</v>
      </c>
      <c r="HB45" t="e">
        <f>'2.4.Функции'!X125+"BYw!$Nq"</f>
        <v>#VALUE!</v>
      </c>
      <c r="HC45" t="e">
        <f>'2.4.Функции'!Y125+"BYw!$Nr"</f>
        <v>#VALUE!</v>
      </c>
      <c r="HD45" t="e">
        <f>'2.4.Функции'!Z125+"BYw!$Ns"</f>
        <v>#VALUE!</v>
      </c>
      <c r="HE45" t="e">
        <f>'2.4.Функции'!AA125+"BYw!$Nt"</f>
        <v>#VALUE!</v>
      </c>
      <c r="HF45" t="e">
        <f>'2.4.Функции'!AB125+"BYw!$Nu"</f>
        <v>#VALUE!</v>
      </c>
      <c r="HG45" t="e">
        <f>'2.4.Функции'!AC125+"BYw!$Nv"</f>
        <v>#VALUE!</v>
      </c>
      <c r="HH45" t="e">
        <f>'2.4.Функции'!A126+"BYw!$Nw"</f>
        <v>#VALUE!</v>
      </c>
      <c r="HI45" s="116" t="e">
        <f>'2.4.Функции'!B126+"BYw!$Nx"</f>
        <v>#VALUE!</v>
      </c>
      <c r="HJ45" t="e">
        <f>'2.4.Функции'!C126+"BYw!$Ny"</f>
        <v>#VALUE!</v>
      </c>
      <c r="HK45" t="e">
        <f>'2.4.Функции'!D126+"BYw!$Nz"</f>
        <v>#VALUE!</v>
      </c>
      <c r="HL45" s="119" t="e">
        <f>'2.4.Функции'!E126+"BYw!$N{"</f>
        <v>#VALUE!</v>
      </c>
      <c r="HM45" s="119" t="e">
        <f>'2.4.Функции'!F126+"BYw!$N|"</f>
        <v>#VALUE!</v>
      </c>
      <c r="HN45" s="119" t="e">
        <f>'2.4.Функции'!G126+"BYw!$N}"</f>
        <v>#VALUE!</v>
      </c>
      <c r="HO45" s="119" t="e">
        <f>'2.4.Функции'!H126+"BYw!$N~"</f>
        <v>#VALUE!</v>
      </c>
      <c r="HP45" s="119" t="e">
        <f>'2.4.Функции'!I126+"BYw!$O#"</f>
        <v>#VALUE!</v>
      </c>
      <c r="HQ45" s="119" t="e">
        <f>'2.4.Функции'!J126+"BYw!$O$"</f>
        <v>#VALUE!</v>
      </c>
      <c r="HR45" s="119" t="e">
        <f>'2.4.Функции'!K126+"BYw!$O%"</f>
        <v>#VALUE!</v>
      </c>
      <c r="HS45" t="e">
        <f>'2.4.Функции'!L126+"BYw!$O&amp;"</f>
        <v>#VALUE!</v>
      </c>
      <c r="HT45" t="e">
        <f>'2.4.Функции'!M126+"BYw!$O'"</f>
        <v>#VALUE!</v>
      </c>
      <c r="HU45" t="e">
        <f>'2.4.Функции'!N126+"BYw!$O("</f>
        <v>#VALUE!</v>
      </c>
      <c r="HV45" t="e">
        <f>'2.4.Функции'!O126+"BYw!$O)"</f>
        <v>#VALUE!</v>
      </c>
      <c r="HW45" t="e">
        <f>'2.4.Функции'!P126+"BYw!$O."</f>
        <v>#VALUE!</v>
      </c>
      <c r="HX45" t="e">
        <f>'2.4.Функции'!Q126+"BYw!$O/"</f>
        <v>#VALUE!</v>
      </c>
      <c r="HY45" t="e">
        <f>'2.4.Функции'!R126+"BYw!$O0"</f>
        <v>#VALUE!</v>
      </c>
      <c r="HZ45" t="e">
        <f>'2.4.Функции'!S126+"BYw!$O1"</f>
        <v>#VALUE!</v>
      </c>
      <c r="IA45" t="e">
        <f>'2.4.Функции'!T126+"BYw!$O2"</f>
        <v>#VALUE!</v>
      </c>
      <c r="IB45" t="e">
        <f>'2.4.Функции'!U126+"BYw!$O3"</f>
        <v>#VALUE!</v>
      </c>
      <c r="IC45" t="e">
        <f>'2.4.Функции'!V126+"BYw!$O4"</f>
        <v>#VALUE!</v>
      </c>
      <c r="ID45" t="e">
        <f>'2.4.Функции'!W126+"BYw!$O5"</f>
        <v>#VALUE!</v>
      </c>
      <c r="IE45" t="e">
        <f>'2.4.Функции'!X126+"BYw!$O6"</f>
        <v>#VALUE!</v>
      </c>
      <c r="IF45" t="e">
        <f>'2.4.Функции'!Y126+"BYw!$O7"</f>
        <v>#VALUE!</v>
      </c>
      <c r="IG45" t="e">
        <f>'2.4.Функции'!Z126+"BYw!$O8"</f>
        <v>#VALUE!</v>
      </c>
      <c r="IH45" t="e">
        <f>'2.4.Функции'!AA126+"BYw!$O9"</f>
        <v>#VALUE!</v>
      </c>
      <c r="II45" t="e">
        <f>'2.4.Функции'!AB126+"BYw!$O:"</f>
        <v>#VALUE!</v>
      </c>
      <c r="IJ45" t="e">
        <f>'2.4.Функции'!AC126+"BYw!$O;"</f>
        <v>#VALUE!</v>
      </c>
      <c r="IK45" t="e">
        <f>'2.4.Функции'!A127+"BYw!$O&lt;"</f>
        <v>#VALUE!</v>
      </c>
      <c r="IL45" s="116" t="e">
        <f>'2.4.Функции'!B127+"BYw!$O="</f>
        <v>#VALUE!</v>
      </c>
      <c r="IM45" t="e">
        <f>'2.4.Функции'!C127+"BYw!$O&gt;"</f>
        <v>#VALUE!</v>
      </c>
      <c r="IN45" t="e">
        <f>'2.4.Функции'!D127+"BYw!$O?"</f>
        <v>#VALUE!</v>
      </c>
      <c r="IO45" t="e">
        <f>'2.4.Функции'!E127+"BYw!$O@"</f>
        <v>#VALUE!</v>
      </c>
      <c r="IP45" t="e">
        <f>'2.4.Функции'!F127+"BYw!$OA"</f>
        <v>#VALUE!</v>
      </c>
      <c r="IQ45" s="119" t="e">
        <f>'2.4.Функции'!G127+"BYw!$OB"</f>
        <v>#VALUE!</v>
      </c>
      <c r="IR45" t="e">
        <f>'2.4.Функции'!H127+"BYw!$OC"</f>
        <v>#VALUE!</v>
      </c>
      <c r="IS45" t="e">
        <f>'2.4.Функции'!I127+"BYw!$OD"</f>
        <v>#VALUE!</v>
      </c>
      <c r="IT45" s="119" t="e">
        <f>'2.4.Функции'!J127+"BYw!$OE"</f>
        <v>#VALUE!</v>
      </c>
      <c r="IU45" t="e">
        <f>'2.4.Функции'!K127+"BYw!$OF"</f>
        <v>#VALUE!</v>
      </c>
      <c r="IV45" t="e">
        <f>'2.4.Функции'!L127+"BYw!$OG"</f>
        <v>#VALUE!</v>
      </c>
    </row>
    <row r="46" spans="6:256" x14ac:dyDescent="0.2">
      <c r="F46" t="e">
        <f>'2.4.Функции'!M127+"BYw!$OH"</f>
        <v>#VALUE!</v>
      </c>
      <c r="G46" t="e">
        <f>'2.4.Функции'!N127+"BYw!$OI"</f>
        <v>#VALUE!</v>
      </c>
      <c r="H46" t="e">
        <f>'2.4.Функции'!O127+"BYw!$OJ"</f>
        <v>#VALUE!</v>
      </c>
      <c r="I46" t="e">
        <f>'2.4.Функции'!P127+"BYw!$OK"</f>
        <v>#VALUE!</v>
      </c>
      <c r="J46" t="e">
        <f>'2.4.Функции'!Q127+"BYw!$OL"</f>
        <v>#VALUE!</v>
      </c>
      <c r="K46" t="e">
        <f>'2.4.Функции'!R127+"BYw!$OM"</f>
        <v>#VALUE!</v>
      </c>
      <c r="L46" t="e">
        <f>'2.4.Функции'!S127+"BYw!$ON"</f>
        <v>#VALUE!</v>
      </c>
      <c r="M46" t="e">
        <f>'2.4.Функции'!T127+"BYw!$OO"</f>
        <v>#VALUE!</v>
      </c>
      <c r="N46" t="e">
        <f>'2.4.Функции'!U127+"BYw!$OP"</f>
        <v>#VALUE!</v>
      </c>
      <c r="O46" t="e">
        <f>'2.4.Функции'!V127+"BYw!$OQ"</f>
        <v>#VALUE!</v>
      </c>
      <c r="P46" t="e">
        <f>'2.4.Функции'!W127+"BYw!$OR"</f>
        <v>#VALUE!</v>
      </c>
      <c r="Q46" t="e">
        <f>'2.4.Функции'!X127+"BYw!$OS"</f>
        <v>#VALUE!</v>
      </c>
      <c r="R46" t="e">
        <f>'2.4.Функции'!Y127+"BYw!$OT"</f>
        <v>#VALUE!</v>
      </c>
      <c r="S46" t="e">
        <f>'2.4.Функции'!Z127+"BYw!$OU"</f>
        <v>#VALUE!</v>
      </c>
      <c r="T46" t="e">
        <f>'2.4.Функции'!AA127+"BYw!$OV"</f>
        <v>#VALUE!</v>
      </c>
      <c r="U46" t="e">
        <f>'2.4.Функции'!AB127+"BYw!$OW"</f>
        <v>#VALUE!</v>
      </c>
      <c r="V46" t="e">
        <f>'2.4.Функции'!AC127+"BYw!$OX"</f>
        <v>#VALUE!</v>
      </c>
      <c r="W46" t="e">
        <f>'2.4.Функции'!A128+"BYw!$OY"</f>
        <v>#VALUE!</v>
      </c>
      <c r="X46" s="116" t="e">
        <f>'2.4.Функции'!B128+"BYw!$OZ"</f>
        <v>#VALUE!</v>
      </c>
      <c r="Y46" t="e">
        <f>'2.4.Функции'!C128+"BYw!$O["</f>
        <v>#VALUE!</v>
      </c>
      <c r="Z46" t="e">
        <f>'2.4.Функции'!D128+"BYw!$O\"</f>
        <v>#VALUE!</v>
      </c>
      <c r="AA46" s="119" t="e">
        <f>'2.4.Функции'!E128+"BYw!$O]"</f>
        <v>#VALUE!</v>
      </c>
      <c r="AB46" s="119" t="e">
        <f>'2.4.Функции'!F128+"BYw!$O^"</f>
        <v>#VALUE!</v>
      </c>
      <c r="AC46" s="119" t="e">
        <f>'2.4.Функции'!G128+"BYw!$O_"</f>
        <v>#VALUE!</v>
      </c>
      <c r="AD46" s="119" t="e">
        <f>'2.4.Функции'!H128+"BYw!$O`"</f>
        <v>#VALUE!</v>
      </c>
      <c r="AE46" s="119" t="e">
        <f>'2.4.Функции'!I128+"BYw!$Oa"</f>
        <v>#VALUE!</v>
      </c>
      <c r="AF46" s="119" t="e">
        <f>'2.4.Функции'!J128+"BYw!$Ob"</f>
        <v>#VALUE!</v>
      </c>
      <c r="AG46" t="e">
        <f>'2.4.Функции'!K128+"BYw!$Oc"</f>
        <v>#VALUE!</v>
      </c>
      <c r="AH46" t="e">
        <f>'2.4.Функции'!L128+"BYw!$Od"</f>
        <v>#VALUE!</v>
      </c>
      <c r="AI46" t="e">
        <f>'2.4.Функции'!M128+"BYw!$Oe"</f>
        <v>#VALUE!</v>
      </c>
      <c r="AJ46" t="e">
        <f>'2.4.Функции'!N128+"BYw!$Of"</f>
        <v>#VALUE!</v>
      </c>
      <c r="AK46" t="e">
        <f>'2.4.Функции'!O128+"BYw!$Og"</f>
        <v>#VALUE!</v>
      </c>
      <c r="AL46" t="e">
        <f>'2.4.Функции'!P128+"BYw!$Oh"</f>
        <v>#VALUE!</v>
      </c>
      <c r="AM46" t="e">
        <f>'2.4.Функции'!Q128+"BYw!$Oi"</f>
        <v>#VALUE!</v>
      </c>
      <c r="AN46" t="e">
        <f>'2.4.Функции'!R128+"BYw!$Oj"</f>
        <v>#VALUE!</v>
      </c>
      <c r="AO46" t="e">
        <f>'2.4.Функции'!S128+"BYw!$Ok"</f>
        <v>#VALUE!</v>
      </c>
      <c r="AP46" t="e">
        <f>'2.4.Функции'!T128+"BYw!$Ol"</f>
        <v>#VALUE!</v>
      </c>
      <c r="AQ46" t="e">
        <f>'2.4.Функции'!U128+"BYw!$Om"</f>
        <v>#VALUE!</v>
      </c>
      <c r="AR46" t="e">
        <f>'2.4.Функции'!V128+"BYw!$On"</f>
        <v>#VALUE!</v>
      </c>
      <c r="AS46" t="e">
        <f>'2.4.Функции'!W128+"BYw!$Oo"</f>
        <v>#VALUE!</v>
      </c>
      <c r="AT46" t="e">
        <f>'2.4.Функции'!X128+"BYw!$Op"</f>
        <v>#VALUE!</v>
      </c>
      <c r="AU46" t="e">
        <f>'2.4.Функции'!Y128+"BYw!$Oq"</f>
        <v>#VALUE!</v>
      </c>
      <c r="AV46" t="e">
        <f>'2.4.Функции'!Z128+"BYw!$Or"</f>
        <v>#VALUE!</v>
      </c>
      <c r="AW46" t="e">
        <f>'2.4.Функции'!AA128+"BYw!$Os"</f>
        <v>#VALUE!</v>
      </c>
      <c r="AX46" t="e">
        <f>'2.4.Функции'!AB128+"BYw!$Ot"</f>
        <v>#VALUE!</v>
      </c>
      <c r="AY46" t="e">
        <f>'2.4.Функции'!AC128+"BYw!$Ou"</f>
        <v>#VALUE!</v>
      </c>
      <c r="AZ46" t="e">
        <f>'2.4.Функции'!A129+"BYw!$Ov"</f>
        <v>#VALUE!</v>
      </c>
      <c r="BA46" t="e">
        <f>'2.4.Функции'!B129+"BYw!$Ow"</f>
        <v>#VALUE!</v>
      </c>
      <c r="BB46" t="e">
        <f>'2.4.Функции'!C129+"BYw!$Ox"</f>
        <v>#VALUE!</v>
      </c>
      <c r="BC46" s="118" t="e">
        <f>'2.4.Функции'!D129+"BYw!$Oy"</f>
        <v>#VALUE!</v>
      </c>
      <c r="BD46" s="118" t="e">
        <f>'2.4.Функции'!E129+"BYw!$Oz"</f>
        <v>#VALUE!</v>
      </c>
      <c r="BE46" s="118" t="e">
        <f>'2.4.Функции'!F129+"BYw!$O{"</f>
        <v>#VALUE!</v>
      </c>
      <c r="BF46" s="118" t="e">
        <f>'2.4.Функции'!G129+"BYw!$O|"</f>
        <v>#VALUE!</v>
      </c>
      <c r="BG46" s="118" t="e">
        <f>'2.4.Функции'!H129+"BYw!$O}"</f>
        <v>#VALUE!</v>
      </c>
      <c r="BH46" s="118" t="e">
        <f>'2.4.Функции'!I129+"BYw!$O~"</f>
        <v>#VALUE!</v>
      </c>
      <c r="BI46" s="118" t="e">
        <f>'2.4.Функции'!J129+"BYw!$P#"</f>
        <v>#VALUE!</v>
      </c>
      <c r="BJ46" s="118" t="e">
        <f>'2.4.Функции'!K129+"BYw!$P$"</f>
        <v>#VALUE!</v>
      </c>
      <c r="BK46" t="e">
        <f>'2.4.Функции'!L129+"BYw!$P%"</f>
        <v>#VALUE!</v>
      </c>
      <c r="BL46" t="e">
        <f>'2.4.Функции'!M129+"BYw!$P&amp;"</f>
        <v>#VALUE!</v>
      </c>
      <c r="BM46" t="e">
        <f>'2.4.Функции'!N129+"BYw!$P'"</f>
        <v>#VALUE!</v>
      </c>
      <c r="BN46" t="e">
        <f>'2.4.Функции'!O129+"BYw!$P("</f>
        <v>#VALUE!</v>
      </c>
      <c r="BO46" t="e">
        <f>'2.4.Функции'!P129+"BYw!$P)"</f>
        <v>#VALUE!</v>
      </c>
      <c r="BP46" t="e">
        <f>'2.4.Функции'!Q129+"BYw!$P."</f>
        <v>#VALUE!</v>
      </c>
      <c r="BQ46" t="e">
        <f>'2.4.Функции'!R129+"BYw!$P/"</f>
        <v>#VALUE!</v>
      </c>
      <c r="BR46" t="e">
        <f>'2.4.Функции'!S129+"BYw!$P0"</f>
        <v>#VALUE!</v>
      </c>
      <c r="BS46" t="e">
        <f>'2.4.Функции'!T129+"BYw!$P1"</f>
        <v>#VALUE!</v>
      </c>
      <c r="BT46" t="e">
        <f>'2.4.Функции'!U129+"BYw!$P2"</f>
        <v>#VALUE!</v>
      </c>
      <c r="BU46" t="e">
        <f>'2.4.Функции'!V129+"BYw!$P3"</f>
        <v>#VALUE!</v>
      </c>
      <c r="BV46" t="e">
        <f>'2.4.Функции'!W129+"BYw!$P4"</f>
        <v>#VALUE!</v>
      </c>
      <c r="BW46" t="e">
        <f>'2.4.Функции'!X129+"BYw!$P5"</f>
        <v>#VALUE!</v>
      </c>
      <c r="BX46" t="e">
        <f>'2.4.Функции'!Y129+"BYw!$P6"</f>
        <v>#VALUE!</v>
      </c>
      <c r="BY46" t="e">
        <f>'2.4.Функции'!Z129+"BYw!$P7"</f>
        <v>#VALUE!</v>
      </c>
      <c r="BZ46" t="e">
        <f>'2.4.Функции'!AA129+"BYw!$P8"</f>
        <v>#VALUE!</v>
      </c>
      <c r="CA46" t="e">
        <f>'2.4.Функции'!AB129+"BYw!$P9"</f>
        <v>#VALUE!</v>
      </c>
      <c r="CB46" t="e">
        <f>'2.4.Функции'!AC129+"BYw!$P:"</f>
        <v>#VALUE!</v>
      </c>
      <c r="CC46" t="e">
        <f>'2.4.Функции'!A130+"BYw!$P;"</f>
        <v>#VALUE!</v>
      </c>
      <c r="CD46" t="e">
        <f>'2.4.Функции'!B130+"BYw!$P&lt;"</f>
        <v>#VALUE!</v>
      </c>
      <c r="CE46" t="e">
        <f>'2.4.Функции'!C130+"BYw!$P="</f>
        <v>#VALUE!</v>
      </c>
      <c r="CF46" s="118" t="e">
        <f>'2.4.Функции'!D130+"BYw!$P&gt;"</f>
        <v>#VALUE!</v>
      </c>
      <c r="CG46" s="118" t="e">
        <f>'2.4.Функции'!E130+"BYw!$P?"</f>
        <v>#VALUE!</v>
      </c>
      <c r="CH46" s="118" t="e">
        <f>'2.4.Функции'!F130+"BYw!$P@"</f>
        <v>#VALUE!</v>
      </c>
      <c r="CI46" s="118" t="e">
        <f>'2.4.Функции'!G130+"BYw!$PA"</f>
        <v>#VALUE!</v>
      </c>
      <c r="CJ46" s="118" t="e">
        <f>'2.4.Функции'!H130+"BYw!$PB"</f>
        <v>#VALUE!</v>
      </c>
      <c r="CK46" s="118" t="e">
        <f>'2.4.Функции'!I130+"BYw!$PC"</f>
        <v>#VALUE!</v>
      </c>
      <c r="CL46" s="118" t="e">
        <f>'2.4.Функции'!J130+"BYw!$PD"</f>
        <v>#VALUE!</v>
      </c>
      <c r="CM46" s="118" t="e">
        <f>'2.4.Функции'!K130+"BYw!$PE"</f>
        <v>#VALUE!</v>
      </c>
      <c r="CN46" t="e">
        <f>'2.4.Функции'!L130+"BYw!$PF"</f>
        <v>#VALUE!</v>
      </c>
      <c r="CO46" t="e">
        <f>'2.4.Функции'!M130+"BYw!$PG"</f>
        <v>#VALUE!</v>
      </c>
      <c r="CP46" t="e">
        <f>'2.4.Функции'!N130+"BYw!$PH"</f>
        <v>#VALUE!</v>
      </c>
      <c r="CQ46" t="e">
        <f>'2.4.Функции'!O130+"BYw!$PI"</f>
        <v>#VALUE!</v>
      </c>
      <c r="CR46" t="e">
        <f>'2.4.Функции'!P130+"BYw!$PJ"</f>
        <v>#VALUE!</v>
      </c>
      <c r="CS46" t="e">
        <f>'2.4.Функции'!Q130+"BYw!$PK"</f>
        <v>#VALUE!</v>
      </c>
      <c r="CT46" t="e">
        <f>'2.4.Функции'!R130+"BYw!$PL"</f>
        <v>#VALUE!</v>
      </c>
      <c r="CU46" t="e">
        <f>'2.4.Функции'!S130+"BYw!$PM"</f>
        <v>#VALUE!</v>
      </c>
      <c r="CV46" t="e">
        <f>'2.4.Функции'!T130+"BYw!$PN"</f>
        <v>#VALUE!</v>
      </c>
      <c r="CW46" t="e">
        <f>'2.4.Функции'!U130+"BYw!$PO"</f>
        <v>#VALUE!</v>
      </c>
      <c r="CX46" t="e">
        <f>'2.4.Функции'!V130+"BYw!$PP"</f>
        <v>#VALUE!</v>
      </c>
      <c r="CY46" t="e">
        <f>'2.4.Функции'!W130+"BYw!$PQ"</f>
        <v>#VALUE!</v>
      </c>
      <c r="CZ46" t="e">
        <f>'2.4.Функции'!X130+"BYw!$PR"</f>
        <v>#VALUE!</v>
      </c>
      <c r="DA46" t="e">
        <f>'2.4.Функции'!Y130+"BYw!$PS"</f>
        <v>#VALUE!</v>
      </c>
      <c r="DB46" t="e">
        <f>'2.4.Функции'!Z130+"BYw!$PT"</f>
        <v>#VALUE!</v>
      </c>
      <c r="DC46" t="e">
        <f>'2.4.Функции'!AA130+"BYw!$PU"</f>
        <v>#VALUE!</v>
      </c>
      <c r="DD46" t="e">
        <f>'2.4.Функции'!AB130+"BYw!$PV"</f>
        <v>#VALUE!</v>
      </c>
      <c r="DE46" t="e">
        <f>'2.4.Функции'!AC130+"BYw!$PW"</f>
        <v>#VALUE!</v>
      </c>
      <c r="DF46" t="e">
        <f>'2.4.Функции'!A131+"BYw!$PX"</f>
        <v>#VALUE!</v>
      </c>
      <c r="DG46" s="116" t="e">
        <f>'2.4.Функции'!B131+"BYw!$PY"</f>
        <v>#VALUE!</v>
      </c>
      <c r="DH46" t="e">
        <f>'2.4.Функции'!C131+"BYw!$PZ"</f>
        <v>#VALUE!</v>
      </c>
      <c r="DI46" s="118" t="e">
        <f>'2.4.Функции'!D131+"BYw!$P["</f>
        <v>#VALUE!</v>
      </c>
      <c r="DJ46" s="118" t="e">
        <f>'2.4.Функции'!E131+"BYw!$P\"</f>
        <v>#VALUE!</v>
      </c>
      <c r="DK46" s="118" t="e">
        <f>'2.4.Функции'!F131+"BYw!$P]"</f>
        <v>#VALUE!</v>
      </c>
      <c r="DL46" s="118" t="e">
        <f>'2.4.Функции'!G131+"BYw!$P^"</f>
        <v>#VALUE!</v>
      </c>
      <c r="DM46" s="118" t="e">
        <f>'2.4.Функции'!H131+"BYw!$P_"</f>
        <v>#VALUE!</v>
      </c>
      <c r="DN46" s="118" t="e">
        <f>'2.4.Функции'!I131+"BYw!$P`"</f>
        <v>#VALUE!</v>
      </c>
      <c r="DO46" s="118" t="e">
        <f>'2.4.Функции'!J131+"BYw!$Pa"</f>
        <v>#VALUE!</v>
      </c>
      <c r="DP46" s="118" t="e">
        <f>'2.4.Функции'!K131+"BYw!$Pb"</f>
        <v>#VALUE!</v>
      </c>
      <c r="DQ46" t="e">
        <f>'2.4.Функции'!L131+"BYw!$Pc"</f>
        <v>#VALUE!</v>
      </c>
      <c r="DR46" t="e">
        <f>'2.4.Функции'!M131+"BYw!$Pd"</f>
        <v>#VALUE!</v>
      </c>
      <c r="DS46" t="e">
        <f>'2.4.Функции'!N131+"BYw!$Pe"</f>
        <v>#VALUE!</v>
      </c>
      <c r="DT46" t="e">
        <f>'2.4.Функции'!O131+"BYw!$Pf"</f>
        <v>#VALUE!</v>
      </c>
      <c r="DU46" t="e">
        <f>'2.4.Функции'!P131+"BYw!$Pg"</f>
        <v>#VALUE!</v>
      </c>
      <c r="DV46" t="e">
        <f>'2.4.Функции'!Q131+"BYw!$Ph"</f>
        <v>#VALUE!</v>
      </c>
      <c r="DW46" t="e">
        <f>'2.4.Функции'!R131+"BYw!$Pi"</f>
        <v>#VALUE!</v>
      </c>
      <c r="DX46" t="e">
        <f>'2.4.Функции'!S131+"BYw!$Pj"</f>
        <v>#VALUE!</v>
      </c>
      <c r="DY46" t="e">
        <f>'2.4.Функции'!T131+"BYw!$Pk"</f>
        <v>#VALUE!</v>
      </c>
      <c r="DZ46" t="e">
        <f>'2.4.Функции'!U131+"BYw!$Pl"</f>
        <v>#VALUE!</v>
      </c>
      <c r="EA46" t="e">
        <f>'2.4.Функции'!V131+"BYw!$Pm"</f>
        <v>#VALUE!</v>
      </c>
      <c r="EB46" t="e">
        <f>'2.4.Функции'!W131+"BYw!$Pn"</f>
        <v>#VALUE!</v>
      </c>
      <c r="EC46" t="e">
        <f>'2.4.Функции'!X131+"BYw!$Po"</f>
        <v>#VALUE!</v>
      </c>
      <c r="ED46" t="e">
        <f>'2.4.Функции'!Y131+"BYw!$Pp"</f>
        <v>#VALUE!</v>
      </c>
      <c r="EE46" t="e">
        <f>'2.4.Функции'!Z131+"BYw!$Pq"</f>
        <v>#VALUE!</v>
      </c>
      <c r="EF46" t="e">
        <f>'2.4.Функции'!AA131+"BYw!$Pr"</f>
        <v>#VALUE!</v>
      </c>
      <c r="EG46" t="e">
        <f>'2.4.Функции'!AB131+"BYw!$Ps"</f>
        <v>#VALUE!</v>
      </c>
      <c r="EH46" t="e">
        <f>'2.4.Функции'!AC131+"BYw!$Pt"</f>
        <v>#VALUE!</v>
      </c>
      <c r="EI46" t="e">
        <f>'2.4.Функции'!A132+"BYw!$Pu"</f>
        <v>#VALUE!</v>
      </c>
      <c r="EJ46" s="116" t="e">
        <f>'2.4.Функции'!B132+"BYw!$Pv"</f>
        <v>#VALUE!</v>
      </c>
      <c r="EK46" t="e">
        <f>'2.4.Функции'!C132+"BYw!$Pw"</f>
        <v>#VALUE!</v>
      </c>
      <c r="EL46" s="116" t="e">
        <f>'2.4.Функции'!D132+"BYw!$Px"</f>
        <v>#VALUE!</v>
      </c>
      <c r="EM46" t="e">
        <f>'2.4.Функции'!E132+"BYw!$Py"</f>
        <v>#VALUE!</v>
      </c>
      <c r="EN46" s="116" t="e">
        <f>'2.4.Функции'!F132+"BYw!$Pz"</f>
        <v>#VALUE!</v>
      </c>
      <c r="EO46" t="e">
        <f>'2.4.Функции'!G132+"BYw!$P{"</f>
        <v>#VALUE!</v>
      </c>
      <c r="EP46" s="116" t="e">
        <f>'2.4.Функции'!H132+"BYw!$P|"</f>
        <v>#VALUE!</v>
      </c>
      <c r="EQ46" t="e">
        <f>'2.4.Функции'!I132+"BYw!$P}"</f>
        <v>#VALUE!</v>
      </c>
      <c r="ER46" s="116" t="e">
        <f>'2.4.Функции'!J132+"BYw!$P~"</f>
        <v>#VALUE!</v>
      </c>
      <c r="ES46" s="119" t="e">
        <f>'2.4.Функции'!K132+"BYw!$Q#"</f>
        <v>#VALUE!</v>
      </c>
      <c r="ET46" t="e">
        <f>'2.4.Функции'!L132+"BYw!$Q$"</f>
        <v>#VALUE!</v>
      </c>
      <c r="EU46" t="e">
        <f>'2.4.Функции'!M132+"BYw!$Q%"</f>
        <v>#VALUE!</v>
      </c>
      <c r="EV46" t="e">
        <f>'2.4.Функции'!N132+"BYw!$Q&amp;"</f>
        <v>#VALUE!</v>
      </c>
      <c r="EW46" t="e">
        <f>'2.4.Функции'!O132+"BYw!$Q'"</f>
        <v>#VALUE!</v>
      </c>
      <c r="EX46" t="e">
        <f>'2.4.Функции'!P132+"BYw!$Q("</f>
        <v>#VALUE!</v>
      </c>
      <c r="EY46" t="e">
        <f>'2.4.Функции'!Q132+"BYw!$Q)"</f>
        <v>#VALUE!</v>
      </c>
      <c r="EZ46" t="e">
        <f>'2.4.Функции'!R132+"BYw!$Q."</f>
        <v>#VALUE!</v>
      </c>
      <c r="FA46" t="e">
        <f>'2.4.Функции'!S132+"BYw!$Q/"</f>
        <v>#VALUE!</v>
      </c>
      <c r="FB46" t="e">
        <f>'2.4.Функции'!T132+"BYw!$Q0"</f>
        <v>#VALUE!</v>
      </c>
      <c r="FC46" t="e">
        <f>'2.4.Функции'!U132+"BYw!$Q1"</f>
        <v>#VALUE!</v>
      </c>
      <c r="FD46" t="e">
        <f>'2.4.Функции'!V132+"BYw!$Q2"</f>
        <v>#VALUE!</v>
      </c>
      <c r="FE46" t="e">
        <f>'2.4.Функции'!W132+"BYw!$Q3"</f>
        <v>#VALUE!</v>
      </c>
      <c r="FF46" t="e">
        <f>'2.4.Функции'!X132+"BYw!$Q4"</f>
        <v>#VALUE!</v>
      </c>
      <c r="FG46" t="e">
        <f>'2.4.Функции'!Y132+"BYw!$Q5"</f>
        <v>#VALUE!</v>
      </c>
      <c r="FH46" t="e">
        <f>'2.4.Функции'!Z132+"BYw!$Q6"</f>
        <v>#VALUE!</v>
      </c>
      <c r="FI46" t="e">
        <f>'2.4.Функции'!AA132+"BYw!$Q7"</f>
        <v>#VALUE!</v>
      </c>
      <c r="FJ46" t="e">
        <f>'2.4.Функции'!AB132+"BYw!$Q8"</f>
        <v>#VALUE!</v>
      </c>
      <c r="FK46" t="e">
        <f>'2.4.Функции'!AC132+"BYw!$Q9"</f>
        <v>#VALUE!</v>
      </c>
      <c r="FL46" t="e">
        <f>'2.4.Функции'!A133+"BYw!$Q:"</f>
        <v>#VALUE!</v>
      </c>
      <c r="FM46" s="116" t="e">
        <f>'2.4.Функции'!B133+"BYw!$Q;"</f>
        <v>#VALUE!</v>
      </c>
      <c r="FN46" t="e">
        <f>'2.4.Функции'!C133+"BYw!$Q&lt;"</f>
        <v>#VALUE!</v>
      </c>
      <c r="FO46" s="116" t="e">
        <f>'2.4.Функции'!D133+"BYw!$Q="</f>
        <v>#VALUE!</v>
      </c>
      <c r="FP46" t="e">
        <f>'2.4.Функции'!E133+"BYw!$Q&gt;"</f>
        <v>#VALUE!</v>
      </c>
      <c r="FQ46" s="116" t="e">
        <f>'2.4.Функции'!F133+"BYw!$Q?"</f>
        <v>#VALUE!</v>
      </c>
      <c r="FR46" t="e">
        <f>'2.4.Функции'!G133+"BYw!$Q@"</f>
        <v>#VALUE!</v>
      </c>
      <c r="FS46" s="116" t="e">
        <f>'2.4.Функции'!H133+"BYw!$QA"</f>
        <v>#VALUE!</v>
      </c>
      <c r="FT46" t="e">
        <f>'2.4.Функции'!I133+"BYw!$QB"</f>
        <v>#VALUE!</v>
      </c>
      <c r="FU46" s="116" t="e">
        <f>'2.4.Функции'!J133+"BYw!$QC"</f>
        <v>#VALUE!</v>
      </c>
      <c r="FV46" s="119" t="e">
        <f>'2.4.Функции'!K133+"BYw!$QD"</f>
        <v>#VALUE!</v>
      </c>
      <c r="FW46" t="e">
        <f>'2.4.Функции'!A134+"BYw!$QE"</f>
        <v>#VALUE!</v>
      </c>
      <c r="FX46" s="116" t="e">
        <f>'2.4.Функции'!B134+"BYw!$QF"</f>
        <v>#VALUE!</v>
      </c>
      <c r="FY46" t="e">
        <f>'2.4.Функции'!C134+"BYw!$QG"</f>
        <v>#VALUE!</v>
      </c>
      <c r="FZ46" s="116" t="e">
        <f>'2.4.Функции'!D134+"BYw!$QH"</f>
        <v>#VALUE!</v>
      </c>
      <c r="GA46" t="e">
        <f>'2.4.Функции'!E134+"BYw!$QI"</f>
        <v>#VALUE!</v>
      </c>
      <c r="GB46" s="116" t="e">
        <f>'2.4.Функции'!F134+"BYw!$QJ"</f>
        <v>#VALUE!</v>
      </c>
      <c r="GC46" t="e">
        <f>'2.4.Функции'!G134+"BYw!$QK"</f>
        <v>#VALUE!</v>
      </c>
      <c r="GD46" s="116" t="e">
        <f>'2.4.Функции'!H134+"BYw!$QL"</f>
        <v>#VALUE!</v>
      </c>
      <c r="GE46" t="e">
        <f>'2.4.Функции'!I134+"BYw!$QM"</f>
        <v>#VALUE!</v>
      </c>
      <c r="GF46" s="116" t="e">
        <f>'2.4.Функции'!J134+"BYw!$QN"</f>
        <v>#VALUE!</v>
      </c>
      <c r="GG46" s="119" t="e">
        <f>'2.4.Функции'!K134+"BYw!$QO"</f>
        <v>#VALUE!</v>
      </c>
      <c r="GH46" t="e">
        <f>'2.4.Функции'!A135+"BYw!$QP"</f>
        <v>#VALUE!</v>
      </c>
      <c r="GI46" s="116" t="e">
        <f>'2.4.Функции'!B135+"BYw!$QQ"</f>
        <v>#VALUE!</v>
      </c>
      <c r="GJ46" t="e">
        <f>'2.4.Функции'!C135+"BYw!$QR"</f>
        <v>#VALUE!</v>
      </c>
      <c r="GK46" s="119" t="e">
        <f>'2.4.Функции'!D135+"BYw!$QS"</f>
        <v>#VALUE!</v>
      </c>
      <c r="GL46" s="119" t="e">
        <f>'2.4.Функции'!E135+"BYw!$QT"</f>
        <v>#VALUE!</v>
      </c>
      <c r="GM46" s="119" t="e">
        <f>'2.4.Функции'!F135+"BYw!$QU"</f>
        <v>#VALUE!</v>
      </c>
      <c r="GN46" s="119" t="e">
        <f>'2.4.Функции'!G135+"BYw!$QV"</f>
        <v>#VALUE!</v>
      </c>
      <c r="GO46" s="119" t="e">
        <f>'2.4.Функции'!H135+"BYw!$QW"</f>
        <v>#VALUE!</v>
      </c>
      <c r="GP46" s="119" t="e">
        <f>'2.4.Функции'!I135+"BYw!$QX"</f>
        <v>#VALUE!</v>
      </c>
      <c r="GQ46" s="119" t="e">
        <f>'2.4.Функции'!J135+"BYw!$QY"</f>
        <v>#VALUE!</v>
      </c>
      <c r="GR46" s="119" t="e">
        <f>'2.4.Функции'!K135+"BYw!$QZ"</f>
        <v>#VALUE!</v>
      </c>
      <c r="GS46" t="e">
        <f>'2.4.Функции'!L135+"BYw!$Q["</f>
        <v>#VALUE!</v>
      </c>
      <c r="GT46" t="e">
        <f>'2.4.Функции'!M135+"BYw!$Q\"</f>
        <v>#VALUE!</v>
      </c>
      <c r="GU46" t="e">
        <f>'2.4.Функции'!N135+"BYw!$Q]"</f>
        <v>#VALUE!</v>
      </c>
      <c r="GV46" t="e">
        <f>'2.4.Функции'!O135+"BYw!$Q^"</f>
        <v>#VALUE!</v>
      </c>
      <c r="GW46" t="e">
        <f>'2.4.Функции'!P135+"BYw!$Q_"</f>
        <v>#VALUE!</v>
      </c>
      <c r="GX46" t="e">
        <f>'2.4.Функции'!Q135+"BYw!$Q`"</f>
        <v>#VALUE!</v>
      </c>
      <c r="GY46" t="e">
        <f>'2.4.Функции'!R135+"BYw!$Qa"</f>
        <v>#VALUE!</v>
      </c>
      <c r="GZ46" t="e">
        <f>'2.4.Функции'!S135+"BYw!$Qb"</f>
        <v>#VALUE!</v>
      </c>
      <c r="HA46" t="e">
        <f>'2.4.Функции'!T135+"BYw!$Qc"</f>
        <v>#VALUE!</v>
      </c>
      <c r="HB46" t="e">
        <f>'2.4.Функции'!U135+"BYw!$Qd"</f>
        <v>#VALUE!</v>
      </c>
      <c r="HC46" t="e">
        <f>'2.4.Функции'!V135+"BYw!$Qe"</f>
        <v>#VALUE!</v>
      </c>
      <c r="HD46" t="e">
        <f>'2.4.Функции'!W135+"BYw!$Qf"</f>
        <v>#VALUE!</v>
      </c>
      <c r="HE46" t="e">
        <f>'2.4.Функции'!X135+"BYw!$Qg"</f>
        <v>#VALUE!</v>
      </c>
      <c r="HF46" t="e">
        <f>'2.4.Функции'!Y135+"BYw!$Qh"</f>
        <v>#VALUE!</v>
      </c>
      <c r="HG46" t="e">
        <f>'2.4.Функции'!Z135+"BYw!$Qi"</f>
        <v>#VALUE!</v>
      </c>
      <c r="HH46" t="e">
        <f>'2.4.Функции'!AA135+"BYw!$Qj"</f>
        <v>#VALUE!</v>
      </c>
      <c r="HI46" t="e">
        <f>'2.4.Функции'!AB135+"BYw!$Qk"</f>
        <v>#VALUE!</v>
      </c>
      <c r="HJ46" t="e">
        <f>'2.4.Функции'!AC135+"BYw!$Ql"</f>
        <v>#VALUE!</v>
      </c>
      <c r="HK46" t="e">
        <f>'2.4.Функции'!AD135+"BYw!$Qm"</f>
        <v>#VALUE!</v>
      </c>
      <c r="HL46" t="e">
        <f>'2.4.Функции'!AE135+"BYw!$Qn"</f>
        <v>#VALUE!</v>
      </c>
      <c r="HM46" t="e">
        <f>'2.4.Функции'!AF135+"BYw!$Qo"</f>
        <v>#VALUE!</v>
      </c>
      <c r="HN46" t="e">
        <f>'2.4.Функции'!AG135+"BYw!$Qp"</f>
        <v>#VALUE!</v>
      </c>
      <c r="HO46" t="e">
        <f>'2.4.Функции'!AH135+"BYw!$Qq"</f>
        <v>#VALUE!</v>
      </c>
      <c r="HP46" t="e">
        <f>'2.4.Функции'!AI135+"BYw!$Qr"</f>
        <v>#VALUE!</v>
      </c>
      <c r="HQ46" t="e">
        <f>'2.4.Функции'!AJ135+"BYw!$Qs"</f>
        <v>#VALUE!</v>
      </c>
      <c r="HR46" t="e">
        <f>'2.4.Функции'!AK135+"BYw!$Qt"</f>
        <v>#VALUE!</v>
      </c>
      <c r="HS46" t="e">
        <f>'2.4.Функции'!AL135+"BYw!$Qu"</f>
        <v>#VALUE!</v>
      </c>
      <c r="HT46" t="e">
        <f>'2.4.Функции'!AM135+"BYw!$Qv"</f>
        <v>#VALUE!</v>
      </c>
      <c r="HU46" t="e">
        <f>'2.4.Функции'!AN135+"BYw!$Qw"</f>
        <v>#VALUE!</v>
      </c>
      <c r="HV46" t="e">
        <f>'2.4.Функции'!AO135+"BYw!$Qx"</f>
        <v>#VALUE!</v>
      </c>
      <c r="HW46" t="e">
        <f>'2.4.Функции'!AP135+"BYw!$Qy"</f>
        <v>#VALUE!</v>
      </c>
      <c r="HX46" t="e">
        <f>'2.4.Функции'!AQ135+"BYw!$Qz"</f>
        <v>#VALUE!</v>
      </c>
      <c r="HY46" t="e">
        <f>'2.4.Функции'!AR135+"BYw!$Q{"</f>
        <v>#VALUE!</v>
      </c>
      <c r="HZ46" t="e">
        <f>'2.4.Функции'!AS135+"BYw!$Q|"</f>
        <v>#VALUE!</v>
      </c>
      <c r="IA46" t="e">
        <f>'2.4.Функции'!AT135+"BYw!$Q}"</f>
        <v>#VALUE!</v>
      </c>
      <c r="IB46" t="e">
        <f>'2.4.Функции'!AU135+"BYw!$Q~"</f>
        <v>#VALUE!</v>
      </c>
      <c r="IC46" t="e">
        <f>'2.4.Функции'!AV135+"BYw!$R#"</f>
        <v>#VALUE!</v>
      </c>
      <c r="ID46" t="e">
        <f>'2.4.Функции'!AW135+"BYw!$R$"</f>
        <v>#VALUE!</v>
      </c>
      <c r="IE46" t="e">
        <f>'2.4.Функции'!AX135+"BYw!$R%"</f>
        <v>#VALUE!</v>
      </c>
      <c r="IF46" t="e">
        <f>'2.4.Функции'!AY135+"BYw!$R&amp;"</f>
        <v>#VALUE!</v>
      </c>
      <c r="IG46" t="e">
        <f>'2.4.Функции'!AZ135+"BYw!$R'"</f>
        <v>#VALUE!</v>
      </c>
      <c r="IH46" t="e">
        <f>'2.4.Функции'!BA135+"BYw!$R("</f>
        <v>#VALUE!</v>
      </c>
      <c r="II46" t="e">
        <f>'2.4.Функции'!BB135+"BYw!$R)"</f>
        <v>#VALUE!</v>
      </c>
      <c r="IJ46" t="e">
        <f>'2.4.Функции'!BC135+"BYw!$R."</f>
        <v>#VALUE!</v>
      </c>
      <c r="IK46" t="e">
        <f>'2.4.Функции'!BD135+"BYw!$R/"</f>
        <v>#VALUE!</v>
      </c>
      <c r="IL46" t="e">
        <f>'2.4.Функции'!BE135+"BYw!$R0"</f>
        <v>#VALUE!</v>
      </c>
      <c r="IM46" t="e">
        <f>'2.4.Функции'!BF135+"BYw!$R1"</f>
        <v>#VALUE!</v>
      </c>
      <c r="IN46" t="e">
        <f>'2.4.Функции'!BG135+"BYw!$R2"</f>
        <v>#VALUE!</v>
      </c>
      <c r="IO46" t="e">
        <f>'2.4.Функции'!BH135+"BYw!$R3"</f>
        <v>#VALUE!</v>
      </c>
      <c r="IP46" t="e">
        <f>'2.4.Функции'!BI135+"BYw!$R4"</f>
        <v>#VALUE!</v>
      </c>
      <c r="IQ46" t="e">
        <f>'2.4.Функции'!BJ135+"BYw!$R5"</f>
        <v>#VALUE!</v>
      </c>
      <c r="IR46" t="e">
        <f>'2.4.Функции'!BK135+"BYw!$R6"</f>
        <v>#VALUE!</v>
      </c>
      <c r="IS46" t="e">
        <f>'2.4.Функции'!BL135+"BYw!$R7"</f>
        <v>#VALUE!</v>
      </c>
      <c r="IT46" t="e">
        <f>'2.4.Функции'!BM135+"BYw!$R8"</f>
        <v>#VALUE!</v>
      </c>
      <c r="IU46" t="e">
        <f>'2.4.Функции'!BN135+"BYw!$R9"</f>
        <v>#VALUE!</v>
      </c>
      <c r="IV46" t="e">
        <f>'2.4.Функции'!BO135+"BYw!$R:"</f>
        <v>#VALUE!</v>
      </c>
    </row>
    <row r="47" spans="6:256" x14ac:dyDescent="0.2">
      <c r="F47" t="e">
        <f>'2.4.Функции'!BP135+"BYw!$R;"</f>
        <v>#VALUE!</v>
      </c>
      <c r="G47" t="e">
        <f>'2.4.Функции'!BQ135+"BYw!$R&lt;"</f>
        <v>#VALUE!</v>
      </c>
      <c r="H47" t="e">
        <f>'2.4.Функции'!BR135+"BYw!$R="</f>
        <v>#VALUE!</v>
      </c>
      <c r="I47" t="e">
        <f>'2.4.Функции'!BS135+"BYw!$R&gt;"</f>
        <v>#VALUE!</v>
      </c>
      <c r="J47" t="e">
        <f>'2.4.Функции'!BT135+"BYw!$R?"</f>
        <v>#VALUE!</v>
      </c>
      <c r="K47" t="e">
        <f>'2.4.Функции'!BU135+"BYw!$R@"</f>
        <v>#VALUE!</v>
      </c>
      <c r="L47" t="e">
        <f>'2.4.Функции'!BV135+"BYw!$RA"</f>
        <v>#VALUE!</v>
      </c>
      <c r="M47" t="e">
        <f>'2.4.Функции'!BW135+"BYw!$RB"</f>
        <v>#VALUE!</v>
      </c>
      <c r="N47" t="e">
        <f>'2.4.Функции'!BX135+"BYw!$RC"</f>
        <v>#VALUE!</v>
      </c>
      <c r="O47" t="e">
        <f>'2.4.Функции'!BY135+"BYw!$RD"</f>
        <v>#VALUE!</v>
      </c>
      <c r="P47" t="e">
        <f>'2.4.Функции'!BZ135+"BYw!$RE"</f>
        <v>#VALUE!</v>
      </c>
      <c r="Q47" t="e">
        <f>'2.4.Функции'!CA135+"BYw!$RF"</f>
        <v>#VALUE!</v>
      </c>
      <c r="R47" t="e">
        <f>'2.4.Функции'!CB135+"BYw!$RG"</f>
        <v>#VALUE!</v>
      </c>
      <c r="S47" t="e">
        <f>'2.4.Функции'!CC135+"BYw!$RH"</f>
        <v>#VALUE!</v>
      </c>
      <c r="T47" t="e">
        <f>'2.4.Функции'!CD135+"BYw!$RI"</f>
        <v>#VALUE!</v>
      </c>
      <c r="U47" t="e">
        <f>'2.4.Функции'!CE135+"BYw!$RJ"</f>
        <v>#VALUE!</v>
      </c>
      <c r="V47" t="e">
        <f>'2.4.Функции'!CF135+"BYw!$RK"</f>
        <v>#VALUE!</v>
      </c>
      <c r="W47" t="e">
        <f>'2.4.Функции'!CG135+"BYw!$RL"</f>
        <v>#VALUE!</v>
      </c>
      <c r="X47" t="e">
        <f>'2.4.Функции'!CH135+"BYw!$RM"</f>
        <v>#VALUE!</v>
      </c>
      <c r="Y47" t="e">
        <f>'2.4.Функции'!CI135+"BYw!$RN"</f>
        <v>#VALUE!</v>
      </c>
      <c r="Z47" t="e">
        <f>'2.4.Функции'!CJ135+"BYw!$RO"</f>
        <v>#VALUE!</v>
      </c>
      <c r="AA47" t="e">
        <f>'2.4.Функции'!CK135+"BYw!$RP"</f>
        <v>#VALUE!</v>
      </c>
      <c r="AB47" t="e">
        <f>'2.4.Функции'!CL135+"BYw!$RQ"</f>
        <v>#VALUE!</v>
      </c>
      <c r="AC47" t="e">
        <f>'2.4.Функции'!CM135+"BYw!$RR"</f>
        <v>#VALUE!</v>
      </c>
      <c r="AD47" t="e">
        <f>'2.4.Функции'!CN135+"BYw!$RS"</f>
        <v>#VALUE!</v>
      </c>
      <c r="AE47" t="e">
        <f>'2.4.Функции'!CO135+"BYw!$RT"</f>
        <v>#VALUE!</v>
      </c>
      <c r="AF47" t="e">
        <f>'2.4.Функции'!CP135+"BYw!$RU"</f>
        <v>#VALUE!</v>
      </c>
      <c r="AG47" t="e">
        <f>'2.4.Функции'!CQ135+"BYw!$RV"</f>
        <v>#VALUE!</v>
      </c>
      <c r="AH47" t="e">
        <f>'2.4.Функции'!CR135+"BYw!$RW"</f>
        <v>#VALUE!</v>
      </c>
      <c r="AI47" t="e">
        <f>'2.4.Функции'!CS135+"BYw!$RX"</f>
        <v>#VALUE!</v>
      </c>
      <c r="AJ47" t="e">
        <f>'2.4.Функции'!CT135+"BYw!$RY"</f>
        <v>#VALUE!</v>
      </c>
      <c r="AK47" t="e">
        <f>'2.4.Функции'!CU135+"BYw!$RZ"</f>
        <v>#VALUE!</v>
      </c>
      <c r="AL47" t="e">
        <f>'2.4.Функции'!CV135+"BYw!$R["</f>
        <v>#VALUE!</v>
      </c>
      <c r="AM47" t="e">
        <f>'2.4.Функции'!CW135+"BYw!$R\"</f>
        <v>#VALUE!</v>
      </c>
      <c r="AN47" t="e">
        <f>'2.4.Функции'!CX135+"BYw!$R]"</f>
        <v>#VALUE!</v>
      </c>
      <c r="AO47" t="e">
        <f>'2.4.Функции'!CY135+"BYw!$R^"</f>
        <v>#VALUE!</v>
      </c>
      <c r="AP47" t="e">
        <f>'2.4.Функции'!CZ135+"BYw!$R_"</f>
        <v>#VALUE!</v>
      </c>
      <c r="AQ47" t="e">
        <f>'2.4.Функции'!DA135+"BYw!$R`"</f>
        <v>#VALUE!</v>
      </c>
      <c r="AR47" t="e">
        <f>'2.4.Функции'!DB135+"BYw!$Ra"</f>
        <v>#VALUE!</v>
      </c>
      <c r="AS47" t="e">
        <f>'2.4.Функции'!DC135+"BYw!$Rb"</f>
        <v>#VALUE!</v>
      </c>
      <c r="AT47" t="e">
        <f>'2.4.Функции'!DD135+"BYw!$Rc"</f>
        <v>#VALUE!</v>
      </c>
      <c r="AU47" t="e">
        <f>'2.4.Функции'!DE135+"BYw!$Rd"</f>
        <v>#VALUE!</v>
      </c>
      <c r="AV47" t="e">
        <f>'2.4.Функции'!DF135+"BYw!$Re"</f>
        <v>#VALUE!</v>
      </c>
      <c r="AW47" t="e">
        <f>'2.4.Функции'!DG135+"BYw!$Rf"</f>
        <v>#VALUE!</v>
      </c>
      <c r="AX47" t="e">
        <f>'2.4.Функции'!DH135+"BYw!$Rg"</f>
        <v>#VALUE!</v>
      </c>
      <c r="AY47" t="e">
        <f>'2.4.Функции'!DI135+"BYw!$Rh"</f>
        <v>#VALUE!</v>
      </c>
      <c r="AZ47" t="e">
        <f>'2.4.Функции'!DJ135+"BYw!$Ri"</f>
        <v>#VALUE!</v>
      </c>
      <c r="BA47" t="e">
        <f>'2.4.Функции'!DK135+"BYw!$Rj"</f>
        <v>#VALUE!</v>
      </c>
      <c r="BB47" t="e">
        <f>'2.4.Функции'!DL135+"BYw!$Rk"</f>
        <v>#VALUE!</v>
      </c>
      <c r="BC47" t="e">
        <f>'2.4.Функции'!DM135+"BYw!$Rl"</f>
        <v>#VALUE!</v>
      </c>
      <c r="BD47" t="e">
        <f>'2.4.Функции'!DN135+"BYw!$Rm"</f>
        <v>#VALUE!</v>
      </c>
      <c r="BE47" t="e">
        <f>'2.4.Функции'!DO135+"BYw!$Rn"</f>
        <v>#VALUE!</v>
      </c>
      <c r="BF47" t="e">
        <f>'2.4.Функции'!DP135+"BYw!$Ro"</f>
        <v>#VALUE!</v>
      </c>
      <c r="BG47" t="e">
        <f>'2.4.Функции'!DQ135+"BYw!$Rp"</f>
        <v>#VALUE!</v>
      </c>
      <c r="BH47" t="e">
        <f>'2.4.Функции'!DR135+"BYw!$Rq"</f>
        <v>#VALUE!</v>
      </c>
      <c r="BI47" t="e">
        <f>'2.4.Функции'!DS135+"BYw!$Rr"</f>
        <v>#VALUE!</v>
      </c>
      <c r="BJ47" t="e">
        <f>'2.4.Функции'!DT135+"BYw!$Rs"</f>
        <v>#VALUE!</v>
      </c>
      <c r="BK47" t="e">
        <f>'2.4.Функции'!DU135+"BYw!$Rt"</f>
        <v>#VALUE!</v>
      </c>
      <c r="BL47" t="e">
        <f>'2.4.Функции'!DV135+"BYw!$Ru"</f>
        <v>#VALUE!</v>
      </c>
      <c r="BM47" t="e">
        <f>'2.4.Функции'!DW135+"BYw!$Rv"</f>
        <v>#VALUE!</v>
      </c>
      <c r="BN47" t="e">
        <f>'2.4.Функции'!DX135+"BYw!$Rw"</f>
        <v>#VALUE!</v>
      </c>
      <c r="BO47" t="e">
        <f>'2.4.Функции'!DY135+"BYw!$Rx"</f>
        <v>#VALUE!</v>
      </c>
      <c r="BP47" t="e">
        <f>'2.4.Функции'!DZ135+"BYw!$Ry"</f>
        <v>#VALUE!</v>
      </c>
      <c r="BQ47" t="e">
        <f>'2.4.Функции'!EA135+"BYw!$Rz"</f>
        <v>#VALUE!</v>
      </c>
      <c r="BR47" t="e">
        <f>'2.4.Функции'!EB135+"BYw!$R{"</f>
        <v>#VALUE!</v>
      </c>
      <c r="BS47" t="e">
        <f>'2.4.Функции'!EC135+"BYw!$R|"</f>
        <v>#VALUE!</v>
      </c>
      <c r="BT47" t="e">
        <f>'2.4.Функции'!ED135+"BYw!$R}"</f>
        <v>#VALUE!</v>
      </c>
      <c r="BU47" t="e">
        <f>'2.4.Функции'!EE135+"BYw!$R~"</f>
        <v>#VALUE!</v>
      </c>
      <c r="BV47" t="e">
        <f>'2.4.Функции'!EF135+"BYw!$S#"</f>
        <v>#VALUE!</v>
      </c>
      <c r="BW47" t="e">
        <f>'2.4.Функции'!EG135+"BYw!$S$"</f>
        <v>#VALUE!</v>
      </c>
      <c r="BX47" t="e">
        <f>'2.4.Функции'!EH135+"BYw!$S%"</f>
        <v>#VALUE!</v>
      </c>
      <c r="BY47" t="e">
        <f>'2.4.Функции'!EI135+"BYw!$S&amp;"</f>
        <v>#VALUE!</v>
      </c>
      <c r="BZ47" t="e">
        <f>'2.4.Функции'!EJ135+"BYw!$S'"</f>
        <v>#VALUE!</v>
      </c>
      <c r="CA47" t="e">
        <f>'2.4.Функции'!EK135+"BYw!$S("</f>
        <v>#VALUE!</v>
      </c>
      <c r="CB47" t="e">
        <f>'2.4.Функции'!EL135+"BYw!$S)"</f>
        <v>#VALUE!</v>
      </c>
      <c r="CC47" t="e">
        <f>'2.4.Функции'!EM135+"BYw!$S."</f>
        <v>#VALUE!</v>
      </c>
      <c r="CD47" t="e">
        <f>'2.4.Функции'!EN135+"BYw!$S/"</f>
        <v>#VALUE!</v>
      </c>
      <c r="CE47" t="e">
        <f>'2.4.Функции'!EO135+"BYw!$S0"</f>
        <v>#VALUE!</v>
      </c>
      <c r="CF47" t="e">
        <f>'2.4.Функции'!EP135+"BYw!$S1"</f>
        <v>#VALUE!</v>
      </c>
      <c r="CG47" t="e">
        <f>'2.4.Функции'!EQ135+"BYw!$S2"</f>
        <v>#VALUE!</v>
      </c>
      <c r="CH47" t="e">
        <f>'2.4.Функции'!ER135+"BYw!$S3"</f>
        <v>#VALUE!</v>
      </c>
      <c r="CI47" t="e">
        <f>'2.4.Функции'!ES135+"BYw!$S4"</f>
        <v>#VALUE!</v>
      </c>
      <c r="CJ47" t="e">
        <f>'2.4.Функции'!ET135+"BYw!$S5"</f>
        <v>#VALUE!</v>
      </c>
      <c r="CK47" t="e">
        <f>'2.4.Функции'!EU135+"BYw!$S6"</f>
        <v>#VALUE!</v>
      </c>
      <c r="CL47" t="e">
        <f>'2.4.Функции'!EV135+"BYw!$S7"</f>
        <v>#VALUE!</v>
      </c>
      <c r="CM47" t="e">
        <f>'2.4.Функции'!EW135+"BYw!$S8"</f>
        <v>#VALUE!</v>
      </c>
      <c r="CN47" t="e">
        <f>'2.4.Функции'!EX135+"BYw!$S9"</f>
        <v>#VALUE!</v>
      </c>
      <c r="CO47" t="e">
        <f>'2.4.Функции'!EY135+"BYw!$S:"</f>
        <v>#VALUE!</v>
      </c>
      <c r="CP47" t="e">
        <f>'2.4.Функции'!EZ135+"BYw!$S;"</f>
        <v>#VALUE!</v>
      </c>
      <c r="CQ47" t="e">
        <f>'2.4.Функции'!FA135+"BYw!$S&lt;"</f>
        <v>#VALUE!</v>
      </c>
      <c r="CR47" t="e">
        <f>'2.4.Функции'!FB135+"BYw!$S="</f>
        <v>#VALUE!</v>
      </c>
      <c r="CS47" t="e">
        <f>'2.4.Функции'!FC135+"BYw!$S&gt;"</f>
        <v>#VALUE!</v>
      </c>
      <c r="CT47" t="e">
        <f>'2.4.Функции'!FD135+"BYw!$S?"</f>
        <v>#VALUE!</v>
      </c>
      <c r="CU47" t="e">
        <f>'2.4.Функции'!FE135+"BYw!$S@"</f>
        <v>#VALUE!</v>
      </c>
      <c r="CV47" t="e">
        <f>'2.4.Функции'!FF135+"BYw!$SA"</f>
        <v>#VALUE!</v>
      </c>
      <c r="CW47" t="e">
        <f>'2.4.Функции'!FG135+"BYw!$SB"</f>
        <v>#VALUE!</v>
      </c>
      <c r="CX47" t="e">
        <f>'2.4.Функции'!FH135+"BYw!$SC"</f>
        <v>#VALUE!</v>
      </c>
      <c r="CY47" t="e">
        <f>'2.4.Функции'!FI135+"BYw!$SD"</f>
        <v>#VALUE!</v>
      </c>
      <c r="CZ47" t="e">
        <f>'2.4.Функции'!FJ135+"BYw!$SE"</f>
        <v>#VALUE!</v>
      </c>
      <c r="DA47" t="e">
        <f>'2.4.Функции'!FK135+"BYw!$SF"</f>
        <v>#VALUE!</v>
      </c>
      <c r="DB47" t="e">
        <f>'2.4.Функции'!FL135+"BYw!$SG"</f>
        <v>#VALUE!</v>
      </c>
      <c r="DC47" t="e">
        <f>'2.4.Функции'!FM135+"BYw!$SH"</f>
        <v>#VALUE!</v>
      </c>
      <c r="DD47" t="e">
        <f>'2.4.Функции'!FN135+"BYw!$SI"</f>
        <v>#VALUE!</v>
      </c>
      <c r="DE47" t="e">
        <f>'2.4.Функции'!FO135+"BYw!$SJ"</f>
        <v>#VALUE!</v>
      </c>
      <c r="DF47" t="e">
        <f>'2.4.Функции'!FP135+"BYw!$SK"</f>
        <v>#VALUE!</v>
      </c>
      <c r="DG47" t="e">
        <f>'2.4.Функции'!FQ135+"BYw!$SL"</f>
        <v>#VALUE!</v>
      </c>
      <c r="DH47" t="e">
        <f>'2.4.Функции'!FR135+"BYw!$SM"</f>
        <v>#VALUE!</v>
      </c>
      <c r="DI47" t="e">
        <f>'2.4.Функции'!FS135+"BYw!$SN"</f>
        <v>#VALUE!</v>
      </c>
      <c r="DJ47" t="e">
        <f>'2.4.Функции'!FT135+"BYw!$SO"</f>
        <v>#VALUE!</v>
      </c>
      <c r="DK47" t="e">
        <f>'2.4.Функции'!FU135+"BYw!$SP"</f>
        <v>#VALUE!</v>
      </c>
      <c r="DL47" t="e">
        <f>'2.4.Функции'!FV135+"BYw!$SQ"</f>
        <v>#VALUE!</v>
      </c>
      <c r="DM47" t="e">
        <f>'2.4.Функции'!FW135+"BYw!$SR"</f>
        <v>#VALUE!</v>
      </c>
      <c r="DN47" t="e">
        <f>'2.4.Функции'!FX135+"BYw!$SS"</f>
        <v>#VALUE!</v>
      </c>
      <c r="DO47" t="e">
        <f>'2.4.Функции'!FY135+"BYw!$ST"</f>
        <v>#VALUE!</v>
      </c>
      <c r="DP47" t="e">
        <f>'2.4.Функции'!FZ135+"BYw!$SU"</f>
        <v>#VALUE!</v>
      </c>
      <c r="DQ47" t="e">
        <f>'2.4.Функции'!GA135+"BYw!$SV"</f>
        <v>#VALUE!</v>
      </c>
      <c r="DR47" t="e">
        <f>'2.4.Функции'!GB135+"BYw!$SW"</f>
        <v>#VALUE!</v>
      </c>
      <c r="DS47" t="e">
        <f>'2.4.Функции'!GC135+"BYw!$SX"</f>
        <v>#VALUE!</v>
      </c>
      <c r="DT47" t="e">
        <f>'2.4.Функции'!GD135+"BYw!$SY"</f>
        <v>#VALUE!</v>
      </c>
      <c r="DU47" t="e">
        <f>'2.4.Функции'!GE135+"BYw!$SZ"</f>
        <v>#VALUE!</v>
      </c>
      <c r="DV47" t="e">
        <f>'2.4.Функции'!GF135+"BYw!$S["</f>
        <v>#VALUE!</v>
      </c>
      <c r="DW47" t="e">
        <f>'2.4.Функции'!GG135+"BYw!$S\"</f>
        <v>#VALUE!</v>
      </c>
      <c r="DX47" t="e">
        <f>'2.4.Функции'!GH135+"BYw!$S]"</f>
        <v>#VALUE!</v>
      </c>
      <c r="DY47" t="e">
        <f>'2.4.Функции'!GI135+"BYw!$S^"</f>
        <v>#VALUE!</v>
      </c>
      <c r="DZ47" t="e">
        <f>'2.4.Функции'!GJ135+"BYw!$S_"</f>
        <v>#VALUE!</v>
      </c>
      <c r="EA47" t="e">
        <f>'2.4.Функции'!GK135+"BYw!$S`"</f>
        <v>#VALUE!</v>
      </c>
      <c r="EB47" t="e">
        <f>'2.4.Функции'!GL135+"BYw!$Sa"</f>
        <v>#VALUE!</v>
      </c>
      <c r="EC47" t="e">
        <f>'2.4.Функции'!GM135+"BYw!$Sb"</f>
        <v>#VALUE!</v>
      </c>
      <c r="ED47" t="e">
        <f>'2.4.Функции'!GN135+"BYw!$Sc"</f>
        <v>#VALUE!</v>
      </c>
      <c r="EE47" t="e">
        <f>'2.4.Функции'!GO135+"BYw!$Sd"</f>
        <v>#VALUE!</v>
      </c>
      <c r="EF47" t="e">
        <f>'2.4.Функции'!GP135+"BYw!$Se"</f>
        <v>#VALUE!</v>
      </c>
      <c r="EG47" t="e">
        <f>'2.4.Функции'!GQ135+"BYw!$Sf"</f>
        <v>#VALUE!</v>
      </c>
      <c r="EH47" t="e">
        <f>'2.4.Функции'!GR135+"BYw!$Sg"</f>
        <v>#VALUE!</v>
      </c>
      <c r="EI47" t="e">
        <f>'2.4.Функции'!GS135+"BYw!$Sh"</f>
        <v>#VALUE!</v>
      </c>
      <c r="EJ47" t="e">
        <f>'2.4.Функции'!GT135+"BYw!$Si"</f>
        <v>#VALUE!</v>
      </c>
      <c r="EK47" t="e">
        <f>'2.4.Функции'!GU135+"BYw!$Sj"</f>
        <v>#VALUE!</v>
      </c>
      <c r="EL47" t="e">
        <f>'2.4.Функции'!GV135+"BYw!$Sk"</f>
        <v>#VALUE!</v>
      </c>
      <c r="EM47" t="e">
        <f>'2.4.Функции'!GW135+"BYw!$Sl"</f>
        <v>#VALUE!</v>
      </c>
      <c r="EN47" t="e">
        <f>'2.4.Функции'!GX135+"BYw!$Sm"</f>
        <v>#VALUE!</v>
      </c>
      <c r="EO47" t="e">
        <f>'2.4.Функции'!GY135+"BYw!$Sn"</f>
        <v>#VALUE!</v>
      </c>
      <c r="EP47" t="e">
        <f>'2.4.Функции'!GZ135+"BYw!$So"</f>
        <v>#VALUE!</v>
      </c>
      <c r="EQ47" t="e">
        <f>'2.4.Функции'!HA135+"BYw!$Sp"</f>
        <v>#VALUE!</v>
      </c>
      <c r="ER47" t="e">
        <f>'2.4.Функции'!HB135+"BYw!$Sq"</f>
        <v>#VALUE!</v>
      </c>
      <c r="ES47" t="e">
        <f>'2.4.Функции'!HC135+"BYw!$Sr"</f>
        <v>#VALUE!</v>
      </c>
      <c r="ET47" t="e">
        <f>'2.4.Функции'!HD135+"BYw!$Ss"</f>
        <v>#VALUE!</v>
      </c>
      <c r="EU47" t="e">
        <f>'2.4.Функции'!HE135+"BYw!$St"</f>
        <v>#VALUE!</v>
      </c>
      <c r="EV47" t="e">
        <f>'2.4.Функции'!HF135+"BYw!$Su"</f>
        <v>#VALUE!</v>
      </c>
      <c r="EW47" t="e">
        <f>'2.4.Функции'!HG135+"BYw!$Sv"</f>
        <v>#VALUE!</v>
      </c>
      <c r="EX47" t="e">
        <f>'2.4.Функции'!HH135+"BYw!$Sw"</f>
        <v>#VALUE!</v>
      </c>
      <c r="EY47" t="e">
        <f>'2.4.Функции'!HI135+"BYw!$Sx"</f>
        <v>#VALUE!</v>
      </c>
      <c r="EZ47" t="e">
        <f>'2.4.Функции'!HJ135+"BYw!$Sy"</f>
        <v>#VALUE!</v>
      </c>
      <c r="FA47" t="e">
        <f>'2.4.Функции'!HK135+"BYw!$Sz"</f>
        <v>#VALUE!</v>
      </c>
      <c r="FB47" t="e">
        <f>'2.4.Функции'!HL135+"BYw!$S{"</f>
        <v>#VALUE!</v>
      </c>
      <c r="FC47" t="e">
        <f>'2.4.Функции'!HM135+"BYw!$S|"</f>
        <v>#VALUE!</v>
      </c>
      <c r="FD47" t="e">
        <f>'2.4.Функции'!HN135+"BYw!$S}"</f>
        <v>#VALUE!</v>
      </c>
      <c r="FE47" t="e">
        <f>'2.4.Функции'!HO135+"BYw!$S~"</f>
        <v>#VALUE!</v>
      </c>
      <c r="FF47" t="e">
        <f>'2.4.Функции'!HP135+"BYw!$T#"</f>
        <v>#VALUE!</v>
      </c>
      <c r="FG47" t="e">
        <f>'2.4.Функции'!HQ135+"BYw!$T$"</f>
        <v>#VALUE!</v>
      </c>
      <c r="FH47" t="e">
        <f>'2.4.Функции'!HR135+"BYw!$T%"</f>
        <v>#VALUE!</v>
      </c>
      <c r="FI47" t="e">
        <f>'2.4.Функции'!HS135+"BYw!$T&amp;"</f>
        <v>#VALUE!</v>
      </c>
      <c r="FJ47" t="e">
        <f>'2.4.Функции'!HT135+"BYw!$T'"</f>
        <v>#VALUE!</v>
      </c>
      <c r="FK47" t="e">
        <f>'2.4.Функции'!HU135+"BYw!$T("</f>
        <v>#VALUE!</v>
      </c>
      <c r="FL47" t="e">
        <f>'2.4.Функции'!HV135+"BYw!$T)"</f>
        <v>#VALUE!</v>
      </c>
      <c r="FM47" t="e">
        <f>'2.4.Функции'!HW135+"BYw!$T."</f>
        <v>#VALUE!</v>
      </c>
      <c r="FN47" t="e">
        <f>'2.4.Функции'!HX135+"BYw!$T/"</f>
        <v>#VALUE!</v>
      </c>
      <c r="FO47" t="e">
        <f>'2.4.Функции'!HY135+"BYw!$T0"</f>
        <v>#VALUE!</v>
      </c>
      <c r="FP47" t="e">
        <f>'2.4.Функции'!HZ135+"BYw!$T1"</f>
        <v>#VALUE!</v>
      </c>
      <c r="FQ47" t="e">
        <f>'2.4.Функции'!IA135+"BYw!$T2"</f>
        <v>#VALUE!</v>
      </c>
      <c r="FR47" t="e">
        <f>'2.4.Функции'!IB135+"BYw!$T3"</f>
        <v>#VALUE!</v>
      </c>
      <c r="FS47" t="e">
        <f>'2.4.Функции'!IC135+"BYw!$T4"</f>
        <v>#VALUE!</v>
      </c>
      <c r="FT47" t="e">
        <f>'2.4.Функции'!ID135+"BYw!$T5"</f>
        <v>#VALUE!</v>
      </c>
      <c r="FU47" t="e">
        <f>'2.4.Функции'!IE135+"BYw!$T6"</f>
        <v>#VALUE!</v>
      </c>
      <c r="FV47" t="e">
        <f>'2.4.Функции'!IF135+"BYw!$T7"</f>
        <v>#VALUE!</v>
      </c>
      <c r="FW47" t="e">
        <f>'2.4.Функции'!IG135+"BYw!$T8"</f>
        <v>#VALUE!</v>
      </c>
      <c r="FX47" t="e">
        <f>'2.4.Функции'!IH135+"BYw!$T9"</f>
        <v>#VALUE!</v>
      </c>
      <c r="FY47" t="e">
        <f>'2.4.Функции'!II135+"BYw!$T:"</f>
        <v>#VALUE!</v>
      </c>
      <c r="FZ47" t="e">
        <f>'2.4.Функции'!IJ135+"BYw!$T;"</f>
        <v>#VALUE!</v>
      </c>
      <c r="GA47" t="e">
        <f>'2.4.Функции'!IK135+"BYw!$T&lt;"</f>
        <v>#VALUE!</v>
      </c>
      <c r="GB47" t="e">
        <f>'2.4.Функции'!IL135+"BYw!$T="</f>
        <v>#VALUE!</v>
      </c>
      <c r="GC47" t="e">
        <f>'2.4.Функции'!IM135+"BYw!$T&gt;"</f>
        <v>#VALUE!</v>
      </c>
      <c r="GD47" t="e">
        <f>'2.4.Функции'!IN135+"BYw!$T?"</f>
        <v>#VALUE!</v>
      </c>
      <c r="GE47" t="e">
        <f>'2.4.Функции'!IO135+"BYw!$T@"</f>
        <v>#VALUE!</v>
      </c>
      <c r="GF47" t="e">
        <f>'2.4.Функции'!IP135+"BYw!$TA"</f>
        <v>#VALUE!</v>
      </c>
      <c r="GG47" t="e">
        <f>'2.4.Функции'!IQ135+"BYw!$TB"</f>
        <v>#VALUE!</v>
      </c>
      <c r="GH47" t="e">
        <f>'2.4.Функции'!IR135+"BYw!$TC"</f>
        <v>#VALUE!</v>
      </c>
      <c r="GI47" t="e">
        <f>'2.4.Функции'!IS135+"BYw!$TD"</f>
        <v>#VALUE!</v>
      </c>
      <c r="GJ47" t="e">
        <f>'2.4.Функции'!IT135+"BYw!$TE"</f>
        <v>#VALUE!</v>
      </c>
      <c r="GK47" t="e">
        <f>'2.4.Функции'!IU135+"BYw!$TF"</f>
        <v>#VALUE!</v>
      </c>
      <c r="GL47" t="e">
        <f>'2.4.Функции'!IV135+"BYw!$TG"</f>
        <v>#VALUE!</v>
      </c>
      <c r="GM47" t="e">
        <f>'2.4.Функции'!IW135+"BYw!$TH"</f>
        <v>#VALUE!</v>
      </c>
      <c r="GN47" t="e">
        <f>'2.4.Функции'!IX135+"BYw!$TI"</f>
        <v>#VALUE!</v>
      </c>
      <c r="GO47" t="e">
        <f>'2.4.Функции'!IY135+"BYw!$TJ"</f>
        <v>#VALUE!</v>
      </c>
      <c r="GP47" t="e">
        <f>'2.4.Функции'!IZ135+"BYw!$TK"</f>
        <v>#VALUE!</v>
      </c>
      <c r="GQ47" t="e">
        <f>'2.4.Функции'!JA135+"BYw!$TL"</f>
        <v>#VALUE!</v>
      </c>
      <c r="GR47" t="e">
        <f>'2.4.Функции'!JB135+"BYw!$TM"</f>
        <v>#VALUE!</v>
      </c>
      <c r="GS47" t="e">
        <f>'2.4.Функции'!JC135+"BYw!$TN"</f>
        <v>#VALUE!</v>
      </c>
      <c r="GT47" t="e">
        <f>'2.4.Функции'!JD135+"BYw!$TO"</f>
        <v>#VALUE!</v>
      </c>
      <c r="GU47" t="e">
        <f>'2.4.Функции'!JE135+"BYw!$TP"</f>
        <v>#VALUE!</v>
      </c>
      <c r="GV47" t="e">
        <f>'2.4.Функции'!JF135+"BYw!$TQ"</f>
        <v>#VALUE!</v>
      </c>
      <c r="GW47" t="e">
        <f>'2.4.Функции'!JG135+"BYw!$TR"</f>
        <v>#VALUE!</v>
      </c>
      <c r="GX47" t="e">
        <f>'2.4.Функции'!JH135+"BYw!$TS"</f>
        <v>#VALUE!</v>
      </c>
      <c r="GY47" t="e">
        <f>'2.4.Функции'!JI135+"BYw!$TT"</f>
        <v>#VALUE!</v>
      </c>
      <c r="GZ47" t="e">
        <f>'2.4.Функции'!JJ135+"BYw!$TU"</f>
        <v>#VALUE!</v>
      </c>
      <c r="HA47" t="e">
        <f>'2.4.Функции'!JK135+"BYw!$TV"</f>
        <v>#VALUE!</v>
      </c>
      <c r="HB47" t="e">
        <f>'2.4.Функции'!JL135+"BYw!$TW"</f>
        <v>#VALUE!</v>
      </c>
      <c r="HC47" t="e">
        <f>'2.4.Функции'!JM135+"BYw!$TX"</f>
        <v>#VALUE!</v>
      </c>
      <c r="HD47" t="e">
        <f>'2.4.Функции'!JN135+"BYw!$TY"</f>
        <v>#VALUE!</v>
      </c>
      <c r="HE47" t="e">
        <f>'2.4.Функции'!JO135+"BYw!$TZ"</f>
        <v>#VALUE!</v>
      </c>
      <c r="HF47" t="e">
        <f>'2.4.Функции'!JP135+"BYw!$T["</f>
        <v>#VALUE!</v>
      </c>
      <c r="HG47" t="e">
        <f>'2.4.Функции'!JQ135+"BYw!$T\"</f>
        <v>#VALUE!</v>
      </c>
      <c r="HH47" t="e">
        <f>'2.4.Функции'!JR135+"BYw!$T]"</f>
        <v>#VALUE!</v>
      </c>
      <c r="HI47" t="e">
        <f>'2.4.Функции'!JS135+"BYw!$T^"</f>
        <v>#VALUE!</v>
      </c>
      <c r="HJ47" t="e">
        <f>'2.4.Функции'!JT135+"BYw!$T_"</f>
        <v>#VALUE!</v>
      </c>
      <c r="HK47" t="e">
        <f>'2.4.Функции'!JU135+"BYw!$T`"</f>
        <v>#VALUE!</v>
      </c>
      <c r="HL47" t="e">
        <f>'2.4.Функции'!JV135+"BYw!$Ta"</f>
        <v>#VALUE!</v>
      </c>
      <c r="HM47" t="e">
        <f>'2.4.Функции'!JW135+"BYw!$Tb"</f>
        <v>#VALUE!</v>
      </c>
      <c r="HN47" t="e">
        <f>'2.4.Функции'!JX135+"BYw!$Tc"</f>
        <v>#VALUE!</v>
      </c>
      <c r="HO47" t="e">
        <f>'2.4.Функции'!JY135+"BYw!$Td"</f>
        <v>#VALUE!</v>
      </c>
      <c r="HP47" t="e">
        <f>'2.4.Функции'!JZ135+"BYw!$Te"</f>
        <v>#VALUE!</v>
      </c>
      <c r="HQ47" t="e">
        <f>'2.4.Функции'!KA135+"BYw!$Tf"</f>
        <v>#VALUE!</v>
      </c>
      <c r="HR47" t="e">
        <f>'2.4.Функции'!KB135+"BYw!$Tg"</f>
        <v>#VALUE!</v>
      </c>
      <c r="HS47" t="e">
        <f>'2.4.Функции'!KC135+"BYw!$Th"</f>
        <v>#VALUE!</v>
      </c>
      <c r="HT47" t="e">
        <f>'2.4.Функции'!KD135+"BYw!$Ti"</f>
        <v>#VALUE!</v>
      </c>
      <c r="HU47" t="e">
        <f>'2.4.Функции'!KE135+"BYw!$Tj"</f>
        <v>#VALUE!</v>
      </c>
      <c r="HV47" t="e">
        <f>'2.4.Функции'!KF135+"BYw!$Tk"</f>
        <v>#VALUE!</v>
      </c>
      <c r="HW47" t="e">
        <f>'2.4.Функции'!KG135+"BYw!$Tl"</f>
        <v>#VALUE!</v>
      </c>
      <c r="HX47" t="e">
        <f>'2.4.Функции'!KH135+"BYw!$Tm"</f>
        <v>#VALUE!</v>
      </c>
      <c r="HY47" t="e">
        <f>'2.4.Функции'!KI135+"BYw!$Tn"</f>
        <v>#VALUE!</v>
      </c>
      <c r="HZ47" t="e">
        <f>'2.4.Функции'!KJ135+"BYw!$To"</f>
        <v>#VALUE!</v>
      </c>
      <c r="IA47" t="e">
        <f>'2.4.Функции'!KK135+"BYw!$Tp"</f>
        <v>#VALUE!</v>
      </c>
      <c r="IB47" t="e">
        <f>'2.4.Функции'!KL135+"BYw!$Tq"</f>
        <v>#VALUE!</v>
      </c>
      <c r="IC47" t="e">
        <f>'2.4.Функции'!KM135+"BYw!$Tr"</f>
        <v>#VALUE!</v>
      </c>
      <c r="ID47" t="e">
        <f>'2.4.Функции'!KN135+"BYw!$Ts"</f>
        <v>#VALUE!</v>
      </c>
      <c r="IE47" t="e">
        <f>'2.4.Функции'!KO135+"BYw!$Tt"</f>
        <v>#VALUE!</v>
      </c>
      <c r="IF47" t="e">
        <f>'2.4.Функции'!KP135+"BYw!$Tu"</f>
        <v>#VALUE!</v>
      </c>
      <c r="IG47" t="e">
        <f>'2.4.Функции'!KQ135+"BYw!$Tv"</f>
        <v>#VALUE!</v>
      </c>
      <c r="IH47" t="e">
        <f>'2.4.Функции'!KR135+"BYw!$Tw"</f>
        <v>#VALUE!</v>
      </c>
      <c r="II47" t="e">
        <f>'2.4.Функции'!KS135+"BYw!$Tx"</f>
        <v>#VALUE!</v>
      </c>
      <c r="IJ47" t="e">
        <f>'2.4.Функции'!KT135+"BYw!$Ty"</f>
        <v>#VALUE!</v>
      </c>
      <c r="IK47" t="e">
        <f>'2.4.Функции'!KU135+"BYw!$Tz"</f>
        <v>#VALUE!</v>
      </c>
      <c r="IL47" t="e">
        <f>'2.4.Функции'!KV135+"BYw!$T{"</f>
        <v>#VALUE!</v>
      </c>
      <c r="IM47" t="e">
        <f>'2.4.Функции'!KW135+"BYw!$T|"</f>
        <v>#VALUE!</v>
      </c>
      <c r="IN47" t="e">
        <f>'2.4.Функции'!KX135+"BYw!$T}"</f>
        <v>#VALUE!</v>
      </c>
      <c r="IO47" t="e">
        <f>'2.4.Функции'!KY135+"BYw!$T~"</f>
        <v>#VALUE!</v>
      </c>
      <c r="IP47" t="e">
        <f>'2.4.Функции'!KZ135+"BYw!$U#"</f>
        <v>#VALUE!</v>
      </c>
      <c r="IQ47" t="e">
        <f>'2.4.Функции'!LA135+"BYw!$U$"</f>
        <v>#VALUE!</v>
      </c>
      <c r="IR47" t="e">
        <f>'2.4.Функции'!LB135+"BYw!$U%"</f>
        <v>#VALUE!</v>
      </c>
      <c r="IS47" t="e">
        <f>'2.4.Функции'!LC135+"BYw!$U&amp;"</f>
        <v>#VALUE!</v>
      </c>
      <c r="IT47" t="e">
        <f>'2.4.Функции'!LD135+"BYw!$U'"</f>
        <v>#VALUE!</v>
      </c>
      <c r="IU47" t="e">
        <f>'2.4.Функции'!LE135+"BYw!$U("</f>
        <v>#VALUE!</v>
      </c>
      <c r="IV47" t="e">
        <f>'2.4.Функции'!LF135+"BYw!$U)"</f>
        <v>#VALUE!</v>
      </c>
    </row>
    <row r="48" spans="6:256" x14ac:dyDescent="0.2">
      <c r="F48" t="e">
        <f>'2.4.Функции'!LG135+"BYw!$U."</f>
        <v>#VALUE!</v>
      </c>
      <c r="G48" t="e">
        <f>'2.4.Функции'!LH135+"BYw!$U/"</f>
        <v>#VALUE!</v>
      </c>
      <c r="H48" t="e">
        <f>'2.4.Функции'!LI135+"BYw!$U0"</f>
        <v>#VALUE!</v>
      </c>
      <c r="I48" t="e">
        <f>'2.4.Функции'!LJ135+"BYw!$U1"</f>
        <v>#VALUE!</v>
      </c>
      <c r="J48" t="e">
        <f>'2.4.Функции'!LK135+"BYw!$U2"</f>
        <v>#VALUE!</v>
      </c>
      <c r="K48" t="e">
        <f>'2.4.Функции'!LL135+"BYw!$U3"</f>
        <v>#VALUE!</v>
      </c>
      <c r="L48" t="e">
        <f>'2.4.Функции'!LM135+"BYw!$U4"</f>
        <v>#VALUE!</v>
      </c>
      <c r="M48" t="e">
        <f>'2.4.Функции'!LN135+"BYw!$U5"</f>
        <v>#VALUE!</v>
      </c>
      <c r="N48" t="e">
        <f>'2.4.Функции'!LO135+"BYw!$U6"</f>
        <v>#VALUE!</v>
      </c>
      <c r="O48" t="e">
        <f>'2.4.Функции'!LP135+"BYw!$U7"</f>
        <v>#VALUE!</v>
      </c>
      <c r="P48" t="e">
        <f>'2.4.Функции'!LQ135+"BYw!$U8"</f>
        <v>#VALUE!</v>
      </c>
      <c r="Q48" t="e">
        <f>'2.4.Функции'!LR135+"BYw!$U9"</f>
        <v>#VALUE!</v>
      </c>
      <c r="R48" t="e">
        <f>'2.4.Функции'!LS135+"BYw!$U:"</f>
        <v>#VALUE!</v>
      </c>
      <c r="S48" t="e">
        <f>'2.4.Функции'!LT135+"BYw!$U;"</f>
        <v>#VALUE!</v>
      </c>
      <c r="T48" t="e">
        <f>'2.4.Функции'!LU135+"BYw!$U&lt;"</f>
        <v>#VALUE!</v>
      </c>
      <c r="U48" t="e">
        <f>'2.4.Функции'!LV135+"BYw!$U="</f>
        <v>#VALUE!</v>
      </c>
      <c r="V48" t="e">
        <f>'2.4.Функции'!LW135+"BYw!$U&gt;"</f>
        <v>#VALUE!</v>
      </c>
      <c r="W48" t="e">
        <f>'2.4.Функции'!LX135+"BYw!$U?"</f>
        <v>#VALUE!</v>
      </c>
      <c r="X48" t="e">
        <f>'2.4.Функции'!LY135+"BYw!$U@"</f>
        <v>#VALUE!</v>
      </c>
      <c r="Y48" t="e">
        <f>'2.4.Функции'!LZ135+"BYw!$UA"</f>
        <v>#VALUE!</v>
      </c>
      <c r="Z48" t="e">
        <f>'2.4.Функции'!MA135+"BYw!$UB"</f>
        <v>#VALUE!</v>
      </c>
      <c r="AA48" t="e">
        <f>'2.4.Функции'!MB135+"BYw!$UC"</f>
        <v>#VALUE!</v>
      </c>
      <c r="AB48" t="e">
        <f>'2.4.Функции'!MC135+"BYw!$UD"</f>
        <v>#VALUE!</v>
      </c>
      <c r="AC48" t="e">
        <f>'2.4.Функции'!MD135+"BYw!$UE"</f>
        <v>#VALUE!</v>
      </c>
      <c r="AD48" t="e">
        <f>'2.4.Функции'!ME135+"BYw!$UF"</f>
        <v>#VALUE!</v>
      </c>
      <c r="AE48" t="e">
        <f>'2.4.Функции'!MF135+"BYw!$UG"</f>
        <v>#VALUE!</v>
      </c>
      <c r="AF48" t="e">
        <f>'2.4.Функции'!MG135+"BYw!$UH"</f>
        <v>#VALUE!</v>
      </c>
      <c r="AG48" t="e">
        <f>'2.4.Функции'!MH135+"BYw!$UI"</f>
        <v>#VALUE!</v>
      </c>
      <c r="AH48" t="e">
        <f>'2.4.Функции'!MI135+"BYw!$UJ"</f>
        <v>#VALUE!</v>
      </c>
      <c r="AI48" t="e">
        <f>'2.4.Функции'!MJ135+"BYw!$UK"</f>
        <v>#VALUE!</v>
      </c>
      <c r="AJ48" t="e">
        <f>'2.4.Функции'!MK135+"BYw!$UL"</f>
        <v>#VALUE!</v>
      </c>
      <c r="AK48" t="e">
        <f>'2.4.Функции'!ML135+"BYw!$UM"</f>
        <v>#VALUE!</v>
      </c>
      <c r="AL48" t="e">
        <f>'2.4.Функции'!MM135+"BYw!$UN"</f>
        <v>#VALUE!</v>
      </c>
      <c r="AM48" t="e">
        <f>'2.4.Функции'!MN135+"BYw!$UO"</f>
        <v>#VALUE!</v>
      </c>
      <c r="AN48" t="e">
        <f>'2.4.Функции'!MO135+"BYw!$UP"</f>
        <v>#VALUE!</v>
      </c>
      <c r="AO48" t="e">
        <f>'2.4.Функции'!MP135+"BYw!$UQ"</f>
        <v>#VALUE!</v>
      </c>
      <c r="AP48" t="e">
        <f>'2.4.Функции'!MQ135+"BYw!$UR"</f>
        <v>#VALUE!</v>
      </c>
      <c r="AQ48" t="e">
        <f>'2.4.Функции'!MR135+"BYw!$US"</f>
        <v>#VALUE!</v>
      </c>
      <c r="AR48" t="e">
        <f>'2.4.Функции'!MS135+"BYw!$UT"</f>
        <v>#VALUE!</v>
      </c>
      <c r="AS48" t="e">
        <f>'2.4.Функции'!MT135+"BYw!$UU"</f>
        <v>#VALUE!</v>
      </c>
      <c r="AT48" t="e">
        <f>'2.4.Функции'!MU135+"BYw!$UV"</f>
        <v>#VALUE!</v>
      </c>
      <c r="AU48" t="e">
        <f>'2.4.Функции'!MV135+"BYw!$UW"</f>
        <v>#VALUE!</v>
      </c>
      <c r="AV48" t="e">
        <f>'2.4.Функции'!MW135+"BYw!$UX"</f>
        <v>#VALUE!</v>
      </c>
      <c r="AW48" t="e">
        <f>'2.4.Функции'!MX135+"BYw!$UY"</f>
        <v>#VALUE!</v>
      </c>
      <c r="AX48" t="e">
        <f>'2.4.Функции'!MY135+"BYw!$UZ"</f>
        <v>#VALUE!</v>
      </c>
      <c r="AY48" t="e">
        <f>'2.4.Функции'!MZ135+"BYw!$U["</f>
        <v>#VALUE!</v>
      </c>
      <c r="AZ48" t="e">
        <f>'2.4.Функции'!NA135+"BYw!$U\"</f>
        <v>#VALUE!</v>
      </c>
      <c r="BA48" t="e">
        <f>'2.4.Функции'!NB135+"BYw!$U]"</f>
        <v>#VALUE!</v>
      </c>
      <c r="BB48" t="e">
        <f>'2.4.Функции'!NC135+"BYw!$U^"</f>
        <v>#VALUE!</v>
      </c>
      <c r="BC48" t="e">
        <f>'2.4.Функции'!ND135+"BYw!$U_"</f>
        <v>#VALUE!</v>
      </c>
      <c r="BD48" t="e">
        <f>'2.4.Функции'!NE135+"BYw!$U`"</f>
        <v>#VALUE!</v>
      </c>
      <c r="BE48" t="e">
        <f>'2.4.Функции'!NF135+"BYw!$Ua"</f>
        <v>#VALUE!</v>
      </c>
      <c r="BF48" t="e">
        <f>'2.4.Функции'!NG135+"BYw!$Ub"</f>
        <v>#VALUE!</v>
      </c>
      <c r="BG48" t="e">
        <f>'2.4.Функции'!NH135+"BYw!$Uc"</f>
        <v>#VALUE!</v>
      </c>
      <c r="BH48" t="e">
        <f>'2.4.Функции'!NI135+"BYw!$Ud"</f>
        <v>#VALUE!</v>
      </c>
      <c r="BI48" t="e">
        <f>'2.4.Функции'!NJ135+"BYw!$Ue"</f>
        <v>#VALUE!</v>
      </c>
      <c r="BJ48" t="e">
        <f>'2.4.Функции'!NK135+"BYw!$Uf"</f>
        <v>#VALUE!</v>
      </c>
      <c r="BK48" t="e">
        <f>'2.4.Функции'!NL135+"BYw!$Ug"</f>
        <v>#VALUE!</v>
      </c>
      <c r="BL48" t="e">
        <f>'2.4.Функции'!NM135+"BYw!$Uh"</f>
        <v>#VALUE!</v>
      </c>
      <c r="BM48" t="e">
        <f>'2.4.Функции'!NN135+"BYw!$Ui"</f>
        <v>#VALUE!</v>
      </c>
      <c r="BN48" t="e">
        <f>'2.4.Функции'!NO135+"BYw!$Uj"</f>
        <v>#VALUE!</v>
      </c>
      <c r="BO48" t="e">
        <f>'2.4.Функции'!NP135+"BYw!$Uk"</f>
        <v>#VALUE!</v>
      </c>
      <c r="BP48" t="e">
        <f>'2.4.Функции'!NQ135+"BYw!$Ul"</f>
        <v>#VALUE!</v>
      </c>
      <c r="BQ48" t="e">
        <f>'2.4.Функции'!NR135+"BYw!$Um"</f>
        <v>#VALUE!</v>
      </c>
      <c r="BR48" t="e">
        <f>'2.4.Функции'!NS135+"BYw!$Un"</f>
        <v>#VALUE!</v>
      </c>
      <c r="BS48" t="e">
        <f>'2.4.Функции'!NT135+"BYw!$Uo"</f>
        <v>#VALUE!</v>
      </c>
      <c r="BT48" t="e">
        <f>'2.4.Функции'!NU135+"BYw!$Up"</f>
        <v>#VALUE!</v>
      </c>
      <c r="BU48" t="e">
        <f>'2.4.Функции'!NV135+"BYw!$Uq"</f>
        <v>#VALUE!</v>
      </c>
      <c r="BV48" t="e">
        <f>'2.4.Функции'!NW135+"BYw!$Ur"</f>
        <v>#VALUE!</v>
      </c>
      <c r="BW48" t="e">
        <f>'2.4.Функции'!NX135+"BYw!$Us"</f>
        <v>#VALUE!</v>
      </c>
      <c r="BX48" t="e">
        <f>'2.4.Функции'!NY135+"BYw!$Ut"</f>
        <v>#VALUE!</v>
      </c>
      <c r="BY48" t="e">
        <f>'2.4.Функции'!NZ135+"BYw!$Uu"</f>
        <v>#VALUE!</v>
      </c>
      <c r="BZ48" t="e">
        <f>'2.4.Функции'!OA135+"BYw!$Uv"</f>
        <v>#VALUE!</v>
      </c>
      <c r="CA48" t="e">
        <f>'2.4.Функции'!OB135+"BYw!$Uw"</f>
        <v>#VALUE!</v>
      </c>
      <c r="CB48" t="e">
        <f>'2.4.Функции'!OC135+"BYw!$Ux"</f>
        <v>#VALUE!</v>
      </c>
      <c r="CC48" t="e">
        <f>'2.4.Функции'!OD135+"BYw!$Uy"</f>
        <v>#VALUE!</v>
      </c>
      <c r="CD48" t="e">
        <f>'2.4.Функции'!OE135+"BYw!$Uz"</f>
        <v>#VALUE!</v>
      </c>
      <c r="CE48" t="e">
        <f>'2.4.Функции'!OF135+"BYw!$U{"</f>
        <v>#VALUE!</v>
      </c>
      <c r="CF48" t="e">
        <f>'2.4.Функции'!OG135+"BYw!$U|"</f>
        <v>#VALUE!</v>
      </c>
      <c r="CG48" t="e">
        <f>'2.4.Функции'!OH135+"BYw!$U}"</f>
        <v>#VALUE!</v>
      </c>
      <c r="CH48" t="e">
        <f>'2.4.Функции'!OI135+"BYw!$U~"</f>
        <v>#VALUE!</v>
      </c>
      <c r="CI48" t="e">
        <f>'2.4.Функции'!OJ135+"BYw!$V#"</f>
        <v>#VALUE!</v>
      </c>
      <c r="CJ48" t="e">
        <f>'2.4.Функции'!OK135+"BYw!$V$"</f>
        <v>#VALUE!</v>
      </c>
      <c r="CK48" t="e">
        <f>'2.4.Функции'!OL135+"BYw!$V%"</f>
        <v>#VALUE!</v>
      </c>
      <c r="CL48" t="e">
        <f>'2.4.Функции'!OM135+"BYw!$V&amp;"</f>
        <v>#VALUE!</v>
      </c>
      <c r="CM48" t="e">
        <f>'2.4.Функции'!ON135+"BYw!$V'"</f>
        <v>#VALUE!</v>
      </c>
      <c r="CN48" t="e">
        <f>'2.4.Функции'!OO135+"BYw!$V("</f>
        <v>#VALUE!</v>
      </c>
      <c r="CO48" t="e">
        <f>'2.4.Функции'!OP135+"BYw!$V)"</f>
        <v>#VALUE!</v>
      </c>
      <c r="CP48" t="e">
        <f>'2.4.Функции'!OQ135+"BYw!$V."</f>
        <v>#VALUE!</v>
      </c>
      <c r="CQ48" t="e">
        <f>'2.4.Функции'!OR135+"BYw!$V/"</f>
        <v>#VALUE!</v>
      </c>
      <c r="CR48" t="e">
        <f>'2.4.Функции'!OS135+"BYw!$V0"</f>
        <v>#VALUE!</v>
      </c>
      <c r="CS48" t="e">
        <f>'2.4.Функции'!OT135+"BYw!$V1"</f>
        <v>#VALUE!</v>
      </c>
      <c r="CT48" t="e">
        <f>'2.4.Функции'!OU135+"BYw!$V2"</f>
        <v>#VALUE!</v>
      </c>
      <c r="CU48" t="e">
        <f>'2.4.Функции'!OV135+"BYw!$V3"</f>
        <v>#VALUE!</v>
      </c>
      <c r="CV48" t="e">
        <f>'2.4.Функции'!OW135+"BYw!$V4"</f>
        <v>#VALUE!</v>
      </c>
      <c r="CW48" t="e">
        <f>'2.4.Функции'!OX135+"BYw!$V5"</f>
        <v>#VALUE!</v>
      </c>
      <c r="CX48" t="e">
        <f>'2.4.Функции'!OY135+"BYw!$V6"</f>
        <v>#VALUE!</v>
      </c>
      <c r="CY48" t="e">
        <f>'2.4.Функции'!OZ135+"BYw!$V7"</f>
        <v>#VALUE!</v>
      </c>
      <c r="CZ48" t="e">
        <f>'2.4.Функции'!PA135+"BYw!$V8"</f>
        <v>#VALUE!</v>
      </c>
      <c r="DA48" t="e">
        <f>'2.4.Функции'!PB135+"BYw!$V9"</f>
        <v>#VALUE!</v>
      </c>
      <c r="DB48" t="e">
        <f>'2.4.Функции'!PC135+"BYw!$V:"</f>
        <v>#VALUE!</v>
      </c>
      <c r="DC48" t="e">
        <f>'2.4.Функции'!PD135+"BYw!$V;"</f>
        <v>#VALUE!</v>
      </c>
      <c r="DD48" t="e">
        <f>'2.4.Функции'!PE135+"BYw!$V&lt;"</f>
        <v>#VALUE!</v>
      </c>
      <c r="DE48" t="e">
        <f>'2.4.Функции'!PF135+"BYw!$V="</f>
        <v>#VALUE!</v>
      </c>
      <c r="DF48" t="e">
        <f>'2.4.Функции'!PG135+"BYw!$V&gt;"</f>
        <v>#VALUE!</v>
      </c>
      <c r="DG48" t="e">
        <f>'2.4.Функции'!PH135+"BYw!$V?"</f>
        <v>#VALUE!</v>
      </c>
      <c r="DH48" t="e">
        <f>'2.4.Функции'!PI135+"BYw!$V@"</f>
        <v>#VALUE!</v>
      </c>
      <c r="DI48" t="e">
        <f>'2.4.Функции'!PJ135+"BYw!$VA"</f>
        <v>#VALUE!</v>
      </c>
      <c r="DJ48" t="e">
        <f>'2.4.Функции'!PK135+"BYw!$VB"</f>
        <v>#VALUE!</v>
      </c>
      <c r="DK48" t="e">
        <f>'2.4.Функции'!PL135+"BYw!$VC"</f>
        <v>#VALUE!</v>
      </c>
      <c r="DL48" t="e">
        <f>'2.4.Функции'!PM135+"BYw!$VD"</f>
        <v>#VALUE!</v>
      </c>
      <c r="DM48" t="e">
        <f>'2.4.Функции'!PN135+"BYw!$VE"</f>
        <v>#VALUE!</v>
      </c>
      <c r="DN48" t="e">
        <f>'2.4.Функции'!PO135+"BYw!$VF"</f>
        <v>#VALUE!</v>
      </c>
      <c r="DO48" t="e">
        <f>'2.4.Функции'!PP135+"BYw!$VG"</f>
        <v>#VALUE!</v>
      </c>
      <c r="DP48" t="e">
        <f>'2.4.Функции'!PQ135+"BYw!$VH"</f>
        <v>#VALUE!</v>
      </c>
      <c r="DQ48" t="e">
        <f>'2.4.Функции'!PR135+"BYw!$VI"</f>
        <v>#VALUE!</v>
      </c>
      <c r="DR48" t="e">
        <f>'2.4.Функции'!PS135+"BYw!$VJ"</f>
        <v>#VALUE!</v>
      </c>
      <c r="DS48" t="e">
        <f>'2.4.Функции'!PT135+"BYw!$VK"</f>
        <v>#VALUE!</v>
      </c>
      <c r="DT48" t="e">
        <f>'2.4.Функции'!PU135+"BYw!$VL"</f>
        <v>#VALUE!</v>
      </c>
      <c r="DU48" t="e">
        <f>'2.4.Функции'!PV135+"BYw!$VM"</f>
        <v>#VALUE!</v>
      </c>
      <c r="DV48" t="e">
        <f>'2.4.Функции'!PW135+"BYw!$VN"</f>
        <v>#VALUE!</v>
      </c>
      <c r="DW48" t="e">
        <f>'2.4.Функции'!PX135+"BYw!$VO"</f>
        <v>#VALUE!</v>
      </c>
      <c r="DX48" t="e">
        <f>'2.4.Функции'!PY135+"BYw!$VP"</f>
        <v>#VALUE!</v>
      </c>
      <c r="DY48" t="e">
        <f>'2.4.Функции'!PZ135+"BYw!$VQ"</f>
        <v>#VALUE!</v>
      </c>
      <c r="DZ48" t="e">
        <f>'2.4.Функции'!QA135+"BYw!$VR"</f>
        <v>#VALUE!</v>
      </c>
      <c r="EA48" t="e">
        <f>'2.4.Функции'!QB135+"BYw!$VS"</f>
        <v>#VALUE!</v>
      </c>
      <c r="EB48" t="e">
        <f>'2.4.Функции'!QC135+"BYw!$VT"</f>
        <v>#VALUE!</v>
      </c>
      <c r="EC48" t="e">
        <f>'2.4.Функции'!QD135+"BYw!$VU"</f>
        <v>#VALUE!</v>
      </c>
      <c r="ED48" t="e">
        <f>'2.4.Функции'!QE135+"BYw!$VV"</f>
        <v>#VALUE!</v>
      </c>
      <c r="EE48" t="e">
        <f>'2.4.Функции'!QF135+"BYw!$VW"</f>
        <v>#VALUE!</v>
      </c>
      <c r="EF48" t="e">
        <f>'2.4.Функции'!QG135+"BYw!$VX"</f>
        <v>#VALUE!</v>
      </c>
      <c r="EG48" t="e">
        <f>'2.4.Функции'!QH135+"BYw!$VY"</f>
        <v>#VALUE!</v>
      </c>
      <c r="EH48" t="e">
        <f>'2.4.Функции'!QI135+"BYw!$VZ"</f>
        <v>#VALUE!</v>
      </c>
      <c r="EI48" t="e">
        <f>'2.4.Функции'!QJ135+"BYw!$V["</f>
        <v>#VALUE!</v>
      </c>
      <c r="EJ48" t="e">
        <f>'2.4.Функции'!QK135+"BYw!$V\"</f>
        <v>#VALUE!</v>
      </c>
      <c r="EK48" t="e">
        <f>'2.4.Функции'!QL135+"BYw!$V]"</f>
        <v>#VALUE!</v>
      </c>
      <c r="EL48" t="e">
        <f>'2.4.Функции'!QM135+"BYw!$V^"</f>
        <v>#VALUE!</v>
      </c>
      <c r="EM48" t="e">
        <f>'2.4.Функции'!QN135+"BYw!$V_"</f>
        <v>#VALUE!</v>
      </c>
      <c r="EN48" t="e">
        <f>'2.4.Функции'!QO135+"BYw!$V`"</f>
        <v>#VALUE!</v>
      </c>
      <c r="EO48" t="e">
        <f>'2.4.Функции'!QP135+"BYw!$Va"</f>
        <v>#VALUE!</v>
      </c>
      <c r="EP48" t="e">
        <f>'2.4.Функции'!QQ135+"BYw!$Vb"</f>
        <v>#VALUE!</v>
      </c>
      <c r="EQ48" t="e">
        <f>'2.4.Функции'!QR135+"BYw!$Vc"</f>
        <v>#VALUE!</v>
      </c>
      <c r="ER48" t="e">
        <f>'2.4.Функции'!QS135+"BYw!$Vd"</f>
        <v>#VALUE!</v>
      </c>
      <c r="ES48" t="e">
        <f>'2.4.Функции'!QT135+"BYw!$Ve"</f>
        <v>#VALUE!</v>
      </c>
      <c r="ET48" t="e">
        <f>'2.4.Функции'!QU135+"BYw!$Vf"</f>
        <v>#VALUE!</v>
      </c>
      <c r="EU48" t="e">
        <f>'2.4.Функции'!QV135+"BYw!$Vg"</f>
        <v>#VALUE!</v>
      </c>
      <c r="EV48" t="e">
        <f>'2.4.Функции'!QW135+"BYw!$Vh"</f>
        <v>#VALUE!</v>
      </c>
      <c r="EW48" t="e">
        <f>'2.4.Функции'!QX135+"BYw!$Vi"</f>
        <v>#VALUE!</v>
      </c>
      <c r="EX48" t="e">
        <f>'2.4.Функции'!QY135+"BYw!$Vj"</f>
        <v>#VALUE!</v>
      </c>
      <c r="EY48" t="e">
        <f>'2.4.Функции'!QZ135+"BYw!$Vk"</f>
        <v>#VALUE!</v>
      </c>
      <c r="EZ48" t="e">
        <f>'2.4.Функции'!RA135+"BYw!$Vl"</f>
        <v>#VALUE!</v>
      </c>
      <c r="FA48" t="e">
        <f>'2.4.Функции'!RB135+"BYw!$Vm"</f>
        <v>#VALUE!</v>
      </c>
      <c r="FB48" t="e">
        <f>'2.4.Функции'!RC135+"BYw!$Vn"</f>
        <v>#VALUE!</v>
      </c>
      <c r="FC48" t="e">
        <f>'2.4.Функции'!RD135+"BYw!$Vo"</f>
        <v>#VALUE!</v>
      </c>
      <c r="FD48" t="e">
        <f>'2.4.Функции'!RE135+"BYw!$Vp"</f>
        <v>#VALUE!</v>
      </c>
      <c r="FE48" t="e">
        <f>'2.4.Функции'!RF135+"BYw!$Vq"</f>
        <v>#VALUE!</v>
      </c>
      <c r="FF48" t="e">
        <f>'2.4.Функции'!RG135+"BYw!$Vr"</f>
        <v>#VALUE!</v>
      </c>
      <c r="FG48" t="e">
        <f>'2.4.Функции'!RH135+"BYw!$Vs"</f>
        <v>#VALUE!</v>
      </c>
      <c r="FH48" t="e">
        <f>'2.4.Функции'!RI135+"BYw!$Vt"</f>
        <v>#VALUE!</v>
      </c>
      <c r="FI48" t="e">
        <f>'2.4.Функции'!RJ135+"BYw!$Vu"</f>
        <v>#VALUE!</v>
      </c>
      <c r="FJ48" t="e">
        <f>'2.4.Функции'!RK135+"BYw!$Vv"</f>
        <v>#VALUE!</v>
      </c>
      <c r="FK48" t="e">
        <f>'2.4.Функции'!RL135+"BYw!$Vw"</f>
        <v>#VALUE!</v>
      </c>
      <c r="FL48" t="e">
        <f>'2.4.Функции'!RM135+"BYw!$Vx"</f>
        <v>#VALUE!</v>
      </c>
      <c r="FM48" t="e">
        <f>'2.4.Функции'!RN135+"BYw!$Vy"</f>
        <v>#VALUE!</v>
      </c>
      <c r="FN48" t="e">
        <f>'2.4.Функции'!RO135+"BYw!$Vz"</f>
        <v>#VALUE!</v>
      </c>
      <c r="FO48" t="e">
        <f>'2.4.Функции'!RP135+"BYw!$V{"</f>
        <v>#VALUE!</v>
      </c>
      <c r="FP48" t="e">
        <f>'2.4.Функции'!RQ135+"BYw!$V|"</f>
        <v>#VALUE!</v>
      </c>
      <c r="FQ48" t="e">
        <f>'2.4.Функции'!RR135+"BYw!$V}"</f>
        <v>#VALUE!</v>
      </c>
      <c r="FR48" t="e">
        <f>'2.4.Функции'!RS135+"BYw!$V~"</f>
        <v>#VALUE!</v>
      </c>
      <c r="FS48" t="e">
        <f>'2.4.Функции'!RT135+"BYw!$W#"</f>
        <v>#VALUE!</v>
      </c>
      <c r="FT48" t="e">
        <f>'2.4.Функции'!RU135+"BYw!$W$"</f>
        <v>#VALUE!</v>
      </c>
      <c r="FU48" t="e">
        <f>'2.4.Функции'!RV135+"BYw!$W%"</f>
        <v>#VALUE!</v>
      </c>
      <c r="FV48" t="e">
        <f>'2.4.Функции'!RW135+"BYw!$W&amp;"</f>
        <v>#VALUE!</v>
      </c>
      <c r="FW48" t="e">
        <f>'2.4.Функции'!RX135+"BYw!$W'"</f>
        <v>#VALUE!</v>
      </c>
      <c r="FX48" t="e">
        <f>'2.4.Функции'!RY135+"BYw!$W("</f>
        <v>#VALUE!</v>
      </c>
      <c r="FY48" t="e">
        <f>'2.4.Функции'!RZ135+"BYw!$W)"</f>
        <v>#VALUE!</v>
      </c>
      <c r="FZ48" t="e">
        <f>'2.4.Функции'!SA135+"BYw!$W."</f>
        <v>#VALUE!</v>
      </c>
      <c r="GA48" t="e">
        <f>'2.4.Функции'!SB135+"BYw!$W/"</f>
        <v>#VALUE!</v>
      </c>
      <c r="GB48" t="e">
        <f>'2.4.Функции'!SC135+"BYw!$W0"</f>
        <v>#VALUE!</v>
      </c>
      <c r="GC48" t="e">
        <f>'2.4.Функции'!SD135+"BYw!$W1"</f>
        <v>#VALUE!</v>
      </c>
      <c r="GD48" t="e">
        <f>'2.4.Функции'!SE135+"BYw!$W2"</f>
        <v>#VALUE!</v>
      </c>
      <c r="GE48" t="e">
        <f>'2.4.Функции'!SF135+"BYw!$W3"</f>
        <v>#VALUE!</v>
      </c>
      <c r="GF48" t="e">
        <f>'2.4.Функции'!SG135+"BYw!$W4"</f>
        <v>#VALUE!</v>
      </c>
      <c r="GG48" t="e">
        <f>'2.4.Функции'!SH135+"BYw!$W5"</f>
        <v>#VALUE!</v>
      </c>
      <c r="GH48" t="e">
        <f>'2.4.Функции'!SI135+"BYw!$W6"</f>
        <v>#VALUE!</v>
      </c>
      <c r="GI48" t="e">
        <f>'2.4.Функции'!SJ135+"BYw!$W7"</f>
        <v>#VALUE!</v>
      </c>
      <c r="GJ48" t="e">
        <f>'2.4.Функции'!SK135+"BYw!$W8"</f>
        <v>#VALUE!</v>
      </c>
      <c r="GK48" t="e">
        <f>'2.4.Функции'!SL135+"BYw!$W9"</f>
        <v>#VALUE!</v>
      </c>
      <c r="GL48" t="e">
        <f>'2.4.Функции'!SM135+"BYw!$W:"</f>
        <v>#VALUE!</v>
      </c>
      <c r="GM48" t="e">
        <f>'2.4.Функции'!SN135+"BYw!$W;"</f>
        <v>#VALUE!</v>
      </c>
      <c r="GN48" t="e">
        <f>'2.4.Функции'!SO135+"BYw!$W&lt;"</f>
        <v>#VALUE!</v>
      </c>
      <c r="GO48" t="e">
        <f>'2.4.Функции'!SP135+"BYw!$W="</f>
        <v>#VALUE!</v>
      </c>
      <c r="GP48" t="e">
        <f>'2.4.Функции'!SQ135+"BYw!$W&gt;"</f>
        <v>#VALUE!</v>
      </c>
      <c r="GQ48" t="e">
        <f>'2.4.Функции'!SR135+"BYw!$W?"</f>
        <v>#VALUE!</v>
      </c>
      <c r="GR48" t="e">
        <f>'2.4.Функции'!SS135+"BYw!$W@"</f>
        <v>#VALUE!</v>
      </c>
      <c r="GS48" t="e">
        <f>'2.4.Функции'!ST135+"BYw!$WA"</f>
        <v>#VALUE!</v>
      </c>
      <c r="GT48" t="e">
        <f>'2.4.Функции'!SU135+"BYw!$WB"</f>
        <v>#VALUE!</v>
      </c>
      <c r="GU48" t="e">
        <f>'2.4.Функции'!SV135+"BYw!$WC"</f>
        <v>#VALUE!</v>
      </c>
      <c r="GV48" t="e">
        <f>'2.4.Функции'!SW135+"BYw!$WD"</f>
        <v>#VALUE!</v>
      </c>
      <c r="GW48" t="e">
        <f>'2.4.Функции'!SX135+"BYw!$WE"</f>
        <v>#VALUE!</v>
      </c>
      <c r="GX48" t="e">
        <f>'2.4.Функции'!SY135+"BYw!$WF"</f>
        <v>#VALUE!</v>
      </c>
      <c r="GY48" t="e">
        <f>'2.4.Функции'!SZ135+"BYw!$WG"</f>
        <v>#VALUE!</v>
      </c>
      <c r="GZ48" t="e">
        <f>'2.4.Функции'!TA135+"BYw!$WH"</f>
        <v>#VALUE!</v>
      </c>
      <c r="HA48" t="e">
        <f>'2.4.Функции'!TB135+"BYw!$WI"</f>
        <v>#VALUE!</v>
      </c>
      <c r="HB48" t="e">
        <f>'2.4.Функции'!TC135+"BYw!$WJ"</f>
        <v>#VALUE!</v>
      </c>
      <c r="HC48" t="e">
        <f>'2.4.Функции'!TD135+"BYw!$WK"</f>
        <v>#VALUE!</v>
      </c>
      <c r="HD48" t="e">
        <f>'2.4.Функции'!TE135+"BYw!$WL"</f>
        <v>#VALUE!</v>
      </c>
      <c r="HE48" t="e">
        <f>'2.4.Функции'!TF135+"BYw!$WM"</f>
        <v>#VALUE!</v>
      </c>
      <c r="HF48" t="e">
        <f>'2.4.Функции'!TG135+"BYw!$WN"</f>
        <v>#VALUE!</v>
      </c>
      <c r="HG48" t="e">
        <f>'2.4.Функции'!TH135+"BYw!$WO"</f>
        <v>#VALUE!</v>
      </c>
      <c r="HH48" t="e">
        <f>'2.4.Функции'!TI135+"BYw!$WP"</f>
        <v>#VALUE!</v>
      </c>
      <c r="HI48" t="e">
        <f>'2.4.Функции'!TJ135+"BYw!$WQ"</f>
        <v>#VALUE!</v>
      </c>
      <c r="HJ48" t="e">
        <f>'2.4.Функции'!TK135+"BYw!$WR"</f>
        <v>#VALUE!</v>
      </c>
      <c r="HK48" t="e">
        <f>'2.4.Функции'!TL135+"BYw!$WS"</f>
        <v>#VALUE!</v>
      </c>
      <c r="HL48" t="e">
        <f>'2.4.Функции'!TM135+"BYw!$WT"</f>
        <v>#VALUE!</v>
      </c>
      <c r="HM48" t="e">
        <f>'2.4.Функции'!TN135+"BYw!$WU"</f>
        <v>#VALUE!</v>
      </c>
      <c r="HN48" t="e">
        <f>'2.4.Функции'!TO135+"BYw!$WV"</f>
        <v>#VALUE!</v>
      </c>
      <c r="HO48" t="e">
        <f>'2.4.Функции'!TP135+"BYw!$WW"</f>
        <v>#VALUE!</v>
      </c>
      <c r="HP48" t="e">
        <f>'2.4.Функции'!TQ135+"BYw!$WX"</f>
        <v>#VALUE!</v>
      </c>
      <c r="HQ48" t="e">
        <f>'2.4.Функции'!TR135+"BYw!$WY"</f>
        <v>#VALUE!</v>
      </c>
      <c r="HR48" t="e">
        <f>'2.4.Функции'!TS135+"BYw!$WZ"</f>
        <v>#VALUE!</v>
      </c>
      <c r="HS48" t="e">
        <f>'2.4.Функции'!TT135+"BYw!$W["</f>
        <v>#VALUE!</v>
      </c>
      <c r="HT48" t="e">
        <f>'2.4.Функции'!TU135+"BYw!$W\"</f>
        <v>#VALUE!</v>
      </c>
      <c r="HU48" t="e">
        <f>'2.4.Функции'!TV135+"BYw!$W]"</f>
        <v>#VALUE!</v>
      </c>
      <c r="HV48" t="e">
        <f>'2.4.Функции'!TW135+"BYw!$W^"</f>
        <v>#VALUE!</v>
      </c>
      <c r="HW48" t="e">
        <f>'2.4.Функции'!TX135+"BYw!$W_"</f>
        <v>#VALUE!</v>
      </c>
      <c r="HX48" t="e">
        <f>'2.4.Функции'!TY135+"BYw!$W`"</f>
        <v>#VALUE!</v>
      </c>
      <c r="HY48" t="e">
        <f>'2.4.Функции'!TZ135+"BYw!$Wa"</f>
        <v>#VALUE!</v>
      </c>
      <c r="HZ48" t="e">
        <f>'2.4.Функции'!UA135+"BYw!$Wb"</f>
        <v>#VALUE!</v>
      </c>
      <c r="IA48" t="e">
        <f>'2.4.Функции'!UB135+"BYw!$Wc"</f>
        <v>#VALUE!</v>
      </c>
      <c r="IB48" t="e">
        <f>'2.4.Функции'!UC135+"BYw!$Wd"</f>
        <v>#VALUE!</v>
      </c>
      <c r="IC48" t="e">
        <f>'2.4.Функции'!UD135+"BYw!$We"</f>
        <v>#VALUE!</v>
      </c>
      <c r="ID48" t="e">
        <f>'2.4.Функции'!UE135+"BYw!$Wf"</f>
        <v>#VALUE!</v>
      </c>
      <c r="IE48" t="e">
        <f>'2.4.Функции'!UF135+"BYw!$Wg"</f>
        <v>#VALUE!</v>
      </c>
      <c r="IF48" t="e">
        <f>'2.4.Функции'!UG135+"BYw!$Wh"</f>
        <v>#VALUE!</v>
      </c>
      <c r="IG48" t="e">
        <f>'2.4.Функции'!UH135+"BYw!$Wi"</f>
        <v>#VALUE!</v>
      </c>
      <c r="IH48" t="e">
        <f>'2.4.Функции'!UI135+"BYw!$Wj"</f>
        <v>#VALUE!</v>
      </c>
      <c r="II48" t="e">
        <f>'2.4.Функции'!UJ135+"BYw!$Wk"</f>
        <v>#VALUE!</v>
      </c>
      <c r="IJ48" t="e">
        <f>'2.4.Функции'!UK135+"BYw!$Wl"</f>
        <v>#VALUE!</v>
      </c>
      <c r="IK48" t="e">
        <f>'2.4.Функции'!UL135+"BYw!$Wm"</f>
        <v>#VALUE!</v>
      </c>
      <c r="IL48" t="e">
        <f>'2.4.Функции'!UM135+"BYw!$Wn"</f>
        <v>#VALUE!</v>
      </c>
      <c r="IM48" t="e">
        <f>'2.4.Функции'!UN135+"BYw!$Wo"</f>
        <v>#VALUE!</v>
      </c>
      <c r="IN48" t="e">
        <f>'2.4.Функции'!UO135+"BYw!$Wp"</f>
        <v>#VALUE!</v>
      </c>
      <c r="IO48" t="e">
        <f>'2.4.Функции'!UP135+"BYw!$Wq"</f>
        <v>#VALUE!</v>
      </c>
      <c r="IP48" t="e">
        <f>'2.4.Функции'!UQ135+"BYw!$Wr"</f>
        <v>#VALUE!</v>
      </c>
      <c r="IQ48" t="e">
        <f>'2.4.Функции'!UR135+"BYw!$Ws"</f>
        <v>#VALUE!</v>
      </c>
      <c r="IR48" t="e">
        <f>'2.4.Функции'!US135+"BYw!$Wt"</f>
        <v>#VALUE!</v>
      </c>
      <c r="IS48" t="e">
        <f>'2.4.Функции'!UT135+"BYw!$Wu"</f>
        <v>#VALUE!</v>
      </c>
      <c r="IT48" t="e">
        <f>'2.4.Функции'!UU135+"BYw!$Wv"</f>
        <v>#VALUE!</v>
      </c>
      <c r="IU48" t="e">
        <f>'2.4.Функции'!UV135+"BYw!$Ww"</f>
        <v>#VALUE!</v>
      </c>
      <c r="IV48" t="e">
        <f>'2.4.Функции'!UW135+"BYw!$Wx"</f>
        <v>#VALUE!</v>
      </c>
    </row>
    <row r="49" spans="6:256" x14ac:dyDescent="0.2">
      <c r="F49" t="e">
        <f>'2.4.Функции'!UX135+"BYw!$Wy"</f>
        <v>#VALUE!</v>
      </c>
      <c r="G49" t="e">
        <f>'2.4.Функции'!UY135+"BYw!$Wz"</f>
        <v>#VALUE!</v>
      </c>
      <c r="H49" t="e">
        <f>'2.4.Функции'!UZ135+"BYw!$W{"</f>
        <v>#VALUE!</v>
      </c>
      <c r="I49" t="e">
        <f>'2.4.Функции'!VA135+"BYw!$W|"</f>
        <v>#VALUE!</v>
      </c>
      <c r="J49" t="e">
        <f>'2.4.Функции'!VB135+"BYw!$W}"</f>
        <v>#VALUE!</v>
      </c>
      <c r="K49" t="e">
        <f>'2.4.Функции'!VC135+"BYw!$W~"</f>
        <v>#VALUE!</v>
      </c>
      <c r="L49" t="e">
        <f>'2.4.Функции'!VD135+"BYw!$X#"</f>
        <v>#VALUE!</v>
      </c>
      <c r="M49" t="e">
        <f>'2.4.Функции'!VE135+"BYw!$X$"</f>
        <v>#VALUE!</v>
      </c>
      <c r="N49" t="e">
        <f>'2.4.Функции'!VF135+"BYw!$X%"</f>
        <v>#VALUE!</v>
      </c>
      <c r="O49" t="e">
        <f>'2.4.Функции'!VG135+"BYw!$X&amp;"</f>
        <v>#VALUE!</v>
      </c>
      <c r="P49" t="e">
        <f>'2.4.Функции'!VH135+"BYw!$X'"</f>
        <v>#VALUE!</v>
      </c>
      <c r="Q49" t="e">
        <f>'2.4.Функции'!VI135+"BYw!$X("</f>
        <v>#VALUE!</v>
      </c>
      <c r="R49" t="e">
        <f>'2.4.Функции'!VJ135+"BYw!$X)"</f>
        <v>#VALUE!</v>
      </c>
      <c r="S49" t="e">
        <f>'2.4.Функции'!VK135+"BYw!$X."</f>
        <v>#VALUE!</v>
      </c>
      <c r="T49" t="e">
        <f>'2.4.Функции'!VL135+"BYw!$X/"</f>
        <v>#VALUE!</v>
      </c>
      <c r="U49" t="e">
        <f>'2.4.Функции'!VM135+"BYw!$X0"</f>
        <v>#VALUE!</v>
      </c>
      <c r="V49" t="e">
        <f>'2.4.Функции'!VN135+"BYw!$X1"</f>
        <v>#VALUE!</v>
      </c>
      <c r="W49" t="e">
        <f>'2.4.Функции'!VO135+"BYw!$X2"</f>
        <v>#VALUE!</v>
      </c>
      <c r="X49" t="e">
        <f>'2.4.Функции'!VP135+"BYw!$X3"</f>
        <v>#VALUE!</v>
      </c>
      <c r="Y49" t="e">
        <f>'2.4.Функции'!VQ135+"BYw!$X4"</f>
        <v>#VALUE!</v>
      </c>
      <c r="Z49" t="e">
        <f>'2.4.Функции'!VR135+"BYw!$X5"</f>
        <v>#VALUE!</v>
      </c>
      <c r="AA49" t="e">
        <f>'2.4.Функции'!VS135+"BYw!$X6"</f>
        <v>#VALUE!</v>
      </c>
      <c r="AB49" t="e">
        <f>'2.4.Функции'!VT135+"BYw!$X7"</f>
        <v>#VALUE!</v>
      </c>
      <c r="AC49" t="e">
        <f>'2.4.Функции'!VU135+"BYw!$X8"</f>
        <v>#VALUE!</v>
      </c>
      <c r="AD49" t="e">
        <f>'2.4.Функции'!VV135+"BYw!$X9"</f>
        <v>#VALUE!</v>
      </c>
      <c r="AE49" t="e">
        <f>'2.4.Функции'!VW135+"BYw!$X:"</f>
        <v>#VALUE!</v>
      </c>
      <c r="AF49" t="e">
        <f>'2.4.Функции'!VX135+"BYw!$X;"</f>
        <v>#VALUE!</v>
      </c>
      <c r="AG49" t="e">
        <f>'2.4.Функции'!VY135+"BYw!$X&lt;"</f>
        <v>#VALUE!</v>
      </c>
      <c r="AH49" t="e">
        <f>'2.4.Функции'!VZ135+"BYw!$X="</f>
        <v>#VALUE!</v>
      </c>
      <c r="AI49" t="e">
        <f>'2.4.Функции'!WA135+"BYw!$X&gt;"</f>
        <v>#VALUE!</v>
      </c>
      <c r="AJ49" t="e">
        <f>'2.4.Функции'!WB135+"BYw!$X?"</f>
        <v>#VALUE!</v>
      </c>
      <c r="AK49" t="e">
        <f>'2.4.Функции'!WC135+"BYw!$X@"</f>
        <v>#VALUE!</v>
      </c>
      <c r="AL49" t="e">
        <f>'2.4.Функции'!WD135+"BYw!$XA"</f>
        <v>#VALUE!</v>
      </c>
      <c r="AM49" t="e">
        <f>'2.4.Функции'!WE135+"BYw!$XB"</f>
        <v>#VALUE!</v>
      </c>
      <c r="AN49" t="e">
        <f>'2.4.Функции'!WF135+"BYw!$XC"</f>
        <v>#VALUE!</v>
      </c>
      <c r="AO49" t="e">
        <f>'2.4.Функции'!WG135+"BYw!$XD"</f>
        <v>#VALUE!</v>
      </c>
      <c r="AP49" t="e">
        <f>'2.4.Функции'!WH135+"BYw!$XE"</f>
        <v>#VALUE!</v>
      </c>
      <c r="AQ49" t="e">
        <f>'2.4.Функции'!WI135+"BYw!$XF"</f>
        <v>#VALUE!</v>
      </c>
      <c r="AR49" t="e">
        <f>'2.4.Функции'!WJ135+"BYw!$XG"</f>
        <v>#VALUE!</v>
      </c>
      <c r="AS49" t="e">
        <f>'2.4.Функции'!WK135+"BYw!$XH"</f>
        <v>#VALUE!</v>
      </c>
      <c r="AT49" t="e">
        <f>'2.4.Функции'!WL135+"BYw!$XI"</f>
        <v>#VALUE!</v>
      </c>
      <c r="AU49" t="e">
        <f>'2.4.Функции'!WM135+"BYw!$XJ"</f>
        <v>#VALUE!</v>
      </c>
      <c r="AV49" t="e">
        <f>'2.4.Функции'!WN135+"BYw!$XK"</f>
        <v>#VALUE!</v>
      </c>
      <c r="AW49" t="e">
        <f>'2.4.Функции'!WO135+"BYw!$XL"</f>
        <v>#VALUE!</v>
      </c>
      <c r="AX49" t="e">
        <f>'2.4.Функции'!WP135+"BYw!$XM"</f>
        <v>#VALUE!</v>
      </c>
      <c r="AY49" t="e">
        <f>'2.4.Функции'!WQ135+"BYw!$XN"</f>
        <v>#VALUE!</v>
      </c>
      <c r="AZ49" t="e">
        <f>'2.4.Функции'!WR135+"BYw!$XO"</f>
        <v>#VALUE!</v>
      </c>
      <c r="BA49" t="e">
        <f>'2.4.Функции'!WS135+"BYw!$XP"</f>
        <v>#VALUE!</v>
      </c>
      <c r="BB49" t="e">
        <f>'2.4.Функции'!WT135+"BYw!$XQ"</f>
        <v>#VALUE!</v>
      </c>
      <c r="BC49" t="e">
        <f>'2.4.Функции'!WU135+"BYw!$XR"</f>
        <v>#VALUE!</v>
      </c>
      <c r="BD49" t="e">
        <f>'2.4.Функции'!WV135+"BYw!$XS"</f>
        <v>#VALUE!</v>
      </c>
      <c r="BE49" t="e">
        <f>'2.4.Функции'!WW135+"BYw!$XT"</f>
        <v>#VALUE!</v>
      </c>
      <c r="BF49" t="e">
        <f>'2.4.Функции'!WX135+"BYw!$XU"</f>
        <v>#VALUE!</v>
      </c>
      <c r="BG49" t="e">
        <f>'2.4.Функции'!WY135+"BYw!$XV"</f>
        <v>#VALUE!</v>
      </c>
      <c r="BH49" t="e">
        <f>'2.4.Функции'!WZ135+"BYw!$XW"</f>
        <v>#VALUE!</v>
      </c>
      <c r="BI49" t="e">
        <f>'2.4.Функции'!XA135+"BYw!$XX"</f>
        <v>#VALUE!</v>
      </c>
      <c r="BJ49" t="e">
        <f>'2.4.Функции'!XB135+"BYw!$XY"</f>
        <v>#VALUE!</v>
      </c>
      <c r="BK49" t="e">
        <f>'2.4.Функции'!XC135+"BYw!$XZ"</f>
        <v>#VALUE!</v>
      </c>
      <c r="BL49" t="e">
        <f>'2.4.Функции'!XD135+"BYw!$X["</f>
        <v>#VALUE!</v>
      </c>
      <c r="BM49" t="e">
        <f>'2.4.Функции'!XE135+"BYw!$X\"</f>
        <v>#VALUE!</v>
      </c>
      <c r="BN49" t="e">
        <f>'2.4.Функции'!XF135+"BYw!$X]"</f>
        <v>#VALUE!</v>
      </c>
      <c r="BO49" t="e">
        <f>'2.4.Функции'!XG135+"BYw!$X^"</f>
        <v>#VALUE!</v>
      </c>
      <c r="BP49" t="e">
        <f>'2.4.Функции'!XH135+"BYw!$X_"</f>
        <v>#VALUE!</v>
      </c>
      <c r="BQ49" t="e">
        <f>'2.4.Функции'!XI135+"BYw!$X`"</f>
        <v>#VALUE!</v>
      </c>
      <c r="BR49" t="e">
        <f>'2.4.Функции'!XJ135+"BYw!$Xa"</f>
        <v>#VALUE!</v>
      </c>
      <c r="BS49" t="e">
        <f>'2.4.Функции'!XK135+"BYw!$Xb"</f>
        <v>#VALUE!</v>
      </c>
      <c r="BT49" t="e">
        <f>'2.4.Функции'!XL135+"BYw!$Xc"</f>
        <v>#VALUE!</v>
      </c>
      <c r="BU49" t="e">
        <f>'2.4.Функции'!XM135+"BYw!$Xd"</f>
        <v>#VALUE!</v>
      </c>
      <c r="BV49" t="e">
        <f>'2.4.Функции'!XN135+"BYw!$Xe"</f>
        <v>#VALUE!</v>
      </c>
      <c r="BW49" t="e">
        <f>'2.4.Функции'!XO135+"BYw!$Xf"</f>
        <v>#VALUE!</v>
      </c>
      <c r="BX49" t="e">
        <f>'2.4.Функции'!XP135+"BYw!$Xg"</f>
        <v>#VALUE!</v>
      </c>
      <c r="BY49" t="e">
        <f>'2.4.Функции'!XQ135+"BYw!$Xh"</f>
        <v>#VALUE!</v>
      </c>
      <c r="BZ49" t="e">
        <f>'2.4.Функции'!XR135+"BYw!$Xi"</f>
        <v>#VALUE!</v>
      </c>
      <c r="CA49" t="e">
        <f>'2.4.Функции'!XS135+"BYw!$Xj"</f>
        <v>#VALUE!</v>
      </c>
      <c r="CB49" t="e">
        <f>'2.4.Функции'!XT135+"BYw!$Xk"</f>
        <v>#VALUE!</v>
      </c>
      <c r="CC49" t="e">
        <f>'2.4.Функции'!XU135+"BYw!$Xl"</f>
        <v>#VALUE!</v>
      </c>
      <c r="CD49" t="e">
        <f>'2.4.Функции'!XV135+"BYw!$Xm"</f>
        <v>#VALUE!</v>
      </c>
      <c r="CE49" t="e">
        <f>'2.4.Функции'!XW135+"BYw!$Xn"</f>
        <v>#VALUE!</v>
      </c>
      <c r="CF49" t="e">
        <f>'2.4.Функции'!XX135+"BYw!$Xo"</f>
        <v>#VALUE!</v>
      </c>
      <c r="CG49" t="e">
        <f>'2.4.Функции'!XY135+"BYw!$Xp"</f>
        <v>#VALUE!</v>
      </c>
      <c r="CH49" t="e">
        <f>'2.4.Функции'!XZ135+"BYw!$Xq"</f>
        <v>#VALUE!</v>
      </c>
      <c r="CI49" t="e">
        <f>'2.4.Функции'!YA135+"BYw!$Xr"</f>
        <v>#VALUE!</v>
      </c>
      <c r="CJ49" t="e">
        <f>'2.4.Функции'!YB135+"BYw!$Xs"</f>
        <v>#VALUE!</v>
      </c>
      <c r="CK49" t="e">
        <f>'2.4.Функции'!YC135+"BYw!$Xt"</f>
        <v>#VALUE!</v>
      </c>
      <c r="CL49" t="e">
        <f>'2.4.Функции'!YD135+"BYw!$Xu"</f>
        <v>#VALUE!</v>
      </c>
      <c r="CM49" t="e">
        <f>'2.4.Функции'!YE135+"BYw!$Xv"</f>
        <v>#VALUE!</v>
      </c>
      <c r="CN49" t="e">
        <f>'2.4.Функции'!YF135+"BYw!$Xw"</f>
        <v>#VALUE!</v>
      </c>
      <c r="CO49" t="e">
        <f>'2.4.Функции'!YG135+"BYw!$Xx"</f>
        <v>#VALUE!</v>
      </c>
      <c r="CP49" t="e">
        <f>'2.4.Функции'!YH135+"BYw!$Xy"</f>
        <v>#VALUE!</v>
      </c>
      <c r="CQ49" t="e">
        <f>'2.4.Функции'!YI135+"BYw!$Xz"</f>
        <v>#VALUE!</v>
      </c>
      <c r="CR49" t="e">
        <f>'2.4.Функции'!YJ135+"BYw!$X{"</f>
        <v>#VALUE!</v>
      </c>
      <c r="CS49" t="e">
        <f>'2.4.Функции'!YK135+"BYw!$X|"</f>
        <v>#VALUE!</v>
      </c>
      <c r="CT49" t="e">
        <f>'2.4.Функции'!YL135+"BYw!$X}"</f>
        <v>#VALUE!</v>
      </c>
      <c r="CU49" t="e">
        <f>'2.4.Функции'!YM135+"BYw!$X~"</f>
        <v>#VALUE!</v>
      </c>
      <c r="CV49" t="e">
        <f>'2.4.Функции'!YN135+"BYw!$Y#"</f>
        <v>#VALUE!</v>
      </c>
      <c r="CW49" t="e">
        <f>'2.4.Функции'!YO135+"BYw!$Y$"</f>
        <v>#VALUE!</v>
      </c>
      <c r="CX49" t="e">
        <f>'2.4.Функции'!YP135+"BYw!$Y%"</f>
        <v>#VALUE!</v>
      </c>
      <c r="CY49" t="e">
        <f>'2.4.Функции'!YQ135+"BYw!$Y&amp;"</f>
        <v>#VALUE!</v>
      </c>
      <c r="CZ49" t="e">
        <f>'2.4.Функции'!YR135+"BYw!$Y'"</f>
        <v>#VALUE!</v>
      </c>
      <c r="DA49" t="e">
        <f>'2.4.Функции'!YS135+"BYw!$Y("</f>
        <v>#VALUE!</v>
      </c>
      <c r="DB49" t="e">
        <f>'2.4.Функции'!YT135+"BYw!$Y)"</f>
        <v>#VALUE!</v>
      </c>
      <c r="DC49" t="e">
        <f>'2.4.Функции'!YU135+"BYw!$Y."</f>
        <v>#VALUE!</v>
      </c>
      <c r="DD49" t="e">
        <f>'2.4.Функции'!YV135+"BYw!$Y/"</f>
        <v>#VALUE!</v>
      </c>
      <c r="DE49" t="e">
        <f>'2.4.Функции'!YW135+"BYw!$Y0"</f>
        <v>#VALUE!</v>
      </c>
      <c r="DF49" t="e">
        <f>'2.4.Функции'!YX135+"BYw!$Y1"</f>
        <v>#VALUE!</v>
      </c>
      <c r="DG49" t="e">
        <f>'2.4.Функции'!YY135+"BYw!$Y2"</f>
        <v>#VALUE!</v>
      </c>
      <c r="DH49" t="e">
        <f>'2.4.Функции'!YZ135+"BYw!$Y3"</f>
        <v>#VALUE!</v>
      </c>
      <c r="DI49" t="e">
        <f>'2.4.Функции'!ZA135+"BYw!$Y4"</f>
        <v>#VALUE!</v>
      </c>
      <c r="DJ49" t="e">
        <f>'2.4.Функции'!ZB135+"BYw!$Y5"</f>
        <v>#VALUE!</v>
      </c>
      <c r="DK49" t="e">
        <f>'2.4.Функции'!ZC135+"BYw!$Y6"</f>
        <v>#VALUE!</v>
      </c>
      <c r="DL49" t="e">
        <f>'2.4.Функции'!ZD135+"BYw!$Y7"</f>
        <v>#VALUE!</v>
      </c>
      <c r="DM49" t="e">
        <f>'2.4.Функции'!ZE135+"BYw!$Y8"</f>
        <v>#VALUE!</v>
      </c>
      <c r="DN49" t="e">
        <f>'2.4.Функции'!ZF135+"BYw!$Y9"</f>
        <v>#VALUE!</v>
      </c>
      <c r="DO49" t="e">
        <f>'2.4.Функции'!ZG135+"BYw!$Y:"</f>
        <v>#VALUE!</v>
      </c>
      <c r="DP49" t="e">
        <f>'2.4.Функции'!ZH135+"BYw!$Y;"</f>
        <v>#VALUE!</v>
      </c>
      <c r="DQ49" t="e">
        <f>'2.4.Функции'!ZI135+"BYw!$Y&lt;"</f>
        <v>#VALUE!</v>
      </c>
      <c r="DR49" t="e">
        <f>'2.4.Функции'!ZJ135+"BYw!$Y="</f>
        <v>#VALUE!</v>
      </c>
      <c r="DS49" t="e">
        <f>'2.4.Функции'!ZK135+"BYw!$Y&gt;"</f>
        <v>#VALUE!</v>
      </c>
      <c r="DT49" t="e">
        <f>'2.4.Функции'!ZL135+"BYw!$Y?"</f>
        <v>#VALUE!</v>
      </c>
      <c r="DU49" t="e">
        <f>'2.4.Функции'!ZM135+"BYw!$Y@"</f>
        <v>#VALUE!</v>
      </c>
      <c r="DV49" t="e">
        <f>'2.4.Функции'!ZN135+"BYw!$YA"</f>
        <v>#VALUE!</v>
      </c>
      <c r="DW49" t="e">
        <f>'2.4.Функции'!ZO135+"BYw!$YB"</f>
        <v>#VALUE!</v>
      </c>
      <c r="DX49" t="e">
        <f>'2.4.Функции'!ZP135+"BYw!$YC"</f>
        <v>#VALUE!</v>
      </c>
      <c r="DY49" t="e">
        <f>'2.4.Функции'!ZQ135+"BYw!$YD"</f>
        <v>#VALUE!</v>
      </c>
      <c r="DZ49" t="e">
        <f>'2.4.Функции'!ZR135+"BYw!$YE"</f>
        <v>#VALUE!</v>
      </c>
      <c r="EA49" t="e">
        <f>'2.4.Функции'!ZS135+"BYw!$YF"</f>
        <v>#VALUE!</v>
      </c>
      <c r="EB49" t="e">
        <f>'2.4.Функции'!ZT135+"BYw!$YG"</f>
        <v>#VALUE!</v>
      </c>
      <c r="EC49" t="e">
        <f>'2.4.Функции'!ZU135+"BYw!$YH"</f>
        <v>#VALUE!</v>
      </c>
      <c r="ED49" t="e">
        <f>'2.4.Функции'!ZV135+"BYw!$YI"</f>
        <v>#VALUE!</v>
      </c>
      <c r="EE49" t="e">
        <f>'2.4.Функции'!ZW135+"BYw!$YJ"</f>
        <v>#VALUE!</v>
      </c>
      <c r="EF49" t="e">
        <f>'2.4.Функции'!ZX135+"BYw!$YK"</f>
        <v>#VALUE!</v>
      </c>
      <c r="EG49" t="e">
        <f>'2.4.Функции'!ZY135+"BYw!$YL"</f>
        <v>#VALUE!</v>
      </c>
      <c r="EH49" t="e">
        <f>'2.4.Функции'!ZZ135+"BYw!$YM"</f>
        <v>#VALUE!</v>
      </c>
      <c r="EI49" t="e">
        <f>'2.4.Функции'!AAA135+"BYw!$YN"</f>
        <v>#VALUE!</v>
      </c>
      <c r="EJ49" t="e">
        <f>'2.4.Функции'!AAB135+"BYw!$YO"</f>
        <v>#VALUE!</v>
      </c>
      <c r="EK49" t="e">
        <f>'2.4.Функции'!AAC135+"BYw!$YP"</f>
        <v>#VALUE!</v>
      </c>
      <c r="EL49" t="e">
        <f>'2.4.Функции'!AAD135+"BYw!$YQ"</f>
        <v>#VALUE!</v>
      </c>
      <c r="EM49" t="e">
        <f>'2.4.Функции'!AAE135+"BYw!$YR"</f>
        <v>#VALUE!</v>
      </c>
      <c r="EN49" t="e">
        <f>'2.4.Функции'!AAF135+"BYw!$YS"</f>
        <v>#VALUE!</v>
      </c>
      <c r="EO49" t="e">
        <f>'2.4.Функции'!AAG135+"BYw!$YT"</f>
        <v>#VALUE!</v>
      </c>
      <c r="EP49" t="e">
        <f>'2.4.Функции'!AAH135+"BYw!$YU"</f>
        <v>#VALUE!</v>
      </c>
      <c r="EQ49" t="e">
        <f>'2.4.Функции'!AAI135+"BYw!$YV"</f>
        <v>#VALUE!</v>
      </c>
      <c r="ER49" t="e">
        <f>'2.4.Функции'!AAJ135+"BYw!$YW"</f>
        <v>#VALUE!</v>
      </c>
      <c r="ES49" t="e">
        <f>'2.4.Функции'!AAK135+"BYw!$YX"</f>
        <v>#VALUE!</v>
      </c>
      <c r="ET49" t="e">
        <f>'2.4.Функции'!AAL135+"BYw!$YY"</f>
        <v>#VALUE!</v>
      </c>
      <c r="EU49" t="e">
        <f>'2.4.Функции'!AAM135+"BYw!$YZ"</f>
        <v>#VALUE!</v>
      </c>
      <c r="EV49" t="e">
        <f>'2.4.Функции'!AAN135+"BYw!$Y["</f>
        <v>#VALUE!</v>
      </c>
      <c r="EW49" t="e">
        <f>'2.4.Функции'!AAO135+"BYw!$Y\"</f>
        <v>#VALUE!</v>
      </c>
      <c r="EX49" t="e">
        <f>'2.4.Функции'!AAP135+"BYw!$Y]"</f>
        <v>#VALUE!</v>
      </c>
      <c r="EY49" t="e">
        <f>'2.4.Функции'!AAQ135+"BYw!$Y^"</f>
        <v>#VALUE!</v>
      </c>
      <c r="EZ49" t="e">
        <f>'2.4.Функции'!AAR135+"BYw!$Y_"</f>
        <v>#VALUE!</v>
      </c>
      <c r="FA49" t="e">
        <f>'2.4.Функции'!AAS135+"BYw!$Y`"</f>
        <v>#VALUE!</v>
      </c>
      <c r="FB49" t="e">
        <f>'2.4.Функции'!AAT135+"BYw!$Ya"</f>
        <v>#VALUE!</v>
      </c>
      <c r="FC49" t="e">
        <f>'2.4.Функции'!AAU135+"BYw!$Yb"</f>
        <v>#VALUE!</v>
      </c>
      <c r="FD49" t="e">
        <f>'2.4.Функции'!AAV135+"BYw!$Yc"</f>
        <v>#VALUE!</v>
      </c>
      <c r="FE49" t="e">
        <f>'2.4.Функции'!AAW135+"BYw!$Yd"</f>
        <v>#VALUE!</v>
      </c>
      <c r="FF49" t="e">
        <f>'2.4.Функции'!AAX135+"BYw!$Ye"</f>
        <v>#VALUE!</v>
      </c>
      <c r="FG49" t="e">
        <f>'2.4.Функции'!AAY135+"BYw!$Yf"</f>
        <v>#VALUE!</v>
      </c>
      <c r="FH49" t="e">
        <f>'2.4.Функции'!AAZ135+"BYw!$Yg"</f>
        <v>#VALUE!</v>
      </c>
      <c r="FI49" t="e">
        <f>'2.4.Функции'!ABA135+"BYw!$Yh"</f>
        <v>#VALUE!</v>
      </c>
      <c r="FJ49" t="e">
        <f>'2.4.Функции'!ABB135+"BYw!$Yi"</f>
        <v>#VALUE!</v>
      </c>
      <c r="FK49" t="e">
        <f>'2.4.Функции'!ABC135+"BYw!$Yj"</f>
        <v>#VALUE!</v>
      </c>
      <c r="FL49" t="e">
        <f>'2.4.Функции'!ABD135+"BYw!$Yk"</f>
        <v>#VALUE!</v>
      </c>
      <c r="FM49" t="e">
        <f>'2.4.Функции'!ABE135+"BYw!$Yl"</f>
        <v>#VALUE!</v>
      </c>
      <c r="FN49" t="e">
        <f>'2.4.Функции'!ABF135+"BYw!$Ym"</f>
        <v>#VALUE!</v>
      </c>
      <c r="FO49" t="e">
        <f>'2.4.Функции'!ABG135+"BYw!$Yn"</f>
        <v>#VALUE!</v>
      </c>
      <c r="FP49" t="e">
        <f>'2.4.Функции'!ABH135+"BYw!$Yo"</f>
        <v>#VALUE!</v>
      </c>
      <c r="FQ49" t="e">
        <f>'2.4.Функции'!ABI135+"BYw!$Yp"</f>
        <v>#VALUE!</v>
      </c>
      <c r="FR49" t="e">
        <f>'2.4.Функции'!ABJ135+"BYw!$Yq"</f>
        <v>#VALUE!</v>
      </c>
      <c r="FS49" t="e">
        <f>'2.4.Функции'!ABK135+"BYw!$Yr"</f>
        <v>#VALUE!</v>
      </c>
      <c r="FT49" t="e">
        <f>'2.4.Функции'!ABL135+"BYw!$Ys"</f>
        <v>#VALUE!</v>
      </c>
      <c r="FU49" t="e">
        <f>'2.4.Функции'!ABM135+"BYw!$Yt"</f>
        <v>#VALUE!</v>
      </c>
      <c r="FV49" t="e">
        <f>'2.4.Функции'!ABN135+"BYw!$Yu"</f>
        <v>#VALUE!</v>
      </c>
      <c r="FW49" t="e">
        <f>'2.4.Функции'!ABO135+"BYw!$Yv"</f>
        <v>#VALUE!</v>
      </c>
      <c r="FX49" t="e">
        <f>'2.4.Функции'!ABP135+"BYw!$Yw"</f>
        <v>#VALUE!</v>
      </c>
      <c r="FY49" t="e">
        <f>'2.4.Функции'!ABQ135+"BYw!$Yx"</f>
        <v>#VALUE!</v>
      </c>
      <c r="FZ49" t="e">
        <f>'2.4.Функции'!ABR135+"BYw!$Yy"</f>
        <v>#VALUE!</v>
      </c>
      <c r="GA49" t="e">
        <f>'2.4.Функции'!ABS135+"BYw!$Yz"</f>
        <v>#VALUE!</v>
      </c>
      <c r="GB49" t="e">
        <f>'2.4.Функции'!ABT135+"BYw!$Y{"</f>
        <v>#VALUE!</v>
      </c>
      <c r="GC49" t="e">
        <f>'2.4.Функции'!ABU135+"BYw!$Y|"</f>
        <v>#VALUE!</v>
      </c>
      <c r="GD49" t="e">
        <f>'2.4.Функции'!ABV135+"BYw!$Y}"</f>
        <v>#VALUE!</v>
      </c>
      <c r="GE49" t="e">
        <f>'2.4.Функции'!ABW135+"BYw!$Y~"</f>
        <v>#VALUE!</v>
      </c>
      <c r="GF49" t="e">
        <f>'2.4.Функции'!ABX135+"BYw!$Z#"</f>
        <v>#VALUE!</v>
      </c>
      <c r="GG49" t="e">
        <f>'2.4.Функции'!ABY135+"BYw!$Z$"</f>
        <v>#VALUE!</v>
      </c>
      <c r="GH49" t="e">
        <f>'2.4.Функции'!ABZ135+"BYw!$Z%"</f>
        <v>#VALUE!</v>
      </c>
      <c r="GI49" t="e">
        <f>'2.4.Функции'!ACA135+"BYw!$Z&amp;"</f>
        <v>#VALUE!</v>
      </c>
      <c r="GJ49" t="e">
        <f>'2.4.Функции'!ACB135+"BYw!$Z'"</f>
        <v>#VALUE!</v>
      </c>
      <c r="GK49" t="e">
        <f>'2.4.Функции'!ACC135+"BYw!$Z("</f>
        <v>#VALUE!</v>
      </c>
      <c r="GL49" t="e">
        <f>'2.4.Функции'!ACD135+"BYw!$Z)"</f>
        <v>#VALUE!</v>
      </c>
      <c r="GM49" t="e">
        <f>'2.4.Функции'!ACE135+"BYw!$Z."</f>
        <v>#VALUE!</v>
      </c>
      <c r="GN49" t="e">
        <f>'2.4.Функции'!ACF135+"BYw!$Z/"</f>
        <v>#VALUE!</v>
      </c>
      <c r="GO49" t="e">
        <f>'2.4.Функции'!ACG135+"BYw!$Z0"</f>
        <v>#VALUE!</v>
      </c>
      <c r="GP49" t="e">
        <f>'2.4.Функции'!ACH135+"BYw!$Z1"</f>
        <v>#VALUE!</v>
      </c>
      <c r="GQ49" t="e">
        <f>'2.4.Функции'!ACI135+"BYw!$Z2"</f>
        <v>#VALUE!</v>
      </c>
      <c r="GR49" t="e">
        <f>'2.4.Функции'!ACJ135+"BYw!$Z3"</f>
        <v>#VALUE!</v>
      </c>
      <c r="GS49" t="e">
        <f>'2.4.Функции'!ACK135+"BYw!$Z4"</f>
        <v>#VALUE!</v>
      </c>
      <c r="GT49" t="e">
        <f>'2.4.Функции'!ACL135+"BYw!$Z5"</f>
        <v>#VALUE!</v>
      </c>
      <c r="GU49" t="e">
        <f>'2.4.Функции'!ACM135+"BYw!$Z6"</f>
        <v>#VALUE!</v>
      </c>
      <c r="GV49" t="e">
        <f>'2.4.Функции'!ACN135+"BYw!$Z7"</f>
        <v>#VALUE!</v>
      </c>
      <c r="GW49" t="e">
        <f>'2.4.Функции'!ACO135+"BYw!$Z8"</f>
        <v>#VALUE!</v>
      </c>
      <c r="GX49" t="e">
        <f>'2.4.Функции'!ACP135+"BYw!$Z9"</f>
        <v>#VALUE!</v>
      </c>
      <c r="GY49" t="e">
        <f>'2.4.Функции'!ACQ135+"BYw!$Z:"</f>
        <v>#VALUE!</v>
      </c>
      <c r="GZ49" t="e">
        <f>'2.4.Функции'!ACR135+"BYw!$Z;"</f>
        <v>#VALUE!</v>
      </c>
      <c r="HA49" t="e">
        <f>'2.4.Функции'!ACS135+"BYw!$Z&lt;"</f>
        <v>#VALUE!</v>
      </c>
      <c r="HB49" t="e">
        <f>'2.4.Функции'!ACT135+"BYw!$Z="</f>
        <v>#VALUE!</v>
      </c>
      <c r="HC49" t="e">
        <f>'2.4.Функции'!ACU135+"BYw!$Z&gt;"</f>
        <v>#VALUE!</v>
      </c>
      <c r="HD49" t="e">
        <f>'2.4.Функции'!ACV135+"BYw!$Z?"</f>
        <v>#VALUE!</v>
      </c>
      <c r="HE49" t="e">
        <f>'2.4.Функции'!ACW135+"BYw!$Z@"</f>
        <v>#VALUE!</v>
      </c>
      <c r="HF49" t="e">
        <f>'2.4.Функции'!ACX135+"BYw!$ZA"</f>
        <v>#VALUE!</v>
      </c>
      <c r="HG49" t="e">
        <f>'2.4.Функции'!ACY135+"BYw!$ZB"</f>
        <v>#VALUE!</v>
      </c>
      <c r="HH49" t="e">
        <f>'2.4.Функции'!ACZ135+"BYw!$ZC"</f>
        <v>#VALUE!</v>
      </c>
      <c r="HI49" t="e">
        <f>'2.4.Функции'!ADA135+"BYw!$ZD"</f>
        <v>#VALUE!</v>
      </c>
      <c r="HJ49" t="e">
        <f>'2.4.Функции'!ADB135+"BYw!$ZE"</f>
        <v>#VALUE!</v>
      </c>
      <c r="HK49" t="e">
        <f>'2.4.Функции'!ADC135+"BYw!$ZF"</f>
        <v>#VALUE!</v>
      </c>
      <c r="HL49" t="e">
        <f>'2.4.Функции'!ADD135+"BYw!$ZG"</f>
        <v>#VALUE!</v>
      </c>
      <c r="HM49" t="e">
        <f>'2.4.Функции'!ADE135+"BYw!$ZH"</f>
        <v>#VALUE!</v>
      </c>
      <c r="HN49" t="e">
        <f>'2.4.Функции'!ADF135+"BYw!$ZI"</f>
        <v>#VALUE!</v>
      </c>
      <c r="HO49" t="e">
        <f>'2.4.Функции'!ADG135+"BYw!$ZJ"</f>
        <v>#VALUE!</v>
      </c>
      <c r="HP49" t="e">
        <f>'2.4.Функции'!ADH135+"BYw!$ZK"</f>
        <v>#VALUE!</v>
      </c>
      <c r="HQ49" t="e">
        <f>'2.4.Функции'!ADI135+"BYw!$ZL"</f>
        <v>#VALUE!</v>
      </c>
      <c r="HR49" t="e">
        <f>'2.4.Функции'!ADJ135+"BYw!$ZM"</f>
        <v>#VALUE!</v>
      </c>
      <c r="HS49" t="e">
        <f>'2.4.Функции'!ADK135+"BYw!$ZN"</f>
        <v>#VALUE!</v>
      </c>
      <c r="HT49" t="e">
        <f>'2.4.Функции'!ADL135+"BYw!$ZO"</f>
        <v>#VALUE!</v>
      </c>
      <c r="HU49" t="e">
        <f>'2.4.Функции'!ADM135+"BYw!$ZP"</f>
        <v>#VALUE!</v>
      </c>
      <c r="HV49" t="e">
        <f>'2.4.Функции'!ADN135+"BYw!$ZQ"</f>
        <v>#VALUE!</v>
      </c>
      <c r="HW49" t="e">
        <f>'2.4.Функции'!ADO135+"BYw!$ZR"</f>
        <v>#VALUE!</v>
      </c>
      <c r="HX49" t="e">
        <f>'2.4.Функции'!ADP135+"BYw!$ZS"</f>
        <v>#VALUE!</v>
      </c>
      <c r="HY49" t="e">
        <f>'2.4.Функции'!ADQ135+"BYw!$ZT"</f>
        <v>#VALUE!</v>
      </c>
      <c r="HZ49" t="e">
        <f>'2.4.Функции'!ADR135+"BYw!$ZU"</f>
        <v>#VALUE!</v>
      </c>
      <c r="IA49" t="e">
        <f>'2.4.Функции'!ADS135+"BYw!$ZV"</f>
        <v>#VALUE!</v>
      </c>
      <c r="IB49" t="e">
        <f>'2.4.Функции'!ADT135+"BYw!$ZW"</f>
        <v>#VALUE!</v>
      </c>
      <c r="IC49" t="e">
        <f>'2.4.Функции'!ADU135+"BYw!$ZX"</f>
        <v>#VALUE!</v>
      </c>
      <c r="ID49" t="e">
        <f>'2.4.Функции'!ADV135+"BYw!$ZY"</f>
        <v>#VALUE!</v>
      </c>
      <c r="IE49" t="e">
        <f>'2.4.Функции'!ADW135+"BYw!$ZZ"</f>
        <v>#VALUE!</v>
      </c>
      <c r="IF49" t="e">
        <f>'2.4.Функции'!ADX135+"BYw!$Z["</f>
        <v>#VALUE!</v>
      </c>
      <c r="IG49" t="e">
        <f>'2.4.Функции'!ADY135+"BYw!$Z\"</f>
        <v>#VALUE!</v>
      </c>
      <c r="IH49" t="e">
        <f>'2.4.Функции'!ADZ135+"BYw!$Z]"</f>
        <v>#VALUE!</v>
      </c>
      <c r="II49" t="e">
        <f>'2.4.Функции'!AEA135+"BYw!$Z^"</f>
        <v>#VALUE!</v>
      </c>
      <c r="IJ49" t="e">
        <f>'2.4.Функции'!AEB135+"BYw!$Z_"</f>
        <v>#VALUE!</v>
      </c>
      <c r="IK49" t="e">
        <f>'2.4.Функции'!AEC135+"BYw!$Z`"</f>
        <v>#VALUE!</v>
      </c>
      <c r="IL49" t="e">
        <f>'2.4.Функции'!AED135+"BYw!$Za"</f>
        <v>#VALUE!</v>
      </c>
      <c r="IM49" t="e">
        <f>'2.4.Функции'!AEE135+"BYw!$Zb"</f>
        <v>#VALUE!</v>
      </c>
      <c r="IN49" t="e">
        <f>'2.4.Функции'!AEF135+"BYw!$Zc"</f>
        <v>#VALUE!</v>
      </c>
      <c r="IO49" t="e">
        <f>'2.4.Функции'!AEG135+"BYw!$Zd"</f>
        <v>#VALUE!</v>
      </c>
      <c r="IP49" t="e">
        <f>'2.4.Функции'!AEH135+"BYw!$Ze"</f>
        <v>#VALUE!</v>
      </c>
      <c r="IQ49" t="e">
        <f>'2.4.Функции'!AEI135+"BYw!$Zf"</f>
        <v>#VALUE!</v>
      </c>
      <c r="IR49" t="e">
        <f>'2.4.Функции'!AEJ135+"BYw!$Zg"</f>
        <v>#VALUE!</v>
      </c>
      <c r="IS49" t="e">
        <f>'2.4.Функции'!AEK135+"BYw!$Zh"</f>
        <v>#VALUE!</v>
      </c>
      <c r="IT49" t="e">
        <f>'2.4.Функции'!AEL135+"BYw!$Zi"</f>
        <v>#VALUE!</v>
      </c>
      <c r="IU49" t="e">
        <f>'2.4.Функции'!AEM135+"BYw!$Zj"</f>
        <v>#VALUE!</v>
      </c>
      <c r="IV49" t="e">
        <f>'2.4.Функции'!AEN135+"BYw!$Zk"</f>
        <v>#VALUE!</v>
      </c>
    </row>
    <row r="50" spans="6:256" x14ac:dyDescent="0.2">
      <c r="F50" t="e">
        <f>'2.4.Функции'!AEO135+"BYw!$Zl"</f>
        <v>#VALUE!</v>
      </c>
      <c r="G50" t="e">
        <f>'2.4.Функции'!AEP135+"BYw!$Zm"</f>
        <v>#VALUE!</v>
      </c>
      <c r="H50" t="e">
        <f>'2.4.Функции'!AEQ135+"BYw!$Zn"</f>
        <v>#VALUE!</v>
      </c>
      <c r="I50" t="e">
        <f>'2.4.Функции'!AER135+"BYw!$Zo"</f>
        <v>#VALUE!</v>
      </c>
      <c r="J50" t="e">
        <f>'2.4.Функции'!AES135+"BYw!$Zp"</f>
        <v>#VALUE!</v>
      </c>
      <c r="K50" t="e">
        <f>'2.4.Функции'!AET135+"BYw!$Zq"</f>
        <v>#VALUE!</v>
      </c>
      <c r="L50" t="e">
        <f>'2.4.Функции'!AEU135+"BYw!$Zr"</f>
        <v>#VALUE!</v>
      </c>
      <c r="M50" t="e">
        <f>'2.4.Функции'!AEV135+"BYw!$Zs"</f>
        <v>#VALUE!</v>
      </c>
      <c r="N50" t="e">
        <f>'2.4.Функции'!AEW135+"BYw!$Zt"</f>
        <v>#VALUE!</v>
      </c>
      <c r="O50" t="e">
        <f>'2.4.Функции'!AEX135+"BYw!$Zu"</f>
        <v>#VALUE!</v>
      </c>
      <c r="P50" t="e">
        <f>'2.4.Функции'!AEY135+"BYw!$Zv"</f>
        <v>#VALUE!</v>
      </c>
      <c r="Q50" t="e">
        <f>'2.4.Функции'!AEZ135+"BYw!$Zw"</f>
        <v>#VALUE!</v>
      </c>
      <c r="R50" t="e">
        <f>'2.4.Функции'!AFA135+"BYw!$Zx"</f>
        <v>#VALUE!</v>
      </c>
      <c r="S50" t="e">
        <f>'2.4.Функции'!AFB135+"BYw!$Zy"</f>
        <v>#VALUE!</v>
      </c>
      <c r="T50" t="e">
        <f>'2.4.Функции'!AFC135+"BYw!$Zz"</f>
        <v>#VALUE!</v>
      </c>
      <c r="U50" t="e">
        <f>'2.4.Функции'!AFD135+"BYw!$Z{"</f>
        <v>#VALUE!</v>
      </c>
      <c r="V50" t="e">
        <f>'2.4.Функции'!AFE135+"BYw!$Z|"</f>
        <v>#VALUE!</v>
      </c>
      <c r="W50" t="e">
        <f>'2.4.Функции'!AFF135+"BYw!$Z}"</f>
        <v>#VALUE!</v>
      </c>
      <c r="X50" t="e">
        <f>'2.4.Функции'!AFG135+"BYw!$Z~"</f>
        <v>#VALUE!</v>
      </c>
      <c r="Y50" t="e">
        <f>'2.4.Функции'!AFH135+"BYw!$[#"</f>
        <v>#VALUE!</v>
      </c>
      <c r="Z50" t="e">
        <f>'2.4.Функции'!AFI135+"BYw!$[$"</f>
        <v>#VALUE!</v>
      </c>
      <c r="AA50" t="e">
        <f>'2.4.Функции'!AFJ135+"BYw!$[%"</f>
        <v>#VALUE!</v>
      </c>
      <c r="AB50" t="e">
        <f>'2.4.Функции'!AFK135+"BYw!$[&amp;"</f>
        <v>#VALUE!</v>
      </c>
      <c r="AC50" t="e">
        <f>'2.4.Функции'!AFL135+"BYw!$['"</f>
        <v>#VALUE!</v>
      </c>
      <c r="AD50" t="e">
        <f>'2.4.Функции'!AFM135+"BYw!$[("</f>
        <v>#VALUE!</v>
      </c>
      <c r="AE50" t="e">
        <f>'2.4.Функции'!AFN135+"BYw!$[)"</f>
        <v>#VALUE!</v>
      </c>
      <c r="AF50" t="e">
        <f>'2.4.Функции'!AFO135+"BYw!$[."</f>
        <v>#VALUE!</v>
      </c>
      <c r="AG50" t="e">
        <f>'2.4.Функции'!AFP135+"BYw!$[/"</f>
        <v>#VALUE!</v>
      </c>
      <c r="AH50" t="e">
        <f>'2.4.Функции'!AFQ135+"BYw!$[0"</f>
        <v>#VALUE!</v>
      </c>
      <c r="AI50" t="e">
        <f>'2.4.Функции'!AFR135+"BYw!$[1"</f>
        <v>#VALUE!</v>
      </c>
      <c r="AJ50" t="e">
        <f>'2.4.Функции'!AFS135+"BYw!$[2"</f>
        <v>#VALUE!</v>
      </c>
      <c r="AK50" t="e">
        <f>'2.4.Функции'!AFT135+"BYw!$[3"</f>
        <v>#VALUE!</v>
      </c>
      <c r="AL50" t="e">
        <f>'2.4.Функции'!AFU135+"BYw!$[4"</f>
        <v>#VALUE!</v>
      </c>
      <c r="AM50" t="e">
        <f>'2.4.Функции'!AFV135+"BYw!$[5"</f>
        <v>#VALUE!</v>
      </c>
      <c r="AN50" t="e">
        <f>'2.4.Функции'!AFW135+"BYw!$[6"</f>
        <v>#VALUE!</v>
      </c>
      <c r="AO50" t="e">
        <f>'2.4.Функции'!AFX135+"BYw!$[7"</f>
        <v>#VALUE!</v>
      </c>
      <c r="AP50" t="e">
        <f>'2.4.Функции'!AFY135+"BYw!$[8"</f>
        <v>#VALUE!</v>
      </c>
      <c r="AQ50" t="e">
        <f>'2.4.Функции'!AFZ135+"BYw!$[9"</f>
        <v>#VALUE!</v>
      </c>
      <c r="AR50" t="e">
        <f>'2.4.Функции'!AGA135+"BYw!$[:"</f>
        <v>#VALUE!</v>
      </c>
      <c r="AS50" t="e">
        <f>'2.4.Функции'!AGB135+"BYw!$[;"</f>
        <v>#VALUE!</v>
      </c>
      <c r="AT50" t="e">
        <f>'2.4.Функции'!AGC135+"BYw!$[&lt;"</f>
        <v>#VALUE!</v>
      </c>
      <c r="AU50" t="e">
        <f>'2.4.Функции'!AGD135+"BYw!$[="</f>
        <v>#VALUE!</v>
      </c>
      <c r="AV50" t="e">
        <f>'2.4.Функции'!AGE135+"BYw!$[&gt;"</f>
        <v>#VALUE!</v>
      </c>
      <c r="AW50" t="e">
        <f>'2.4.Функции'!AGF135+"BYw!$[?"</f>
        <v>#VALUE!</v>
      </c>
      <c r="AX50" t="e">
        <f>'2.4.Функции'!AGG135+"BYw!$[@"</f>
        <v>#VALUE!</v>
      </c>
      <c r="AY50" t="e">
        <f>'2.4.Функции'!AGH135+"BYw!$[A"</f>
        <v>#VALUE!</v>
      </c>
      <c r="AZ50" t="e">
        <f>'2.4.Функции'!AGI135+"BYw!$[B"</f>
        <v>#VALUE!</v>
      </c>
      <c r="BA50" t="e">
        <f>'2.4.Функции'!AGJ135+"BYw!$[C"</f>
        <v>#VALUE!</v>
      </c>
      <c r="BB50" t="e">
        <f>'2.4.Функции'!AGK135+"BYw!$[D"</f>
        <v>#VALUE!</v>
      </c>
      <c r="BC50" t="e">
        <f>'2.4.Функции'!AGL135+"BYw!$[E"</f>
        <v>#VALUE!</v>
      </c>
      <c r="BD50" t="e">
        <f>'2.4.Функции'!AGM135+"BYw!$[F"</f>
        <v>#VALUE!</v>
      </c>
      <c r="BE50" t="e">
        <f>'2.4.Функции'!AGN135+"BYw!$[G"</f>
        <v>#VALUE!</v>
      </c>
      <c r="BF50" t="e">
        <f>'2.4.Функции'!AGO135+"BYw!$[H"</f>
        <v>#VALUE!</v>
      </c>
      <c r="BG50" t="e">
        <f>'2.4.Функции'!AGP135+"BYw!$[I"</f>
        <v>#VALUE!</v>
      </c>
      <c r="BH50" t="e">
        <f>'2.4.Функции'!AGQ135+"BYw!$[J"</f>
        <v>#VALUE!</v>
      </c>
      <c r="BI50" t="e">
        <f>'2.4.Функции'!AGR135+"BYw!$[K"</f>
        <v>#VALUE!</v>
      </c>
      <c r="BJ50" t="e">
        <f>'2.4.Функции'!AGS135+"BYw!$[L"</f>
        <v>#VALUE!</v>
      </c>
      <c r="BK50" t="e">
        <f>'2.4.Функции'!AGT135+"BYw!$[M"</f>
        <v>#VALUE!</v>
      </c>
      <c r="BL50" t="e">
        <f>'2.4.Функции'!AGU135+"BYw!$[N"</f>
        <v>#VALUE!</v>
      </c>
      <c r="BM50" t="e">
        <f>'2.4.Функции'!AGV135+"BYw!$[O"</f>
        <v>#VALUE!</v>
      </c>
      <c r="BN50" t="e">
        <f>'2.4.Функции'!AGW135+"BYw!$[P"</f>
        <v>#VALUE!</v>
      </c>
      <c r="BO50" t="e">
        <f>'2.4.Функции'!AGX135+"BYw!$[Q"</f>
        <v>#VALUE!</v>
      </c>
      <c r="BP50" t="e">
        <f>'2.4.Функции'!AGY135+"BYw!$[R"</f>
        <v>#VALUE!</v>
      </c>
      <c r="BQ50" t="e">
        <f>'2.4.Функции'!AGZ135+"BYw!$[S"</f>
        <v>#VALUE!</v>
      </c>
      <c r="BR50" t="e">
        <f>'2.4.Функции'!AHA135+"BYw!$[T"</f>
        <v>#VALUE!</v>
      </c>
      <c r="BS50" t="e">
        <f>'2.4.Функции'!AHB135+"BYw!$[U"</f>
        <v>#VALUE!</v>
      </c>
      <c r="BT50" t="e">
        <f>'2.4.Функции'!AHC135+"BYw!$[V"</f>
        <v>#VALUE!</v>
      </c>
      <c r="BU50" t="e">
        <f>'2.4.Функции'!AHD135+"BYw!$[W"</f>
        <v>#VALUE!</v>
      </c>
      <c r="BV50" t="e">
        <f>'2.4.Функции'!AHE135+"BYw!$[X"</f>
        <v>#VALUE!</v>
      </c>
      <c r="BW50" t="e">
        <f>'2.4.Функции'!AHF135+"BYw!$[Y"</f>
        <v>#VALUE!</v>
      </c>
      <c r="BX50" t="e">
        <f>'2.4.Функции'!AHG135+"BYw!$[Z"</f>
        <v>#VALUE!</v>
      </c>
      <c r="BY50" t="e">
        <f>'2.4.Функции'!AHH135+"BYw!$[["</f>
        <v>#VALUE!</v>
      </c>
      <c r="BZ50" t="e">
        <f>'2.4.Функции'!AHI135+"BYw!$[\"</f>
        <v>#VALUE!</v>
      </c>
      <c r="CA50" t="e">
        <f>'2.4.Функции'!AHJ135+"BYw!$[]"</f>
        <v>#VALUE!</v>
      </c>
      <c r="CB50" t="e">
        <f>'2.4.Функции'!AHK135+"BYw!$[^"</f>
        <v>#VALUE!</v>
      </c>
      <c r="CC50" t="e">
        <f>'2.4.Функции'!AHL135+"BYw!$[_"</f>
        <v>#VALUE!</v>
      </c>
      <c r="CD50" t="e">
        <f>'2.4.Функции'!AHM135+"BYw!$[`"</f>
        <v>#VALUE!</v>
      </c>
      <c r="CE50" t="e">
        <f>'2.4.Функции'!AHN135+"BYw!$[a"</f>
        <v>#VALUE!</v>
      </c>
      <c r="CF50" t="e">
        <f>'2.4.Функции'!AHO135+"BYw!$[b"</f>
        <v>#VALUE!</v>
      </c>
      <c r="CG50" t="e">
        <f>'2.4.Функции'!AHP135+"BYw!$[c"</f>
        <v>#VALUE!</v>
      </c>
      <c r="CH50" t="e">
        <f>'2.4.Функции'!AHQ135+"BYw!$[d"</f>
        <v>#VALUE!</v>
      </c>
      <c r="CI50" t="e">
        <f>'2.4.Функции'!AHR135+"BYw!$[e"</f>
        <v>#VALUE!</v>
      </c>
      <c r="CJ50" t="e">
        <f>'2.4.Функции'!AHS135+"BYw!$[f"</f>
        <v>#VALUE!</v>
      </c>
      <c r="CK50" t="e">
        <f>'2.4.Функции'!AHT135+"BYw!$[g"</f>
        <v>#VALUE!</v>
      </c>
      <c r="CL50" t="e">
        <f>'2.4.Функции'!AHU135+"BYw!$[h"</f>
        <v>#VALUE!</v>
      </c>
      <c r="CM50" t="e">
        <f>'2.4.Функции'!AHV135+"BYw!$[i"</f>
        <v>#VALUE!</v>
      </c>
      <c r="CN50" t="e">
        <f>'2.4.Функции'!AHW135+"BYw!$[j"</f>
        <v>#VALUE!</v>
      </c>
      <c r="CO50" t="e">
        <f>'2.4.Функции'!AHX135+"BYw!$[k"</f>
        <v>#VALUE!</v>
      </c>
      <c r="CP50" t="e">
        <f>'2.4.Функции'!AHY135+"BYw!$[l"</f>
        <v>#VALUE!</v>
      </c>
      <c r="CQ50" t="e">
        <f>'2.4.Функции'!AHZ135+"BYw!$[m"</f>
        <v>#VALUE!</v>
      </c>
      <c r="CR50" t="e">
        <f>'2.4.Функции'!AIA135+"BYw!$[n"</f>
        <v>#VALUE!</v>
      </c>
      <c r="CS50" t="e">
        <f>'2.4.Функции'!AIB135+"BYw!$[o"</f>
        <v>#VALUE!</v>
      </c>
      <c r="CT50" t="e">
        <f>'2.4.Функции'!AIC135+"BYw!$[p"</f>
        <v>#VALUE!</v>
      </c>
      <c r="CU50" t="e">
        <f>'2.4.Функции'!AID135+"BYw!$[q"</f>
        <v>#VALUE!</v>
      </c>
      <c r="CV50" t="e">
        <f>'2.4.Функции'!AIE135+"BYw!$[r"</f>
        <v>#VALUE!</v>
      </c>
      <c r="CW50" t="e">
        <f>'2.4.Функции'!AIF135+"BYw!$[s"</f>
        <v>#VALUE!</v>
      </c>
      <c r="CX50" t="e">
        <f>'2.4.Функции'!AIG135+"BYw!$[t"</f>
        <v>#VALUE!</v>
      </c>
      <c r="CY50" t="e">
        <f>'2.4.Функции'!AIH135+"BYw!$[u"</f>
        <v>#VALUE!</v>
      </c>
      <c r="CZ50" t="e">
        <f>'2.4.Функции'!A136+"BYw!$[v"</f>
        <v>#VALUE!</v>
      </c>
      <c r="DA50" s="116" t="e">
        <f>'2.4.Функции'!B136+"BYw!$[w"</f>
        <v>#VALUE!</v>
      </c>
      <c r="DB50" t="e">
        <f>'2.4.Функции'!C136+"BYw!$[x"</f>
        <v>#VALUE!</v>
      </c>
      <c r="DC50" s="119" t="e">
        <f>'2.4.Функции'!D136+"BYw!$[y"</f>
        <v>#VALUE!</v>
      </c>
      <c r="DD50" s="119" t="e">
        <f>'2.4.Функции'!E136+"BYw!$[z"</f>
        <v>#VALUE!</v>
      </c>
      <c r="DE50" s="119" t="e">
        <f>'2.4.Функции'!F136+"BYw!$[{"</f>
        <v>#VALUE!</v>
      </c>
      <c r="DF50" s="119" t="e">
        <f>'2.4.Функции'!G136+"BYw!$[|"</f>
        <v>#VALUE!</v>
      </c>
      <c r="DG50" s="119" t="e">
        <f>'2.4.Функции'!H136+"BYw!$[}"</f>
        <v>#VALUE!</v>
      </c>
      <c r="DH50" s="119" t="e">
        <f>'2.4.Функции'!I136+"BYw!$[~"</f>
        <v>#VALUE!</v>
      </c>
      <c r="DI50" s="119" t="e">
        <f>'2.4.Функции'!J136+"BYw!$\#"</f>
        <v>#VALUE!</v>
      </c>
      <c r="DJ50" s="119" t="e">
        <f>'2.4.Функции'!K136+"BYw!$\$"</f>
        <v>#VALUE!</v>
      </c>
      <c r="DK50" t="e">
        <f>'2.4.Функции'!L136+"BYw!$\%"</f>
        <v>#VALUE!</v>
      </c>
      <c r="DL50" t="e">
        <f>'2.4.Функции'!M136+"BYw!$\&amp;"</f>
        <v>#VALUE!</v>
      </c>
      <c r="DM50" t="e">
        <f>'2.4.Функции'!N136+"BYw!$\'"</f>
        <v>#VALUE!</v>
      </c>
      <c r="DN50" t="e">
        <f>'2.4.Функции'!O136+"BYw!$\("</f>
        <v>#VALUE!</v>
      </c>
      <c r="DO50" t="e">
        <f>'2.4.Функции'!P136+"BYw!$\)"</f>
        <v>#VALUE!</v>
      </c>
      <c r="DP50" t="e">
        <f>'2.4.Функции'!Q136+"BYw!$\."</f>
        <v>#VALUE!</v>
      </c>
      <c r="DQ50" t="e">
        <f>'2.4.Функции'!R136+"BYw!$\/"</f>
        <v>#VALUE!</v>
      </c>
      <c r="DR50" t="e">
        <f>'2.4.Функции'!S136+"BYw!$\0"</f>
        <v>#VALUE!</v>
      </c>
      <c r="DS50" t="e">
        <f>'2.4.Функции'!T136+"BYw!$\1"</f>
        <v>#VALUE!</v>
      </c>
      <c r="DT50" t="e">
        <f>'2.4.Функции'!U136+"BYw!$\2"</f>
        <v>#VALUE!</v>
      </c>
      <c r="DU50" t="e">
        <f>'2.4.Функции'!V136+"BYw!$\3"</f>
        <v>#VALUE!</v>
      </c>
      <c r="DV50" t="e">
        <f>'2.4.Функции'!W136+"BYw!$\4"</f>
        <v>#VALUE!</v>
      </c>
      <c r="DW50" t="e">
        <f>'2.4.Функции'!X136+"BYw!$\5"</f>
        <v>#VALUE!</v>
      </c>
      <c r="DX50" t="e">
        <f>'2.4.Функции'!Y136+"BYw!$\6"</f>
        <v>#VALUE!</v>
      </c>
      <c r="DY50" t="e">
        <f>'2.4.Функции'!Z136+"BYw!$\7"</f>
        <v>#VALUE!</v>
      </c>
      <c r="DZ50" t="e">
        <f>'2.4.Функции'!AA136+"BYw!$\8"</f>
        <v>#VALUE!</v>
      </c>
      <c r="EA50" t="e">
        <f>'2.4.Функции'!AB136+"BYw!$\9"</f>
        <v>#VALUE!</v>
      </c>
      <c r="EB50" t="e">
        <f>'2.4.Функции'!AC136+"BYw!$\:"</f>
        <v>#VALUE!</v>
      </c>
      <c r="EC50" t="e">
        <f>'2.4.Функции'!AD136+"BYw!$\;"</f>
        <v>#VALUE!</v>
      </c>
      <c r="ED50" t="e">
        <f>'2.4.Функции'!AE136+"BYw!$\&lt;"</f>
        <v>#VALUE!</v>
      </c>
      <c r="EE50" t="e">
        <f>'2.4.Функции'!AF136+"BYw!$\="</f>
        <v>#VALUE!</v>
      </c>
      <c r="EF50" t="e">
        <f>'2.4.Функции'!AG136+"BYw!$\&gt;"</f>
        <v>#VALUE!</v>
      </c>
      <c r="EG50" t="e">
        <f>'2.4.Функции'!AH136+"BYw!$\?"</f>
        <v>#VALUE!</v>
      </c>
      <c r="EH50" t="e">
        <f>'2.4.Функции'!AI136+"BYw!$\@"</f>
        <v>#VALUE!</v>
      </c>
      <c r="EI50" t="e">
        <f>'2.4.Функции'!AJ136+"BYw!$\A"</f>
        <v>#VALUE!</v>
      </c>
      <c r="EJ50" t="e">
        <f>'2.4.Функции'!AK136+"BYw!$\B"</f>
        <v>#VALUE!</v>
      </c>
      <c r="EK50" t="e">
        <f>'2.4.Функции'!AL136+"BYw!$\C"</f>
        <v>#VALUE!</v>
      </c>
      <c r="EL50" t="e">
        <f>'2.4.Функции'!AM136+"BYw!$\D"</f>
        <v>#VALUE!</v>
      </c>
      <c r="EM50" t="e">
        <f>'2.4.Функции'!AN136+"BYw!$\E"</f>
        <v>#VALUE!</v>
      </c>
      <c r="EN50" t="e">
        <f>'2.4.Функции'!AO136+"BYw!$\F"</f>
        <v>#VALUE!</v>
      </c>
      <c r="EO50" t="e">
        <f>'2.4.Функции'!AP136+"BYw!$\G"</f>
        <v>#VALUE!</v>
      </c>
      <c r="EP50" t="e">
        <f>'2.4.Функции'!AQ136+"BYw!$\H"</f>
        <v>#VALUE!</v>
      </c>
      <c r="EQ50" t="e">
        <f>'2.4.Функции'!AR136+"BYw!$\I"</f>
        <v>#VALUE!</v>
      </c>
      <c r="ER50" t="e">
        <f>'2.4.Функции'!AS136+"BYw!$\J"</f>
        <v>#VALUE!</v>
      </c>
      <c r="ES50" t="e">
        <f>'2.4.Функции'!AT136+"BYw!$\K"</f>
        <v>#VALUE!</v>
      </c>
      <c r="ET50" t="e">
        <f>'2.4.Функции'!AU136+"BYw!$\L"</f>
        <v>#VALUE!</v>
      </c>
      <c r="EU50" t="e">
        <f>'2.4.Функции'!AV136+"BYw!$\M"</f>
        <v>#VALUE!</v>
      </c>
      <c r="EV50" t="e">
        <f>'2.4.Функции'!AW136+"BYw!$\N"</f>
        <v>#VALUE!</v>
      </c>
      <c r="EW50" t="e">
        <f>'2.4.Функции'!AX136+"BYw!$\O"</f>
        <v>#VALUE!</v>
      </c>
      <c r="EX50" t="e">
        <f>'2.4.Функции'!AY136+"BYw!$\P"</f>
        <v>#VALUE!</v>
      </c>
      <c r="EY50" t="e">
        <f>'2.4.Функции'!AZ136+"BYw!$\Q"</f>
        <v>#VALUE!</v>
      </c>
      <c r="EZ50" t="e">
        <f>'2.4.Функции'!BA136+"BYw!$\R"</f>
        <v>#VALUE!</v>
      </c>
      <c r="FA50" t="e">
        <f>'2.4.Функции'!BB136+"BYw!$\S"</f>
        <v>#VALUE!</v>
      </c>
      <c r="FB50" t="e">
        <f>'2.4.Функции'!BC136+"BYw!$\T"</f>
        <v>#VALUE!</v>
      </c>
      <c r="FC50" t="e">
        <f>'2.4.Функции'!BD136+"BYw!$\U"</f>
        <v>#VALUE!</v>
      </c>
      <c r="FD50" t="e">
        <f>'2.4.Функции'!BE136+"BYw!$\V"</f>
        <v>#VALUE!</v>
      </c>
      <c r="FE50" t="e">
        <f>'2.4.Функции'!BF136+"BYw!$\W"</f>
        <v>#VALUE!</v>
      </c>
      <c r="FF50" t="e">
        <f>'2.4.Функции'!BG136+"BYw!$\X"</f>
        <v>#VALUE!</v>
      </c>
      <c r="FG50" t="e">
        <f>'2.4.Функции'!BH136+"BYw!$\Y"</f>
        <v>#VALUE!</v>
      </c>
      <c r="FH50" t="e">
        <f>'2.4.Функции'!BI136+"BYw!$\Z"</f>
        <v>#VALUE!</v>
      </c>
      <c r="FI50" t="e">
        <f>'2.4.Функции'!BJ136+"BYw!$\["</f>
        <v>#VALUE!</v>
      </c>
      <c r="FJ50" t="e">
        <f>'2.4.Функции'!BK136+"BYw!$\\"</f>
        <v>#VALUE!</v>
      </c>
      <c r="FK50" t="e">
        <f>'2.4.Функции'!BL136+"BYw!$\]"</f>
        <v>#VALUE!</v>
      </c>
      <c r="FL50" t="e">
        <f>'2.4.Функции'!BM136+"BYw!$\^"</f>
        <v>#VALUE!</v>
      </c>
      <c r="FM50" t="e">
        <f>'2.4.Функции'!BN136+"BYw!$\_"</f>
        <v>#VALUE!</v>
      </c>
      <c r="FN50" t="e">
        <f>'2.4.Функции'!BO136+"BYw!$\`"</f>
        <v>#VALUE!</v>
      </c>
      <c r="FO50" t="e">
        <f>'2.4.Функции'!BP136+"BYw!$\a"</f>
        <v>#VALUE!</v>
      </c>
      <c r="FP50" t="e">
        <f>'2.4.Функции'!BQ136+"BYw!$\b"</f>
        <v>#VALUE!</v>
      </c>
      <c r="FQ50" t="e">
        <f>'2.4.Функции'!BR136+"BYw!$\c"</f>
        <v>#VALUE!</v>
      </c>
      <c r="FR50" t="e">
        <f>'2.4.Функции'!BS136+"BYw!$\d"</f>
        <v>#VALUE!</v>
      </c>
      <c r="FS50" t="e">
        <f>'2.4.Функции'!BT136+"BYw!$\e"</f>
        <v>#VALUE!</v>
      </c>
      <c r="FT50" t="e">
        <f>'2.4.Функции'!BU136+"BYw!$\f"</f>
        <v>#VALUE!</v>
      </c>
      <c r="FU50" t="e">
        <f>'2.4.Функции'!BV136+"BYw!$\g"</f>
        <v>#VALUE!</v>
      </c>
      <c r="FV50" t="e">
        <f>'2.4.Функции'!BW136+"BYw!$\h"</f>
        <v>#VALUE!</v>
      </c>
      <c r="FW50" t="e">
        <f>'2.4.Функции'!BX136+"BYw!$\i"</f>
        <v>#VALUE!</v>
      </c>
      <c r="FX50" t="e">
        <f>'2.4.Функции'!BY136+"BYw!$\j"</f>
        <v>#VALUE!</v>
      </c>
      <c r="FY50" t="e">
        <f>'2.4.Функции'!BZ136+"BYw!$\k"</f>
        <v>#VALUE!</v>
      </c>
      <c r="FZ50" t="e">
        <f>'2.4.Функции'!CA136+"BYw!$\l"</f>
        <v>#VALUE!</v>
      </c>
      <c r="GA50" t="e">
        <f>'2.4.Функции'!CB136+"BYw!$\m"</f>
        <v>#VALUE!</v>
      </c>
      <c r="GB50" t="e">
        <f>'2.4.Функции'!CC136+"BYw!$\n"</f>
        <v>#VALUE!</v>
      </c>
      <c r="GC50" t="e">
        <f>'2.4.Функции'!CD136+"BYw!$\o"</f>
        <v>#VALUE!</v>
      </c>
      <c r="GD50" t="e">
        <f>'2.4.Функции'!CE136+"BYw!$\p"</f>
        <v>#VALUE!</v>
      </c>
      <c r="GE50" t="e">
        <f>'2.4.Функции'!CF136+"BYw!$\q"</f>
        <v>#VALUE!</v>
      </c>
      <c r="GF50" t="e">
        <f>'2.4.Функции'!CG136+"BYw!$\r"</f>
        <v>#VALUE!</v>
      </c>
      <c r="GG50" t="e">
        <f>'2.4.Функции'!CH136+"BYw!$\s"</f>
        <v>#VALUE!</v>
      </c>
      <c r="GH50" t="e">
        <f>'2.4.Функции'!CI136+"BYw!$\t"</f>
        <v>#VALUE!</v>
      </c>
      <c r="GI50" t="e">
        <f>'2.4.Функции'!CJ136+"BYw!$\u"</f>
        <v>#VALUE!</v>
      </c>
      <c r="GJ50" t="e">
        <f>'2.4.Функции'!CK136+"BYw!$\v"</f>
        <v>#VALUE!</v>
      </c>
      <c r="GK50" t="e">
        <f>'2.4.Функции'!CL136+"BYw!$\w"</f>
        <v>#VALUE!</v>
      </c>
      <c r="GL50" t="e">
        <f>'2.4.Функции'!CM136+"BYw!$\x"</f>
        <v>#VALUE!</v>
      </c>
      <c r="GM50" t="e">
        <f>'2.4.Функции'!CN136+"BYw!$\y"</f>
        <v>#VALUE!</v>
      </c>
      <c r="GN50" t="e">
        <f>'2.4.Функции'!CO136+"BYw!$\z"</f>
        <v>#VALUE!</v>
      </c>
      <c r="GO50" t="e">
        <f>'2.4.Функции'!CP136+"BYw!$\{"</f>
        <v>#VALUE!</v>
      </c>
      <c r="GP50" t="e">
        <f>'2.4.Функции'!CQ136+"BYw!$\|"</f>
        <v>#VALUE!</v>
      </c>
      <c r="GQ50" t="e">
        <f>'2.4.Функции'!CR136+"BYw!$\}"</f>
        <v>#VALUE!</v>
      </c>
      <c r="GR50" t="e">
        <f>'2.4.Функции'!CS136+"BYw!$\~"</f>
        <v>#VALUE!</v>
      </c>
      <c r="GS50" t="e">
        <f>'2.4.Функции'!CT136+"BYw!$]#"</f>
        <v>#VALUE!</v>
      </c>
      <c r="GT50" t="e">
        <f>'2.4.Функции'!CU136+"BYw!$]$"</f>
        <v>#VALUE!</v>
      </c>
      <c r="GU50" t="e">
        <f>'2.4.Функции'!CV136+"BYw!$]%"</f>
        <v>#VALUE!</v>
      </c>
      <c r="GV50" t="e">
        <f>'2.4.Функции'!CW136+"BYw!$]&amp;"</f>
        <v>#VALUE!</v>
      </c>
      <c r="GW50" t="e">
        <f>'2.4.Функции'!CX136+"BYw!$]'"</f>
        <v>#VALUE!</v>
      </c>
      <c r="GX50" t="e">
        <f>'2.4.Функции'!CY136+"BYw!$]("</f>
        <v>#VALUE!</v>
      </c>
      <c r="GY50" t="e">
        <f>'2.4.Функции'!CZ136+"BYw!$])"</f>
        <v>#VALUE!</v>
      </c>
      <c r="GZ50" t="e">
        <f>'2.4.Функции'!DA136+"BYw!$]."</f>
        <v>#VALUE!</v>
      </c>
      <c r="HA50" t="e">
        <f>'2.4.Функции'!DB136+"BYw!$]/"</f>
        <v>#VALUE!</v>
      </c>
      <c r="HB50" t="e">
        <f>'2.4.Функции'!DC136+"BYw!$]0"</f>
        <v>#VALUE!</v>
      </c>
      <c r="HC50" t="e">
        <f>'2.4.Функции'!DD136+"BYw!$]1"</f>
        <v>#VALUE!</v>
      </c>
      <c r="HD50" t="e">
        <f>'2.4.Функции'!DE136+"BYw!$]2"</f>
        <v>#VALUE!</v>
      </c>
      <c r="HE50" t="e">
        <f>'2.4.Функции'!DF136+"BYw!$]3"</f>
        <v>#VALUE!</v>
      </c>
      <c r="HF50" t="e">
        <f>'2.4.Функции'!DG136+"BYw!$]4"</f>
        <v>#VALUE!</v>
      </c>
      <c r="HG50" t="e">
        <f>'2.4.Функции'!DH136+"BYw!$]5"</f>
        <v>#VALUE!</v>
      </c>
      <c r="HH50" t="e">
        <f>'2.4.Функции'!DI136+"BYw!$]6"</f>
        <v>#VALUE!</v>
      </c>
      <c r="HI50" t="e">
        <f>'2.4.Функции'!DJ136+"BYw!$]7"</f>
        <v>#VALUE!</v>
      </c>
      <c r="HJ50" t="e">
        <f>'2.4.Функции'!DK136+"BYw!$]8"</f>
        <v>#VALUE!</v>
      </c>
      <c r="HK50" t="e">
        <f>'2.4.Функции'!DL136+"BYw!$]9"</f>
        <v>#VALUE!</v>
      </c>
      <c r="HL50" t="e">
        <f>'2.4.Функции'!DM136+"BYw!$]:"</f>
        <v>#VALUE!</v>
      </c>
      <c r="HM50" t="e">
        <f>'2.4.Функции'!DN136+"BYw!$];"</f>
        <v>#VALUE!</v>
      </c>
      <c r="HN50" t="e">
        <f>'2.4.Функции'!DO136+"BYw!$]&lt;"</f>
        <v>#VALUE!</v>
      </c>
      <c r="HO50" t="e">
        <f>'2.4.Функции'!DP136+"BYw!$]="</f>
        <v>#VALUE!</v>
      </c>
      <c r="HP50" t="e">
        <f>'2.4.Функции'!DQ136+"BYw!$]&gt;"</f>
        <v>#VALUE!</v>
      </c>
      <c r="HQ50" t="e">
        <f>'2.4.Функции'!DR136+"BYw!$]?"</f>
        <v>#VALUE!</v>
      </c>
      <c r="HR50" t="e">
        <f>'2.4.Функции'!DS136+"BYw!$]@"</f>
        <v>#VALUE!</v>
      </c>
      <c r="HS50" t="e">
        <f>'2.4.Функции'!DT136+"BYw!$]A"</f>
        <v>#VALUE!</v>
      </c>
      <c r="HT50" t="e">
        <f>'2.4.Функции'!DU136+"BYw!$]B"</f>
        <v>#VALUE!</v>
      </c>
      <c r="HU50" t="e">
        <f>'2.4.Функции'!DV136+"BYw!$]C"</f>
        <v>#VALUE!</v>
      </c>
      <c r="HV50" t="e">
        <f>'2.4.Функции'!DW136+"BYw!$]D"</f>
        <v>#VALUE!</v>
      </c>
      <c r="HW50" t="e">
        <f>'2.4.Функции'!DX136+"BYw!$]E"</f>
        <v>#VALUE!</v>
      </c>
      <c r="HX50" t="e">
        <f>'2.4.Функции'!DY136+"BYw!$]F"</f>
        <v>#VALUE!</v>
      </c>
      <c r="HY50" t="e">
        <f>'2.4.Функции'!DZ136+"BYw!$]G"</f>
        <v>#VALUE!</v>
      </c>
      <c r="HZ50" t="e">
        <f>'2.4.Функции'!EA136+"BYw!$]H"</f>
        <v>#VALUE!</v>
      </c>
      <c r="IA50" t="e">
        <f>'2.4.Функции'!EB136+"BYw!$]I"</f>
        <v>#VALUE!</v>
      </c>
      <c r="IB50" t="e">
        <f>'2.4.Функции'!EC136+"BYw!$]J"</f>
        <v>#VALUE!</v>
      </c>
      <c r="IC50" t="e">
        <f>'2.4.Функции'!ED136+"BYw!$]K"</f>
        <v>#VALUE!</v>
      </c>
      <c r="ID50" t="e">
        <f>'2.4.Функции'!EE136+"BYw!$]L"</f>
        <v>#VALUE!</v>
      </c>
      <c r="IE50" t="e">
        <f>'2.4.Функции'!EF136+"BYw!$]M"</f>
        <v>#VALUE!</v>
      </c>
      <c r="IF50" t="e">
        <f>'2.4.Функции'!EG136+"BYw!$]N"</f>
        <v>#VALUE!</v>
      </c>
      <c r="IG50" t="e">
        <f>'2.4.Функции'!EH136+"BYw!$]O"</f>
        <v>#VALUE!</v>
      </c>
      <c r="IH50" t="e">
        <f>'2.4.Функции'!EI136+"BYw!$]P"</f>
        <v>#VALUE!</v>
      </c>
      <c r="II50" t="e">
        <f>'2.4.Функции'!EJ136+"BYw!$]Q"</f>
        <v>#VALUE!</v>
      </c>
      <c r="IJ50" t="e">
        <f>'2.4.Функции'!EK136+"BYw!$]R"</f>
        <v>#VALUE!</v>
      </c>
      <c r="IK50" t="e">
        <f>'2.4.Функции'!EL136+"BYw!$]S"</f>
        <v>#VALUE!</v>
      </c>
      <c r="IL50" t="e">
        <f>'2.4.Функции'!EM136+"BYw!$]T"</f>
        <v>#VALUE!</v>
      </c>
      <c r="IM50" t="e">
        <f>'2.4.Функции'!EN136+"BYw!$]U"</f>
        <v>#VALUE!</v>
      </c>
      <c r="IN50" t="e">
        <f>'2.4.Функции'!EO136+"BYw!$]V"</f>
        <v>#VALUE!</v>
      </c>
      <c r="IO50" t="e">
        <f>'2.4.Функции'!EP136+"BYw!$]W"</f>
        <v>#VALUE!</v>
      </c>
      <c r="IP50" t="e">
        <f>'2.4.Функции'!EQ136+"BYw!$]X"</f>
        <v>#VALUE!</v>
      </c>
      <c r="IQ50" t="e">
        <f>'2.4.Функции'!ER136+"BYw!$]Y"</f>
        <v>#VALUE!</v>
      </c>
      <c r="IR50" t="e">
        <f>'2.4.Функции'!ES136+"BYw!$]Z"</f>
        <v>#VALUE!</v>
      </c>
      <c r="IS50" t="e">
        <f>'2.4.Функции'!ET136+"BYw!$]["</f>
        <v>#VALUE!</v>
      </c>
      <c r="IT50" t="e">
        <f>'2.4.Функции'!EU136+"BYw!$]\"</f>
        <v>#VALUE!</v>
      </c>
      <c r="IU50" t="e">
        <f>'2.4.Функции'!EV136+"BYw!$]]"</f>
        <v>#VALUE!</v>
      </c>
      <c r="IV50" t="e">
        <f>'2.4.Функции'!EW136+"BYw!$]^"</f>
        <v>#VALUE!</v>
      </c>
    </row>
    <row r="51" spans="6:256" x14ac:dyDescent="0.2">
      <c r="F51" t="e">
        <f>'2.4.Функции'!EX136+"BYw!$]_"</f>
        <v>#VALUE!</v>
      </c>
      <c r="G51" t="e">
        <f>'2.4.Функции'!EY136+"BYw!$]`"</f>
        <v>#VALUE!</v>
      </c>
      <c r="H51" t="e">
        <f>'2.4.Функции'!EZ136+"BYw!$]a"</f>
        <v>#VALUE!</v>
      </c>
      <c r="I51" t="e">
        <f>'2.4.Функции'!FA136+"BYw!$]b"</f>
        <v>#VALUE!</v>
      </c>
      <c r="J51" t="e">
        <f>'2.4.Функции'!FB136+"BYw!$]c"</f>
        <v>#VALUE!</v>
      </c>
      <c r="K51" t="e">
        <f>'2.4.Функции'!FC136+"BYw!$]d"</f>
        <v>#VALUE!</v>
      </c>
      <c r="L51" t="e">
        <f>'2.4.Функции'!FD136+"BYw!$]e"</f>
        <v>#VALUE!</v>
      </c>
      <c r="M51" t="e">
        <f>'2.4.Функции'!FE136+"BYw!$]f"</f>
        <v>#VALUE!</v>
      </c>
      <c r="N51" t="e">
        <f>'2.4.Функции'!FF136+"BYw!$]g"</f>
        <v>#VALUE!</v>
      </c>
      <c r="O51" t="e">
        <f>'2.4.Функции'!FG136+"BYw!$]h"</f>
        <v>#VALUE!</v>
      </c>
      <c r="P51" t="e">
        <f>'2.4.Функции'!FH136+"BYw!$]i"</f>
        <v>#VALUE!</v>
      </c>
      <c r="Q51" t="e">
        <f>'2.4.Функции'!FI136+"BYw!$]j"</f>
        <v>#VALUE!</v>
      </c>
      <c r="R51" t="e">
        <f>'2.4.Функции'!FJ136+"BYw!$]k"</f>
        <v>#VALUE!</v>
      </c>
      <c r="S51" t="e">
        <f>'2.4.Функции'!FK136+"BYw!$]l"</f>
        <v>#VALUE!</v>
      </c>
      <c r="T51" t="e">
        <f>'2.4.Функции'!FL136+"BYw!$]m"</f>
        <v>#VALUE!</v>
      </c>
      <c r="U51" t="e">
        <f>'2.4.Функции'!FM136+"BYw!$]n"</f>
        <v>#VALUE!</v>
      </c>
      <c r="V51" t="e">
        <f>'2.4.Функции'!FN136+"BYw!$]o"</f>
        <v>#VALUE!</v>
      </c>
      <c r="W51" t="e">
        <f>'2.4.Функции'!FO136+"BYw!$]p"</f>
        <v>#VALUE!</v>
      </c>
      <c r="X51" t="e">
        <f>'2.4.Функции'!FP136+"BYw!$]q"</f>
        <v>#VALUE!</v>
      </c>
      <c r="Y51" t="e">
        <f>'2.4.Функции'!FQ136+"BYw!$]r"</f>
        <v>#VALUE!</v>
      </c>
      <c r="Z51" t="e">
        <f>'2.4.Функции'!FR136+"BYw!$]s"</f>
        <v>#VALUE!</v>
      </c>
      <c r="AA51" t="e">
        <f>'2.4.Функции'!FS136+"BYw!$]t"</f>
        <v>#VALUE!</v>
      </c>
      <c r="AB51" t="e">
        <f>'2.4.Функции'!FT136+"BYw!$]u"</f>
        <v>#VALUE!</v>
      </c>
      <c r="AC51" t="e">
        <f>'2.4.Функции'!FU136+"BYw!$]v"</f>
        <v>#VALUE!</v>
      </c>
      <c r="AD51" t="e">
        <f>'2.4.Функции'!FV136+"BYw!$]w"</f>
        <v>#VALUE!</v>
      </c>
      <c r="AE51" t="e">
        <f>'2.4.Функции'!FW136+"BYw!$]x"</f>
        <v>#VALUE!</v>
      </c>
      <c r="AF51" t="e">
        <f>'2.4.Функции'!FX136+"BYw!$]y"</f>
        <v>#VALUE!</v>
      </c>
      <c r="AG51" t="e">
        <f>'2.4.Функции'!FY136+"BYw!$]z"</f>
        <v>#VALUE!</v>
      </c>
      <c r="AH51" t="e">
        <f>'2.4.Функции'!FZ136+"BYw!$]{"</f>
        <v>#VALUE!</v>
      </c>
      <c r="AI51" t="e">
        <f>'2.4.Функции'!GA136+"BYw!$]|"</f>
        <v>#VALUE!</v>
      </c>
      <c r="AJ51" t="e">
        <f>'2.4.Функции'!GB136+"BYw!$]}"</f>
        <v>#VALUE!</v>
      </c>
      <c r="AK51" t="e">
        <f>'2.4.Функции'!GC136+"BYw!$]~"</f>
        <v>#VALUE!</v>
      </c>
      <c r="AL51" t="e">
        <f>'2.4.Функции'!GD136+"BYw!$^#"</f>
        <v>#VALUE!</v>
      </c>
      <c r="AM51" t="e">
        <f>'2.4.Функции'!GE136+"BYw!$^$"</f>
        <v>#VALUE!</v>
      </c>
      <c r="AN51" t="e">
        <f>'2.4.Функции'!GF136+"BYw!$^%"</f>
        <v>#VALUE!</v>
      </c>
      <c r="AO51" t="e">
        <f>'2.4.Функции'!GG136+"BYw!$^&amp;"</f>
        <v>#VALUE!</v>
      </c>
      <c r="AP51" t="e">
        <f>'2.4.Функции'!GH136+"BYw!$^'"</f>
        <v>#VALUE!</v>
      </c>
      <c r="AQ51" t="e">
        <f>'2.4.Функции'!GI136+"BYw!$^("</f>
        <v>#VALUE!</v>
      </c>
      <c r="AR51" t="e">
        <f>'2.4.Функции'!GJ136+"BYw!$^)"</f>
        <v>#VALUE!</v>
      </c>
      <c r="AS51" t="e">
        <f>'2.4.Функции'!GK136+"BYw!$^."</f>
        <v>#VALUE!</v>
      </c>
      <c r="AT51" t="e">
        <f>'2.4.Функции'!GL136+"BYw!$^/"</f>
        <v>#VALUE!</v>
      </c>
      <c r="AU51" t="e">
        <f>'2.4.Функции'!GM136+"BYw!$^0"</f>
        <v>#VALUE!</v>
      </c>
      <c r="AV51" t="e">
        <f>'2.4.Функции'!GN136+"BYw!$^1"</f>
        <v>#VALUE!</v>
      </c>
      <c r="AW51" t="e">
        <f>'2.4.Функции'!GO136+"BYw!$^2"</f>
        <v>#VALUE!</v>
      </c>
      <c r="AX51" t="e">
        <f>'2.4.Функции'!GP136+"BYw!$^3"</f>
        <v>#VALUE!</v>
      </c>
      <c r="AY51" t="e">
        <f>'2.4.Функции'!GQ136+"BYw!$^4"</f>
        <v>#VALUE!</v>
      </c>
      <c r="AZ51" t="e">
        <f>'2.4.Функции'!GR136+"BYw!$^5"</f>
        <v>#VALUE!</v>
      </c>
      <c r="BA51" t="e">
        <f>'2.4.Функции'!GS136+"BYw!$^6"</f>
        <v>#VALUE!</v>
      </c>
      <c r="BB51" t="e">
        <f>'2.4.Функции'!GT136+"BYw!$^7"</f>
        <v>#VALUE!</v>
      </c>
      <c r="BC51" t="e">
        <f>'2.4.Функции'!GU136+"BYw!$^8"</f>
        <v>#VALUE!</v>
      </c>
      <c r="BD51" t="e">
        <f>'2.4.Функции'!GV136+"BYw!$^9"</f>
        <v>#VALUE!</v>
      </c>
      <c r="BE51" t="e">
        <f>'2.4.Функции'!GW136+"BYw!$^:"</f>
        <v>#VALUE!</v>
      </c>
      <c r="BF51" t="e">
        <f>'2.4.Функции'!GX136+"BYw!$^;"</f>
        <v>#VALUE!</v>
      </c>
      <c r="BG51" t="e">
        <f>'2.4.Функции'!GY136+"BYw!$^&lt;"</f>
        <v>#VALUE!</v>
      </c>
      <c r="BH51" t="e">
        <f>'2.4.Функции'!GZ136+"BYw!$^="</f>
        <v>#VALUE!</v>
      </c>
      <c r="BI51" t="e">
        <f>'2.4.Функции'!HA136+"BYw!$^&gt;"</f>
        <v>#VALUE!</v>
      </c>
      <c r="BJ51" t="e">
        <f>'2.4.Функции'!HB136+"BYw!$^?"</f>
        <v>#VALUE!</v>
      </c>
      <c r="BK51" t="e">
        <f>'2.4.Функции'!HC136+"BYw!$^@"</f>
        <v>#VALUE!</v>
      </c>
      <c r="BL51" t="e">
        <f>'2.4.Функции'!HD136+"BYw!$^A"</f>
        <v>#VALUE!</v>
      </c>
      <c r="BM51" t="e">
        <f>'2.4.Функции'!HE136+"BYw!$^B"</f>
        <v>#VALUE!</v>
      </c>
      <c r="BN51" t="e">
        <f>'2.4.Функции'!HF136+"BYw!$^C"</f>
        <v>#VALUE!</v>
      </c>
      <c r="BO51" t="e">
        <f>'2.4.Функции'!HG136+"BYw!$^D"</f>
        <v>#VALUE!</v>
      </c>
      <c r="BP51" t="e">
        <f>'2.4.Функции'!HH136+"BYw!$^E"</f>
        <v>#VALUE!</v>
      </c>
      <c r="BQ51" t="e">
        <f>'2.4.Функции'!HI136+"BYw!$^F"</f>
        <v>#VALUE!</v>
      </c>
      <c r="BR51" t="e">
        <f>'2.4.Функции'!HJ136+"BYw!$^G"</f>
        <v>#VALUE!</v>
      </c>
      <c r="BS51" t="e">
        <f>'2.4.Функции'!HK136+"BYw!$^H"</f>
        <v>#VALUE!</v>
      </c>
      <c r="BT51" t="e">
        <f>'2.4.Функции'!HL136+"BYw!$^I"</f>
        <v>#VALUE!</v>
      </c>
      <c r="BU51" t="e">
        <f>'2.4.Функции'!HM136+"BYw!$^J"</f>
        <v>#VALUE!</v>
      </c>
      <c r="BV51" t="e">
        <f>'2.4.Функции'!HN136+"BYw!$^K"</f>
        <v>#VALUE!</v>
      </c>
      <c r="BW51" t="e">
        <f>'2.4.Функции'!HO136+"BYw!$^L"</f>
        <v>#VALUE!</v>
      </c>
      <c r="BX51" t="e">
        <f>'2.4.Функции'!HP136+"BYw!$^M"</f>
        <v>#VALUE!</v>
      </c>
      <c r="BY51" t="e">
        <f>'2.4.Функции'!HQ136+"BYw!$^N"</f>
        <v>#VALUE!</v>
      </c>
      <c r="BZ51" t="e">
        <f>'2.4.Функции'!HR136+"BYw!$^O"</f>
        <v>#VALUE!</v>
      </c>
      <c r="CA51" t="e">
        <f>'2.4.Функции'!HS136+"BYw!$^P"</f>
        <v>#VALUE!</v>
      </c>
      <c r="CB51" t="e">
        <f>'2.4.Функции'!HT136+"BYw!$^Q"</f>
        <v>#VALUE!</v>
      </c>
      <c r="CC51" t="e">
        <f>'2.4.Функции'!HU136+"BYw!$^R"</f>
        <v>#VALUE!</v>
      </c>
      <c r="CD51" t="e">
        <f>'2.4.Функции'!HV136+"BYw!$^S"</f>
        <v>#VALUE!</v>
      </c>
      <c r="CE51" t="e">
        <f>'2.4.Функции'!HW136+"BYw!$^T"</f>
        <v>#VALUE!</v>
      </c>
      <c r="CF51" t="e">
        <f>'2.4.Функции'!HX136+"BYw!$^U"</f>
        <v>#VALUE!</v>
      </c>
      <c r="CG51" t="e">
        <f>'2.4.Функции'!HY136+"BYw!$^V"</f>
        <v>#VALUE!</v>
      </c>
      <c r="CH51" t="e">
        <f>'2.4.Функции'!HZ136+"BYw!$^W"</f>
        <v>#VALUE!</v>
      </c>
      <c r="CI51" t="e">
        <f>'2.4.Функции'!IA136+"BYw!$^X"</f>
        <v>#VALUE!</v>
      </c>
      <c r="CJ51" t="e">
        <f>'2.4.Функции'!IB136+"BYw!$^Y"</f>
        <v>#VALUE!</v>
      </c>
      <c r="CK51" t="e">
        <f>'2.4.Функции'!IC136+"BYw!$^Z"</f>
        <v>#VALUE!</v>
      </c>
      <c r="CL51" t="e">
        <f>'2.4.Функции'!ID136+"BYw!$^["</f>
        <v>#VALUE!</v>
      </c>
      <c r="CM51" t="e">
        <f>'2.4.Функции'!IE136+"BYw!$^\"</f>
        <v>#VALUE!</v>
      </c>
      <c r="CN51" t="e">
        <f>'2.4.Функции'!IF136+"BYw!$^]"</f>
        <v>#VALUE!</v>
      </c>
      <c r="CO51" t="e">
        <f>'2.4.Функции'!IG136+"BYw!$^^"</f>
        <v>#VALUE!</v>
      </c>
      <c r="CP51" t="e">
        <f>'2.4.Функции'!IH136+"BYw!$^_"</f>
        <v>#VALUE!</v>
      </c>
      <c r="CQ51" t="e">
        <f>'2.4.Функции'!II136+"BYw!$^`"</f>
        <v>#VALUE!</v>
      </c>
      <c r="CR51" t="e">
        <f>'2.4.Функции'!IJ136+"BYw!$^a"</f>
        <v>#VALUE!</v>
      </c>
      <c r="CS51" t="e">
        <f>'2.4.Функции'!IK136+"BYw!$^b"</f>
        <v>#VALUE!</v>
      </c>
      <c r="CT51" t="e">
        <f>'2.4.Функции'!IL136+"BYw!$^c"</f>
        <v>#VALUE!</v>
      </c>
      <c r="CU51" t="e">
        <f>'2.4.Функции'!IM136+"BYw!$^d"</f>
        <v>#VALUE!</v>
      </c>
      <c r="CV51" t="e">
        <f>'2.4.Функции'!IN136+"BYw!$^e"</f>
        <v>#VALUE!</v>
      </c>
      <c r="CW51" t="e">
        <f>'2.4.Функции'!IO136+"BYw!$^f"</f>
        <v>#VALUE!</v>
      </c>
      <c r="CX51" t="e">
        <f>'2.4.Функции'!IP136+"BYw!$^g"</f>
        <v>#VALUE!</v>
      </c>
      <c r="CY51" t="e">
        <f>'2.4.Функции'!IQ136+"BYw!$^h"</f>
        <v>#VALUE!</v>
      </c>
      <c r="CZ51" t="e">
        <f>'2.4.Функции'!IR136+"BYw!$^i"</f>
        <v>#VALUE!</v>
      </c>
      <c r="DA51" t="e">
        <f>'2.4.Функции'!IS136+"BYw!$^j"</f>
        <v>#VALUE!</v>
      </c>
      <c r="DB51" t="e">
        <f>'2.4.Функции'!IT136+"BYw!$^k"</f>
        <v>#VALUE!</v>
      </c>
      <c r="DC51" t="e">
        <f>'2.4.Функции'!IU136+"BYw!$^l"</f>
        <v>#VALUE!</v>
      </c>
      <c r="DD51" t="e">
        <f>'2.4.Функции'!IV136+"BYw!$^m"</f>
        <v>#VALUE!</v>
      </c>
      <c r="DE51" t="e">
        <f>'2.4.Функции'!IW136+"BYw!$^n"</f>
        <v>#VALUE!</v>
      </c>
      <c r="DF51" t="e">
        <f>'2.4.Функции'!IX136+"BYw!$^o"</f>
        <v>#VALUE!</v>
      </c>
      <c r="DG51" t="e">
        <f>'2.4.Функции'!IY136+"BYw!$^p"</f>
        <v>#VALUE!</v>
      </c>
      <c r="DH51" t="e">
        <f>'2.4.Функции'!IZ136+"BYw!$^q"</f>
        <v>#VALUE!</v>
      </c>
      <c r="DI51" t="e">
        <f>'2.4.Функции'!JA136+"BYw!$^r"</f>
        <v>#VALUE!</v>
      </c>
      <c r="DJ51" t="e">
        <f>'2.4.Функции'!JB136+"BYw!$^s"</f>
        <v>#VALUE!</v>
      </c>
      <c r="DK51" t="e">
        <f>'2.4.Функции'!JC136+"BYw!$^t"</f>
        <v>#VALUE!</v>
      </c>
      <c r="DL51" t="e">
        <f>'2.4.Функции'!JD136+"BYw!$^u"</f>
        <v>#VALUE!</v>
      </c>
      <c r="DM51" t="e">
        <f>'2.4.Функции'!JE136+"BYw!$^v"</f>
        <v>#VALUE!</v>
      </c>
      <c r="DN51" t="e">
        <f>'2.4.Функции'!JF136+"BYw!$^w"</f>
        <v>#VALUE!</v>
      </c>
      <c r="DO51" t="e">
        <f>'2.4.Функции'!JG136+"BYw!$^x"</f>
        <v>#VALUE!</v>
      </c>
      <c r="DP51" t="e">
        <f>'2.4.Функции'!JH136+"BYw!$^y"</f>
        <v>#VALUE!</v>
      </c>
      <c r="DQ51" t="e">
        <f>'2.4.Функции'!JI136+"BYw!$^z"</f>
        <v>#VALUE!</v>
      </c>
      <c r="DR51" t="e">
        <f>'2.4.Функции'!JJ136+"BYw!$^{"</f>
        <v>#VALUE!</v>
      </c>
      <c r="DS51" t="e">
        <f>'2.4.Функции'!JK136+"BYw!$^|"</f>
        <v>#VALUE!</v>
      </c>
      <c r="DT51" t="e">
        <f>'2.4.Функции'!JL136+"BYw!$^}"</f>
        <v>#VALUE!</v>
      </c>
      <c r="DU51" t="e">
        <f>'2.4.Функции'!JM136+"BYw!$^~"</f>
        <v>#VALUE!</v>
      </c>
      <c r="DV51" t="e">
        <f>'2.4.Функции'!JN136+"BYw!$_#"</f>
        <v>#VALUE!</v>
      </c>
      <c r="DW51" t="e">
        <f>'2.4.Функции'!JO136+"BYw!$_$"</f>
        <v>#VALUE!</v>
      </c>
      <c r="DX51" t="e">
        <f>'2.4.Функции'!JP136+"BYw!$_%"</f>
        <v>#VALUE!</v>
      </c>
      <c r="DY51" t="e">
        <f>'2.4.Функции'!JQ136+"BYw!$_&amp;"</f>
        <v>#VALUE!</v>
      </c>
      <c r="DZ51" t="e">
        <f>'2.4.Функции'!JR136+"BYw!$_'"</f>
        <v>#VALUE!</v>
      </c>
      <c r="EA51" t="e">
        <f>'2.4.Функции'!JS136+"BYw!$_("</f>
        <v>#VALUE!</v>
      </c>
      <c r="EB51" t="e">
        <f>'2.4.Функции'!JT136+"BYw!$_)"</f>
        <v>#VALUE!</v>
      </c>
      <c r="EC51" t="e">
        <f>'2.4.Функции'!JU136+"BYw!$_."</f>
        <v>#VALUE!</v>
      </c>
      <c r="ED51" t="e">
        <f>'2.4.Функции'!JV136+"BYw!$_/"</f>
        <v>#VALUE!</v>
      </c>
      <c r="EE51" t="e">
        <f>'2.4.Функции'!JW136+"BYw!$_0"</f>
        <v>#VALUE!</v>
      </c>
      <c r="EF51" t="e">
        <f>'2.4.Функции'!JX136+"BYw!$_1"</f>
        <v>#VALUE!</v>
      </c>
      <c r="EG51" t="e">
        <f>'2.4.Функции'!JY136+"BYw!$_2"</f>
        <v>#VALUE!</v>
      </c>
      <c r="EH51" t="e">
        <f>'2.4.Функции'!JZ136+"BYw!$_3"</f>
        <v>#VALUE!</v>
      </c>
      <c r="EI51" t="e">
        <f>'2.4.Функции'!KA136+"BYw!$_4"</f>
        <v>#VALUE!</v>
      </c>
      <c r="EJ51" t="e">
        <f>'2.4.Функции'!KB136+"BYw!$_5"</f>
        <v>#VALUE!</v>
      </c>
      <c r="EK51" t="e">
        <f>'2.4.Функции'!KC136+"BYw!$_6"</f>
        <v>#VALUE!</v>
      </c>
      <c r="EL51" t="e">
        <f>'2.4.Функции'!KD136+"BYw!$_7"</f>
        <v>#VALUE!</v>
      </c>
      <c r="EM51" t="e">
        <f>'2.4.Функции'!KE136+"BYw!$_8"</f>
        <v>#VALUE!</v>
      </c>
      <c r="EN51" t="e">
        <f>'2.4.Функции'!KF136+"BYw!$_9"</f>
        <v>#VALUE!</v>
      </c>
      <c r="EO51" t="e">
        <f>'2.4.Функции'!KG136+"BYw!$_:"</f>
        <v>#VALUE!</v>
      </c>
      <c r="EP51" t="e">
        <f>'2.4.Функции'!KH136+"BYw!$_;"</f>
        <v>#VALUE!</v>
      </c>
      <c r="EQ51" t="e">
        <f>'2.4.Функции'!KI136+"BYw!$_&lt;"</f>
        <v>#VALUE!</v>
      </c>
      <c r="ER51" t="e">
        <f>'2.4.Функции'!KJ136+"BYw!$_="</f>
        <v>#VALUE!</v>
      </c>
      <c r="ES51" t="e">
        <f>'2.4.Функции'!KK136+"BYw!$_&gt;"</f>
        <v>#VALUE!</v>
      </c>
      <c r="ET51" t="e">
        <f>'2.4.Функции'!KL136+"BYw!$_?"</f>
        <v>#VALUE!</v>
      </c>
      <c r="EU51" t="e">
        <f>'2.4.Функции'!KM136+"BYw!$_@"</f>
        <v>#VALUE!</v>
      </c>
      <c r="EV51" t="e">
        <f>'2.4.Функции'!KN136+"BYw!$_A"</f>
        <v>#VALUE!</v>
      </c>
      <c r="EW51" t="e">
        <f>'2.4.Функции'!KO136+"BYw!$_B"</f>
        <v>#VALUE!</v>
      </c>
      <c r="EX51" t="e">
        <f>'2.4.Функции'!KP136+"BYw!$_C"</f>
        <v>#VALUE!</v>
      </c>
      <c r="EY51" t="e">
        <f>'2.4.Функции'!KQ136+"BYw!$_D"</f>
        <v>#VALUE!</v>
      </c>
      <c r="EZ51" t="e">
        <f>'2.4.Функции'!KR136+"BYw!$_E"</f>
        <v>#VALUE!</v>
      </c>
      <c r="FA51" t="e">
        <f>'2.4.Функции'!KS136+"BYw!$_F"</f>
        <v>#VALUE!</v>
      </c>
      <c r="FB51" t="e">
        <f>'2.4.Функции'!KT136+"BYw!$_G"</f>
        <v>#VALUE!</v>
      </c>
      <c r="FC51" t="e">
        <f>'2.4.Функции'!KU136+"BYw!$_H"</f>
        <v>#VALUE!</v>
      </c>
      <c r="FD51" t="e">
        <f>'2.4.Функции'!KV136+"BYw!$_I"</f>
        <v>#VALUE!</v>
      </c>
      <c r="FE51" t="e">
        <f>'2.4.Функции'!KW136+"BYw!$_J"</f>
        <v>#VALUE!</v>
      </c>
      <c r="FF51" t="e">
        <f>'2.4.Функции'!KX136+"BYw!$_K"</f>
        <v>#VALUE!</v>
      </c>
      <c r="FG51" t="e">
        <f>'2.4.Функции'!KY136+"BYw!$_L"</f>
        <v>#VALUE!</v>
      </c>
      <c r="FH51" t="e">
        <f>'2.4.Функции'!KZ136+"BYw!$_M"</f>
        <v>#VALUE!</v>
      </c>
      <c r="FI51" t="e">
        <f>'2.4.Функции'!LA136+"BYw!$_N"</f>
        <v>#VALUE!</v>
      </c>
      <c r="FJ51" t="e">
        <f>'2.4.Функции'!LB136+"BYw!$_O"</f>
        <v>#VALUE!</v>
      </c>
      <c r="FK51" t="e">
        <f>'2.4.Функции'!LC136+"BYw!$_P"</f>
        <v>#VALUE!</v>
      </c>
      <c r="FL51" t="e">
        <f>'2.4.Функции'!LD136+"BYw!$_Q"</f>
        <v>#VALUE!</v>
      </c>
      <c r="FM51" t="e">
        <f>'2.4.Функции'!LE136+"BYw!$_R"</f>
        <v>#VALUE!</v>
      </c>
      <c r="FN51" t="e">
        <f>'2.4.Функции'!LF136+"BYw!$_S"</f>
        <v>#VALUE!</v>
      </c>
      <c r="FO51" t="e">
        <f>'2.4.Функции'!LG136+"BYw!$_T"</f>
        <v>#VALUE!</v>
      </c>
      <c r="FP51" t="e">
        <f>'2.4.Функции'!LH136+"BYw!$_U"</f>
        <v>#VALUE!</v>
      </c>
      <c r="FQ51" t="e">
        <f>'2.4.Функции'!LI136+"BYw!$_V"</f>
        <v>#VALUE!</v>
      </c>
      <c r="FR51" t="e">
        <f>'2.4.Функции'!LJ136+"BYw!$_W"</f>
        <v>#VALUE!</v>
      </c>
      <c r="FS51" t="e">
        <f>'2.4.Функции'!LK136+"BYw!$_X"</f>
        <v>#VALUE!</v>
      </c>
      <c r="FT51" t="e">
        <f>'2.4.Функции'!LL136+"BYw!$_Y"</f>
        <v>#VALUE!</v>
      </c>
      <c r="FU51" t="e">
        <f>'2.4.Функции'!LM136+"BYw!$_Z"</f>
        <v>#VALUE!</v>
      </c>
      <c r="FV51" t="e">
        <f>'2.4.Функции'!LN136+"BYw!$_["</f>
        <v>#VALUE!</v>
      </c>
      <c r="FW51" t="e">
        <f>'2.4.Функции'!LO136+"BYw!$_\"</f>
        <v>#VALUE!</v>
      </c>
      <c r="FX51" t="e">
        <f>'2.4.Функции'!LP136+"BYw!$_]"</f>
        <v>#VALUE!</v>
      </c>
      <c r="FY51" t="e">
        <f>'2.4.Функции'!LQ136+"BYw!$_^"</f>
        <v>#VALUE!</v>
      </c>
      <c r="FZ51" t="e">
        <f>'2.4.Функции'!LR136+"BYw!$__"</f>
        <v>#VALUE!</v>
      </c>
      <c r="GA51" t="e">
        <f>'2.4.Функции'!LS136+"BYw!$_`"</f>
        <v>#VALUE!</v>
      </c>
      <c r="GB51" t="e">
        <f>'2.4.Функции'!LT136+"BYw!$_a"</f>
        <v>#VALUE!</v>
      </c>
      <c r="GC51" t="e">
        <f>'2.4.Функции'!LU136+"BYw!$_b"</f>
        <v>#VALUE!</v>
      </c>
      <c r="GD51" t="e">
        <f>'2.4.Функции'!LV136+"BYw!$_c"</f>
        <v>#VALUE!</v>
      </c>
      <c r="GE51" t="e">
        <f>'2.4.Функции'!LW136+"BYw!$_d"</f>
        <v>#VALUE!</v>
      </c>
      <c r="GF51" t="e">
        <f>'2.4.Функции'!LX136+"BYw!$_e"</f>
        <v>#VALUE!</v>
      </c>
      <c r="GG51" t="e">
        <f>'2.4.Функции'!LY136+"BYw!$_f"</f>
        <v>#VALUE!</v>
      </c>
      <c r="GH51" t="e">
        <f>'2.4.Функции'!LZ136+"BYw!$_g"</f>
        <v>#VALUE!</v>
      </c>
      <c r="GI51" t="e">
        <f>'2.4.Функции'!MA136+"BYw!$_h"</f>
        <v>#VALUE!</v>
      </c>
      <c r="GJ51" t="e">
        <f>'2.4.Функции'!MB136+"BYw!$_i"</f>
        <v>#VALUE!</v>
      </c>
      <c r="GK51" t="e">
        <f>'2.4.Функции'!MC136+"BYw!$_j"</f>
        <v>#VALUE!</v>
      </c>
      <c r="GL51" t="e">
        <f>'2.4.Функции'!MD136+"BYw!$_k"</f>
        <v>#VALUE!</v>
      </c>
      <c r="GM51" t="e">
        <f>'2.4.Функции'!ME136+"BYw!$_l"</f>
        <v>#VALUE!</v>
      </c>
      <c r="GN51" t="e">
        <f>'2.4.Функции'!MF136+"BYw!$_m"</f>
        <v>#VALUE!</v>
      </c>
      <c r="GO51" t="e">
        <f>'2.4.Функции'!MG136+"BYw!$_n"</f>
        <v>#VALUE!</v>
      </c>
      <c r="GP51" t="e">
        <f>'2.4.Функции'!MH136+"BYw!$_o"</f>
        <v>#VALUE!</v>
      </c>
      <c r="GQ51" t="e">
        <f>'2.4.Функции'!MI136+"BYw!$_p"</f>
        <v>#VALUE!</v>
      </c>
      <c r="GR51" t="e">
        <f>'2.4.Функции'!MJ136+"BYw!$_q"</f>
        <v>#VALUE!</v>
      </c>
      <c r="GS51" t="e">
        <f>'2.4.Функции'!MK136+"BYw!$_r"</f>
        <v>#VALUE!</v>
      </c>
      <c r="GT51" t="e">
        <f>'2.4.Функции'!ML136+"BYw!$_s"</f>
        <v>#VALUE!</v>
      </c>
      <c r="GU51" t="e">
        <f>'2.4.Функции'!MM136+"BYw!$_t"</f>
        <v>#VALUE!</v>
      </c>
      <c r="GV51" t="e">
        <f>'2.4.Функции'!MN136+"BYw!$_u"</f>
        <v>#VALUE!</v>
      </c>
      <c r="GW51" t="e">
        <f>'2.4.Функции'!MO136+"BYw!$_v"</f>
        <v>#VALUE!</v>
      </c>
      <c r="GX51" t="e">
        <f>'2.4.Функции'!MP136+"BYw!$_w"</f>
        <v>#VALUE!</v>
      </c>
      <c r="GY51" t="e">
        <f>'2.4.Функции'!MQ136+"BYw!$_x"</f>
        <v>#VALUE!</v>
      </c>
      <c r="GZ51" t="e">
        <f>'2.4.Функции'!MR136+"BYw!$_y"</f>
        <v>#VALUE!</v>
      </c>
      <c r="HA51" t="e">
        <f>'2.4.Функции'!MS136+"BYw!$_z"</f>
        <v>#VALUE!</v>
      </c>
      <c r="HB51" t="e">
        <f>'2.4.Функции'!MT136+"BYw!$_{"</f>
        <v>#VALUE!</v>
      </c>
      <c r="HC51" t="e">
        <f>'2.4.Функции'!MU136+"BYw!$_|"</f>
        <v>#VALUE!</v>
      </c>
      <c r="HD51" t="e">
        <f>'2.4.Функции'!MV136+"BYw!$_}"</f>
        <v>#VALUE!</v>
      </c>
      <c r="HE51" t="e">
        <f>'2.4.Функции'!MW136+"BYw!$_~"</f>
        <v>#VALUE!</v>
      </c>
      <c r="HF51" t="e">
        <f>'2.4.Функции'!MX136+"BYw!$`#"</f>
        <v>#VALUE!</v>
      </c>
      <c r="HG51" t="e">
        <f>'2.4.Функции'!MY136+"BYw!$`$"</f>
        <v>#VALUE!</v>
      </c>
      <c r="HH51" t="e">
        <f>'2.4.Функции'!MZ136+"BYw!$`%"</f>
        <v>#VALUE!</v>
      </c>
      <c r="HI51" t="e">
        <f>'2.4.Функции'!NA136+"BYw!$`&amp;"</f>
        <v>#VALUE!</v>
      </c>
      <c r="HJ51" t="e">
        <f>'2.4.Функции'!NB136+"BYw!$`'"</f>
        <v>#VALUE!</v>
      </c>
      <c r="HK51" t="e">
        <f>'2.4.Функции'!NC136+"BYw!$`("</f>
        <v>#VALUE!</v>
      </c>
      <c r="HL51" t="e">
        <f>'2.4.Функции'!ND136+"BYw!$`)"</f>
        <v>#VALUE!</v>
      </c>
      <c r="HM51" t="e">
        <f>'2.4.Функции'!NE136+"BYw!$`."</f>
        <v>#VALUE!</v>
      </c>
      <c r="HN51" t="e">
        <f>'2.4.Функции'!NF136+"BYw!$`/"</f>
        <v>#VALUE!</v>
      </c>
      <c r="HO51" t="e">
        <f>'2.4.Функции'!NG136+"BYw!$`0"</f>
        <v>#VALUE!</v>
      </c>
      <c r="HP51" t="e">
        <f>'2.4.Функции'!NH136+"BYw!$`1"</f>
        <v>#VALUE!</v>
      </c>
      <c r="HQ51" t="e">
        <f>'2.4.Функции'!NI136+"BYw!$`2"</f>
        <v>#VALUE!</v>
      </c>
      <c r="HR51" t="e">
        <f>'2.4.Функции'!NJ136+"BYw!$`3"</f>
        <v>#VALUE!</v>
      </c>
      <c r="HS51" t="e">
        <f>'2.4.Функции'!NK136+"BYw!$`4"</f>
        <v>#VALUE!</v>
      </c>
      <c r="HT51" t="e">
        <f>'2.4.Функции'!NL136+"BYw!$`5"</f>
        <v>#VALUE!</v>
      </c>
      <c r="HU51" t="e">
        <f>'2.4.Функции'!NM136+"BYw!$`6"</f>
        <v>#VALUE!</v>
      </c>
      <c r="HV51" t="e">
        <f>'2.4.Функции'!NN136+"BYw!$`7"</f>
        <v>#VALUE!</v>
      </c>
      <c r="HW51" t="e">
        <f>'2.4.Функции'!NO136+"BYw!$`8"</f>
        <v>#VALUE!</v>
      </c>
      <c r="HX51" t="e">
        <f>'2.4.Функции'!NP136+"BYw!$`9"</f>
        <v>#VALUE!</v>
      </c>
      <c r="HY51" t="e">
        <f>'2.4.Функции'!NQ136+"BYw!$`:"</f>
        <v>#VALUE!</v>
      </c>
      <c r="HZ51" t="e">
        <f>'2.4.Функции'!NR136+"BYw!$`;"</f>
        <v>#VALUE!</v>
      </c>
      <c r="IA51" t="e">
        <f>'2.4.Функции'!NS136+"BYw!$`&lt;"</f>
        <v>#VALUE!</v>
      </c>
      <c r="IB51" t="e">
        <f>'2.4.Функции'!NT136+"BYw!$`="</f>
        <v>#VALUE!</v>
      </c>
      <c r="IC51" t="e">
        <f>'2.4.Функции'!NU136+"BYw!$`&gt;"</f>
        <v>#VALUE!</v>
      </c>
      <c r="ID51" t="e">
        <f>'2.4.Функции'!NV136+"BYw!$`?"</f>
        <v>#VALUE!</v>
      </c>
      <c r="IE51" t="e">
        <f>'2.4.Функции'!NW136+"BYw!$`@"</f>
        <v>#VALUE!</v>
      </c>
      <c r="IF51" t="e">
        <f>'2.4.Функции'!NX136+"BYw!$`A"</f>
        <v>#VALUE!</v>
      </c>
      <c r="IG51" t="e">
        <f>'2.4.Функции'!NY136+"BYw!$`B"</f>
        <v>#VALUE!</v>
      </c>
      <c r="IH51" t="e">
        <f>'2.4.Функции'!NZ136+"BYw!$`C"</f>
        <v>#VALUE!</v>
      </c>
      <c r="II51" t="e">
        <f>'2.4.Функции'!OA136+"BYw!$`D"</f>
        <v>#VALUE!</v>
      </c>
      <c r="IJ51" t="e">
        <f>'2.4.Функции'!OB136+"BYw!$`E"</f>
        <v>#VALUE!</v>
      </c>
      <c r="IK51" t="e">
        <f>'2.4.Функции'!OC136+"BYw!$`F"</f>
        <v>#VALUE!</v>
      </c>
      <c r="IL51" t="e">
        <f>'2.4.Функции'!OD136+"BYw!$`G"</f>
        <v>#VALUE!</v>
      </c>
      <c r="IM51" t="e">
        <f>'2.4.Функции'!OE136+"BYw!$`H"</f>
        <v>#VALUE!</v>
      </c>
      <c r="IN51" t="e">
        <f>'2.4.Функции'!OF136+"BYw!$`I"</f>
        <v>#VALUE!</v>
      </c>
      <c r="IO51" t="e">
        <f>'2.4.Функции'!OG136+"BYw!$`J"</f>
        <v>#VALUE!</v>
      </c>
      <c r="IP51" t="e">
        <f>'2.4.Функции'!OH136+"BYw!$`K"</f>
        <v>#VALUE!</v>
      </c>
      <c r="IQ51" t="e">
        <f>'2.4.Функции'!OI136+"BYw!$`L"</f>
        <v>#VALUE!</v>
      </c>
      <c r="IR51" t="e">
        <f>'2.4.Функции'!OJ136+"BYw!$`M"</f>
        <v>#VALUE!</v>
      </c>
      <c r="IS51" t="e">
        <f>'2.4.Функции'!OK136+"BYw!$`N"</f>
        <v>#VALUE!</v>
      </c>
      <c r="IT51" t="e">
        <f>'2.4.Функции'!OL136+"BYw!$`O"</f>
        <v>#VALUE!</v>
      </c>
      <c r="IU51" t="e">
        <f>'2.4.Функции'!OM136+"BYw!$`P"</f>
        <v>#VALUE!</v>
      </c>
      <c r="IV51" t="e">
        <f>'2.4.Функции'!ON136+"BYw!$`Q"</f>
        <v>#VALUE!</v>
      </c>
    </row>
    <row r="52" spans="6:256" x14ac:dyDescent="0.2">
      <c r="F52" t="e">
        <f>'2.4.Функции'!OO136+"BYw!$`R"</f>
        <v>#VALUE!</v>
      </c>
      <c r="G52" t="e">
        <f>'2.4.Функции'!OP136+"BYw!$`S"</f>
        <v>#VALUE!</v>
      </c>
      <c r="H52" t="e">
        <f>'2.4.Функции'!OQ136+"BYw!$`T"</f>
        <v>#VALUE!</v>
      </c>
      <c r="I52" t="e">
        <f>'2.4.Функции'!OR136+"BYw!$`U"</f>
        <v>#VALUE!</v>
      </c>
      <c r="J52" t="e">
        <f>'2.4.Функции'!OS136+"BYw!$`V"</f>
        <v>#VALUE!</v>
      </c>
      <c r="K52" t="e">
        <f>'2.4.Функции'!OT136+"BYw!$`W"</f>
        <v>#VALUE!</v>
      </c>
      <c r="L52" t="e">
        <f>'2.4.Функции'!OU136+"BYw!$`X"</f>
        <v>#VALUE!</v>
      </c>
      <c r="M52" t="e">
        <f>'2.4.Функции'!OV136+"BYw!$`Y"</f>
        <v>#VALUE!</v>
      </c>
      <c r="N52" t="e">
        <f>'2.4.Функции'!OW136+"BYw!$`Z"</f>
        <v>#VALUE!</v>
      </c>
      <c r="O52" t="e">
        <f>'2.4.Функции'!OX136+"BYw!$`["</f>
        <v>#VALUE!</v>
      </c>
      <c r="P52" t="e">
        <f>'2.4.Функции'!OY136+"BYw!$`\"</f>
        <v>#VALUE!</v>
      </c>
      <c r="Q52" t="e">
        <f>'2.4.Функции'!OZ136+"BYw!$`]"</f>
        <v>#VALUE!</v>
      </c>
      <c r="R52" t="e">
        <f>'2.4.Функции'!PA136+"BYw!$`^"</f>
        <v>#VALUE!</v>
      </c>
      <c r="S52" t="e">
        <f>'2.4.Функции'!PB136+"BYw!$`_"</f>
        <v>#VALUE!</v>
      </c>
      <c r="T52" t="e">
        <f>'2.4.Функции'!PC136+"BYw!$``"</f>
        <v>#VALUE!</v>
      </c>
      <c r="U52" t="e">
        <f>'2.4.Функции'!PD136+"BYw!$`a"</f>
        <v>#VALUE!</v>
      </c>
      <c r="V52" t="e">
        <f>'2.4.Функции'!PE136+"BYw!$`b"</f>
        <v>#VALUE!</v>
      </c>
      <c r="W52" t="e">
        <f>'2.4.Функции'!PF136+"BYw!$`c"</f>
        <v>#VALUE!</v>
      </c>
      <c r="X52" t="e">
        <f>'2.4.Функции'!PG136+"BYw!$`d"</f>
        <v>#VALUE!</v>
      </c>
      <c r="Y52" t="e">
        <f>'2.4.Функции'!PH136+"BYw!$`e"</f>
        <v>#VALUE!</v>
      </c>
      <c r="Z52" t="e">
        <f>'2.4.Функции'!PI136+"BYw!$`f"</f>
        <v>#VALUE!</v>
      </c>
      <c r="AA52" t="e">
        <f>'2.4.Функции'!PJ136+"BYw!$`g"</f>
        <v>#VALUE!</v>
      </c>
      <c r="AB52" t="e">
        <f>'2.4.Функции'!PK136+"BYw!$`h"</f>
        <v>#VALUE!</v>
      </c>
      <c r="AC52" t="e">
        <f>'2.4.Функции'!PL136+"BYw!$`i"</f>
        <v>#VALUE!</v>
      </c>
      <c r="AD52" t="e">
        <f>'2.4.Функции'!PM136+"BYw!$`j"</f>
        <v>#VALUE!</v>
      </c>
      <c r="AE52" t="e">
        <f>'2.4.Функции'!PN136+"BYw!$`k"</f>
        <v>#VALUE!</v>
      </c>
      <c r="AF52" t="e">
        <f>'2.4.Функции'!PO136+"BYw!$`l"</f>
        <v>#VALUE!</v>
      </c>
      <c r="AG52" t="e">
        <f>'2.4.Функции'!PP136+"BYw!$`m"</f>
        <v>#VALUE!</v>
      </c>
      <c r="AH52" t="e">
        <f>'2.4.Функции'!PQ136+"BYw!$`n"</f>
        <v>#VALUE!</v>
      </c>
      <c r="AI52" t="e">
        <f>'2.4.Функции'!PR136+"BYw!$`o"</f>
        <v>#VALUE!</v>
      </c>
      <c r="AJ52" t="e">
        <f>'2.4.Функции'!PS136+"BYw!$`p"</f>
        <v>#VALUE!</v>
      </c>
      <c r="AK52" t="e">
        <f>'2.4.Функции'!PT136+"BYw!$`q"</f>
        <v>#VALUE!</v>
      </c>
      <c r="AL52" t="e">
        <f>'2.4.Функции'!PU136+"BYw!$`r"</f>
        <v>#VALUE!</v>
      </c>
      <c r="AM52" t="e">
        <f>'2.4.Функции'!PV136+"BYw!$`s"</f>
        <v>#VALUE!</v>
      </c>
      <c r="AN52" t="e">
        <f>'2.4.Функции'!PW136+"BYw!$`t"</f>
        <v>#VALUE!</v>
      </c>
      <c r="AO52" t="e">
        <f>'2.4.Функции'!PX136+"BYw!$`u"</f>
        <v>#VALUE!</v>
      </c>
      <c r="AP52" t="e">
        <f>'2.4.Функции'!PY136+"BYw!$`v"</f>
        <v>#VALUE!</v>
      </c>
      <c r="AQ52" t="e">
        <f>'2.4.Функции'!PZ136+"BYw!$`w"</f>
        <v>#VALUE!</v>
      </c>
      <c r="AR52" t="e">
        <f>'2.4.Функции'!QA136+"BYw!$`x"</f>
        <v>#VALUE!</v>
      </c>
      <c r="AS52" t="e">
        <f>'2.4.Функции'!QB136+"BYw!$`y"</f>
        <v>#VALUE!</v>
      </c>
      <c r="AT52" t="e">
        <f>'2.4.Функции'!QC136+"BYw!$`z"</f>
        <v>#VALUE!</v>
      </c>
      <c r="AU52" t="e">
        <f>'2.4.Функции'!QD136+"BYw!$`{"</f>
        <v>#VALUE!</v>
      </c>
      <c r="AV52" t="e">
        <f>'2.4.Функции'!QE136+"BYw!$`|"</f>
        <v>#VALUE!</v>
      </c>
      <c r="AW52" t="e">
        <f>'2.4.Функции'!QF136+"BYw!$`}"</f>
        <v>#VALUE!</v>
      </c>
      <c r="AX52" t="e">
        <f>'2.4.Функции'!QG136+"BYw!$`~"</f>
        <v>#VALUE!</v>
      </c>
      <c r="AY52" t="e">
        <f>'2.4.Функции'!QH136+"BYw!$a#"</f>
        <v>#VALUE!</v>
      </c>
      <c r="AZ52" t="e">
        <f>'2.4.Функции'!QI136+"BYw!$a$"</f>
        <v>#VALUE!</v>
      </c>
      <c r="BA52" t="e">
        <f>'2.4.Функции'!QJ136+"BYw!$a%"</f>
        <v>#VALUE!</v>
      </c>
      <c r="BB52" t="e">
        <f>'2.4.Функции'!QK136+"BYw!$a&amp;"</f>
        <v>#VALUE!</v>
      </c>
      <c r="BC52" t="e">
        <f>'2.4.Функции'!QL136+"BYw!$a'"</f>
        <v>#VALUE!</v>
      </c>
      <c r="BD52" t="e">
        <f>'2.4.Функции'!QM136+"BYw!$a("</f>
        <v>#VALUE!</v>
      </c>
      <c r="BE52" t="e">
        <f>'2.4.Функции'!QN136+"BYw!$a)"</f>
        <v>#VALUE!</v>
      </c>
      <c r="BF52" t="e">
        <f>'2.4.Функции'!QO136+"BYw!$a."</f>
        <v>#VALUE!</v>
      </c>
      <c r="BG52" t="e">
        <f>'2.4.Функции'!QP136+"BYw!$a/"</f>
        <v>#VALUE!</v>
      </c>
      <c r="BH52" t="e">
        <f>'2.4.Функции'!QQ136+"BYw!$a0"</f>
        <v>#VALUE!</v>
      </c>
      <c r="BI52" t="e">
        <f>'2.4.Функции'!QR136+"BYw!$a1"</f>
        <v>#VALUE!</v>
      </c>
      <c r="BJ52" t="e">
        <f>'2.4.Функции'!QS136+"BYw!$a2"</f>
        <v>#VALUE!</v>
      </c>
      <c r="BK52" t="e">
        <f>'2.4.Функции'!QT136+"BYw!$a3"</f>
        <v>#VALUE!</v>
      </c>
      <c r="BL52" t="e">
        <f>'2.4.Функции'!QU136+"BYw!$a4"</f>
        <v>#VALUE!</v>
      </c>
      <c r="BM52" t="e">
        <f>'2.4.Функции'!QV136+"BYw!$a5"</f>
        <v>#VALUE!</v>
      </c>
      <c r="BN52" t="e">
        <f>'2.4.Функции'!QW136+"BYw!$a6"</f>
        <v>#VALUE!</v>
      </c>
      <c r="BO52" t="e">
        <f>'2.4.Функции'!QX136+"BYw!$a7"</f>
        <v>#VALUE!</v>
      </c>
      <c r="BP52" t="e">
        <f>'2.4.Функции'!QY136+"BYw!$a8"</f>
        <v>#VALUE!</v>
      </c>
      <c r="BQ52" t="e">
        <f>'2.4.Функции'!QZ136+"BYw!$a9"</f>
        <v>#VALUE!</v>
      </c>
      <c r="BR52" t="e">
        <f>'2.4.Функции'!RA136+"BYw!$a:"</f>
        <v>#VALUE!</v>
      </c>
      <c r="BS52" t="e">
        <f>'2.4.Функции'!RB136+"BYw!$a;"</f>
        <v>#VALUE!</v>
      </c>
      <c r="BT52" t="e">
        <f>'2.4.Функции'!RC136+"BYw!$a&lt;"</f>
        <v>#VALUE!</v>
      </c>
      <c r="BU52" t="e">
        <f>'2.4.Функции'!RD136+"BYw!$a="</f>
        <v>#VALUE!</v>
      </c>
      <c r="BV52" t="e">
        <f>'2.4.Функции'!RE136+"BYw!$a&gt;"</f>
        <v>#VALUE!</v>
      </c>
      <c r="BW52" t="e">
        <f>'2.4.Функции'!RF136+"BYw!$a?"</f>
        <v>#VALUE!</v>
      </c>
      <c r="BX52" t="e">
        <f>'2.4.Функции'!RG136+"BYw!$a@"</f>
        <v>#VALUE!</v>
      </c>
      <c r="BY52" t="e">
        <f>'2.4.Функции'!RH136+"BYw!$aA"</f>
        <v>#VALUE!</v>
      </c>
      <c r="BZ52" t="e">
        <f>'2.4.Функции'!RI136+"BYw!$aB"</f>
        <v>#VALUE!</v>
      </c>
      <c r="CA52" t="e">
        <f>'2.4.Функции'!RJ136+"BYw!$aC"</f>
        <v>#VALUE!</v>
      </c>
      <c r="CB52" t="e">
        <f>'2.4.Функции'!RK136+"BYw!$aD"</f>
        <v>#VALUE!</v>
      </c>
      <c r="CC52" t="e">
        <f>'2.4.Функции'!RL136+"BYw!$aE"</f>
        <v>#VALUE!</v>
      </c>
      <c r="CD52" t="e">
        <f>'2.4.Функции'!RM136+"BYw!$aF"</f>
        <v>#VALUE!</v>
      </c>
      <c r="CE52" t="e">
        <f>'2.4.Функции'!RN136+"BYw!$aG"</f>
        <v>#VALUE!</v>
      </c>
      <c r="CF52" t="e">
        <f>'2.4.Функции'!RO136+"BYw!$aH"</f>
        <v>#VALUE!</v>
      </c>
      <c r="CG52" t="e">
        <f>'2.4.Функции'!RP136+"BYw!$aI"</f>
        <v>#VALUE!</v>
      </c>
      <c r="CH52" t="e">
        <f>'2.4.Функции'!RQ136+"BYw!$aJ"</f>
        <v>#VALUE!</v>
      </c>
      <c r="CI52" t="e">
        <f>'2.4.Функции'!RR136+"BYw!$aK"</f>
        <v>#VALUE!</v>
      </c>
      <c r="CJ52" t="e">
        <f>'2.4.Функции'!RS136+"BYw!$aL"</f>
        <v>#VALUE!</v>
      </c>
      <c r="CK52" t="e">
        <f>'2.4.Функции'!RT136+"BYw!$aM"</f>
        <v>#VALUE!</v>
      </c>
      <c r="CL52" t="e">
        <f>'2.4.Функции'!RU136+"BYw!$aN"</f>
        <v>#VALUE!</v>
      </c>
      <c r="CM52" t="e">
        <f>'2.4.Функции'!RV136+"BYw!$aO"</f>
        <v>#VALUE!</v>
      </c>
      <c r="CN52" t="e">
        <f>'2.4.Функции'!RW136+"BYw!$aP"</f>
        <v>#VALUE!</v>
      </c>
      <c r="CO52" t="e">
        <f>'2.4.Функции'!RX136+"BYw!$aQ"</f>
        <v>#VALUE!</v>
      </c>
      <c r="CP52" t="e">
        <f>'2.4.Функции'!RY136+"BYw!$aR"</f>
        <v>#VALUE!</v>
      </c>
      <c r="CQ52" t="e">
        <f>'2.4.Функции'!RZ136+"BYw!$aS"</f>
        <v>#VALUE!</v>
      </c>
      <c r="CR52" t="e">
        <f>'2.4.Функции'!SA136+"BYw!$aT"</f>
        <v>#VALUE!</v>
      </c>
      <c r="CS52" t="e">
        <f>'2.4.Функции'!SB136+"BYw!$aU"</f>
        <v>#VALUE!</v>
      </c>
      <c r="CT52" t="e">
        <f>'2.4.Функции'!SC136+"BYw!$aV"</f>
        <v>#VALUE!</v>
      </c>
      <c r="CU52" t="e">
        <f>'2.4.Функции'!SD136+"BYw!$aW"</f>
        <v>#VALUE!</v>
      </c>
      <c r="CV52" t="e">
        <f>'2.4.Функции'!SE136+"BYw!$aX"</f>
        <v>#VALUE!</v>
      </c>
      <c r="CW52" t="e">
        <f>'2.4.Функции'!SF136+"BYw!$aY"</f>
        <v>#VALUE!</v>
      </c>
      <c r="CX52" t="e">
        <f>'2.4.Функции'!SG136+"BYw!$aZ"</f>
        <v>#VALUE!</v>
      </c>
      <c r="CY52" t="e">
        <f>'2.4.Функции'!SH136+"BYw!$a["</f>
        <v>#VALUE!</v>
      </c>
      <c r="CZ52" t="e">
        <f>'2.4.Функции'!SI136+"BYw!$a\"</f>
        <v>#VALUE!</v>
      </c>
      <c r="DA52" t="e">
        <f>'2.4.Функции'!SJ136+"BYw!$a]"</f>
        <v>#VALUE!</v>
      </c>
      <c r="DB52" t="e">
        <f>'2.4.Функции'!SK136+"BYw!$a^"</f>
        <v>#VALUE!</v>
      </c>
      <c r="DC52" t="e">
        <f>'2.4.Функции'!SL136+"BYw!$a_"</f>
        <v>#VALUE!</v>
      </c>
      <c r="DD52" t="e">
        <f>'2.4.Функции'!SM136+"BYw!$a`"</f>
        <v>#VALUE!</v>
      </c>
      <c r="DE52" t="e">
        <f>'2.4.Функции'!SN136+"BYw!$aa"</f>
        <v>#VALUE!</v>
      </c>
      <c r="DF52" t="e">
        <f>'2.4.Функции'!SO136+"BYw!$ab"</f>
        <v>#VALUE!</v>
      </c>
      <c r="DG52" t="e">
        <f>'2.4.Функции'!SP136+"BYw!$ac"</f>
        <v>#VALUE!</v>
      </c>
      <c r="DH52" t="e">
        <f>'2.4.Функции'!SQ136+"BYw!$ad"</f>
        <v>#VALUE!</v>
      </c>
      <c r="DI52" t="e">
        <f>'2.4.Функции'!SR136+"BYw!$ae"</f>
        <v>#VALUE!</v>
      </c>
      <c r="DJ52" t="e">
        <f>'2.4.Функции'!SS136+"BYw!$af"</f>
        <v>#VALUE!</v>
      </c>
      <c r="DK52" t="e">
        <f>'2.4.Функции'!ST136+"BYw!$ag"</f>
        <v>#VALUE!</v>
      </c>
      <c r="DL52" t="e">
        <f>'2.4.Функции'!SU136+"BYw!$ah"</f>
        <v>#VALUE!</v>
      </c>
      <c r="DM52" t="e">
        <f>'2.4.Функции'!SV136+"BYw!$ai"</f>
        <v>#VALUE!</v>
      </c>
      <c r="DN52" t="e">
        <f>'2.4.Функции'!SW136+"BYw!$aj"</f>
        <v>#VALUE!</v>
      </c>
      <c r="DO52" t="e">
        <f>'2.4.Функции'!SX136+"BYw!$ak"</f>
        <v>#VALUE!</v>
      </c>
      <c r="DP52" t="e">
        <f>'2.4.Функции'!SY136+"BYw!$al"</f>
        <v>#VALUE!</v>
      </c>
      <c r="DQ52" t="e">
        <f>'2.4.Функции'!SZ136+"BYw!$am"</f>
        <v>#VALUE!</v>
      </c>
      <c r="DR52" t="e">
        <f>'2.4.Функции'!TA136+"BYw!$an"</f>
        <v>#VALUE!</v>
      </c>
      <c r="DS52" t="e">
        <f>'2.4.Функции'!TB136+"BYw!$ao"</f>
        <v>#VALUE!</v>
      </c>
      <c r="DT52" t="e">
        <f>'2.4.Функции'!TC136+"BYw!$ap"</f>
        <v>#VALUE!</v>
      </c>
      <c r="DU52" t="e">
        <f>'2.4.Функции'!TD136+"BYw!$aq"</f>
        <v>#VALUE!</v>
      </c>
      <c r="DV52" t="e">
        <f>'2.4.Функции'!TE136+"BYw!$ar"</f>
        <v>#VALUE!</v>
      </c>
      <c r="DW52" t="e">
        <f>'2.4.Функции'!TF136+"BYw!$as"</f>
        <v>#VALUE!</v>
      </c>
      <c r="DX52" t="e">
        <f>'2.4.Функции'!TG136+"BYw!$at"</f>
        <v>#VALUE!</v>
      </c>
      <c r="DY52" t="e">
        <f>'2.4.Функции'!TH136+"BYw!$au"</f>
        <v>#VALUE!</v>
      </c>
      <c r="DZ52" t="e">
        <f>'2.4.Функции'!TI136+"BYw!$av"</f>
        <v>#VALUE!</v>
      </c>
      <c r="EA52" t="e">
        <f>'2.4.Функции'!TJ136+"BYw!$aw"</f>
        <v>#VALUE!</v>
      </c>
      <c r="EB52" t="e">
        <f>'2.4.Функции'!TK136+"BYw!$ax"</f>
        <v>#VALUE!</v>
      </c>
      <c r="EC52" t="e">
        <f>'2.4.Функции'!TL136+"BYw!$ay"</f>
        <v>#VALUE!</v>
      </c>
      <c r="ED52" t="e">
        <f>'2.4.Функции'!TM136+"BYw!$az"</f>
        <v>#VALUE!</v>
      </c>
      <c r="EE52" t="e">
        <f>'2.4.Функции'!TN136+"BYw!$a{"</f>
        <v>#VALUE!</v>
      </c>
      <c r="EF52" t="e">
        <f>'2.4.Функции'!TO136+"BYw!$a|"</f>
        <v>#VALUE!</v>
      </c>
      <c r="EG52" t="e">
        <f>'2.4.Функции'!TP136+"BYw!$a}"</f>
        <v>#VALUE!</v>
      </c>
      <c r="EH52" t="e">
        <f>'2.4.Функции'!TQ136+"BYw!$a~"</f>
        <v>#VALUE!</v>
      </c>
      <c r="EI52" t="e">
        <f>'2.4.Функции'!TR136+"BYw!$b#"</f>
        <v>#VALUE!</v>
      </c>
      <c r="EJ52" t="e">
        <f>'2.4.Функции'!TS136+"BYw!$b$"</f>
        <v>#VALUE!</v>
      </c>
      <c r="EK52" t="e">
        <f>'2.4.Функции'!TT136+"BYw!$b%"</f>
        <v>#VALUE!</v>
      </c>
      <c r="EL52" t="e">
        <f>'2.4.Функции'!TU136+"BYw!$b&amp;"</f>
        <v>#VALUE!</v>
      </c>
      <c r="EM52" t="e">
        <f>'2.4.Функции'!TV136+"BYw!$b'"</f>
        <v>#VALUE!</v>
      </c>
      <c r="EN52" t="e">
        <f>'2.4.Функции'!TW136+"BYw!$b("</f>
        <v>#VALUE!</v>
      </c>
      <c r="EO52" t="e">
        <f>'2.4.Функции'!TX136+"BYw!$b)"</f>
        <v>#VALUE!</v>
      </c>
      <c r="EP52" t="e">
        <f>'2.4.Функции'!TY136+"BYw!$b."</f>
        <v>#VALUE!</v>
      </c>
      <c r="EQ52" t="e">
        <f>'2.4.Функции'!TZ136+"BYw!$b/"</f>
        <v>#VALUE!</v>
      </c>
      <c r="ER52" t="e">
        <f>'2.4.Функции'!UA136+"BYw!$b0"</f>
        <v>#VALUE!</v>
      </c>
      <c r="ES52" t="e">
        <f>'2.4.Функции'!UB136+"BYw!$b1"</f>
        <v>#VALUE!</v>
      </c>
      <c r="ET52" t="e">
        <f>'2.4.Функции'!UC136+"BYw!$b2"</f>
        <v>#VALUE!</v>
      </c>
      <c r="EU52" t="e">
        <f>'2.4.Функции'!UD136+"BYw!$b3"</f>
        <v>#VALUE!</v>
      </c>
      <c r="EV52" t="e">
        <f>'2.4.Функции'!UE136+"BYw!$b4"</f>
        <v>#VALUE!</v>
      </c>
      <c r="EW52" t="e">
        <f>'2.4.Функции'!UF136+"BYw!$b5"</f>
        <v>#VALUE!</v>
      </c>
      <c r="EX52" t="e">
        <f>'2.4.Функции'!UG136+"BYw!$b6"</f>
        <v>#VALUE!</v>
      </c>
      <c r="EY52" t="e">
        <f>'2.4.Функции'!UH136+"BYw!$b7"</f>
        <v>#VALUE!</v>
      </c>
      <c r="EZ52" t="e">
        <f>'2.4.Функции'!UI136+"BYw!$b8"</f>
        <v>#VALUE!</v>
      </c>
      <c r="FA52" t="e">
        <f>'2.4.Функции'!UJ136+"BYw!$b9"</f>
        <v>#VALUE!</v>
      </c>
      <c r="FB52" t="e">
        <f>'2.4.Функции'!UK136+"BYw!$b:"</f>
        <v>#VALUE!</v>
      </c>
      <c r="FC52" t="e">
        <f>'2.4.Функции'!UL136+"BYw!$b;"</f>
        <v>#VALUE!</v>
      </c>
      <c r="FD52" t="e">
        <f>'2.4.Функции'!UM136+"BYw!$b&lt;"</f>
        <v>#VALUE!</v>
      </c>
      <c r="FE52" t="e">
        <f>'2.4.Функции'!UN136+"BYw!$b="</f>
        <v>#VALUE!</v>
      </c>
      <c r="FF52" t="e">
        <f>'2.4.Функции'!UO136+"BYw!$b&gt;"</f>
        <v>#VALUE!</v>
      </c>
      <c r="FG52" t="e">
        <f>'2.4.Функции'!UP136+"BYw!$b?"</f>
        <v>#VALUE!</v>
      </c>
      <c r="FH52" t="e">
        <f>'2.4.Функции'!UQ136+"BYw!$b@"</f>
        <v>#VALUE!</v>
      </c>
      <c r="FI52" t="e">
        <f>'2.4.Функции'!UR136+"BYw!$bA"</f>
        <v>#VALUE!</v>
      </c>
      <c r="FJ52" t="e">
        <f>'2.4.Функции'!US136+"BYw!$bB"</f>
        <v>#VALUE!</v>
      </c>
      <c r="FK52" t="e">
        <f>'2.4.Функции'!UT136+"BYw!$bC"</f>
        <v>#VALUE!</v>
      </c>
      <c r="FL52" t="e">
        <f>'2.4.Функции'!UU136+"BYw!$bD"</f>
        <v>#VALUE!</v>
      </c>
      <c r="FM52" t="e">
        <f>'2.4.Функции'!UV136+"BYw!$bE"</f>
        <v>#VALUE!</v>
      </c>
      <c r="FN52" t="e">
        <f>'2.4.Функции'!UW136+"BYw!$bF"</f>
        <v>#VALUE!</v>
      </c>
      <c r="FO52" t="e">
        <f>'2.4.Функции'!UX136+"BYw!$bG"</f>
        <v>#VALUE!</v>
      </c>
      <c r="FP52" t="e">
        <f>'2.4.Функции'!UY136+"BYw!$bH"</f>
        <v>#VALUE!</v>
      </c>
      <c r="FQ52" t="e">
        <f>'2.4.Функции'!UZ136+"BYw!$bI"</f>
        <v>#VALUE!</v>
      </c>
      <c r="FR52" t="e">
        <f>'2.4.Функции'!VA136+"BYw!$bJ"</f>
        <v>#VALUE!</v>
      </c>
      <c r="FS52" t="e">
        <f>'2.4.Функции'!VB136+"BYw!$bK"</f>
        <v>#VALUE!</v>
      </c>
      <c r="FT52" t="e">
        <f>'2.4.Функции'!VC136+"BYw!$bL"</f>
        <v>#VALUE!</v>
      </c>
      <c r="FU52" t="e">
        <f>'2.4.Функции'!VD136+"BYw!$bM"</f>
        <v>#VALUE!</v>
      </c>
      <c r="FV52" t="e">
        <f>'2.4.Функции'!VE136+"BYw!$bN"</f>
        <v>#VALUE!</v>
      </c>
      <c r="FW52" t="e">
        <f>'2.4.Функции'!VF136+"BYw!$bO"</f>
        <v>#VALUE!</v>
      </c>
      <c r="FX52" t="e">
        <f>'2.4.Функции'!VG136+"BYw!$bP"</f>
        <v>#VALUE!</v>
      </c>
      <c r="FY52" t="e">
        <f>'2.4.Функции'!VH136+"BYw!$bQ"</f>
        <v>#VALUE!</v>
      </c>
      <c r="FZ52" t="e">
        <f>'2.4.Функции'!VI136+"BYw!$bR"</f>
        <v>#VALUE!</v>
      </c>
      <c r="GA52" t="e">
        <f>'2.4.Функции'!VJ136+"BYw!$bS"</f>
        <v>#VALUE!</v>
      </c>
      <c r="GB52" t="e">
        <f>'2.4.Функции'!VK136+"BYw!$bT"</f>
        <v>#VALUE!</v>
      </c>
      <c r="GC52" t="e">
        <f>'2.4.Функции'!VL136+"BYw!$bU"</f>
        <v>#VALUE!</v>
      </c>
      <c r="GD52" t="e">
        <f>'2.4.Функции'!VM136+"BYw!$bV"</f>
        <v>#VALUE!</v>
      </c>
      <c r="GE52" t="e">
        <f>'2.4.Функции'!VN136+"BYw!$bW"</f>
        <v>#VALUE!</v>
      </c>
      <c r="GF52" t="e">
        <f>'2.4.Функции'!VO136+"BYw!$bX"</f>
        <v>#VALUE!</v>
      </c>
      <c r="GG52" t="e">
        <f>'2.4.Функции'!VP136+"BYw!$bY"</f>
        <v>#VALUE!</v>
      </c>
      <c r="GH52" t="e">
        <f>'2.4.Функции'!VQ136+"BYw!$bZ"</f>
        <v>#VALUE!</v>
      </c>
      <c r="GI52" t="e">
        <f>'2.4.Функции'!VR136+"BYw!$b["</f>
        <v>#VALUE!</v>
      </c>
      <c r="GJ52" t="e">
        <f>'2.4.Функции'!VS136+"BYw!$b\"</f>
        <v>#VALUE!</v>
      </c>
      <c r="GK52" t="e">
        <f>'2.4.Функции'!VT136+"BYw!$b]"</f>
        <v>#VALUE!</v>
      </c>
      <c r="GL52" t="e">
        <f>'2.4.Функции'!VU136+"BYw!$b^"</f>
        <v>#VALUE!</v>
      </c>
      <c r="GM52" t="e">
        <f>'2.4.Функции'!VV136+"BYw!$b_"</f>
        <v>#VALUE!</v>
      </c>
      <c r="GN52" t="e">
        <f>'2.4.Функции'!VW136+"BYw!$b`"</f>
        <v>#VALUE!</v>
      </c>
      <c r="GO52" t="e">
        <f>'2.4.Функции'!VX136+"BYw!$ba"</f>
        <v>#VALUE!</v>
      </c>
      <c r="GP52" t="e">
        <f>'2.4.Функции'!VY136+"BYw!$bb"</f>
        <v>#VALUE!</v>
      </c>
      <c r="GQ52" t="e">
        <f>'2.4.Функции'!VZ136+"BYw!$bc"</f>
        <v>#VALUE!</v>
      </c>
      <c r="GR52" t="e">
        <f>'2.4.Функции'!WA136+"BYw!$bd"</f>
        <v>#VALUE!</v>
      </c>
      <c r="GS52" t="e">
        <f>'2.4.Функции'!WB136+"BYw!$be"</f>
        <v>#VALUE!</v>
      </c>
      <c r="GT52" t="e">
        <f>'2.4.Функции'!WC136+"BYw!$bf"</f>
        <v>#VALUE!</v>
      </c>
      <c r="GU52" t="e">
        <f>'2.4.Функции'!WD136+"BYw!$bg"</f>
        <v>#VALUE!</v>
      </c>
      <c r="GV52" t="e">
        <f>'2.4.Функции'!WE136+"BYw!$bh"</f>
        <v>#VALUE!</v>
      </c>
      <c r="GW52" t="e">
        <f>'2.4.Функции'!WF136+"BYw!$bi"</f>
        <v>#VALUE!</v>
      </c>
      <c r="GX52" t="e">
        <f>'2.4.Функции'!WG136+"BYw!$bj"</f>
        <v>#VALUE!</v>
      </c>
      <c r="GY52" t="e">
        <f>'2.4.Функции'!WH136+"BYw!$bk"</f>
        <v>#VALUE!</v>
      </c>
      <c r="GZ52" t="e">
        <f>'2.4.Функции'!WI136+"BYw!$bl"</f>
        <v>#VALUE!</v>
      </c>
      <c r="HA52" t="e">
        <f>'2.4.Функции'!WJ136+"BYw!$bm"</f>
        <v>#VALUE!</v>
      </c>
      <c r="HB52" t="e">
        <f>'2.4.Функции'!WK136+"BYw!$bn"</f>
        <v>#VALUE!</v>
      </c>
      <c r="HC52" t="e">
        <f>'2.4.Функции'!WL136+"BYw!$bo"</f>
        <v>#VALUE!</v>
      </c>
      <c r="HD52" t="e">
        <f>'2.4.Функции'!WM136+"BYw!$bp"</f>
        <v>#VALUE!</v>
      </c>
      <c r="HE52" t="e">
        <f>'2.4.Функции'!WN136+"BYw!$bq"</f>
        <v>#VALUE!</v>
      </c>
      <c r="HF52" t="e">
        <f>'2.4.Функции'!WO136+"BYw!$br"</f>
        <v>#VALUE!</v>
      </c>
      <c r="HG52" t="e">
        <f>'2.4.Функции'!WP136+"BYw!$bs"</f>
        <v>#VALUE!</v>
      </c>
      <c r="HH52" t="e">
        <f>'2.4.Функции'!WQ136+"BYw!$bt"</f>
        <v>#VALUE!</v>
      </c>
      <c r="HI52" t="e">
        <f>'2.4.Функции'!WR136+"BYw!$bu"</f>
        <v>#VALUE!</v>
      </c>
      <c r="HJ52" t="e">
        <f>'2.4.Функции'!WS136+"BYw!$bv"</f>
        <v>#VALUE!</v>
      </c>
      <c r="HK52" t="e">
        <f>'2.4.Функции'!WT136+"BYw!$bw"</f>
        <v>#VALUE!</v>
      </c>
      <c r="HL52" t="e">
        <f>'2.4.Функции'!WU136+"BYw!$bx"</f>
        <v>#VALUE!</v>
      </c>
      <c r="HM52" t="e">
        <f>'2.4.Функции'!WV136+"BYw!$by"</f>
        <v>#VALUE!</v>
      </c>
      <c r="HN52" t="e">
        <f>'2.4.Функции'!WW136+"BYw!$bz"</f>
        <v>#VALUE!</v>
      </c>
      <c r="HO52" t="e">
        <f>'2.4.Функции'!WX136+"BYw!$b{"</f>
        <v>#VALUE!</v>
      </c>
      <c r="HP52" t="e">
        <f>'2.4.Функции'!WY136+"BYw!$b|"</f>
        <v>#VALUE!</v>
      </c>
      <c r="HQ52" t="e">
        <f>'2.4.Функции'!WZ136+"BYw!$b}"</f>
        <v>#VALUE!</v>
      </c>
      <c r="HR52" t="e">
        <f>'2.4.Функции'!XA136+"BYw!$b~"</f>
        <v>#VALUE!</v>
      </c>
      <c r="HS52" t="e">
        <f>'2.4.Функции'!XB136+"BYw!$c#"</f>
        <v>#VALUE!</v>
      </c>
      <c r="HT52" t="e">
        <f>'2.4.Функции'!XC136+"BYw!$c$"</f>
        <v>#VALUE!</v>
      </c>
      <c r="HU52" t="e">
        <f>'2.4.Функции'!XD136+"BYw!$c%"</f>
        <v>#VALUE!</v>
      </c>
      <c r="HV52" t="e">
        <f>'2.4.Функции'!XE136+"BYw!$c&amp;"</f>
        <v>#VALUE!</v>
      </c>
      <c r="HW52" t="e">
        <f>'2.4.Функции'!XF136+"BYw!$c'"</f>
        <v>#VALUE!</v>
      </c>
      <c r="HX52" t="e">
        <f>'2.4.Функции'!XG136+"BYw!$c("</f>
        <v>#VALUE!</v>
      </c>
      <c r="HY52" t="e">
        <f>'2.4.Функции'!XH136+"BYw!$c)"</f>
        <v>#VALUE!</v>
      </c>
      <c r="HZ52" t="e">
        <f>'2.4.Функции'!XI136+"BYw!$c."</f>
        <v>#VALUE!</v>
      </c>
      <c r="IA52" t="e">
        <f>'2.4.Функции'!XJ136+"BYw!$c/"</f>
        <v>#VALUE!</v>
      </c>
      <c r="IB52" t="e">
        <f>'2.4.Функции'!XK136+"BYw!$c0"</f>
        <v>#VALUE!</v>
      </c>
      <c r="IC52" t="e">
        <f>'2.4.Функции'!XL136+"BYw!$c1"</f>
        <v>#VALUE!</v>
      </c>
      <c r="ID52" t="e">
        <f>'2.4.Функции'!XM136+"BYw!$c2"</f>
        <v>#VALUE!</v>
      </c>
      <c r="IE52" t="e">
        <f>'2.4.Функции'!XN136+"BYw!$c3"</f>
        <v>#VALUE!</v>
      </c>
      <c r="IF52" t="e">
        <f>'2.4.Функции'!XO136+"BYw!$c4"</f>
        <v>#VALUE!</v>
      </c>
      <c r="IG52" t="e">
        <f>'2.4.Функции'!XP136+"BYw!$c5"</f>
        <v>#VALUE!</v>
      </c>
      <c r="IH52" t="e">
        <f>'2.4.Функции'!XQ136+"BYw!$c6"</f>
        <v>#VALUE!</v>
      </c>
      <c r="II52" t="e">
        <f>'2.4.Функции'!XR136+"BYw!$c7"</f>
        <v>#VALUE!</v>
      </c>
      <c r="IJ52" t="e">
        <f>'2.4.Функции'!XS136+"BYw!$c8"</f>
        <v>#VALUE!</v>
      </c>
      <c r="IK52" t="e">
        <f>'2.4.Функции'!XT136+"BYw!$c9"</f>
        <v>#VALUE!</v>
      </c>
      <c r="IL52" t="e">
        <f>'2.4.Функции'!XU136+"BYw!$c:"</f>
        <v>#VALUE!</v>
      </c>
      <c r="IM52" t="e">
        <f>'2.4.Функции'!XV136+"BYw!$c;"</f>
        <v>#VALUE!</v>
      </c>
      <c r="IN52" t="e">
        <f>'2.4.Функции'!XW136+"BYw!$c&lt;"</f>
        <v>#VALUE!</v>
      </c>
      <c r="IO52" t="e">
        <f>'2.4.Функции'!XX136+"BYw!$c="</f>
        <v>#VALUE!</v>
      </c>
      <c r="IP52" t="e">
        <f>'2.4.Функции'!XY136+"BYw!$c&gt;"</f>
        <v>#VALUE!</v>
      </c>
      <c r="IQ52" t="e">
        <f>'2.4.Функции'!XZ136+"BYw!$c?"</f>
        <v>#VALUE!</v>
      </c>
      <c r="IR52" t="e">
        <f>'2.4.Функции'!YA136+"BYw!$c@"</f>
        <v>#VALUE!</v>
      </c>
      <c r="IS52" t="e">
        <f>'2.4.Функции'!YB136+"BYw!$cA"</f>
        <v>#VALUE!</v>
      </c>
      <c r="IT52" t="e">
        <f>'2.4.Функции'!YC136+"BYw!$cB"</f>
        <v>#VALUE!</v>
      </c>
      <c r="IU52" t="e">
        <f>'2.4.Функции'!YD136+"BYw!$cC"</f>
        <v>#VALUE!</v>
      </c>
      <c r="IV52" t="e">
        <f>'2.4.Функции'!YE136+"BYw!$cD"</f>
        <v>#VALUE!</v>
      </c>
    </row>
    <row r="53" spans="6:256" x14ac:dyDescent="0.2">
      <c r="F53" t="e">
        <f>'2.4.Функции'!YF136+"BYw!$cE"</f>
        <v>#VALUE!</v>
      </c>
      <c r="G53" t="e">
        <f>'2.4.Функции'!YG136+"BYw!$cF"</f>
        <v>#VALUE!</v>
      </c>
      <c r="H53" t="e">
        <f>'2.4.Функции'!YH136+"BYw!$cG"</f>
        <v>#VALUE!</v>
      </c>
      <c r="I53" t="e">
        <f>'2.4.Функции'!YI136+"BYw!$cH"</f>
        <v>#VALUE!</v>
      </c>
      <c r="J53" t="e">
        <f>'2.4.Функции'!YJ136+"BYw!$cI"</f>
        <v>#VALUE!</v>
      </c>
      <c r="K53" t="e">
        <f>'2.4.Функции'!YK136+"BYw!$cJ"</f>
        <v>#VALUE!</v>
      </c>
      <c r="L53" t="e">
        <f>'2.4.Функции'!YL136+"BYw!$cK"</f>
        <v>#VALUE!</v>
      </c>
      <c r="M53" t="e">
        <f>'2.4.Функции'!YM136+"BYw!$cL"</f>
        <v>#VALUE!</v>
      </c>
      <c r="N53" t="e">
        <f>'2.4.Функции'!YN136+"BYw!$cM"</f>
        <v>#VALUE!</v>
      </c>
      <c r="O53" t="e">
        <f>'2.4.Функции'!YO136+"BYw!$cN"</f>
        <v>#VALUE!</v>
      </c>
      <c r="P53" t="e">
        <f>'2.4.Функции'!YP136+"BYw!$cO"</f>
        <v>#VALUE!</v>
      </c>
      <c r="Q53" t="e">
        <f>'2.4.Функции'!YQ136+"BYw!$cP"</f>
        <v>#VALUE!</v>
      </c>
      <c r="R53" t="e">
        <f>'2.4.Функции'!YR136+"BYw!$cQ"</f>
        <v>#VALUE!</v>
      </c>
      <c r="S53" t="e">
        <f>'2.4.Функции'!YS136+"BYw!$cR"</f>
        <v>#VALUE!</v>
      </c>
      <c r="T53" t="e">
        <f>'2.4.Функции'!YT136+"BYw!$cS"</f>
        <v>#VALUE!</v>
      </c>
      <c r="U53" t="e">
        <f>'2.4.Функции'!YU136+"BYw!$cT"</f>
        <v>#VALUE!</v>
      </c>
      <c r="V53" t="e">
        <f>'2.4.Функции'!YV136+"BYw!$cU"</f>
        <v>#VALUE!</v>
      </c>
      <c r="W53" t="e">
        <f>'2.4.Функции'!YW136+"BYw!$cV"</f>
        <v>#VALUE!</v>
      </c>
      <c r="X53" t="e">
        <f>'2.4.Функции'!YX136+"BYw!$cW"</f>
        <v>#VALUE!</v>
      </c>
      <c r="Y53" t="e">
        <f>'2.4.Функции'!YY136+"BYw!$cX"</f>
        <v>#VALUE!</v>
      </c>
      <c r="Z53" t="e">
        <f>'2.4.Функции'!YZ136+"BYw!$cY"</f>
        <v>#VALUE!</v>
      </c>
      <c r="AA53" t="e">
        <f>'2.4.Функции'!ZA136+"BYw!$cZ"</f>
        <v>#VALUE!</v>
      </c>
      <c r="AB53" t="e">
        <f>'2.4.Функции'!ZB136+"BYw!$c["</f>
        <v>#VALUE!</v>
      </c>
      <c r="AC53" t="e">
        <f>'2.4.Функции'!ZC136+"BYw!$c\"</f>
        <v>#VALUE!</v>
      </c>
      <c r="AD53" t="e">
        <f>'2.4.Функции'!ZD136+"BYw!$c]"</f>
        <v>#VALUE!</v>
      </c>
      <c r="AE53" t="e">
        <f>'2.4.Функции'!ZE136+"BYw!$c^"</f>
        <v>#VALUE!</v>
      </c>
      <c r="AF53" t="e">
        <f>'2.4.Функции'!ZF136+"BYw!$c_"</f>
        <v>#VALUE!</v>
      </c>
      <c r="AG53" t="e">
        <f>'2.4.Функции'!ZG136+"BYw!$c`"</f>
        <v>#VALUE!</v>
      </c>
      <c r="AH53" t="e">
        <f>'2.4.Функции'!ZH136+"BYw!$ca"</f>
        <v>#VALUE!</v>
      </c>
      <c r="AI53" t="e">
        <f>'2.4.Функции'!ZI136+"BYw!$cb"</f>
        <v>#VALUE!</v>
      </c>
      <c r="AJ53" t="e">
        <f>'2.4.Функции'!ZJ136+"BYw!$cc"</f>
        <v>#VALUE!</v>
      </c>
      <c r="AK53" t="e">
        <f>'2.4.Функции'!ZK136+"BYw!$cd"</f>
        <v>#VALUE!</v>
      </c>
      <c r="AL53" t="e">
        <f>'2.4.Функции'!ZL136+"BYw!$ce"</f>
        <v>#VALUE!</v>
      </c>
      <c r="AM53" t="e">
        <f>'2.4.Функции'!ZM136+"BYw!$cf"</f>
        <v>#VALUE!</v>
      </c>
      <c r="AN53" t="e">
        <f>'2.4.Функции'!ZN136+"BYw!$cg"</f>
        <v>#VALUE!</v>
      </c>
      <c r="AO53" t="e">
        <f>'2.4.Функции'!ZO136+"BYw!$ch"</f>
        <v>#VALUE!</v>
      </c>
      <c r="AP53" t="e">
        <f>'2.4.Функции'!ZP136+"BYw!$ci"</f>
        <v>#VALUE!</v>
      </c>
      <c r="AQ53" t="e">
        <f>'2.4.Функции'!ZQ136+"BYw!$cj"</f>
        <v>#VALUE!</v>
      </c>
      <c r="AR53" t="e">
        <f>'2.4.Функции'!ZR136+"BYw!$ck"</f>
        <v>#VALUE!</v>
      </c>
      <c r="AS53" t="e">
        <f>'2.4.Функции'!ZS136+"BYw!$cl"</f>
        <v>#VALUE!</v>
      </c>
      <c r="AT53" t="e">
        <f>'2.4.Функции'!ZT136+"BYw!$cm"</f>
        <v>#VALUE!</v>
      </c>
      <c r="AU53" t="e">
        <f>'2.4.Функции'!ZU136+"BYw!$cn"</f>
        <v>#VALUE!</v>
      </c>
      <c r="AV53" t="e">
        <f>'2.4.Функции'!ZV136+"BYw!$co"</f>
        <v>#VALUE!</v>
      </c>
      <c r="AW53" t="e">
        <f>'2.4.Функции'!ZW136+"BYw!$cp"</f>
        <v>#VALUE!</v>
      </c>
      <c r="AX53" t="e">
        <f>'2.4.Функции'!ZX136+"BYw!$cq"</f>
        <v>#VALUE!</v>
      </c>
      <c r="AY53" t="e">
        <f>'2.4.Функции'!ZY136+"BYw!$cr"</f>
        <v>#VALUE!</v>
      </c>
      <c r="AZ53" t="e">
        <f>'2.4.Функции'!ZZ136+"BYw!$cs"</f>
        <v>#VALUE!</v>
      </c>
      <c r="BA53" t="e">
        <f>'2.4.Функции'!AAA136+"BYw!$ct"</f>
        <v>#VALUE!</v>
      </c>
      <c r="BB53" t="e">
        <f>'2.4.Функции'!AAB136+"BYw!$cu"</f>
        <v>#VALUE!</v>
      </c>
      <c r="BC53" t="e">
        <f>'2.4.Функции'!AAC136+"BYw!$cv"</f>
        <v>#VALUE!</v>
      </c>
      <c r="BD53" t="e">
        <f>'2.4.Функции'!AAD136+"BYw!$cw"</f>
        <v>#VALUE!</v>
      </c>
      <c r="BE53" t="e">
        <f>'2.4.Функции'!AAE136+"BYw!$cx"</f>
        <v>#VALUE!</v>
      </c>
      <c r="BF53" t="e">
        <f>'2.4.Функции'!AAF136+"BYw!$cy"</f>
        <v>#VALUE!</v>
      </c>
      <c r="BG53" t="e">
        <f>'2.4.Функции'!AAG136+"BYw!$cz"</f>
        <v>#VALUE!</v>
      </c>
      <c r="BH53" t="e">
        <f>'2.4.Функции'!AAH136+"BYw!$c{"</f>
        <v>#VALUE!</v>
      </c>
      <c r="BI53" t="e">
        <f>'2.4.Функции'!AAI136+"BYw!$c|"</f>
        <v>#VALUE!</v>
      </c>
      <c r="BJ53" t="e">
        <f>'2.4.Функции'!AAJ136+"BYw!$c}"</f>
        <v>#VALUE!</v>
      </c>
      <c r="BK53" t="e">
        <f>'2.4.Функции'!AAK136+"BYw!$c~"</f>
        <v>#VALUE!</v>
      </c>
      <c r="BL53" t="e">
        <f>'2.4.Функции'!AAL136+"BYw!$d#"</f>
        <v>#VALUE!</v>
      </c>
      <c r="BM53" t="e">
        <f>'2.4.Функции'!AAM136+"BYw!$d$"</f>
        <v>#VALUE!</v>
      </c>
      <c r="BN53" t="e">
        <f>'2.4.Функции'!AAN136+"BYw!$d%"</f>
        <v>#VALUE!</v>
      </c>
      <c r="BO53" t="e">
        <f>'2.4.Функции'!AAO136+"BYw!$d&amp;"</f>
        <v>#VALUE!</v>
      </c>
      <c r="BP53" t="e">
        <f>'2.4.Функции'!AAP136+"BYw!$d'"</f>
        <v>#VALUE!</v>
      </c>
      <c r="BQ53" t="e">
        <f>'2.4.Функции'!AAQ136+"BYw!$d("</f>
        <v>#VALUE!</v>
      </c>
      <c r="BR53" t="e">
        <f>'2.4.Функции'!AAR136+"BYw!$d)"</f>
        <v>#VALUE!</v>
      </c>
      <c r="BS53" t="e">
        <f>'2.4.Функции'!AAS136+"BYw!$d."</f>
        <v>#VALUE!</v>
      </c>
      <c r="BT53" t="e">
        <f>'2.4.Функции'!AAT136+"BYw!$d/"</f>
        <v>#VALUE!</v>
      </c>
      <c r="BU53" t="e">
        <f>'2.4.Функции'!AAU136+"BYw!$d0"</f>
        <v>#VALUE!</v>
      </c>
      <c r="BV53" t="e">
        <f>'2.4.Функции'!AAV136+"BYw!$d1"</f>
        <v>#VALUE!</v>
      </c>
      <c r="BW53" t="e">
        <f>'2.4.Функции'!AAW136+"BYw!$d2"</f>
        <v>#VALUE!</v>
      </c>
      <c r="BX53" t="e">
        <f>'2.4.Функции'!AAX136+"BYw!$d3"</f>
        <v>#VALUE!</v>
      </c>
      <c r="BY53" t="e">
        <f>'2.4.Функции'!AAY136+"BYw!$d4"</f>
        <v>#VALUE!</v>
      </c>
      <c r="BZ53" t="e">
        <f>'2.4.Функции'!AAZ136+"BYw!$d5"</f>
        <v>#VALUE!</v>
      </c>
      <c r="CA53" t="e">
        <f>'2.4.Функции'!ABA136+"BYw!$d6"</f>
        <v>#VALUE!</v>
      </c>
      <c r="CB53" t="e">
        <f>'2.4.Функции'!ABB136+"BYw!$d7"</f>
        <v>#VALUE!</v>
      </c>
      <c r="CC53" t="e">
        <f>'2.4.Функции'!ABC136+"BYw!$d8"</f>
        <v>#VALUE!</v>
      </c>
      <c r="CD53" t="e">
        <f>'2.4.Функции'!ABD136+"BYw!$d9"</f>
        <v>#VALUE!</v>
      </c>
      <c r="CE53" t="e">
        <f>'2.4.Функции'!ABE136+"BYw!$d:"</f>
        <v>#VALUE!</v>
      </c>
      <c r="CF53" t="e">
        <f>'2.4.Функции'!ABF136+"BYw!$d;"</f>
        <v>#VALUE!</v>
      </c>
      <c r="CG53" t="e">
        <f>'2.4.Функции'!ABG136+"BYw!$d&lt;"</f>
        <v>#VALUE!</v>
      </c>
      <c r="CH53" t="e">
        <f>'2.4.Функции'!ABH136+"BYw!$d="</f>
        <v>#VALUE!</v>
      </c>
      <c r="CI53" t="e">
        <f>'2.4.Функции'!ABI136+"BYw!$d&gt;"</f>
        <v>#VALUE!</v>
      </c>
      <c r="CJ53" t="e">
        <f>'2.4.Функции'!ABJ136+"BYw!$d?"</f>
        <v>#VALUE!</v>
      </c>
      <c r="CK53" t="e">
        <f>'2.4.Функции'!ABK136+"BYw!$d@"</f>
        <v>#VALUE!</v>
      </c>
      <c r="CL53" t="e">
        <f>'2.4.Функции'!ABL136+"BYw!$dA"</f>
        <v>#VALUE!</v>
      </c>
      <c r="CM53" t="e">
        <f>'2.4.Функции'!ABM136+"BYw!$dB"</f>
        <v>#VALUE!</v>
      </c>
      <c r="CN53" t="e">
        <f>'2.4.Функции'!ABN136+"BYw!$dC"</f>
        <v>#VALUE!</v>
      </c>
      <c r="CO53" t="e">
        <f>'2.4.Функции'!ABO136+"BYw!$dD"</f>
        <v>#VALUE!</v>
      </c>
      <c r="CP53" t="e">
        <f>'2.4.Функции'!ABP136+"BYw!$dE"</f>
        <v>#VALUE!</v>
      </c>
      <c r="CQ53" t="e">
        <f>'2.4.Функции'!ABQ136+"BYw!$dF"</f>
        <v>#VALUE!</v>
      </c>
      <c r="CR53" t="e">
        <f>'2.4.Функции'!ABR136+"BYw!$dG"</f>
        <v>#VALUE!</v>
      </c>
      <c r="CS53" t="e">
        <f>'2.4.Функции'!ABS136+"BYw!$dH"</f>
        <v>#VALUE!</v>
      </c>
      <c r="CT53" t="e">
        <f>'2.4.Функции'!ABT136+"BYw!$dI"</f>
        <v>#VALUE!</v>
      </c>
      <c r="CU53" t="e">
        <f>'2.4.Функции'!ABU136+"BYw!$dJ"</f>
        <v>#VALUE!</v>
      </c>
      <c r="CV53" t="e">
        <f>'2.4.Функции'!ABV136+"BYw!$dK"</f>
        <v>#VALUE!</v>
      </c>
      <c r="CW53" t="e">
        <f>'2.4.Функции'!ABW136+"BYw!$dL"</f>
        <v>#VALUE!</v>
      </c>
      <c r="CX53" t="e">
        <f>'2.4.Функции'!ABX136+"BYw!$dM"</f>
        <v>#VALUE!</v>
      </c>
      <c r="CY53" t="e">
        <f>'2.4.Функции'!ABY136+"BYw!$dN"</f>
        <v>#VALUE!</v>
      </c>
      <c r="CZ53" t="e">
        <f>'2.4.Функции'!ABZ136+"BYw!$dO"</f>
        <v>#VALUE!</v>
      </c>
      <c r="DA53" t="e">
        <f>'2.4.Функции'!ACA136+"BYw!$dP"</f>
        <v>#VALUE!</v>
      </c>
      <c r="DB53" t="e">
        <f>'2.4.Функции'!ACB136+"BYw!$dQ"</f>
        <v>#VALUE!</v>
      </c>
      <c r="DC53" t="e">
        <f>'2.4.Функции'!ACC136+"BYw!$dR"</f>
        <v>#VALUE!</v>
      </c>
      <c r="DD53" t="e">
        <f>'2.4.Функции'!ACD136+"BYw!$dS"</f>
        <v>#VALUE!</v>
      </c>
      <c r="DE53" t="e">
        <f>'2.4.Функции'!ACE136+"BYw!$dT"</f>
        <v>#VALUE!</v>
      </c>
      <c r="DF53" t="e">
        <f>'2.4.Функции'!ACF136+"BYw!$dU"</f>
        <v>#VALUE!</v>
      </c>
      <c r="DG53" t="e">
        <f>'2.4.Функции'!ACG136+"BYw!$dV"</f>
        <v>#VALUE!</v>
      </c>
      <c r="DH53" t="e">
        <f>'2.4.Функции'!ACH136+"BYw!$dW"</f>
        <v>#VALUE!</v>
      </c>
      <c r="DI53" t="e">
        <f>'2.4.Функции'!ACI136+"BYw!$dX"</f>
        <v>#VALUE!</v>
      </c>
      <c r="DJ53" t="e">
        <f>'2.4.Функции'!ACJ136+"BYw!$dY"</f>
        <v>#VALUE!</v>
      </c>
      <c r="DK53" t="e">
        <f>'2.4.Функции'!ACK136+"BYw!$dZ"</f>
        <v>#VALUE!</v>
      </c>
      <c r="DL53" t="e">
        <f>'2.4.Функции'!ACL136+"BYw!$d["</f>
        <v>#VALUE!</v>
      </c>
      <c r="DM53" t="e">
        <f>'2.4.Функции'!ACM136+"BYw!$d\"</f>
        <v>#VALUE!</v>
      </c>
      <c r="DN53" t="e">
        <f>'2.4.Функции'!ACN136+"BYw!$d]"</f>
        <v>#VALUE!</v>
      </c>
      <c r="DO53" t="e">
        <f>'2.4.Функции'!ACO136+"BYw!$d^"</f>
        <v>#VALUE!</v>
      </c>
      <c r="DP53" t="e">
        <f>'2.4.Функции'!ACP136+"BYw!$d_"</f>
        <v>#VALUE!</v>
      </c>
      <c r="DQ53" t="e">
        <f>'2.4.Функции'!ACQ136+"BYw!$d`"</f>
        <v>#VALUE!</v>
      </c>
      <c r="DR53" t="e">
        <f>'2.4.Функции'!ACR136+"BYw!$da"</f>
        <v>#VALUE!</v>
      </c>
      <c r="DS53" t="e">
        <f>'2.4.Функции'!ACS136+"BYw!$db"</f>
        <v>#VALUE!</v>
      </c>
      <c r="DT53" t="e">
        <f>'2.4.Функции'!ACT136+"BYw!$dc"</f>
        <v>#VALUE!</v>
      </c>
      <c r="DU53" t="e">
        <f>'2.4.Функции'!ACU136+"BYw!$dd"</f>
        <v>#VALUE!</v>
      </c>
      <c r="DV53" t="e">
        <f>'2.4.Функции'!ACV136+"BYw!$de"</f>
        <v>#VALUE!</v>
      </c>
      <c r="DW53" t="e">
        <f>'2.4.Функции'!ACW136+"BYw!$df"</f>
        <v>#VALUE!</v>
      </c>
      <c r="DX53" t="e">
        <f>'2.4.Функции'!ACX136+"BYw!$dg"</f>
        <v>#VALUE!</v>
      </c>
      <c r="DY53" t="e">
        <f>'2.4.Функции'!ACY136+"BYw!$dh"</f>
        <v>#VALUE!</v>
      </c>
      <c r="DZ53" t="e">
        <f>'2.4.Функции'!ACZ136+"BYw!$di"</f>
        <v>#VALUE!</v>
      </c>
      <c r="EA53" t="e">
        <f>'2.4.Функции'!ADA136+"BYw!$dj"</f>
        <v>#VALUE!</v>
      </c>
      <c r="EB53" t="e">
        <f>'2.4.Функции'!ADB136+"BYw!$dk"</f>
        <v>#VALUE!</v>
      </c>
      <c r="EC53" t="e">
        <f>'2.4.Функции'!ADC136+"BYw!$dl"</f>
        <v>#VALUE!</v>
      </c>
      <c r="ED53" t="e">
        <f>'2.4.Функции'!ADD136+"BYw!$dm"</f>
        <v>#VALUE!</v>
      </c>
      <c r="EE53" t="e">
        <f>'2.4.Функции'!ADE136+"BYw!$dn"</f>
        <v>#VALUE!</v>
      </c>
      <c r="EF53" t="e">
        <f>'2.4.Функции'!ADF136+"BYw!$do"</f>
        <v>#VALUE!</v>
      </c>
      <c r="EG53" t="e">
        <f>'2.4.Функции'!ADG136+"BYw!$dp"</f>
        <v>#VALUE!</v>
      </c>
      <c r="EH53" t="e">
        <f>'2.4.Функции'!ADH136+"BYw!$dq"</f>
        <v>#VALUE!</v>
      </c>
      <c r="EI53" t="e">
        <f>'2.4.Функции'!ADI136+"BYw!$dr"</f>
        <v>#VALUE!</v>
      </c>
      <c r="EJ53" t="e">
        <f>'2.4.Функции'!ADJ136+"BYw!$ds"</f>
        <v>#VALUE!</v>
      </c>
      <c r="EK53" t="e">
        <f>'2.4.Функции'!ADK136+"BYw!$dt"</f>
        <v>#VALUE!</v>
      </c>
      <c r="EL53" t="e">
        <f>'2.4.Функции'!ADL136+"BYw!$du"</f>
        <v>#VALUE!</v>
      </c>
      <c r="EM53" t="e">
        <f>'2.4.Функции'!ADM136+"BYw!$dv"</f>
        <v>#VALUE!</v>
      </c>
      <c r="EN53" t="e">
        <f>'2.4.Функции'!ADN136+"BYw!$dw"</f>
        <v>#VALUE!</v>
      </c>
      <c r="EO53" t="e">
        <f>'2.4.Функции'!ADO136+"BYw!$dx"</f>
        <v>#VALUE!</v>
      </c>
      <c r="EP53" t="e">
        <f>'2.4.Функции'!ADP136+"BYw!$dy"</f>
        <v>#VALUE!</v>
      </c>
      <c r="EQ53" t="e">
        <f>'2.4.Функции'!ADQ136+"BYw!$dz"</f>
        <v>#VALUE!</v>
      </c>
      <c r="ER53" t="e">
        <f>'2.4.Функции'!ADR136+"BYw!$d{"</f>
        <v>#VALUE!</v>
      </c>
      <c r="ES53" t="e">
        <f>'2.4.Функции'!ADS136+"BYw!$d|"</f>
        <v>#VALUE!</v>
      </c>
      <c r="ET53" t="e">
        <f>'2.4.Функции'!ADT136+"BYw!$d}"</f>
        <v>#VALUE!</v>
      </c>
      <c r="EU53" t="e">
        <f>'2.4.Функции'!ADU136+"BYw!$d~"</f>
        <v>#VALUE!</v>
      </c>
      <c r="EV53" t="e">
        <f>'2.4.Функции'!ADV136+"BYw!$e#"</f>
        <v>#VALUE!</v>
      </c>
      <c r="EW53" t="e">
        <f>'2.4.Функции'!ADW136+"BYw!$e$"</f>
        <v>#VALUE!</v>
      </c>
      <c r="EX53" t="e">
        <f>'2.4.Функции'!ADX136+"BYw!$e%"</f>
        <v>#VALUE!</v>
      </c>
      <c r="EY53" t="e">
        <f>'2.4.Функции'!ADY136+"BYw!$e&amp;"</f>
        <v>#VALUE!</v>
      </c>
      <c r="EZ53" t="e">
        <f>'2.4.Функции'!ADZ136+"BYw!$e'"</f>
        <v>#VALUE!</v>
      </c>
      <c r="FA53" t="e">
        <f>'2.4.Функции'!AEA136+"BYw!$e("</f>
        <v>#VALUE!</v>
      </c>
      <c r="FB53" t="e">
        <f>'2.4.Функции'!AEB136+"BYw!$e)"</f>
        <v>#VALUE!</v>
      </c>
      <c r="FC53" t="e">
        <f>'2.4.Функции'!AEC136+"BYw!$e."</f>
        <v>#VALUE!</v>
      </c>
      <c r="FD53" t="e">
        <f>'2.4.Функции'!AED136+"BYw!$e/"</f>
        <v>#VALUE!</v>
      </c>
      <c r="FE53" t="e">
        <f>'2.4.Функции'!AEE136+"BYw!$e0"</f>
        <v>#VALUE!</v>
      </c>
      <c r="FF53" t="e">
        <f>'2.4.Функции'!AEF136+"BYw!$e1"</f>
        <v>#VALUE!</v>
      </c>
      <c r="FG53" t="e">
        <f>'2.4.Функции'!AEG136+"BYw!$e2"</f>
        <v>#VALUE!</v>
      </c>
      <c r="FH53" t="e">
        <f>'2.4.Функции'!AEH136+"BYw!$e3"</f>
        <v>#VALUE!</v>
      </c>
      <c r="FI53" t="e">
        <f>'2.4.Функции'!AEI136+"BYw!$e4"</f>
        <v>#VALUE!</v>
      </c>
      <c r="FJ53" t="e">
        <f>'2.4.Функции'!AEJ136+"BYw!$e5"</f>
        <v>#VALUE!</v>
      </c>
      <c r="FK53" t="e">
        <f>'2.4.Функции'!AEK136+"BYw!$e6"</f>
        <v>#VALUE!</v>
      </c>
      <c r="FL53" t="e">
        <f>'2.4.Функции'!AEL136+"BYw!$e7"</f>
        <v>#VALUE!</v>
      </c>
      <c r="FM53" t="e">
        <f>'2.4.Функции'!AEM136+"BYw!$e8"</f>
        <v>#VALUE!</v>
      </c>
      <c r="FN53" t="e">
        <f>'2.4.Функции'!AEN136+"BYw!$e9"</f>
        <v>#VALUE!</v>
      </c>
      <c r="FO53" t="e">
        <f>'2.4.Функции'!AEO136+"BYw!$e:"</f>
        <v>#VALUE!</v>
      </c>
      <c r="FP53" t="e">
        <f>'2.4.Функции'!AEP136+"BYw!$e;"</f>
        <v>#VALUE!</v>
      </c>
      <c r="FQ53" t="e">
        <f>'2.4.Функции'!AEQ136+"BYw!$e&lt;"</f>
        <v>#VALUE!</v>
      </c>
      <c r="FR53" t="e">
        <f>'2.4.Функции'!AER136+"BYw!$e="</f>
        <v>#VALUE!</v>
      </c>
      <c r="FS53" t="e">
        <f>'2.4.Функции'!AES136+"BYw!$e&gt;"</f>
        <v>#VALUE!</v>
      </c>
      <c r="FT53" t="e">
        <f>'2.4.Функции'!AET136+"BYw!$e?"</f>
        <v>#VALUE!</v>
      </c>
      <c r="FU53" t="e">
        <f>'2.4.Функции'!AEU136+"BYw!$e@"</f>
        <v>#VALUE!</v>
      </c>
      <c r="FV53" t="e">
        <f>'2.4.Функции'!AEV136+"BYw!$eA"</f>
        <v>#VALUE!</v>
      </c>
      <c r="FW53" t="e">
        <f>'2.4.Функции'!AEW136+"BYw!$eB"</f>
        <v>#VALUE!</v>
      </c>
      <c r="FX53" t="e">
        <f>'2.4.Функции'!AEX136+"BYw!$eC"</f>
        <v>#VALUE!</v>
      </c>
      <c r="FY53" t="e">
        <f>'2.4.Функции'!AEY136+"BYw!$eD"</f>
        <v>#VALUE!</v>
      </c>
      <c r="FZ53" t="e">
        <f>'2.4.Функции'!AEZ136+"BYw!$eE"</f>
        <v>#VALUE!</v>
      </c>
      <c r="GA53" t="e">
        <f>'2.4.Функции'!AFA136+"BYw!$eF"</f>
        <v>#VALUE!</v>
      </c>
      <c r="GB53" t="e">
        <f>'2.4.Функции'!AFB136+"BYw!$eG"</f>
        <v>#VALUE!</v>
      </c>
      <c r="GC53" t="e">
        <f>'2.4.Функции'!AFC136+"BYw!$eH"</f>
        <v>#VALUE!</v>
      </c>
      <c r="GD53" t="e">
        <f>'2.4.Функции'!AFD136+"BYw!$eI"</f>
        <v>#VALUE!</v>
      </c>
      <c r="GE53" t="e">
        <f>'2.4.Функции'!AFE136+"BYw!$eJ"</f>
        <v>#VALUE!</v>
      </c>
      <c r="GF53" t="e">
        <f>'2.4.Функции'!AFF136+"BYw!$eK"</f>
        <v>#VALUE!</v>
      </c>
      <c r="GG53" t="e">
        <f>'2.4.Функции'!AFG136+"BYw!$eL"</f>
        <v>#VALUE!</v>
      </c>
      <c r="GH53" t="e">
        <f>'2.4.Функции'!AFH136+"BYw!$eM"</f>
        <v>#VALUE!</v>
      </c>
      <c r="GI53" t="e">
        <f>'2.4.Функции'!AFI136+"BYw!$eN"</f>
        <v>#VALUE!</v>
      </c>
      <c r="GJ53" t="e">
        <f>'2.4.Функции'!AFJ136+"BYw!$eO"</f>
        <v>#VALUE!</v>
      </c>
      <c r="GK53" t="e">
        <f>'2.4.Функции'!AFK136+"BYw!$eP"</f>
        <v>#VALUE!</v>
      </c>
      <c r="GL53" t="e">
        <f>'2.4.Функции'!AFL136+"BYw!$eQ"</f>
        <v>#VALUE!</v>
      </c>
      <c r="GM53" t="e">
        <f>'2.4.Функции'!AFM136+"BYw!$eR"</f>
        <v>#VALUE!</v>
      </c>
      <c r="GN53" t="e">
        <f>'2.4.Функции'!AFN136+"BYw!$eS"</f>
        <v>#VALUE!</v>
      </c>
      <c r="GO53" t="e">
        <f>'2.4.Функции'!AFO136+"BYw!$eT"</f>
        <v>#VALUE!</v>
      </c>
      <c r="GP53" t="e">
        <f>'2.4.Функции'!AFP136+"BYw!$eU"</f>
        <v>#VALUE!</v>
      </c>
      <c r="GQ53" t="e">
        <f>'2.4.Функции'!AFQ136+"BYw!$eV"</f>
        <v>#VALUE!</v>
      </c>
      <c r="GR53" t="e">
        <f>'2.4.Функции'!AFR136+"BYw!$eW"</f>
        <v>#VALUE!</v>
      </c>
      <c r="GS53" t="e">
        <f>'2.4.Функции'!AFS136+"BYw!$eX"</f>
        <v>#VALUE!</v>
      </c>
      <c r="GT53" t="e">
        <f>'2.4.Функции'!AFT136+"BYw!$eY"</f>
        <v>#VALUE!</v>
      </c>
      <c r="GU53" t="e">
        <f>'2.4.Функции'!AFU136+"BYw!$eZ"</f>
        <v>#VALUE!</v>
      </c>
      <c r="GV53" t="e">
        <f>'2.4.Функции'!AFV136+"BYw!$e["</f>
        <v>#VALUE!</v>
      </c>
      <c r="GW53" t="e">
        <f>'2.4.Функции'!AFW136+"BYw!$e\"</f>
        <v>#VALUE!</v>
      </c>
      <c r="GX53" t="e">
        <f>'2.4.Функции'!AFX136+"BYw!$e]"</f>
        <v>#VALUE!</v>
      </c>
      <c r="GY53" t="e">
        <f>'2.4.Функции'!AFY136+"BYw!$e^"</f>
        <v>#VALUE!</v>
      </c>
      <c r="GZ53" t="e">
        <f>'2.4.Функции'!AFZ136+"BYw!$e_"</f>
        <v>#VALUE!</v>
      </c>
      <c r="HA53" t="e">
        <f>'2.4.Функции'!AGA136+"BYw!$e`"</f>
        <v>#VALUE!</v>
      </c>
      <c r="HB53" t="e">
        <f>'2.4.Функции'!AGB136+"BYw!$ea"</f>
        <v>#VALUE!</v>
      </c>
      <c r="HC53" t="e">
        <f>'2.4.Функции'!AGC136+"BYw!$eb"</f>
        <v>#VALUE!</v>
      </c>
      <c r="HD53" t="e">
        <f>'2.4.Функции'!AGD136+"BYw!$ec"</f>
        <v>#VALUE!</v>
      </c>
      <c r="HE53" t="e">
        <f>'2.4.Функции'!AGE136+"BYw!$ed"</f>
        <v>#VALUE!</v>
      </c>
      <c r="HF53" t="e">
        <f>'2.4.Функции'!AGF136+"BYw!$ee"</f>
        <v>#VALUE!</v>
      </c>
      <c r="HG53" t="e">
        <f>'2.4.Функции'!AGG136+"BYw!$ef"</f>
        <v>#VALUE!</v>
      </c>
      <c r="HH53" t="e">
        <f>'2.4.Функции'!AGH136+"BYw!$eg"</f>
        <v>#VALUE!</v>
      </c>
      <c r="HI53" t="e">
        <f>'2.4.Функции'!AGI136+"BYw!$eh"</f>
        <v>#VALUE!</v>
      </c>
      <c r="HJ53" t="e">
        <f>'2.4.Функции'!AGJ136+"BYw!$ei"</f>
        <v>#VALUE!</v>
      </c>
      <c r="HK53" t="e">
        <f>'2.4.Функции'!AGK136+"BYw!$ej"</f>
        <v>#VALUE!</v>
      </c>
      <c r="HL53" t="e">
        <f>'2.4.Функции'!AGL136+"BYw!$ek"</f>
        <v>#VALUE!</v>
      </c>
      <c r="HM53" t="e">
        <f>'2.4.Функции'!AGM136+"BYw!$el"</f>
        <v>#VALUE!</v>
      </c>
      <c r="HN53" t="e">
        <f>'2.4.Функции'!AGN136+"BYw!$em"</f>
        <v>#VALUE!</v>
      </c>
      <c r="HO53" t="e">
        <f>'2.4.Функции'!AGO136+"BYw!$en"</f>
        <v>#VALUE!</v>
      </c>
      <c r="HP53" t="e">
        <f>'2.4.Функции'!AGP136+"BYw!$eo"</f>
        <v>#VALUE!</v>
      </c>
      <c r="HQ53" t="e">
        <f>'2.4.Функции'!AGQ136+"BYw!$ep"</f>
        <v>#VALUE!</v>
      </c>
      <c r="HR53" t="e">
        <f>'2.4.Функции'!AGR136+"BYw!$eq"</f>
        <v>#VALUE!</v>
      </c>
      <c r="HS53" t="e">
        <f>'2.4.Функции'!AGS136+"BYw!$er"</f>
        <v>#VALUE!</v>
      </c>
      <c r="HT53" t="e">
        <f>'2.4.Функции'!AGT136+"BYw!$es"</f>
        <v>#VALUE!</v>
      </c>
      <c r="HU53" t="e">
        <f>'2.4.Функции'!AGU136+"BYw!$et"</f>
        <v>#VALUE!</v>
      </c>
      <c r="HV53" t="e">
        <f>'2.4.Функции'!AGV136+"BYw!$eu"</f>
        <v>#VALUE!</v>
      </c>
      <c r="HW53" t="e">
        <f>'2.4.Функции'!AGW136+"BYw!$ev"</f>
        <v>#VALUE!</v>
      </c>
      <c r="HX53" t="e">
        <f>'2.4.Функции'!AGX136+"BYw!$ew"</f>
        <v>#VALUE!</v>
      </c>
      <c r="HY53" t="e">
        <f>'2.4.Функции'!AGY136+"BYw!$ex"</f>
        <v>#VALUE!</v>
      </c>
      <c r="HZ53" t="e">
        <f>'2.4.Функции'!AGZ136+"BYw!$ey"</f>
        <v>#VALUE!</v>
      </c>
      <c r="IA53" t="e">
        <f>'2.4.Функции'!AHA136+"BYw!$ez"</f>
        <v>#VALUE!</v>
      </c>
      <c r="IB53" t="e">
        <f>'2.4.Функции'!AHB136+"BYw!$e{"</f>
        <v>#VALUE!</v>
      </c>
      <c r="IC53" t="e">
        <f>'2.4.Функции'!AHC136+"BYw!$e|"</f>
        <v>#VALUE!</v>
      </c>
      <c r="ID53" t="e">
        <f>'2.4.Функции'!AHD136+"BYw!$e}"</f>
        <v>#VALUE!</v>
      </c>
      <c r="IE53" t="e">
        <f>'2.4.Функции'!AHE136+"BYw!$e~"</f>
        <v>#VALUE!</v>
      </c>
      <c r="IF53" t="e">
        <f>'2.4.Функции'!AHF136+"BYw!$f#"</f>
        <v>#VALUE!</v>
      </c>
      <c r="IG53" t="e">
        <f>'2.4.Функции'!AHG136+"BYw!$f$"</f>
        <v>#VALUE!</v>
      </c>
      <c r="IH53" t="e">
        <f>'2.4.Функции'!AHH136+"BYw!$f%"</f>
        <v>#VALUE!</v>
      </c>
      <c r="II53" t="e">
        <f>'2.4.Функции'!AHI136+"BYw!$f&amp;"</f>
        <v>#VALUE!</v>
      </c>
      <c r="IJ53" t="e">
        <f>'2.4.Функции'!AHJ136+"BYw!$f'"</f>
        <v>#VALUE!</v>
      </c>
      <c r="IK53" t="e">
        <f>'2.4.Функции'!AHK136+"BYw!$f("</f>
        <v>#VALUE!</v>
      </c>
      <c r="IL53" t="e">
        <f>'2.4.Функции'!AHL136+"BYw!$f)"</f>
        <v>#VALUE!</v>
      </c>
      <c r="IM53" t="e">
        <f>'2.4.Функции'!AHM136+"BYw!$f."</f>
        <v>#VALUE!</v>
      </c>
      <c r="IN53" t="e">
        <f>'2.4.Функции'!AHN136+"BYw!$f/"</f>
        <v>#VALUE!</v>
      </c>
      <c r="IO53" t="e">
        <f>'2.4.Функции'!AHO136+"BYw!$f0"</f>
        <v>#VALUE!</v>
      </c>
      <c r="IP53" t="e">
        <f>'2.4.Функции'!AHP136+"BYw!$f1"</f>
        <v>#VALUE!</v>
      </c>
      <c r="IQ53" t="e">
        <f>'2.4.Функции'!AHQ136+"BYw!$f2"</f>
        <v>#VALUE!</v>
      </c>
      <c r="IR53" t="e">
        <f>'2.4.Функции'!AHR136+"BYw!$f3"</f>
        <v>#VALUE!</v>
      </c>
      <c r="IS53" t="e">
        <f>'2.4.Функции'!AHS136+"BYw!$f4"</f>
        <v>#VALUE!</v>
      </c>
      <c r="IT53" t="e">
        <f>'2.4.Функции'!AHT136+"BYw!$f5"</f>
        <v>#VALUE!</v>
      </c>
      <c r="IU53" t="e">
        <f>'2.4.Функции'!AHU136+"BYw!$f6"</f>
        <v>#VALUE!</v>
      </c>
      <c r="IV53" t="e">
        <f>'2.4.Функции'!AHV136+"BYw!$f7"</f>
        <v>#VALUE!</v>
      </c>
    </row>
    <row r="54" spans="6:256" x14ac:dyDescent="0.2">
      <c r="F54" t="e">
        <f>'2.4.Функции'!AHW136+"BYw!$f8"</f>
        <v>#VALUE!</v>
      </c>
      <c r="G54" t="e">
        <f>'2.4.Функции'!AHX136+"BYw!$f9"</f>
        <v>#VALUE!</v>
      </c>
      <c r="H54" t="e">
        <f>'2.4.Функции'!AHY136+"BYw!$f:"</f>
        <v>#VALUE!</v>
      </c>
      <c r="I54" t="e">
        <f>'2.4.Функции'!AHZ136+"BYw!$f;"</f>
        <v>#VALUE!</v>
      </c>
      <c r="J54" t="e">
        <f>'2.4.Функции'!AIA136+"BYw!$f&lt;"</f>
        <v>#VALUE!</v>
      </c>
      <c r="K54" t="e">
        <f>'2.4.Функции'!AIB136+"BYw!$f="</f>
        <v>#VALUE!</v>
      </c>
      <c r="L54" t="e">
        <f>'2.4.Функции'!AIC136+"BYw!$f&gt;"</f>
        <v>#VALUE!</v>
      </c>
      <c r="M54" t="e">
        <f>'2.4.Функции'!AID136+"BYw!$f?"</f>
        <v>#VALUE!</v>
      </c>
      <c r="N54" t="e">
        <f>'2.4.Функции'!AIE136+"BYw!$f@"</f>
        <v>#VALUE!</v>
      </c>
      <c r="O54" t="e">
        <f>'2.4.Функции'!AIF136+"BYw!$fA"</f>
        <v>#VALUE!</v>
      </c>
      <c r="P54" t="e">
        <f>'2.4.Функции'!AIG136+"BYw!$fB"</f>
        <v>#VALUE!</v>
      </c>
      <c r="Q54" t="e">
        <f>'2.4.Функции'!AIH136+"BYw!$fC"</f>
        <v>#VALUE!</v>
      </c>
      <c r="R54" t="e">
        <f>'2.4.Функции'!A137+"BYw!$fD"</f>
        <v>#VALUE!</v>
      </c>
      <c r="S54" s="116" t="e">
        <f>'2.4.Функции'!B137+"BYw!$fE"</f>
        <v>#VALUE!</v>
      </c>
      <c r="T54" t="e">
        <f>'2.4.Функции'!C137+"BYw!$fF"</f>
        <v>#VALUE!</v>
      </c>
      <c r="U54" s="119" t="e">
        <f>'2.4.Функции'!D137+"BYw!$fG"</f>
        <v>#VALUE!</v>
      </c>
      <c r="V54" s="119" t="e">
        <f>'2.4.Функции'!E137+"BYw!$fH"</f>
        <v>#VALUE!</v>
      </c>
      <c r="W54" s="119" t="e">
        <f>'2.4.Функции'!F137+"BYw!$fI"</f>
        <v>#VALUE!</v>
      </c>
      <c r="X54" s="119" t="e">
        <f>'2.4.Функции'!G137+"BYw!$fJ"</f>
        <v>#VALUE!</v>
      </c>
      <c r="Y54" s="119" t="e">
        <f>'2.4.Функции'!H137+"BYw!$fK"</f>
        <v>#VALUE!</v>
      </c>
      <c r="Z54" s="119" t="e">
        <f>'2.4.Функции'!I137+"BYw!$fL"</f>
        <v>#VALUE!</v>
      </c>
      <c r="AA54" s="119" t="e">
        <f>'2.4.Функции'!J137+"BYw!$fM"</f>
        <v>#VALUE!</v>
      </c>
      <c r="AB54" s="119" t="e">
        <f>'2.4.Функции'!K137+"BYw!$fN"</f>
        <v>#VALUE!</v>
      </c>
      <c r="AC54" t="e">
        <f>'2.4.Функции'!L137+"BYw!$fO"</f>
        <v>#VALUE!</v>
      </c>
      <c r="AD54" t="e">
        <f>'2.4.Функции'!M137+"BYw!$fP"</f>
        <v>#VALUE!</v>
      </c>
      <c r="AE54" t="e">
        <f>'2.4.Функции'!N137+"BYw!$fQ"</f>
        <v>#VALUE!</v>
      </c>
      <c r="AF54" t="e">
        <f>'2.4.Функции'!O137+"BYw!$fR"</f>
        <v>#VALUE!</v>
      </c>
      <c r="AG54" t="e">
        <f>'2.4.Функции'!P137+"BYw!$fS"</f>
        <v>#VALUE!</v>
      </c>
      <c r="AH54" t="e">
        <f>'2.4.Функции'!Q137+"BYw!$fT"</f>
        <v>#VALUE!</v>
      </c>
      <c r="AI54" t="e">
        <f>'2.4.Функции'!R137+"BYw!$fU"</f>
        <v>#VALUE!</v>
      </c>
      <c r="AJ54" t="e">
        <f>'2.4.Функции'!S137+"BYw!$fV"</f>
        <v>#VALUE!</v>
      </c>
      <c r="AK54" t="e">
        <f>'2.4.Функции'!T137+"BYw!$fW"</f>
        <v>#VALUE!</v>
      </c>
      <c r="AL54" t="e">
        <f>'2.4.Функции'!U137+"BYw!$fX"</f>
        <v>#VALUE!</v>
      </c>
      <c r="AM54" t="e">
        <f>'2.4.Функции'!V137+"BYw!$fY"</f>
        <v>#VALUE!</v>
      </c>
      <c r="AN54" t="e">
        <f>'2.4.Функции'!W137+"BYw!$fZ"</f>
        <v>#VALUE!</v>
      </c>
      <c r="AO54" t="e">
        <f>'2.4.Функции'!X137+"BYw!$f["</f>
        <v>#VALUE!</v>
      </c>
      <c r="AP54" t="e">
        <f>'2.4.Функции'!Y137+"BYw!$f\"</f>
        <v>#VALUE!</v>
      </c>
      <c r="AQ54" t="e">
        <f>'2.4.Функции'!Z137+"BYw!$f]"</f>
        <v>#VALUE!</v>
      </c>
      <c r="AR54" t="e">
        <f>'2.4.Функции'!AA137+"BYw!$f^"</f>
        <v>#VALUE!</v>
      </c>
      <c r="AS54" t="e">
        <f>'2.4.Функции'!AB137+"BYw!$f_"</f>
        <v>#VALUE!</v>
      </c>
      <c r="AT54" t="e">
        <f>'2.4.Функции'!AC137+"BYw!$f`"</f>
        <v>#VALUE!</v>
      </c>
      <c r="AU54" t="e">
        <f>'2.4.Функции'!AD137+"BYw!$fa"</f>
        <v>#VALUE!</v>
      </c>
      <c r="AV54" t="e">
        <f>'2.4.Функции'!AE137+"BYw!$fb"</f>
        <v>#VALUE!</v>
      </c>
      <c r="AW54" t="e">
        <f>'2.4.Функции'!AF137+"BYw!$fc"</f>
        <v>#VALUE!</v>
      </c>
      <c r="AX54" t="e">
        <f>'2.4.Функции'!AG137+"BYw!$fd"</f>
        <v>#VALUE!</v>
      </c>
      <c r="AY54" t="e">
        <f>'2.4.Функции'!AH137+"BYw!$fe"</f>
        <v>#VALUE!</v>
      </c>
      <c r="AZ54" t="e">
        <f>'2.4.Функции'!AI137+"BYw!$ff"</f>
        <v>#VALUE!</v>
      </c>
      <c r="BA54" t="e">
        <f>'2.4.Функции'!AJ137+"BYw!$fg"</f>
        <v>#VALUE!</v>
      </c>
      <c r="BB54" t="e">
        <f>'2.4.Функции'!AK137+"BYw!$fh"</f>
        <v>#VALUE!</v>
      </c>
      <c r="BC54" t="e">
        <f>'2.4.Функции'!AL137+"BYw!$fi"</f>
        <v>#VALUE!</v>
      </c>
      <c r="BD54" t="e">
        <f>'2.4.Функции'!AM137+"BYw!$fj"</f>
        <v>#VALUE!</v>
      </c>
      <c r="BE54" t="e">
        <f>'2.4.Функции'!AN137+"BYw!$fk"</f>
        <v>#VALUE!</v>
      </c>
      <c r="BF54" t="e">
        <f>'2.4.Функции'!AO137+"BYw!$fl"</f>
        <v>#VALUE!</v>
      </c>
      <c r="BG54" t="e">
        <f>'2.4.Функции'!AP137+"BYw!$fm"</f>
        <v>#VALUE!</v>
      </c>
      <c r="BH54" t="e">
        <f>'2.4.Функции'!AQ137+"BYw!$fn"</f>
        <v>#VALUE!</v>
      </c>
      <c r="BI54" t="e">
        <f>'2.4.Функции'!AR137+"BYw!$fo"</f>
        <v>#VALUE!</v>
      </c>
      <c r="BJ54" t="e">
        <f>'2.4.Функции'!AS137+"BYw!$fp"</f>
        <v>#VALUE!</v>
      </c>
      <c r="BK54" t="e">
        <f>'2.4.Функции'!AT137+"BYw!$fq"</f>
        <v>#VALUE!</v>
      </c>
      <c r="BL54" t="e">
        <f>'2.4.Функции'!AU137+"BYw!$fr"</f>
        <v>#VALUE!</v>
      </c>
      <c r="BM54" t="e">
        <f>'2.4.Функции'!AV137+"BYw!$fs"</f>
        <v>#VALUE!</v>
      </c>
      <c r="BN54" t="e">
        <f>'2.4.Функции'!AW137+"BYw!$ft"</f>
        <v>#VALUE!</v>
      </c>
      <c r="BO54" t="e">
        <f>'2.4.Функции'!AX137+"BYw!$fu"</f>
        <v>#VALUE!</v>
      </c>
      <c r="BP54" t="e">
        <f>'2.4.Функции'!AY137+"BYw!$fv"</f>
        <v>#VALUE!</v>
      </c>
      <c r="BQ54" t="e">
        <f>'2.4.Функции'!AZ137+"BYw!$fw"</f>
        <v>#VALUE!</v>
      </c>
      <c r="BR54" t="e">
        <f>'2.4.Функции'!BA137+"BYw!$fx"</f>
        <v>#VALUE!</v>
      </c>
      <c r="BS54" t="e">
        <f>'2.4.Функции'!BB137+"BYw!$fy"</f>
        <v>#VALUE!</v>
      </c>
      <c r="BT54" t="e">
        <f>'2.4.Функции'!BC137+"BYw!$fz"</f>
        <v>#VALUE!</v>
      </c>
      <c r="BU54" t="e">
        <f>'2.4.Функции'!BD137+"BYw!$f{"</f>
        <v>#VALUE!</v>
      </c>
      <c r="BV54" t="e">
        <f>'2.4.Функции'!BE137+"BYw!$f|"</f>
        <v>#VALUE!</v>
      </c>
      <c r="BW54" t="e">
        <f>'2.4.Функции'!BF137+"BYw!$f}"</f>
        <v>#VALUE!</v>
      </c>
      <c r="BX54" t="e">
        <f>'2.4.Функции'!BG137+"BYw!$f~"</f>
        <v>#VALUE!</v>
      </c>
      <c r="BY54" t="e">
        <f>'2.4.Функции'!BH137+"BYw!$g#"</f>
        <v>#VALUE!</v>
      </c>
      <c r="BZ54" t="e">
        <f>'2.4.Функции'!BI137+"BYw!$g$"</f>
        <v>#VALUE!</v>
      </c>
      <c r="CA54" t="e">
        <f>'2.4.Функции'!BJ137+"BYw!$g%"</f>
        <v>#VALUE!</v>
      </c>
      <c r="CB54" t="e">
        <f>'2.4.Функции'!BK137+"BYw!$g&amp;"</f>
        <v>#VALUE!</v>
      </c>
      <c r="CC54" t="e">
        <f>'2.4.Функции'!BL137+"BYw!$g'"</f>
        <v>#VALUE!</v>
      </c>
      <c r="CD54" t="e">
        <f>'2.4.Функции'!BM137+"BYw!$g("</f>
        <v>#VALUE!</v>
      </c>
      <c r="CE54" t="e">
        <f>'2.4.Функции'!BN137+"BYw!$g)"</f>
        <v>#VALUE!</v>
      </c>
      <c r="CF54" t="e">
        <f>'2.4.Функции'!BO137+"BYw!$g."</f>
        <v>#VALUE!</v>
      </c>
      <c r="CG54" t="e">
        <f>'2.4.Функции'!BP137+"BYw!$g/"</f>
        <v>#VALUE!</v>
      </c>
      <c r="CH54" t="e">
        <f>'2.4.Функции'!BQ137+"BYw!$g0"</f>
        <v>#VALUE!</v>
      </c>
      <c r="CI54" t="e">
        <f>'2.4.Функции'!BR137+"BYw!$g1"</f>
        <v>#VALUE!</v>
      </c>
      <c r="CJ54" t="e">
        <f>'2.4.Функции'!BS137+"BYw!$g2"</f>
        <v>#VALUE!</v>
      </c>
      <c r="CK54" t="e">
        <f>'2.4.Функции'!BT137+"BYw!$g3"</f>
        <v>#VALUE!</v>
      </c>
      <c r="CL54" t="e">
        <f>'2.4.Функции'!BU137+"BYw!$g4"</f>
        <v>#VALUE!</v>
      </c>
      <c r="CM54" t="e">
        <f>'2.4.Функции'!BV137+"BYw!$g5"</f>
        <v>#VALUE!</v>
      </c>
      <c r="CN54" t="e">
        <f>'2.4.Функции'!BW137+"BYw!$g6"</f>
        <v>#VALUE!</v>
      </c>
      <c r="CO54" t="e">
        <f>'2.4.Функции'!BX137+"BYw!$g7"</f>
        <v>#VALUE!</v>
      </c>
      <c r="CP54" t="e">
        <f>'2.4.Функции'!BY137+"BYw!$g8"</f>
        <v>#VALUE!</v>
      </c>
      <c r="CQ54" t="e">
        <f>'2.4.Функции'!BZ137+"BYw!$g9"</f>
        <v>#VALUE!</v>
      </c>
      <c r="CR54" t="e">
        <f>'2.4.Функции'!CA137+"BYw!$g:"</f>
        <v>#VALUE!</v>
      </c>
      <c r="CS54" t="e">
        <f>'2.4.Функции'!CB137+"BYw!$g;"</f>
        <v>#VALUE!</v>
      </c>
      <c r="CT54" t="e">
        <f>'2.4.Функции'!CC137+"BYw!$g&lt;"</f>
        <v>#VALUE!</v>
      </c>
      <c r="CU54" t="e">
        <f>'2.4.Функции'!CD137+"BYw!$g="</f>
        <v>#VALUE!</v>
      </c>
      <c r="CV54" t="e">
        <f>'2.4.Функции'!CE137+"BYw!$g&gt;"</f>
        <v>#VALUE!</v>
      </c>
      <c r="CW54" t="e">
        <f>'2.4.Функции'!CF137+"BYw!$g?"</f>
        <v>#VALUE!</v>
      </c>
      <c r="CX54" t="e">
        <f>'2.4.Функции'!CG137+"BYw!$g@"</f>
        <v>#VALUE!</v>
      </c>
      <c r="CY54" t="e">
        <f>'2.4.Функции'!CH137+"BYw!$gA"</f>
        <v>#VALUE!</v>
      </c>
      <c r="CZ54" t="e">
        <f>'2.4.Функции'!CI137+"BYw!$gB"</f>
        <v>#VALUE!</v>
      </c>
      <c r="DA54" t="e">
        <f>'2.4.Функции'!CJ137+"BYw!$gC"</f>
        <v>#VALUE!</v>
      </c>
      <c r="DB54" t="e">
        <f>'2.4.Функции'!CK137+"BYw!$gD"</f>
        <v>#VALUE!</v>
      </c>
      <c r="DC54" t="e">
        <f>'2.4.Функции'!CL137+"BYw!$gE"</f>
        <v>#VALUE!</v>
      </c>
      <c r="DD54" t="e">
        <f>'2.4.Функции'!CM137+"BYw!$gF"</f>
        <v>#VALUE!</v>
      </c>
      <c r="DE54" t="e">
        <f>'2.4.Функции'!CN137+"BYw!$gG"</f>
        <v>#VALUE!</v>
      </c>
      <c r="DF54" t="e">
        <f>'2.4.Функции'!CO137+"BYw!$gH"</f>
        <v>#VALUE!</v>
      </c>
      <c r="DG54" t="e">
        <f>'2.4.Функции'!CP137+"BYw!$gI"</f>
        <v>#VALUE!</v>
      </c>
      <c r="DH54" t="e">
        <f>'2.4.Функции'!CQ137+"BYw!$gJ"</f>
        <v>#VALUE!</v>
      </c>
      <c r="DI54" t="e">
        <f>'2.4.Функции'!CR137+"BYw!$gK"</f>
        <v>#VALUE!</v>
      </c>
      <c r="DJ54" t="e">
        <f>'2.4.Функции'!CS137+"BYw!$gL"</f>
        <v>#VALUE!</v>
      </c>
      <c r="DK54" t="e">
        <f>'2.4.Функции'!CT137+"BYw!$gM"</f>
        <v>#VALUE!</v>
      </c>
      <c r="DL54" t="e">
        <f>'2.4.Функции'!CU137+"BYw!$gN"</f>
        <v>#VALUE!</v>
      </c>
      <c r="DM54" t="e">
        <f>'2.4.Функции'!CV137+"BYw!$gO"</f>
        <v>#VALUE!</v>
      </c>
      <c r="DN54" t="e">
        <f>'2.4.Функции'!CW137+"BYw!$gP"</f>
        <v>#VALUE!</v>
      </c>
      <c r="DO54" t="e">
        <f>'2.4.Функции'!CX137+"BYw!$gQ"</f>
        <v>#VALUE!</v>
      </c>
      <c r="DP54" t="e">
        <f>'2.4.Функции'!CY137+"BYw!$gR"</f>
        <v>#VALUE!</v>
      </c>
      <c r="DQ54" t="e">
        <f>'2.4.Функции'!CZ137+"BYw!$gS"</f>
        <v>#VALUE!</v>
      </c>
      <c r="DR54" t="e">
        <f>'2.4.Функции'!DA137+"BYw!$gT"</f>
        <v>#VALUE!</v>
      </c>
      <c r="DS54" t="e">
        <f>'2.4.Функции'!DB137+"BYw!$gU"</f>
        <v>#VALUE!</v>
      </c>
      <c r="DT54" t="e">
        <f>'2.4.Функции'!DC137+"BYw!$gV"</f>
        <v>#VALUE!</v>
      </c>
      <c r="DU54" t="e">
        <f>'2.4.Функции'!DD137+"BYw!$gW"</f>
        <v>#VALUE!</v>
      </c>
      <c r="DV54" t="e">
        <f>'2.4.Функции'!DE137+"BYw!$gX"</f>
        <v>#VALUE!</v>
      </c>
      <c r="DW54" t="e">
        <f>'2.4.Функции'!DF137+"BYw!$gY"</f>
        <v>#VALUE!</v>
      </c>
      <c r="DX54" t="e">
        <f>'2.4.Функции'!DG137+"BYw!$gZ"</f>
        <v>#VALUE!</v>
      </c>
      <c r="DY54" t="e">
        <f>'2.4.Функции'!DH137+"BYw!$g["</f>
        <v>#VALUE!</v>
      </c>
      <c r="DZ54" t="e">
        <f>'2.4.Функции'!DI137+"BYw!$g\"</f>
        <v>#VALUE!</v>
      </c>
      <c r="EA54" t="e">
        <f>'2.4.Функции'!DJ137+"BYw!$g]"</f>
        <v>#VALUE!</v>
      </c>
      <c r="EB54" t="e">
        <f>'2.4.Функции'!DK137+"BYw!$g^"</f>
        <v>#VALUE!</v>
      </c>
      <c r="EC54" t="e">
        <f>'2.4.Функции'!DL137+"BYw!$g_"</f>
        <v>#VALUE!</v>
      </c>
      <c r="ED54" t="e">
        <f>'2.4.Функции'!DM137+"BYw!$g`"</f>
        <v>#VALUE!</v>
      </c>
      <c r="EE54" t="e">
        <f>'2.4.Функции'!DN137+"BYw!$ga"</f>
        <v>#VALUE!</v>
      </c>
      <c r="EF54" t="e">
        <f>'2.4.Функции'!DO137+"BYw!$gb"</f>
        <v>#VALUE!</v>
      </c>
      <c r="EG54" t="e">
        <f>'2.4.Функции'!DP137+"BYw!$gc"</f>
        <v>#VALUE!</v>
      </c>
      <c r="EH54" t="e">
        <f>'2.4.Функции'!DQ137+"BYw!$gd"</f>
        <v>#VALUE!</v>
      </c>
      <c r="EI54" t="e">
        <f>'2.4.Функции'!DR137+"BYw!$ge"</f>
        <v>#VALUE!</v>
      </c>
      <c r="EJ54" t="e">
        <f>'2.4.Функции'!DS137+"BYw!$gf"</f>
        <v>#VALUE!</v>
      </c>
      <c r="EK54" t="e">
        <f>'2.4.Функции'!DT137+"BYw!$gg"</f>
        <v>#VALUE!</v>
      </c>
      <c r="EL54" t="e">
        <f>'2.4.Функции'!DU137+"BYw!$gh"</f>
        <v>#VALUE!</v>
      </c>
      <c r="EM54" t="e">
        <f>'2.4.Функции'!DV137+"BYw!$gi"</f>
        <v>#VALUE!</v>
      </c>
      <c r="EN54" t="e">
        <f>'2.4.Функции'!DW137+"BYw!$gj"</f>
        <v>#VALUE!</v>
      </c>
      <c r="EO54" t="e">
        <f>'2.4.Функции'!DX137+"BYw!$gk"</f>
        <v>#VALUE!</v>
      </c>
      <c r="EP54" t="e">
        <f>'2.4.Функции'!DY137+"BYw!$gl"</f>
        <v>#VALUE!</v>
      </c>
      <c r="EQ54" t="e">
        <f>'2.4.Функции'!DZ137+"BYw!$gm"</f>
        <v>#VALUE!</v>
      </c>
      <c r="ER54" t="e">
        <f>'2.4.Функции'!EA137+"BYw!$gn"</f>
        <v>#VALUE!</v>
      </c>
      <c r="ES54" t="e">
        <f>'2.4.Функции'!EB137+"BYw!$go"</f>
        <v>#VALUE!</v>
      </c>
      <c r="ET54" t="e">
        <f>'2.4.Функции'!EC137+"BYw!$gp"</f>
        <v>#VALUE!</v>
      </c>
      <c r="EU54" t="e">
        <f>'2.4.Функции'!ED137+"BYw!$gq"</f>
        <v>#VALUE!</v>
      </c>
      <c r="EV54" t="e">
        <f>'2.4.Функции'!EE137+"BYw!$gr"</f>
        <v>#VALUE!</v>
      </c>
      <c r="EW54" t="e">
        <f>'2.4.Функции'!EF137+"BYw!$gs"</f>
        <v>#VALUE!</v>
      </c>
      <c r="EX54" t="e">
        <f>'2.4.Функции'!EG137+"BYw!$gt"</f>
        <v>#VALUE!</v>
      </c>
      <c r="EY54" t="e">
        <f>'2.4.Функции'!EH137+"BYw!$gu"</f>
        <v>#VALUE!</v>
      </c>
      <c r="EZ54" t="e">
        <f>'2.4.Функции'!EI137+"BYw!$gv"</f>
        <v>#VALUE!</v>
      </c>
      <c r="FA54" t="e">
        <f>'2.4.Функции'!EJ137+"BYw!$gw"</f>
        <v>#VALUE!</v>
      </c>
      <c r="FB54" t="e">
        <f>'2.4.Функции'!EK137+"BYw!$gx"</f>
        <v>#VALUE!</v>
      </c>
      <c r="FC54" t="e">
        <f>'2.4.Функции'!EL137+"BYw!$gy"</f>
        <v>#VALUE!</v>
      </c>
      <c r="FD54" t="e">
        <f>'2.4.Функции'!EM137+"BYw!$gz"</f>
        <v>#VALUE!</v>
      </c>
      <c r="FE54" t="e">
        <f>'2.4.Функции'!EN137+"BYw!$g{"</f>
        <v>#VALUE!</v>
      </c>
      <c r="FF54" t="e">
        <f>'2.4.Функции'!EO137+"BYw!$g|"</f>
        <v>#VALUE!</v>
      </c>
      <c r="FG54" t="e">
        <f>'2.4.Функции'!EP137+"BYw!$g}"</f>
        <v>#VALUE!</v>
      </c>
      <c r="FH54" t="e">
        <f>'2.4.Функции'!EQ137+"BYw!$g~"</f>
        <v>#VALUE!</v>
      </c>
      <c r="FI54" t="e">
        <f>'2.4.Функции'!ER137+"BYw!$h#"</f>
        <v>#VALUE!</v>
      </c>
      <c r="FJ54" t="e">
        <f>'2.4.Функции'!ES137+"BYw!$h$"</f>
        <v>#VALUE!</v>
      </c>
      <c r="FK54" t="e">
        <f>'2.4.Функции'!ET137+"BYw!$h%"</f>
        <v>#VALUE!</v>
      </c>
      <c r="FL54" t="e">
        <f>'2.4.Функции'!EU137+"BYw!$h&amp;"</f>
        <v>#VALUE!</v>
      </c>
      <c r="FM54" t="e">
        <f>'2.4.Функции'!EV137+"BYw!$h'"</f>
        <v>#VALUE!</v>
      </c>
      <c r="FN54" t="e">
        <f>'2.4.Функции'!EW137+"BYw!$h("</f>
        <v>#VALUE!</v>
      </c>
      <c r="FO54" t="e">
        <f>'2.4.Функции'!EX137+"BYw!$h)"</f>
        <v>#VALUE!</v>
      </c>
      <c r="FP54" t="e">
        <f>'2.4.Функции'!EY137+"BYw!$h."</f>
        <v>#VALUE!</v>
      </c>
      <c r="FQ54" t="e">
        <f>'2.4.Функции'!EZ137+"BYw!$h/"</f>
        <v>#VALUE!</v>
      </c>
      <c r="FR54" t="e">
        <f>'2.4.Функции'!FA137+"BYw!$h0"</f>
        <v>#VALUE!</v>
      </c>
      <c r="FS54" t="e">
        <f>'2.4.Функции'!FB137+"BYw!$h1"</f>
        <v>#VALUE!</v>
      </c>
      <c r="FT54" t="e">
        <f>'2.4.Функции'!FC137+"BYw!$h2"</f>
        <v>#VALUE!</v>
      </c>
      <c r="FU54" t="e">
        <f>'2.4.Функции'!FD137+"BYw!$h3"</f>
        <v>#VALUE!</v>
      </c>
      <c r="FV54" t="e">
        <f>'2.4.Функции'!FE137+"BYw!$h4"</f>
        <v>#VALUE!</v>
      </c>
      <c r="FW54" t="e">
        <f>'2.4.Функции'!FF137+"BYw!$h5"</f>
        <v>#VALUE!</v>
      </c>
      <c r="FX54" t="e">
        <f>'2.4.Функции'!FG137+"BYw!$h6"</f>
        <v>#VALUE!</v>
      </c>
      <c r="FY54" t="e">
        <f>'2.4.Функции'!FH137+"BYw!$h7"</f>
        <v>#VALUE!</v>
      </c>
      <c r="FZ54" t="e">
        <f>'2.4.Функции'!FI137+"BYw!$h8"</f>
        <v>#VALUE!</v>
      </c>
      <c r="GA54" t="e">
        <f>'2.4.Функции'!FJ137+"BYw!$h9"</f>
        <v>#VALUE!</v>
      </c>
      <c r="GB54" t="e">
        <f>'2.4.Функции'!FK137+"BYw!$h:"</f>
        <v>#VALUE!</v>
      </c>
      <c r="GC54" t="e">
        <f>'2.4.Функции'!FL137+"BYw!$h;"</f>
        <v>#VALUE!</v>
      </c>
      <c r="GD54" t="e">
        <f>'2.4.Функции'!FM137+"BYw!$h&lt;"</f>
        <v>#VALUE!</v>
      </c>
      <c r="GE54" t="e">
        <f>'2.4.Функции'!FN137+"BYw!$h="</f>
        <v>#VALUE!</v>
      </c>
      <c r="GF54" t="e">
        <f>'2.4.Функции'!FO137+"BYw!$h&gt;"</f>
        <v>#VALUE!</v>
      </c>
      <c r="GG54" t="e">
        <f>'2.4.Функции'!FP137+"BYw!$h?"</f>
        <v>#VALUE!</v>
      </c>
      <c r="GH54" t="e">
        <f>'2.4.Функции'!FQ137+"BYw!$h@"</f>
        <v>#VALUE!</v>
      </c>
      <c r="GI54" t="e">
        <f>'2.4.Функции'!FR137+"BYw!$hA"</f>
        <v>#VALUE!</v>
      </c>
      <c r="GJ54" t="e">
        <f>'2.4.Функции'!FS137+"BYw!$hB"</f>
        <v>#VALUE!</v>
      </c>
      <c r="GK54" t="e">
        <f>'2.4.Функции'!FT137+"BYw!$hC"</f>
        <v>#VALUE!</v>
      </c>
      <c r="GL54" t="e">
        <f>'2.4.Функции'!FU137+"BYw!$hD"</f>
        <v>#VALUE!</v>
      </c>
      <c r="GM54" t="e">
        <f>'2.4.Функции'!FV137+"BYw!$hE"</f>
        <v>#VALUE!</v>
      </c>
      <c r="GN54" t="e">
        <f>'2.4.Функции'!FW137+"BYw!$hF"</f>
        <v>#VALUE!</v>
      </c>
      <c r="GO54" t="e">
        <f>'2.4.Функции'!FX137+"BYw!$hG"</f>
        <v>#VALUE!</v>
      </c>
      <c r="GP54" t="e">
        <f>'2.4.Функции'!FY137+"BYw!$hH"</f>
        <v>#VALUE!</v>
      </c>
      <c r="GQ54" t="e">
        <f>'2.4.Функции'!FZ137+"BYw!$hI"</f>
        <v>#VALUE!</v>
      </c>
      <c r="GR54" t="e">
        <f>'2.4.Функции'!GA137+"BYw!$hJ"</f>
        <v>#VALUE!</v>
      </c>
      <c r="GS54" t="e">
        <f>'2.4.Функции'!GB137+"BYw!$hK"</f>
        <v>#VALUE!</v>
      </c>
      <c r="GT54" t="e">
        <f>'2.4.Функции'!GC137+"BYw!$hL"</f>
        <v>#VALUE!</v>
      </c>
      <c r="GU54" t="e">
        <f>'2.4.Функции'!GD137+"BYw!$hM"</f>
        <v>#VALUE!</v>
      </c>
      <c r="GV54" t="e">
        <f>'2.4.Функции'!GE137+"BYw!$hN"</f>
        <v>#VALUE!</v>
      </c>
      <c r="GW54" t="e">
        <f>'2.4.Функции'!GF137+"BYw!$hO"</f>
        <v>#VALUE!</v>
      </c>
      <c r="GX54" t="e">
        <f>'2.4.Функции'!GG137+"BYw!$hP"</f>
        <v>#VALUE!</v>
      </c>
      <c r="GY54" t="e">
        <f>'2.4.Функции'!GH137+"BYw!$hQ"</f>
        <v>#VALUE!</v>
      </c>
      <c r="GZ54" t="e">
        <f>'2.4.Функции'!GI137+"BYw!$hR"</f>
        <v>#VALUE!</v>
      </c>
      <c r="HA54" t="e">
        <f>'2.4.Функции'!GJ137+"BYw!$hS"</f>
        <v>#VALUE!</v>
      </c>
      <c r="HB54" t="e">
        <f>'2.4.Функции'!GK137+"BYw!$hT"</f>
        <v>#VALUE!</v>
      </c>
      <c r="HC54" t="e">
        <f>'2.4.Функции'!GL137+"BYw!$hU"</f>
        <v>#VALUE!</v>
      </c>
      <c r="HD54" t="e">
        <f>'2.4.Функции'!GM137+"BYw!$hV"</f>
        <v>#VALUE!</v>
      </c>
      <c r="HE54" t="e">
        <f>'2.4.Функции'!GN137+"BYw!$hW"</f>
        <v>#VALUE!</v>
      </c>
      <c r="HF54" t="e">
        <f>'2.4.Функции'!GO137+"BYw!$hX"</f>
        <v>#VALUE!</v>
      </c>
      <c r="HG54" t="e">
        <f>'2.4.Функции'!GP137+"BYw!$hY"</f>
        <v>#VALUE!</v>
      </c>
      <c r="HH54" t="e">
        <f>'2.4.Функции'!GQ137+"BYw!$hZ"</f>
        <v>#VALUE!</v>
      </c>
      <c r="HI54" t="e">
        <f>'2.4.Функции'!GR137+"BYw!$h["</f>
        <v>#VALUE!</v>
      </c>
      <c r="HJ54" t="e">
        <f>'2.4.Функции'!GS137+"BYw!$h\"</f>
        <v>#VALUE!</v>
      </c>
      <c r="HK54" t="e">
        <f>'2.4.Функции'!GT137+"BYw!$h]"</f>
        <v>#VALUE!</v>
      </c>
      <c r="HL54" t="e">
        <f>'2.4.Функции'!GU137+"BYw!$h^"</f>
        <v>#VALUE!</v>
      </c>
      <c r="HM54" t="e">
        <f>'2.4.Функции'!GV137+"BYw!$h_"</f>
        <v>#VALUE!</v>
      </c>
      <c r="HN54" t="e">
        <f>'2.4.Функции'!GW137+"BYw!$h`"</f>
        <v>#VALUE!</v>
      </c>
      <c r="HO54" t="e">
        <f>'2.4.Функции'!GX137+"BYw!$ha"</f>
        <v>#VALUE!</v>
      </c>
      <c r="HP54" t="e">
        <f>'2.4.Функции'!GY137+"BYw!$hb"</f>
        <v>#VALUE!</v>
      </c>
      <c r="HQ54" t="e">
        <f>'2.4.Функции'!GZ137+"BYw!$hc"</f>
        <v>#VALUE!</v>
      </c>
      <c r="HR54" t="e">
        <f>'2.4.Функции'!HA137+"BYw!$hd"</f>
        <v>#VALUE!</v>
      </c>
      <c r="HS54" t="e">
        <f>'2.4.Функции'!HB137+"BYw!$he"</f>
        <v>#VALUE!</v>
      </c>
      <c r="HT54" t="e">
        <f>'2.4.Функции'!HC137+"BYw!$hf"</f>
        <v>#VALUE!</v>
      </c>
      <c r="HU54" t="e">
        <f>'2.4.Функции'!HD137+"BYw!$hg"</f>
        <v>#VALUE!</v>
      </c>
      <c r="HV54" t="e">
        <f>'2.4.Функции'!HE137+"BYw!$hh"</f>
        <v>#VALUE!</v>
      </c>
      <c r="HW54" t="e">
        <f>'2.4.Функции'!HF137+"BYw!$hi"</f>
        <v>#VALUE!</v>
      </c>
      <c r="HX54" t="e">
        <f>'2.4.Функции'!HG137+"BYw!$hj"</f>
        <v>#VALUE!</v>
      </c>
      <c r="HY54" t="e">
        <f>'2.4.Функции'!HH137+"BYw!$hk"</f>
        <v>#VALUE!</v>
      </c>
      <c r="HZ54" t="e">
        <f>'2.4.Функции'!HI137+"BYw!$hl"</f>
        <v>#VALUE!</v>
      </c>
      <c r="IA54" t="e">
        <f>'2.4.Функции'!HJ137+"BYw!$hm"</f>
        <v>#VALUE!</v>
      </c>
      <c r="IB54" t="e">
        <f>'2.4.Функции'!HK137+"BYw!$hn"</f>
        <v>#VALUE!</v>
      </c>
      <c r="IC54" t="e">
        <f>'2.4.Функции'!HL137+"BYw!$ho"</f>
        <v>#VALUE!</v>
      </c>
      <c r="ID54" t="e">
        <f>'2.4.Функции'!HM137+"BYw!$hp"</f>
        <v>#VALUE!</v>
      </c>
      <c r="IE54" t="e">
        <f>'2.4.Функции'!HN137+"BYw!$hq"</f>
        <v>#VALUE!</v>
      </c>
      <c r="IF54" t="e">
        <f>'2.4.Функции'!HO137+"BYw!$hr"</f>
        <v>#VALUE!</v>
      </c>
      <c r="IG54" t="e">
        <f>'2.4.Функции'!HP137+"BYw!$hs"</f>
        <v>#VALUE!</v>
      </c>
      <c r="IH54" t="e">
        <f>'2.4.Функции'!HQ137+"BYw!$ht"</f>
        <v>#VALUE!</v>
      </c>
      <c r="II54" t="e">
        <f>'2.4.Функции'!HR137+"BYw!$hu"</f>
        <v>#VALUE!</v>
      </c>
      <c r="IJ54" t="e">
        <f>'2.4.Функции'!HS137+"BYw!$hv"</f>
        <v>#VALUE!</v>
      </c>
      <c r="IK54" t="e">
        <f>'2.4.Функции'!HT137+"BYw!$hw"</f>
        <v>#VALUE!</v>
      </c>
      <c r="IL54" t="e">
        <f>'2.4.Функции'!HU137+"BYw!$hx"</f>
        <v>#VALUE!</v>
      </c>
      <c r="IM54" t="e">
        <f>'2.4.Функции'!HV137+"BYw!$hy"</f>
        <v>#VALUE!</v>
      </c>
      <c r="IN54" t="e">
        <f>'2.4.Функции'!HW137+"BYw!$hz"</f>
        <v>#VALUE!</v>
      </c>
      <c r="IO54" t="e">
        <f>'2.4.Функции'!HX137+"BYw!$h{"</f>
        <v>#VALUE!</v>
      </c>
      <c r="IP54" t="e">
        <f>'2.4.Функции'!HY137+"BYw!$h|"</f>
        <v>#VALUE!</v>
      </c>
      <c r="IQ54" t="e">
        <f>'2.4.Функции'!HZ137+"BYw!$h}"</f>
        <v>#VALUE!</v>
      </c>
      <c r="IR54" t="e">
        <f>'2.4.Функции'!IA137+"BYw!$h~"</f>
        <v>#VALUE!</v>
      </c>
      <c r="IS54" t="e">
        <f>'2.4.Функции'!IB137+"BYw!$i#"</f>
        <v>#VALUE!</v>
      </c>
      <c r="IT54" t="e">
        <f>'2.4.Функции'!IC137+"BYw!$i$"</f>
        <v>#VALUE!</v>
      </c>
      <c r="IU54" t="e">
        <f>'2.4.Функции'!ID137+"BYw!$i%"</f>
        <v>#VALUE!</v>
      </c>
      <c r="IV54" t="e">
        <f>'2.4.Функции'!IE137+"BYw!$i&amp;"</f>
        <v>#VALUE!</v>
      </c>
    </row>
    <row r="55" spans="6:256" x14ac:dyDescent="0.2">
      <c r="F55" t="e">
        <f>'2.4.Функции'!IF137+"BYw!$i'"</f>
        <v>#VALUE!</v>
      </c>
      <c r="G55" t="e">
        <f>'2.4.Функции'!IG137+"BYw!$i("</f>
        <v>#VALUE!</v>
      </c>
      <c r="H55" t="e">
        <f>'2.4.Функции'!IH137+"BYw!$i)"</f>
        <v>#VALUE!</v>
      </c>
      <c r="I55" t="e">
        <f>'2.4.Функции'!II137+"BYw!$i."</f>
        <v>#VALUE!</v>
      </c>
      <c r="J55" t="e">
        <f>'2.4.Функции'!IJ137+"BYw!$i/"</f>
        <v>#VALUE!</v>
      </c>
      <c r="K55" t="e">
        <f>'2.4.Функции'!IK137+"BYw!$i0"</f>
        <v>#VALUE!</v>
      </c>
      <c r="L55" t="e">
        <f>'2.4.Функции'!IL137+"BYw!$i1"</f>
        <v>#VALUE!</v>
      </c>
      <c r="M55" t="e">
        <f>'2.4.Функции'!IM137+"BYw!$i2"</f>
        <v>#VALUE!</v>
      </c>
      <c r="N55" t="e">
        <f>'2.4.Функции'!IN137+"BYw!$i3"</f>
        <v>#VALUE!</v>
      </c>
      <c r="O55" t="e">
        <f>'2.4.Функции'!IO137+"BYw!$i4"</f>
        <v>#VALUE!</v>
      </c>
      <c r="P55" t="e">
        <f>'2.4.Функции'!IP137+"BYw!$i5"</f>
        <v>#VALUE!</v>
      </c>
      <c r="Q55" t="e">
        <f>'2.4.Функции'!IQ137+"BYw!$i6"</f>
        <v>#VALUE!</v>
      </c>
      <c r="R55" t="e">
        <f>'2.4.Функции'!IR137+"BYw!$i7"</f>
        <v>#VALUE!</v>
      </c>
      <c r="S55" t="e">
        <f>'2.4.Функции'!IS137+"BYw!$i8"</f>
        <v>#VALUE!</v>
      </c>
      <c r="T55" t="e">
        <f>'2.4.Функции'!IT137+"BYw!$i9"</f>
        <v>#VALUE!</v>
      </c>
      <c r="U55" t="e">
        <f>'2.4.Функции'!IU137+"BYw!$i:"</f>
        <v>#VALUE!</v>
      </c>
      <c r="V55" t="e">
        <f>'2.4.Функции'!IV137+"BYw!$i;"</f>
        <v>#VALUE!</v>
      </c>
      <c r="W55" t="e">
        <f>'2.4.Функции'!IW137+"BYw!$i&lt;"</f>
        <v>#VALUE!</v>
      </c>
      <c r="X55" t="e">
        <f>'2.4.Функции'!IX137+"BYw!$i="</f>
        <v>#VALUE!</v>
      </c>
      <c r="Y55" t="e">
        <f>'2.4.Функции'!IY137+"BYw!$i&gt;"</f>
        <v>#VALUE!</v>
      </c>
      <c r="Z55" t="e">
        <f>'2.4.Функции'!IZ137+"BYw!$i?"</f>
        <v>#VALUE!</v>
      </c>
      <c r="AA55" t="e">
        <f>'2.4.Функции'!JA137+"BYw!$i@"</f>
        <v>#VALUE!</v>
      </c>
      <c r="AB55" t="e">
        <f>'2.4.Функции'!JB137+"BYw!$iA"</f>
        <v>#VALUE!</v>
      </c>
      <c r="AC55" t="e">
        <f>'2.4.Функции'!JC137+"BYw!$iB"</f>
        <v>#VALUE!</v>
      </c>
      <c r="AD55" t="e">
        <f>'2.4.Функции'!JD137+"BYw!$iC"</f>
        <v>#VALUE!</v>
      </c>
      <c r="AE55" t="e">
        <f>'2.4.Функции'!JE137+"BYw!$iD"</f>
        <v>#VALUE!</v>
      </c>
      <c r="AF55" t="e">
        <f>'2.4.Функции'!JF137+"BYw!$iE"</f>
        <v>#VALUE!</v>
      </c>
      <c r="AG55" t="e">
        <f>'2.4.Функции'!JG137+"BYw!$iF"</f>
        <v>#VALUE!</v>
      </c>
      <c r="AH55" t="e">
        <f>'2.4.Функции'!JH137+"BYw!$iG"</f>
        <v>#VALUE!</v>
      </c>
      <c r="AI55" t="e">
        <f>'2.4.Функции'!JI137+"BYw!$iH"</f>
        <v>#VALUE!</v>
      </c>
      <c r="AJ55" t="e">
        <f>'2.4.Функции'!JJ137+"BYw!$iI"</f>
        <v>#VALUE!</v>
      </c>
      <c r="AK55" t="e">
        <f>'2.4.Функции'!JK137+"BYw!$iJ"</f>
        <v>#VALUE!</v>
      </c>
      <c r="AL55" t="e">
        <f>'2.4.Функции'!JL137+"BYw!$iK"</f>
        <v>#VALUE!</v>
      </c>
      <c r="AM55" t="e">
        <f>'2.4.Функции'!JM137+"BYw!$iL"</f>
        <v>#VALUE!</v>
      </c>
      <c r="AN55" t="e">
        <f>'2.4.Функции'!JN137+"BYw!$iM"</f>
        <v>#VALUE!</v>
      </c>
      <c r="AO55" t="e">
        <f>'2.4.Функции'!JO137+"BYw!$iN"</f>
        <v>#VALUE!</v>
      </c>
      <c r="AP55" t="e">
        <f>'2.4.Функции'!JP137+"BYw!$iO"</f>
        <v>#VALUE!</v>
      </c>
      <c r="AQ55" t="e">
        <f>'2.4.Функции'!JQ137+"BYw!$iP"</f>
        <v>#VALUE!</v>
      </c>
      <c r="AR55" t="e">
        <f>'2.4.Функции'!JR137+"BYw!$iQ"</f>
        <v>#VALUE!</v>
      </c>
      <c r="AS55" t="e">
        <f>'2.4.Функции'!JS137+"BYw!$iR"</f>
        <v>#VALUE!</v>
      </c>
      <c r="AT55" t="e">
        <f>'2.4.Функции'!JT137+"BYw!$iS"</f>
        <v>#VALUE!</v>
      </c>
      <c r="AU55" t="e">
        <f>'2.4.Функции'!JU137+"BYw!$iT"</f>
        <v>#VALUE!</v>
      </c>
      <c r="AV55" t="e">
        <f>'2.4.Функции'!JV137+"BYw!$iU"</f>
        <v>#VALUE!</v>
      </c>
      <c r="AW55" t="e">
        <f>'2.4.Функции'!JW137+"BYw!$iV"</f>
        <v>#VALUE!</v>
      </c>
      <c r="AX55" t="e">
        <f>'2.4.Функции'!JX137+"BYw!$iW"</f>
        <v>#VALUE!</v>
      </c>
      <c r="AY55" t="e">
        <f>'2.4.Функции'!JY137+"BYw!$iX"</f>
        <v>#VALUE!</v>
      </c>
      <c r="AZ55" t="e">
        <f>'2.4.Функции'!JZ137+"BYw!$iY"</f>
        <v>#VALUE!</v>
      </c>
      <c r="BA55" t="e">
        <f>'2.4.Функции'!KA137+"BYw!$iZ"</f>
        <v>#VALUE!</v>
      </c>
      <c r="BB55" t="e">
        <f>'2.4.Функции'!KB137+"BYw!$i["</f>
        <v>#VALUE!</v>
      </c>
      <c r="BC55" t="e">
        <f>'2.4.Функции'!KC137+"BYw!$i\"</f>
        <v>#VALUE!</v>
      </c>
      <c r="BD55" t="e">
        <f>'2.4.Функции'!KD137+"BYw!$i]"</f>
        <v>#VALUE!</v>
      </c>
      <c r="BE55" t="e">
        <f>'2.4.Функции'!KE137+"BYw!$i^"</f>
        <v>#VALUE!</v>
      </c>
      <c r="BF55" t="e">
        <f>'2.4.Функции'!KF137+"BYw!$i_"</f>
        <v>#VALUE!</v>
      </c>
      <c r="BG55" t="e">
        <f>'2.4.Функции'!KG137+"BYw!$i`"</f>
        <v>#VALUE!</v>
      </c>
      <c r="BH55" t="e">
        <f>'2.4.Функции'!KH137+"BYw!$ia"</f>
        <v>#VALUE!</v>
      </c>
      <c r="BI55" t="e">
        <f>'2.4.Функции'!KI137+"BYw!$ib"</f>
        <v>#VALUE!</v>
      </c>
      <c r="BJ55" t="e">
        <f>'2.4.Функции'!KJ137+"BYw!$ic"</f>
        <v>#VALUE!</v>
      </c>
      <c r="BK55" t="e">
        <f>'2.4.Функции'!KK137+"BYw!$id"</f>
        <v>#VALUE!</v>
      </c>
      <c r="BL55" t="e">
        <f>'2.4.Функции'!KL137+"BYw!$ie"</f>
        <v>#VALUE!</v>
      </c>
      <c r="BM55" t="e">
        <f>'2.4.Функции'!KM137+"BYw!$if"</f>
        <v>#VALUE!</v>
      </c>
      <c r="BN55" t="e">
        <f>'2.4.Функции'!KN137+"BYw!$ig"</f>
        <v>#VALUE!</v>
      </c>
      <c r="BO55" t="e">
        <f>'2.4.Функции'!KO137+"BYw!$ih"</f>
        <v>#VALUE!</v>
      </c>
      <c r="BP55" t="e">
        <f>'2.4.Функции'!KP137+"BYw!$ii"</f>
        <v>#VALUE!</v>
      </c>
      <c r="BQ55" t="e">
        <f>'2.4.Функции'!KQ137+"BYw!$ij"</f>
        <v>#VALUE!</v>
      </c>
      <c r="BR55" t="e">
        <f>'2.4.Функции'!KR137+"BYw!$ik"</f>
        <v>#VALUE!</v>
      </c>
      <c r="BS55" t="e">
        <f>'2.4.Функции'!KS137+"BYw!$il"</f>
        <v>#VALUE!</v>
      </c>
      <c r="BT55" t="e">
        <f>'2.4.Функции'!KT137+"BYw!$im"</f>
        <v>#VALUE!</v>
      </c>
      <c r="BU55" t="e">
        <f>'2.4.Функции'!KU137+"BYw!$in"</f>
        <v>#VALUE!</v>
      </c>
      <c r="BV55" t="e">
        <f>'2.4.Функции'!KV137+"BYw!$io"</f>
        <v>#VALUE!</v>
      </c>
      <c r="BW55" t="e">
        <f>'2.4.Функции'!KW137+"BYw!$ip"</f>
        <v>#VALUE!</v>
      </c>
      <c r="BX55" t="e">
        <f>'2.4.Функции'!KX137+"BYw!$iq"</f>
        <v>#VALUE!</v>
      </c>
      <c r="BY55" t="e">
        <f>'2.4.Функции'!KY137+"BYw!$ir"</f>
        <v>#VALUE!</v>
      </c>
      <c r="BZ55" t="e">
        <f>'2.4.Функции'!KZ137+"BYw!$is"</f>
        <v>#VALUE!</v>
      </c>
      <c r="CA55" t="e">
        <f>'2.4.Функции'!LA137+"BYw!$it"</f>
        <v>#VALUE!</v>
      </c>
      <c r="CB55" t="e">
        <f>'2.4.Функции'!LB137+"BYw!$iu"</f>
        <v>#VALUE!</v>
      </c>
      <c r="CC55" t="e">
        <f>'2.4.Функции'!LC137+"BYw!$iv"</f>
        <v>#VALUE!</v>
      </c>
      <c r="CD55" t="e">
        <f>'2.4.Функции'!LD137+"BYw!$iw"</f>
        <v>#VALUE!</v>
      </c>
      <c r="CE55" t="e">
        <f>'2.4.Функции'!LE137+"BYw!$ix"</f>
        <v>#VALUE!</v>
      </c>
      <c r="CF55" t="e">
        <f>'2.4.Функции'!LF137+"BYw!$iy"</f>
        <v>#VALUE!</v>
      </c>
      <c r="CG55" t="e">
        <f>'2.4.Функции'!LG137+"BYw!$iz"</f>
        <v>#VALUE!</v>
      </c>
      <c r="CH55" t="e">
        <f>'2.4.Функции'!LH137+"BYw!$i{"</f>
        <v>#VALUE!</v>
      </c>
      <c r="CI55" t="e">
        <f>'2.4.Функции'!LI137+"BYw!$i|"</f>
        <v>#VALUE!</v>
      </c>
      <c r="CJ55" t="e">
        <f>'2.4.Функции'!LJ137+"BYw!$i}"</f>
        <v>#VALUE!</v>
      </c>
      <c r="CK55" t="e">
        <f>'2.4.Функции'!LK137+"BYw!$i~"</f>
        <v>#VALUE!</v>
      </c>
      <c r="CL55" t="e">
        <f>'2.4.Функции'!LL137+"BYw!$j#"</f>
        <v>#VALUE!</v>
      </c>
      <c r="CM55" t="e">
        <f>'2.4.Функции'!LM137+"BYw!$j$"</f>
        <v>#VALUE!</v>
      </c>
      <c r="CN55" t="e">
        <f>'2.4.Функции'!LN137+"BYw!$j%"</f>
        <v>#VALUE!</v>
      </c>
      <c r="CO55" t="e">
        <f>'2.4.Функции'!LO137+"BYw!$j&amp;"</f>
        <v>#VALUE!</v>
      </c>
      <c r="CP55" t="e">
        <f>'2.4.Функции'!LP137+"BYw!$j'"</f>
        <v>#VALUE!</v>
      </c>
      <c r="CQ55" t="e">
        <f>'2.4.Функции'!LQ137+"BYw!$j("</f>
        <v>#VALUE!</v>
      </c>
      <c r="CR55" t="e">
        <f>'2.4.Функции'!LR137+"BYw!$j)"</f>
        <v>#VALUE!</v>
      </c>
      <c r="CS55" t="e">
        <f>'2.4.Функции'!LS137+"BYw!$j."</f>
        <v>#VALUE!</v>
      </c>
      <c r="CT55" t="e">
        <f>'2.4.Функции'!LT137+"BYw!$j/"</f>
        <v>#VALUE!</v>
      </c>
      <c r="CU55" t="e">
        <f>'2.4.Функции'!LU137+"BYw!$j0"</f>
        <v>#VALUE!</v>
      </c>
      <c r="CV55" t="e">
        <f>'2.4.Функции'!LV137+"BYw!$j1"</f>
        <v>#VALUE!</v>
      </c>
      <c r="CW55" t="e">
        <f>'2.4.Функции'!LW137+"BYw!$j2"</f>
        <v>#VALUE!</v>
      </c>
      <c r="CX55" t="e">
        <f>'2.4.Функции'!LX137+"BYw!$j3"</f>
        <v>#VALUE!</v>
      </c>
      <c r="CY55" t="e">
        <f>'2.4.Функции'!LY137+"BYw!$j4"</f>
        <v>#VALUE!</v>
      </c>
      <c r="CZ55" t="e">
        <f>'2.4.Функции'!LZ137+"BYw!$j5"</f>
        <v>#VALUE!</v>
      </c>
      <c r="DA55" t="e">
        <f>'2.4.Функции'!MA137+"BYw!$j6"</f>
        <v>#VALUE!</v>
      </c>
      <c r="DB55" t="e">
        <f>'2.4.Функции'!MB137+"BYw!$j7"</f>
        <v>#VALUE!</v>
      </c>
      <c r="DC55" t="e">
        <f>'2.4.Функции'!MC137+"BYw!$j8"</f>
        <v>#VALUE!</v>
      </c>
      <c r="DD55" t="e">
        <f>'2.4.Функции'!MD137+"BYw!$j9"</f>
        <v>#VALUE!</v>
      </c>
      <c r="DE55" t="e">
        <f>'2.4.Функции'!ME137+"BYw!$j:"</f>
        <v>#VALUE!</v>
      </c>
      <c r="DF55" t="e">
        <f>'2.4.Функции'!MF137+"BYw!$j;"</f>
        <v>#VALUE!</v>
      </c>
      <c r="DG55" t="e">
        <f>'2.4.Функции'!MG137+"BYw!$j&lt;"</f>
        <v>#VALUE!</v>
      </c>
      <c r="DH55" t="e">
        <f>'2.4.Функции'!MH137+"BYw!$j="</f>
        <v>#VALUE!</v>
      </c>
      <c r="DI55" t="e">
        <f>'2.4.Функции'!MI137+"BYw!$j&gt;"</f>
        <v>#VALUE!</v>
      </c>
      <c r="DJ55" t="e">
        <f>'2.4.Функции'!MJ137+"BYw!$j?"</f>
        <v>#VALUE!</v>
      </c>
      <c r="DK55" t="e">
        <f>'2.4.Функции'!MK137+"BYw!$j@"</f>
        <v>#VALUE!</v>
      </c>
      <c r="DL55" t="e">
        <f>'2.4.Функции'!ML137+"BYw!$jA"</f>
        <v>#VALUE!</v>
      </c>
      <c r="DM55" t="e">
        <f>'2.4.Функции'!MM137+"BYw!$jB"</f>
        <v>#VALUE!</v>
      </c>
      <c r="DN55" t="e">
        <f>'2.4.Функции'!MN137+"BYw!$jC"</f>
        <v>#VALUE!</v>
      </c>
      <c r="DO55" t="e">
        <f>'2.4.Функции'!MO137+"BYw!$jD"</f>
        <v>#VALUE!</v>
      </c>
      <c r="DP55" t="e">
        <f>'2.4.Функции'!MP137+"BYw!$jE"</f>
        <v>#VALUE!</v>
      </c>
      <c r="DQ55" t="e">
        <f>'2.4.Функции'!MQ137+"BYw!$jF"</f>
        <v>#VALUE!</v>
      </c>
      <c r="DR55" t="e">
        <f>'2.4.Функции'!MR137+"BYw!$jG"</f>
        <v>#VALUE!</v>
      </c>
      <c r="DS55" t="e">
        <f>'2.4.Функции'!MS137+"BYw!$jH"</f>
        <v>#VALUE!</v>
      </c>
      <c r="DT55" t="e">
        <f>'2.4.Функции'!MT137+"BYw!$jI"</f>
        <v>#VALUE!</v>
      </c>
      <c r="DU55" t="e">
        <f>'2.4.Функции'!MU137+"BYw!$jJ"</f>
        <v>#VALUE!</v>
      </c>
      <c r="DV55" t="e">
        <f>'2.4.Функции'!MV137+"BYw!$jK"</f>
        <v>#VALUE!</v>
      </c>
      <c r="DW55" t="e">
        <f>'2.4.Функции'!MW137+"BYw!$jL"</f>
        <v>#VALUE!</v>
      </c>
      <c r="DX55" t="e">
        <f>'2.4.Функции'!MX137+"BYw!$jM"</f>
        <v>#VALUE!</v>
      </c>
      <c r="DY55" t="e">
        <f>'2.4.Функции'!MY137+"BYw!$jN"</f>
        <v>#VALUE!</v>
      </c>
      <c r="DZ55" t="e">
        <f>'2.4.Функции'!MZ137+"BYw!$jO"</f>
        <v>#VALUE!</v>
      </c>
      <c r="EA55" t="e">
        <f>'2.4.Функции'!NA137+"BYw!$jP"</f>
        <v>#VALUE!</v>
      </c>
      <c r="EB55" t="e">
        <f>'2.4.Функции'!NB137+"BYw!$jQ"</f>
        <v>#VALUE!</v>
      </c>
      <c r="EC55" t="e">
        <f>'2.4.Функции'!NC137+"BYw!$jR"</f>
        <v>#VALUE!</v>
      </c>
      <c r="ED55" t="e">
        <f>'2.4.Функции'!ND137+"BYw!$jS"</f>
        <v>#VALUE!</v>
      </c>
      <c r="EE55" t="e">
        <f>'2.4.Функции'!NE137+"BYw!$jT"</f>
        <v>#VALUE!</v>
      </c>
      <c r="EF55" t="e">
        <f>'2.4.Функции'!NF137+"BYw!$jU"</f>
        <v>#VALUE!</v>
      </c>
      <c r="EG55" t="e">
        <f>'2.4.Функции'!NG137+"BYw!$jV"</f>
        <v>#VALUE!</v>
      </c>
      <c r="EH55" t="e">
        <f>'2.4.Функции'!NH137+"BYw!$jW"</f>
        <v>#VALUE!</v>
      </c>
      <c r="EI55" t="e">
        <f>'2.4.Функции'!NI137+"BYw!$jX"</f>
        <v>#VALUE!</v>
      </c>
      <c r="EJ55" t="e">
        <f>'2.4.Функции'!NJ137+"BYw!$jY"</f>
        <v>#VALUE!</v>
      </c>
      <c r="EK55" t="e">
        <f>'2.4.Функции'!NK137+"BYw!$jZ"</f>
        <v>#VALUE!</v>
      </c>
      <c r="EL55" t="e">
        <f>'2.4.Функции'!NL137+"BYw!$j["</f>
        <v>#VALUE!</v>
      </c>
      <c r="EM55" t="e">
        <f>'2.4.Функции'!NM137+"BYw!$j\"</f>
        <v>#VALUE!</v>
      </c>
      <c r="EN55" t="e">
        <f>'2.4.Функции'!NN137+"BYw!$j]"</f>
        <v>#VALUE!</v>
      </c>
      <c r="EO55" t="e">
        <f>'2.4.Функции'!NO137+"BYw!$j^"</f>
        <v>#VALUE!</v>
      </c>
      <c r="EP55" t="e">
        <f>'2.4.Функции'!NP137+"BYw!$j_"</f>
        <v>#VALUE!</v>
      </c>
      <c r="EQ55" t="e">
        <f>'2.4.Функции'!NQ137+"BYw!$j`"</f>
        <v>#VALUE!</v>
      </c>
      <c r="ER55" t="e">
        <f>'2.4.Функции'!NR137+"BYw!$ja"</f>
        <v>#VALUE!</v>
      </c>
      <c r="ES55" t="e">
        <f>'2.4.Функции'!NS137+"BYw!$jb"</f>
        <v>#VALUE!</v>
      </c>
      <c r="ET55" t="e">
        <f>'2.4.Функции'!NT137+"BYw!$jc"</f>
        <v>#VALUE!</v>
      </c>
      <c r="EU55" t="e">
        <f>'2.4.Функции'!NU137+"BYw!$jd"</f>
        <v>#VALUE!</v>
      </c>
      <c r="EV55" t="e">
        <f>'2.4.Функции'!NV137+"BYw!$je"</f>
        <v>#VALUE!</v>
      </c>
      <c r="EW55" t="e">
        <f>'2.4.Функции'!NW137+"BYw!$jf"</f>
        <v>#VALUE!</v>
      </c>
      <c r="EX55" t="e">
        <f>'2.4.Функции'!NX137+"BYw!$jg"</f>
        <v>#VALUE!</v>
      </c>
      <c r="EY55" t="e">
        <f>'2.4.Функции'!NY137+"BYw!$jh"</f>
        <v>#VALUE!</v>
      </c>
      <c r="EZ55" t="e">
        <f>'2.4.Функции'!NZ137+"BYw!$ji"</f>
        <v>#VALUE!</v>
      </c>
      <c r="FA55" t="e">
        <f>'2.4.Функции'!OA137+"BYw!$jj"</f>
        <v>#VALUE!</v>
      </c>
      <c r="FB55" t="e">
        <f>'2.4.Функции'!OB137+"BYw!$jk"</f>
        <v>#VALUE!</v>
      </c>
      <c r="FC55" t="e">
        <f>'2.4.Функции'!OC137+"BYw!$jl"</f>
        <v>#VALUE!</v>
      </c>
      <c r="FD55" t="e">
        <f>'2.4.Функции'!OD137+"BYw!$jm"</f>
        <v>#VALUE!</v>
      </c>
      <c r="FE55" t="e">
        <f>'2.4.Функции'!OE137+"BYw!$jn"</f>
        <v>#VALUE!</v>
      </c>
      <c r="FF55" t="e">
        <f>'2.4.Функции'!OF137+"BYw!$jo"</f>
        <v>#VALUE!</v>
      </c>
      <c r="FG55" t="e">
        <f>'2.4.Функции'!OG137+"BYw!$jp"</f>
        <v>#VALUE!</v>
      </c>
      <c r="FH55" t="e">
        <f>'2.4.Функции'!OH137+"BYw!$jq"</f>
        <v>#VALUE!</v>
      </c>
      <c r="FI55" t="e">
        <f>'2.4.Функции'!OI137+"BYw!$jr"</f>
        <v>#VALUE!</v>
      </c>
      <c r="FJ55" t="e">
        <f>'2.4.Функции'!OJ137+"BYw!$js"</f>
        <v>#VALUE!</v>
      </c>
      <c r="FK55" t="e">
        <f>'2.4.Функции'!OK137+"BYw!$jt"</f>
        <v>#VALUE!</v>
      </c>
      <c r="FL55" t="e">
        <f>'2.4.Функции'!OL137+"BYw!$ju"</f>
        <v>#VALUE!</v>
      </c>
      <c r="FM55" t="e">
        <f>'2.4.Функции'!OM137+"BYw!$jv"</f>
        <v>#VALUE!</v>
      </c>
      <c r="FN55" t="e">
        <f>'2.4.Функции'!ON137+"BYw!$jw"</f>
        <v>#VALUE!</v>
      </c>
      <c r="FO55" t="e">
        <f>'2.4.Функции'!OO137+"BYw!$jx"</f>
        <v>#VALUE!</v>
      </c>
      <c r="FP55" t="e">
        <f>'2.4.Функции'!OP137+"BYw!$jy"</f>
        <v>#VALUE!</v>
      </c>
      <c r="FQ55" t="e">
        <f>'2.4.Функции'!OQ137+"BYw!$jz"</f>
        <v>#VALUE!</v>
      </c>
      <c r="FR55" t="e">
        <f>'2.4.Функции'!OR137+"BYw!$j{"</f>
        <v>#VALUE!</v>
      </c>
      <c r="FS55" t="e">
        <f>'2.4.Функции'!OS137+"BYw!$j|"</f>
        <v>#VALUE!</v>
      </c>
      <c r="FT55" t="e">
        <f>'2.4.Функции'!OT137+"BYw!$j}"</f>
        <v>#VALUE!</v>
      </c>
      <c r="FU55" t="e">
        <f>'2.4.Функции'!OU137+"BYw!$j~"</f>
        <v>#VALUE!</v>
      </c>
      <c r="FV55" t="e">
        <f>'2.4.Функции'!OV137+"BYw!$k#"</f>
        <v>#VALUE!</v>
      </c>
      <c r="FW55" t="e">
        <f>'2.4.Функции'!OW137+"BYw!$k$"</f>
        <v>#VALUE!</v>
      </c>
      <c r="FX55" t="e">
        <f>'2.4.Функции'!OX137+"BYw!$k%"</f>
        <v>#VALUE!</v>
      </c>
      <c r="FY55" t="e">
        <f>'2.4.Функции'!OY137+"BYw!$k&amp;"</f>
        <v>#VALUE!</v>
      </c>
      <c r="FZ55" t="e">
        <f>'2.4.Функции'!OZ137+"BYw!$k'"</f>
        <v>#VALUE!</v>
      </c>
      <c r="GA55" t="e">
        <f>'2.4.Функции'!PA137+"BYw!$k("</f>
        <v>#VALUE!</v>
      </c>
      <c r="GB55" t="e">
        <f>'2.4.Функции'!PB137+"BYw!$k)"</f>
        <v>#VALUE!</v>
      </c>
      <c r="GC55" t="e">
        <f>'2.4.Функции'!PC137+"BYw!$k."</f>
        <v>#VALUE!</v>
      </c>
      <c r="GD55" t="e">
        <f>'2.4.Функции'!PD137+"BYw!$k/"</f>
        <v>#VALUE!</v>
      </c>
      <c r="GE55" t="e">
        <f>'2.4.Функции'!PE137+"BYw!$k0"</f>
        <v>#VALUE!</v>
      </c>
      <c r="GF55" t="e">
        <f>'2.4.Функции'!PF137+"BYw!$k1"</f>
        <v>#VALUE!</v>
      </c>
      <c r="GG55" t="e">
        <f>'2.4.Функции'!PG137+"BYw!$k2"</f>
        <v>#VALUE!</v>
      </c>
      <c r="GH55" t="e">
        <f>'2.4.Функции'!PH137+"BYw!$k3"</f>
        <v>#VALUE!</v>
      </c>
      <c r="GI55" t="e">
        <f>'2.4.Функции'!PI137+"BYw!$k4"</f>
        <v>#VALUE!</v>
      </c>
      <c r="GJ55" t="e">
        <f>'2.4.Функции'!PJ137+"BYw!$k5"</f>
        <v>#VALUE!</v>
      </c>
      <c r="GK55" t="e">
        <f>'2.4.Функции'!PK137+"BYw!$k6"</f>
        <v>#VALUE!</v>
      </c>
      <c r="GL55" t="e">
        <f>'2.4.Функции'!PL137+"BYw!$k7"</f>
        <v>#VALUE!</v>
      </c>
      <c r="GM55" t="e">
        <f>'2.4.Функции'!PM137+"BYw!$k8"</f>
        <v>#VALUE!</v>
      </c>
      <c r="GN55" t="e">
        <f>'2.4.Функции'!PN137+"BYw!$k9"</f>
        <v>#VALUE!</v>
      </c>
      <c r="GO55" t="e">
        <f>'2.4.Функции'!PO137+"BYw!$k:"</f>
        <v>#VALUE!</v>
      </c>
      <c r="GP55" t="e">
        <f>'2.4.Функции'!PP137+"BYw!$k;"</f>
        <v>#VALUE!</v>
      </c>
      <c r="GQ55" t="e">
        <f>'2.4.Функции'!PQ137+"BYw!$k&lt;"</f>
        <v>#VALUE!</v>
      </c>
      <c r="GR55" t="e">
        <f>'2.4.Функции'!PR137+"BYw!$k="</f>
        <v>#VALUE!</v>
      </c>
      <c r="GS55" t="e">
        <f>'2.4.Функции'!PS137+"BYw!$k&gt;"</f>
        <v>#VALUE!</v>
      </c>
      <c r="GT55" t="e">
        <f>'2.4.Функции'!PT137+"BYw!$k?"</f>
        <v>#VALUE!</v>
      </c>
      <c r="GU55" t="e">
        <f>'2.4.Функции'!PU137+"BYw!$k@"</f>
        <v>#VALUE!</v>
      </c>
      <c r="GV55" t="e">
        <f>'2.4.Функции'!PV137+"BYw!$kA"</f>
        <v>#VALUE!</v>
      </c>
      <c r="GW55" t="e">
        <f>'2.4.Функции'!PW137+"BYw!$kB"</f>
        <v>#VALUE!</v>
      </c>
      <c r="GX55" t="e">
        <f>'2.4.Функции'!PX137+"BYw!$kC"</f>
        <v>#VALUE!</v>
      </c>
      <c r="GY55" t="e">
        <f>'2.4.Функции'!PY137+"BYw!$kD"</f>
        <v>#VALUE!</v>
      </c>
      <c r="GZ55" t="e">
        <f>'2.4.Функции'!PZ137+"BYw!$kE"</f>
        <v>#VALUE!</v>
      </c>
      <c r="HA55" t="e">
        <f>'2.4.Функции'!QA137+"BYw!$kF"</f>
        <v>#VALUE!</v>
      </c>
      <c r="HB55" t="e">
        <f>'2.4.Функции'!QB137+"BYw!$kG"</f>
        <v>#VALUE!</v>
      </c>
      <c r="HC55" t="e">
        <f>'2.4.Функции'!QC137+"BYw!$kH"</f>
        <v>#VALUE!</v>
      </c>
      <c r="HD55" t="e">
        <f>'2.4.Функции'!QD137+"BYw!$kI"</f>
        <v>#VALUE!</v>
      </c>
      <c r="HE55" t="e">
        <f>'2.4.Функции'!QE137+"BYw!$kJ"</f>
        <v>#VALUE!</v>
      </c>
      <c r="HF55" t="e">
        <f>'2.4.Функции'!QF137+"BYw!$kK"</f>
        <v>#VALUE!</v>
      </c>
      <c r="HG55" t="e">
        <f>'2.4.Функции'!QG137+"BYw!$kL"</f>
        <v>#VALUE!</v>
      </c>
      <c r="HH55" t="e">
        <f>'2.4.Функции'!QH137+"BYw!$kM"</f>
        <v>#VALUE!</v>
      </c>
      <c r="HI55" t="e">
        <f>'2.4.Функции'!QI137+"BYw!$kN"</f>
        <v>#VALUE!</v>
      </c>
      <c r="HJ55" t="e">
        <f>'2.4.Функции'!QJ137+"BYw!$kO"</f>
        <v>#VALUE!</v>
      </c>
      <c r="HK55" t="e">
        <f>'2.4.Функции'!QK137+"BYw!$kP"</f>
        <v>#VALUE!</v>
      </c>
      <c r="HL55" t="e">
        <f>'2.4.Функции'!QL137+"BYw!$kQ"</f>
        <v>#VALUE!</v>
      </c>
      <c r="HM55" t="e">
        <f>'2.4.Функции'!QM137+"BYw!$kR"</f>
        <v>#VALUE!</v>
      </c>
      <c r="HN55" t="e">
        <f>'2.4.Функции'!QN137+"BYw!$kS"</f>
        <v>#VALUE!</v>
      </c>
      <c r="HO55" t="e">
        <f>'2.4.Функции'!QO137+"BYw!$kT"</f>
        <v>#VALUE!</v>
      </c>
      <c r="HP55" t="e">
        <f>'2.4.Функции'!QP137+"BYw!$kU"</f>
        <v>#VALUE!</v>
      </c>
      <c r="HQ55" t="e">
        <f>'2.4.Функции'!QQ137+"BYw!$kV"</f>
        <v>#VALUE!</v>
      </c>
      <c r="HR55" t="e">
        <f>'2.4.Функции'!QR137+"BYw!$kW"</f>
        <v>#VALUE!</v>
      </c>
      <c r="HS55" t="e">
        <f>'2.4.Функции'!QS137+"BYw!$kX"</f>
        <v>#VALUE!</v>
      </c>
      <c r="HT55" t="e">
        <f>'2.4.Функции'!QT137+"BYw!$kY"</f>
        <v>#VALUE!</v>
      </c>
      <c r="HU55" t="e">
        <f>'2.4.Функции'!QU137+"BYw!$kZ"</f>
        <v>#VALUE!</v>
      </c>
      <c r="HV55" t="e">
        <f>'2.4.Функции'!QV137+"BYw!$k["</f>
        <v>#VALUE!</v>
      </c>
      <c r="HW55" t="e">
        <f>'2.4.Функции'!QW137+"BYw!$k\"</f>
        <v>#VALUE!</v>
      </c>
      <c r="HX55" t="e">
        <f>'2.4.Функции'!QX137+"BYw!$k]"</f>
        <v>#VALUE!</v>
      </c>
      <c r="HY55" t="e">
        <f>'2.4.Функции'!QY137+"BYw!$k^"</f>
        <v>#VALUE!</v>
      </c>
      <c r="HZ55" t="e">
        <f>'2.4.Функции'!QZ137+"BYw!$k_"</f>
        <v>#VALUE!</v>
      </c>
      <c r="IA55" t="e">
        <f>'2.4.Функции'!RA137+"BYw!$k`"</f>
        <v>#VALUE!</v>
      </c>
      <c r="IB55" t="e">
        <f>'2.4.Функции'!RB137+"BYw!$ka"</f>
        <v>#VALUE!</v>
      </c>
      <c r="IC55" t="e">
        <f>'2.4.Функции'!RC137+"BYw!$kb"</f>
        <v>#VALUE!</v>
      </c>
      <c r="ID55" t="e">
        <f>'2.4.Функции'!RD137+"BYw!$kc"</f>
        <v>#VALUE!</v>
      </c>
      <c r="IE55" t="e">
        <f>'2.4.Функции'!RE137+"BYw!$kd"</f>
        <v>#VALUE!</v>
      </c>
      <c r="IF55" t="e">
        <f>'2.4.Функции'!RF137+"BYw!$ke"</f>
        <v>#VALUE!</v>
      </c>
      <c r="IG55" t="e">
        <f>'2.4.Функции'!RG137+"BYw!$kf"</f>
        <v>#VALUE!</v>
      </c>
      <c r="IH55" t="e">
        <f>'2.4.Функции'!RH137+"BYw!$kg"</f>
        <v>#VALUE!</v>
      </c>
      <c r="II55" t="e">
        <f>'2.4.Функции'!RI137+"BYw!$kh"</f>
        <v>#VALUE!</v>
      </c>
      <c r="IJ55" t="e">
        <f>'2.4.Функции'!RJ137+"BYw!$ki"</f>
        <v>#VALUE!</v>
      </c>
      <c r="IK55" t="e">
        <f>'2.4.Функции'!RK137+"BYw!$kj"</f>
        <v>#VALUE!</v>
      </c>
      <c r="IL55" t="e">
        <f>'2.4.Функции'!RL137+"BYw!$kk"</f>
        <v>#VALUE!</v>
      </c>
      <c r="IM55" t="e">
        <f>'2.4.Функции'!RM137+"BYw!$kl"</f>
        <v>#VALUE!</v>
      </c>
      <c r="IN55" t="e">
        <f>'2.4.Функции'!RN137+"BYw!$km"</f>
        <v>#VALUE!</v>
      </c>
      <c r="IO55" t="e">
        <f>'2.4.Функции'!RO137+"BYw!$kn"</f>
        <v>#VALUE!</v>
      </c>
      <c r="IP55" t="e">
        <f>'2.4.Функции'!RP137+"BYw!$ko"</f>
        <v>#VALUE!</v>
      </c>
      <c r="IQ55" t="e">
        <f>'2.4.Функции'!RQ137+"BYw!$kp"</f>
        <v>#VALUE!</v>
      </c>
      <c r="IR55" t="e">
        <f>'2.4.Функции'!RR137+"BYw!$kq"</f>
        <v>#VALUE!</v>
      </c>
      <c r="IS55" t="e">
        <f>'2.4.Функции'!RS137+"BYw!$kr"</f>
        <v>#VALUE!</v>
      </c>
      <c r="IT55" t="e">
        <f>'2.4.Функции'!RT137+"BYw!$ks"</f>
        <v>#VALUE!</v>
      </c>
      <c r="IU55" t="e">
        <f>'2.4.Функции'!RU137+"BYw!$kt"</f>
        <v>#VALUE!</v>
      </c>
      <c r="IV55" t="e">
        <f>'2.4.Функции'!RV137+"BYw!$ku"</f>
        <v>#VALUE!</v>
      </c>
    </row>
    <row r="56" spans="6:256" x14ac:dyDescent="0.2">
      <c r="F56" t="e">
        <f>'2.4.Функции'!RW137+"BYw!$kv"</f>
        <v>#VALUE!</v>
      </c>
      <c r="G56" t="e">
        <f>'2.4.Функции'!RX137+"BYw!$kw"</f>
        <v>#VALUE!</v>
      </c>
      <c r="H56" t="e">
        <f>'2.4.Функции'!RY137+"BYw!$kx"</f>
        <v>#VALUE!</v>
      </c>
      <c r="I56" t="e">
        <f>'2.4.Функции'!RZ137+"BYw!$ky"</f>
        <v>#VALUE!</v>
      </c>
      <c r="J56" t="e">
        <f>'2.4.Функции'!SA137+"BYw!$kz"</f>
        <v>#VALUE!</v>
      </c>
      <c r="K56" t="e">
        <f>'2.4.Функции'!SB137+"BYw!$k{"</f>
        <v>#VALUE!</v>
      </c>
      <c r="L56" t="e">
        <f>'2.4.Функции'!SC137+"BYw!$k|"</f>
        <v>#VALUE!</v>
      </c>
      <c r="M56" t="e">
        <f>'2.4.Функции'!SD137+"BYw!$k}"</f>
        <v>#VALUE!</v>
      </c>
      <c r="N56" t="e">
        <f>'2.4.Функции'!SE137+"BYw!$k~"</f>
        <v>#VALUE!</v>
      </c>
      <c r="O56" t="e">
        <f>'2.4.Функции'!SF137+"BYw!$l#"</f>
        <v>#VALUE!</v>
      </c>
      <c r="P56" t="e">
        <f>'2.4.Функции'!SG137+"BYw!$l$"</f>
        <v>#VALUE!</v>
      </c>
      <c r="Q56" t="e">
        <f>'2.4.Функции'!SH137+"BYw!$l%"</f>
        <v>#VALUE!</v>
      </c>
      <c r="R56" t="e">
        <f>'2.4.Функции'!SI137+"BYw!$l&amp;"</f>
        <v>#VALUE!</v>
      </c>
      <c r="S56" t="e">
        <f>'2.4.Функции'!SJ137+"BYw!$l'"</f>
        <v>#VALUE!</v>
      </c>
      <c r="T56" t="e">
        <f>'2.4.Функции'!SK137+"BYw!$l("</f>
        <v>#VALUE!</v>
      </c>
      <c r="U56" t="e">
        <f>'2.4.Функции'!SL137+"BYw!$l)"</f>
        <v>#VALUE!</v>
      </c>
      <c r="V56" t="e">
        <f>'2.4.Функции'!SM137+"BYw!$l."</f>
        <v>#VALUE!</v>
      </c>
      <c r="W56" t="e">
        <f>'2.4.Функции'!SN137+"BYw!$l/"</f>
        <v>#VALUE!</v>
      </c>
      <c r="X56" t="e">
        <f>'2.4.Функции'!SO137+"BYw!$l0"</f>
        <v>#VALUE!</v>
      </c>
      <c r="Y56" t="e">
        <f>'2.4.Функции'!SP137+"BYw!$l1"</f>
        <v>#VALUE!</v>
      </c>
      <c r="Z56" t="e">
        <f>'2.4.Функции'!SQ137+"BYw!$l2"</f>
        <v>#VALUE!</v>
      </c>
      <c r="AA56" t="e">
        <f>'2.4.Функции'!SR137+"BYw!$l3"</f>
        <v>#VALUE!</v>
      </c>
      <c r="AB56" t="e">
        <f>'2.4.Функции'!SS137+"BYw!$l4"</f>
        <v>#VALUE!</v>
      </c>
      <c r="AC56" t="e">
        <f>'2.4.Функции'!ST137+"BYw!$l5"</f>
        <v>#VALUE!</v>
      </c>
      <c r="AD56" t="e">
        <f>'2.4.Функции'!SU137+"BYw!$l6"</f>
        <v>#VALUE!</v>
      </c>
      <c r="AE56" t="e">
        <f>'2.4.Функции'!SV137+"BYw!$l7"</f>
        <v>#VALUE!</v>
      </c>
      <c r="AF56" t="e">
        <f>'2.4.Функции'!SW137+"BYw!$l8"</f>
        <v>#VALUE!</v>
      </c>
      <c r="AG56" t="e">
        <f>'2.4.Функции'!SX137+"BYw!$l9"</f>
        <v>#VALUE!</v>
      </c>
      <c r="AH56" t="e">
        <f>'2.4.Функции'!SY137+"BYw!$l:"</f>
        <v>#VALUE!</v>
      </c>
      <c r="AI56" t="e">
        <f>'2.4.Функции'!SZ137+"BYw!$l;"</f>
        <v>#VALUE!</v>
      </c>
      <c r="AJ56" t="e">
        <f>'2.4.Функции'!TA137+"BYw!$l&lt;"</f>
        <v>#VALUE!</v>
      </c>
      <c r="AK56" t="e">
        <f>'2.4.Функции'!TB137+"BYw!$l="</f>
        <v>#VALUE!</v>
      </c>
      <c r="AL56" t="e">
        <f>'2.4.Функции'!TC137+"BYw!$l&gt;"</f>
        <v>#VALUE!</v>
      </c>
      <c r="AM56" t="e">
        <f>'2.4.Функции'!TD137+"BYw!$l?"</f>
        <v>#VALUE!</v>
      </c>
      <c r="AN56" t="e">
        <f>'2.4.Функции'!TE137+"BYw!$l@"</f>
        <v>#VALUE!</v>
      </c>
      <c r="AO56" t="e">
        <f>'2.4.Функции'!TF137+"BYw!$lA"</f>
        <v>#VALUE!</v>
      </c>
      <c r="AP56" t="e">
        <f>'2.4.Функции'!TG137+"BYw!$lB"</f>
        <v>#VALUE!</v>
      </c>
      <c r="AQ56" t="e">
        <f>'2.4.Функции'!TH137+"BYw!$lC"</f>
        <v>#VALUE!</v>
      </c>
      <c r="AR56" t="e">
        <f>'2.4.Функции'!TI137+"BYw!$lD"</f>
        <v>#VALUE!</v>
      </c>
      <c r="AS56" t="e">
        <f>'2.4.Функции'!TJ137+"BYw!$lE"</f>
        <v>#VALUE!</v>
      </c>
      <c r="AT56" t="e">
        <f>'2.4.Функции'!TK137+"BYw!$lF"</f>
        <v>#VALUE!</v>
      </c>
      <c r="AU56" t="e">
        <f>'2.4.Функции'!TL137+"BYw!$lG"</f>
        <v>#VALUE!</v>
      </c>
      <c r="AV56" t="e">
        <f>'2.4.Функции'!TM137+"BYw!$lH"</f>
        <v>#VALUE!</v>
      </c>
      <c r="AW56" t="e">
        <f>'2.4.Функции'!TN137+"BYw!$lI"</f>
        <v>#VALUE!</v>
      </c>
      <c r="AX56" t="e">
        <f>'2.4.Функции'!TO137+"BYw!$lJ"</f>
        <v>#VALUE!</v>
      </c>
      <c r="AY56" t="e">
        <f>'2.4.Функции'!TP137+"BYw!$lK"</f>
        <v>#VALUE!</v>
      </c>
      <c r="AZ56" t="e">
        <f>'2.4.Функции'!TQ137+"BYw!$lL"</f>
        <v>#VALUE!</v>
      </c>
      <c r="BA56" t="e">
        <f>'2.4.Функции'!TR137+"BYw!$lM"</f>
        <v>#VALUE!</v>
      </c>
      <c r="BB56" t="e">
        <f>'2.4.Функции'!TS137+"BYw!$lN"</f>
        <v>#VALUE!</v>
      </c>
      <c r="BC56" t="e">
        <f>'2.4.Функции'!TT137+"BYw!$lO"</f>
        <v>#VALUE!</v>
      </c>
      <c r="BD56" t="e">
        <f>'2.4.Функции'!TU137+"BYw!$lP"</f>
        <v>#VALUE!</v>
      </c>
      <c r="BE56" t="e">
        <f>'2.4.Функции'!TV137+"BYw!$lQ"</f>
        <v>#VALUE!</v>
      </c>
      <c r="BF56" t="e">
        <f>'2.4.Функции'!TW137+"BYw!$lR"</f>
        <v>#VALUE!</v>
      </c>
      <c r="BG56" t="e">
        <f>'2.4.Функции'!TX137+"BYw!$lS"</f>
        <v>#VALUE!</v>
      </c>
      <c r="BH56" t="e">
        <f>'2.4.Функции'!TY137+"BYw!$lT"</f>
        <v>#VALUE!</v>
      </c>
      <c r="BI56" t="e">
        <f>'2.4.Функции'!TZ137+"BYw!$lU"</f>
        <v>#VALUE!</v>
      </c>
      <c r="BJ56" t="e">
        <f>'2.4.Функции'!UA137+"BYw!$lV"</f>
        <v>#VALUE!</v>
      </c>
      <c r="BK56" t="e">
        <f>'2.4.Функции'!UB137+"BYw!$lW"</f>
        <v>#VALUE!</v>
      </c>
      <c r="BL56" t="e">
        <f>'2.4.Функции'!UC137+"BYw!$lX"</f>
        <v>#VALUE!</v>
      </c>
      <c r="BM56" t="e">
        <f>'2.4.Функции'!UD137+"BYw!$lY"</f>
        <v>#VALUE!</v>
      </c>
      <c r="BN56" t="e">
        <f>'2.4.Функции'!UE137+"BYw!$lZ"</f>
        <v>#VALUE!</v>
      </c>
      <c r="BO56" t="e">
        <f>'2.4.Функции'!UF137+"BYw!$l["</f>
        <v>#VALUE!</v>
      </c>
      <c r="BP56" t="e">
        <f>'2.4.Функции'!UG137+"BYw!$l\"</f>
        <v>#VALUE!</v>
      </c>
      <c r="BQ56" t="e">
        <f>'2.4.Функции'!UH137+"BYw!$l]"</f>
        <v>#VALUE!</v>
      </c>
      <c r="BR56" t="e">
        <f>'2.4.Функции'!UI137+"BYw!$l^"</f>
        <v>#VALUE!</v>
      </c>
      <c r="BS56" t="e">
        <f>'2.4.Функции'!UJ137+"BYw!$l_"</f>
        <v>#VALUE!</v>
      </c>
      <c r="BT56" t="e">
        <f>'2.4.Функции'!UK137+"BYw!$l`"</f>
        <v>#VALUE!</v>
      </c>
      <c r="BU56" t="e">
        <f>'2.4.Функции'!UL137+"BYw!$la"</f>
        <v>#VALUE!</v>
      </c>
      <c r="BV56" t="e">
        <f>'2.4.Функции'!UM137+"BYw!$lb"</f>
        <v>#VALUE!</v>
      </c>
      <c r="BW56" t="e">
        <f>'2.4.Функции'!UN137+"BYw!$lc"</f>
        <v>#VALUE!</v>
      </c>
      <c r="BX56" t="e">
        <f>'2.4.Функции'!UO137+"BYw!$ld"</f>
        <v>#VALUE!</v>
      </c>
      <c r="BY56" t="e">
        <f>'2.4.Функции'!UP137+"BYw!$le"</f>
        <v>#VALUE!</v>
      </c>
      <c r="BZ56" t="e">
        <f>'2.4.Функции'!UQ137+"BYw!$lf"</f>
        <v>#VALUE!</v>
      </c>
      <c r="CA56" t="e">
        <f>'2.4.Функции'!UR137+"BYw!$lg"</f>
        <v>#VALUE!</v>
      </c>
      <c r="CB56" t="e">
        <f>'2.4.Функции'!US137+"BYw!$lh"</f>
        <v>#VALUE!</v>
      </c>
      <c r="CC56" t="e">
        <f>'2.4.Функции'!UT137+"BYw!$li"</f>
        <v>#VALUE!</v>
      </c>
      <c r="CD56" t="e">
        <f>'2.4.Функции'!UU137+"BYw!$lj"</f>
        <v>#VALUE!</v>
      </c>
      <c r="CE56" t="e">
        <f>'2.4.Функции'!UV137+"BYw!$lk"</f>
        <v>#VALUE!</v>
      </c>
      <c r="CF56" t="e">
        <f>'2.4.Функции'!UW137+"BYw!$ll"</f>
        <v>#VALUE!</v>
      </c>
      <c r="CG56" t="e">
        <f>'2.4.Функции'!UX137+"BYw!$lm"</f>
        <v>#VALUE!</v>
      </c>
      <c r="CH56" t="e">
        <f>'2.4.Функции'!UY137+"BYw!$ln"</f>
        <v>#VALUE!</v>
      </c>
      <c r="CI56" t="e">
        <f>'2.4.Функции'!UZ137+"BYw!$lo"</f>
        <v>#VALUE!</v>
      </c>
      <c r="CJ56" t="e">
        <f>'2.4.Функции'!VA137+"BYw!$lp"</f>
        <v>#VALUE!</v>
      </c>
      <c r="CK56" t="e">
        <f>'2.4.Функции'!VB137+"BYw!$lq"</f>
        <v>#VALUE!</v>
      </c>
      <c r="CL56" t="e">
        <f>'2.4.Функции'!VC137+"BYw!$lr"</f>
        <v>#VALUE!</v>
      </c>
      <c r="CM56" t="e">
        <f>'2.4.Функции'!VD137+"BYw!$ls"</f>
        <v>#VALUE!</v>
      </c>
      <c r="CN56" t="e">
        <f>'2.4.Функции'!VE137+"BYw!$lt"</f>
        <v>#VALUE!</v>
      </c>
      <c r="CO56" t="e">
        <f>'2.4.Функции'!VF137+"BYw!$lu"</f>
        <v>#VALUE!</v>
      </c>
      <c r="CP56" t="e">
        <f>'2.4.Функции'!VG137+"BYw!$lv"</f>
        <v>#VALUE!</v>
      </c>
      <c r="CQ56" t="e">
        <f>'2.4.Функции'!VH137+"BYw!$lw"</f>
        <v>#VALUE!</v>
      </c>
      <c r="CR56" t="e">
        <f>'2.4.Функции'!VI137+"BYw!$lx"</f>
        <v>#VALUE!</v>
      </c>
      <c r="CS56" t="e">
        <f>'2.4.Функции'!VJ137+"BYw!$ly"</f>
        <v>#VALUE!</v>
      </c>
      <c r="CT56" t="e">
        <f>'2.4.Функции'!VK137+"BYw!$lz"</f>
        <v>#VALUE!</v>
      </c>
      <c r="CU56" t="e">
        <f>'2.4.Функции'!VL137+"BYw!$l{"</f>
        <v>#VALUE!</v>
      </c>
      <c r="CV56" t="e">
        <f>'2.4.Функции'!VM137+"BYw!$l|"</f>
        <v>#VALUE!</v>
      </c>
      <c r="CW56" t="e">
        <f>'2.4.Функции'!VN137+"BYw!$l}"</f>
        <v>#VALUE!</v>
      </c>
      <c r="CX56" t="e">
        <f>'2.4.Функции'!VO137+"BYw!$l~"</f>
        <v>#VALUE!</v>
      </c>
      <c r="CY56" t="e">
        <f>'2.4.Функции'!VP137+"BYw!$m#"</f>
        <v>#VALUE!</v>
      </c>
      <c r="CZ56" t="e">
        <f>'2.4.Функции'!VQ137+"BYw!$m$"</f>
        <v>#VALUE!</v>
      </c>
      <c r="DA56" t="e">
        <f>'2.4.Функции'!VR137+"BYw!$m%"</f>
        <v>#VALUE!</v>
      </c>
      <c r="DB56" t="e">
        <f>'2.4.Функции'!VS137+"BYw!$m&amp;"</f>
        <v>#VALUE!</v>
      </c>
      <c r="DC56" t="e">
        <f>'2.4.Функции'!VT137+"BYw!$m'"</f>
        <v>#VALUE!</v>
      </c>
      <c r="DD56" t="e">
        <f>'2.4.Функции'!VU137+"BYw!$m("</f>
        <v>#VALUE!</v>
      </c>
      <c r="DE56" t="e">
        <f>'2.4.Функции'!VV137+"BYw!$m)"</f>
        <v>#VALUE!</v>
      </c>
      <c r="DF56" t="e">
        <f>'2.4.Функции'!VW137+"BYw!$m."</f>
        <v>#VALUE!</v>
      </c>
      <c r="DG56" t="e">
        <f>'2.4.Функции'!VX137+"BYw!$m/"</f>
        <v>#VALUE!</v>
      </c>
      <c r="DH56" t="e">
        <f>'2.4.Функции'!VY137+"BYw!$m0"</f>
        <v>#VALUE!</v>
      </c>
      <c r="DI56" t="e">
        <f>'2.4.Функции'!VZ137+"BYw!$m1"</f>
        <v>#VALUE!</v>
      </c>
      <c r="DJ56" t="e">
        <f>'2.4.Функции'!WA137+"BYw!$m2"</f>
        <v>#VALUE!</v>
      </c>
      <c r="DK56" t="e">
        <f>'2.4.Функции'!WB137+"BYw!$m3"</f>
        <v>#VALUE!</v>
      </c>
      <c r="DL56" t="e">
        <f>'2.4.Функции'!WC137+"BYw!$m4"</f>
        <v>#VALUE!</v>
      </c>
      <c r="DM56" t="e">
        <f>'2.4.Функции'!WD137+"BYw!$m5"</f>
        <v>#VALUE!</v>
      </c>
      <c r="DN56" t="e">
        <f>'2.4.Функции'!WE137+"BYw!$m6"</f>
        <v>#VALUE!</v>
      </c>
      <c r="DO56" t="e">
        <f>'2.4.Функции'!WF137+"BYw!$m7"</f>
        <v>#VALUE!</v>
      </c>
      <c r="DP56" t="e">
        <f>'2.4.Функции'!WG137+"BYw!$m8"</f>
        <v>#VALUE!</v>
      </c>
      <c r="DQ56" t="e">
        <f>'2.4.Функции'!WH137+"BYw!$m9"</f>
        <v>#VALUE!</v>
      </c>
      <c r="DR56" t="e">
        <f>'2.4.Функции'!WI137+"BYw!$m:"</f>
        <v>#VALUE!</v>
      </c>
      <c r="DS56" t="e">
        <f>'2.4.Функции'!WJ137+"BYw!$m;"</f>
        <v>#VALUE!</v>
      </c>
      <c r="DT56" t="e">
        <f>'2.4.Функции'!WK137+"BYw!$m&lt;"</f>
        <v>#VALUE!</v>
      </c>
      <c r="DU56" t="e">
        <f>'2.4.Функции'!WL137+"BYw!$m="</f>
        <v>#VALUE!</v>
      </c>
      <c r="DV56" t="e">
        <f>'2.4.Функции'!WM137+"BYw!$m&gt;"</f>
        <v>#VALUE!</v>
      </c>
      <c r="DW56" t="e">
        <f>'2.4.Функции'!WN137+"BYw!$m?"</f>
        <v>#VALUE!</v>
      </c>
      <c r="DX56" t="e">
        <f>'2.4.Функции'!WO137+"BYw!$m@"</f>
        <v>#VALUE!</v>
      </c>
      <c r="DY56" t="e">
        <f>'2.4.Функции'!WP137+"BYw!$mA"</f>
        <v>#VALUE!</v>
      </c>
      <c r="DZ56" t="e">
        <f>'2.4.Функции'!WQ137+"BYw!$mB"</f>
        <v>#VALUE!</v>
      </c>
      <c r="EA56" t="e">
        <f>'2.4.Функции'!WR137+"BYw!$mC"</f>
        <v>#VALUE!</v>
      </c>
      <c r="EB56" t="e">
        <f>'2.4.Функции'!WS137+"BYw!$mD"</f>
        <v>#VALUE!</v>
      </c>
      <c r="EC56" t="e">
        <f>'2.4.Функции'!WT137+"BYw!$mE"</f>
        <v>#VALUE!</v>
      </c>
      <c r="ED56" t="e">
        <f>'2.4.Функции'!WU137+"BYw!$mF"</f>
        <v>#VALUE!</v>
      </c>
      <c r="EE56" t="e">
        <f>'2.4.Функции'!WV137+"BYw!$mG"</f>
        <v>#VALUE!</v>
      </c>
      <c r="EF56" t="e">
        <f>'2.4.Функции'!WW137+"BYw!$mH"</f>
        <v>#VALUE!</v>
      </c>
      <c r="EG56" t="e">
        <f>'2.4.Функции'!WX137+"BYw!$mI"</f>
        <v>#VALUE!</v>
      </c>
      <c r="EH56" t="e">
        <f>'2.4.Функции'!WY137+"BYw!$mJ"</f>
        <v>#VALUE!</v>
      </c>
      <c r="EI56" t="e">
        <f>'2.4.Функции'!WZ137+"BYw!$mK"</f>
        <v>#VALUE!</v>
      </c>
      <c r="EJ56" t="e">
        <f>'2.4.Функции'!XA137+"BYw!$mL"</f>
        <v>#VALUE!</v>
      </c>
      <c r="EK56" t="e">
        <f>'2.4.Функции'!XB137+"BYw!$mM"</f>
        <v>#VALUE!</v>
      </c>
      <c r="EL56" t="e">
        <f>'2.4.Функции'!XC137+"BYw!$mN"</f>
        <v>#VALUE!</v>
      </c>
      <c r="EM56" t="e">
        <f>'2.4.Функции'!XD137+"BYw!$mO"</f>
        <v>#VALUE!</v>
      </c>
      <c r="EN56" t="e">
        <f>'2.4.Функции'!XE137+"BYw!$mP"</f>
        <v>#VALUE!</v>
      </c>
      <c r="EO56" t="e">
        <f>'2.4.Функции'!XF137+"BYw!$mQ"</f>
        <v>#VALUE!</v>
      </c>
      <c r="EP56" t="e">
        <f>'2.4.Функции'!XG137+"BYw!$mR"</f>
        <v>#VALUE!</v>
      </c>
      <c r="EQ56" t="e">
        <f>'2.4.Функции'!XH137+"BYw!$mS"</f>
        <v>#VALUE!</v>
      </c>
      <c r="ER56" t="e">
        <f>'2.4.Функции'!XI137+"BYw!$mT"</f>
        <v>#VALUE!</v>
      </c>
      <c r="ES56" t="e">
        <f>'2.4.Функции'!XJ137+"BYw!$mU"</f>
        <v>#VALUE!</v>
      </c>
      <c r="ET56" t="e">
        <f>'2.4.Функции'!XK137+"BYw!$mV"</f>
        <v>#VALUE!</v>
      </c>
      <c r="EU56" t="e">
        <f>'2.4.Функции'!XL137+"BYw!$mW"</f>
        <v>#VALUE!</v>
      </c>
      <c r="EV56" t="e">
        <f>'2.4.Функции'!XM137+"BYw!$mX"</f>
        <v>#VALUE!</v>
      </c>
      <c r="EW56" t="e">
        <f>'2.4.Функции'!XN137+"BYw!$mY"</f>
        <v>#VALUE!</v>
      </c>
      <c r="EX56" t="e">
        <f>'2.4.Функции'!XO137+"BYw!$mZ"</f>
        <v>#VALUE!</v>
      </c>
      <c r="EY56" t="e">
        <f>'2.4.Функции'!XP137+"BYw!$m["</f>
        <v>#VALUE!</v>
      </c>
      <c r="EZ56" t="e">
        <f>'2.4.Функции'!XQ137+"BYw!$m\"</f>
        <v>#VALUE!</v>
      </c>
      <c r="FA56" t="e">
        <f>'2.4.Функции'!XR137+"BYw!$m]"</f>
        <v>#VALUE!</v>
      </c>
      <c r="FB56" t="e">
        <f>'2.4.Функции'!XS137+"BYw!$m^"</f>
        <v>#VALUE!</v>
      </c>
      <c r="FC56" t="e">
        <f>'2.4.Функции'!XT137+"BYw!$m_"</f>
        <v>#VALUE!</v>
      </c>
      <c r="FD56" t="e">
        <f>'2.4.Функции'!XU137+"BYw!$m`"</f>
        <v>#VALUE!</v>
      </c>
      <c r="FE56" t="e">
        <f>'2.4.Функции'!XV137+"BYw!$ma"</f>
        <v>#VALUE!</v>
      </c>
      <c r="FF56" t="e">
        <f>'2.4.Функции'!XW137+"BYw!$mb"</f>
        <v>#VALUE!</v>
      </c>
      <c r="FG56" t="e">
        <f>'2.4.Функции'!XX137+"BYw!$mc"</f>
        <v>#VALUE!</v>
      </c>
      <c r="FH56" t="e">
        <f>'2.4.Функции'!XY137+"BYw!$md"</f>
        <v>#VALUE!</v>
      </c>
      <c r="FI56" t="e">
        <f>'2.4.Функции'!XZ137+"BYw!$me"</f>
        <v>#VALUE!</v>
      </c>
      <c r="FJ56" t="e">
        <f>'2.4.Функции'!YA137+"BYw!$mf"</f>
        <v>#VALUE!</v>
      </c>
      <c r="FK56" t="e">
        <f>'2.4.Функции'!YB137+"BYw!$mg"</f>
        <v>#VALUE!</v>
      </c>
      <c r="FL56" t="e">
        <f>'2.4.Функции'!YC137+"BYw!$mh"</f>
        <v>#VALUE!</v>
      </c>
      <c r="FM56" t="e">
        <f>'2.4.Функции'!YD137+"BYw!$mi"</f>
        <v>#VALUE!</v>
      </c>
      <c r="FN56" t="e">
        <f>'2.4.Функции'!YE137+"BYw!$mj"</f>
        <v>#VALUE!</v>
      </c>
      <c r="FO56" t="e">
        <f>'2.4.Функции'!YF137+"BYw!$mk"</f>
        <v>#VALUE!</v>
      </c>
      <c r="FP56" t="e">
        <f>'2.4.Функции'!YG137+"BYw!$ml"</f>
        <v>#VALUE!</v>
      </c>
      <c r="FQ56" t="e">
        <f>'2.4.Функции'!YH137+"BYw!$mm"</f>
        <v>#VALUE!</v>
      </c>
      <c r="FR56" t="e">
        <f>'2.4.Функции'!YI137+"BYw!$mn"</f>
        <v>#VALUE!</v>
      </c>
      <c r="FS56" t="e">
        <f>'2.4.Функции'!YJ137+"BYw!$mo"</f>
        <v>#VALUE!</v>
      </c>
      <c r="FT56" t="e">
        <f>'2.4.Функции'!YK137+"BYw!$mp"</f>
        <v>#VALUE!</v>
      </c>
      <c r="FU56" t="e">
        <f>'2.4.Функции'!YL137+"BYw!$mq"</f>
        <v>#VALUE!</v>
      </c>
      <c r="FV56" t="e">
        <f>'2.4.Функции'!YM137+"BYw!$mr"</f>
        <v>#VALUE!</v>
      </c>
      <c r="FW56" t="e">
        <f>'2.4.Функции'!YN137+"BYw!$ms"</f>
        <v>#VALUE!</v>
      </c>
      <c r="FX56" t="e">
        <f>'2.4.Функции'!YO137+"BYw!$mt"</f>
        <v>#VALUE!</v>
      </c>
      <c r="FY56" t="e">
        <f>'2.4.Функции'!YP137+"BYw!$mu"</f>
        <v>#VALUE!</v>
      </c>
      <c r="FZ56" t="e">
        <f>'2.4.Функции'!YQ137+"BYw!$mv"</f>
        <v>#VALUE!</v>
      </c>
      <c r="GA56" t="e">
        <f>'2.4.Функции'!YR137+"BYw!$mw"</f>
        <v>#VALUE!</v>
      </c>
      <c r="GB56" t="e">
        <f>'2.4.Функции'!YS137+"BYw!$mx"</f>
        <v>#VALUE!</v>
      </c>
      <c r="GC56" t="e">
        <f>'2.4.Функции'!YT137+"BYw!$my"</f>
        <v>#VALUE!</v>
      </c>
      <c r="GD56" t="e">
        <f>'2.4.Функции'!YU137+"BYw!$mz"</f>
        <v>#VALUE!</v>
      </c>
      <c r="GE56" t="e">
        <f>'2.4.Функции'!YV137+"BYw!$m{"</f>
        <v>#VALUE!</v>
      </c>
      <c r="GF56" t="e">
        <f>'2.4.Функции'!YW137+"BYw!$m|"</f>
        <v>#VALUE!</v>
      </c>
      <c r="GG56" t="e">
        <f>'2.4.Функции'!YX137+"BYw!$m}"</f>
        <v>#VALUE!</v>
      </c>
      <c r="GH56" t="e">
        <f>'2.4.Функции'!YY137+"BYw!$m~"</f>
        <v>#VALUE!</v>
      </c>
      <c r="GI56" t="e">
        <f>'2.4.Функции'!YZ137+"BYw!$n#"</f>
        <v>#VALUE!</v>
      </c>
      <c r="GJ56" t="e">
        <f>'2.4.Функции'!ZA137+"BYw!$n$"</f>
        <v>#VALUE!</v>
      </c>
      <c r="GK56" t="e">
        <f>'2.4.Функции'!ZB137+"BYw!$n%"</f>
        <v>#VALUE!</v>
      </c>
      <c r="GL56" t="e">
        <f>'2.4.Функции'!ZC137+"BYw!$n&amp;"</f>
        <v>#VALUE!</v>
      </c>
      <c r="GM56" t="e">
        <f>'2.4.Функции'!ZD137+"BYw!$n'"</f>
        <v>#VALUE!</v>
      </c>
      <c r="GN56" t="e">
        <f>'2.4.Функции'!ZE137+"BYw!$n("</f>
        <v>#VALUE!</v>
      </c>
      <c r="GO56" t="e">
        <f>'2.4.Функции'!ZF137+"BYw!$n)"</f>
        <v>#VALUE!</v>
      </c>
      <c r="GP56" t="e">
        <f>'2.4.Функции'!ZG137+"BYw!$n."</f>
        <v>#VALUE!</v>
      </c>
      <c r="GQ56" t="e">
        <f>'2.4.Функции'!ZH137+"BYw!$n/"</f>
        <v>#VALUE!</v>
      </c>
      <c r="GR56" t="e">
        <f>'2.4.Функции'!ZI137+"BYw!$n0"</f>
        <v>#VALUE!</v>
      </c>
      <c r="GS56" t="e">
        <f>'2.4.Функции'!ZJ137+"BYw!$n1"</f>
        <v>#VALUE!</v>
      </c>
      <c r="GT56" t="e">
        <f>'2.4.Функции'!ZK137+"BYw!$n2"</f>
        <v>#VALUE!</v>
      </c>
      <c r="GU56" t="e">
        <f>'2.4.Функции'!ZL137+"BYw!$n3"</f>
        <v>#VALUE!</v>
      </c>
      <c r="GV56" t="e">
        <f>'2.4.Функции'!ZM137+"BYw!$n4"</f>
        <v>#VALUE!</v>
      </c>
      <c r="GW56" t="e">
        <f>'2.4.Функции'!ZN137+"BYw!$n5"</f>
        <v>#VALUE!</v>
      </c>
      <c r="GX56" t="e">
        <f>'2.4.Функции'!ZO137+"BYw!$n6"</f>
        <v>#VALUE!</v>
      </c>
      <c r="GY56" t="e">
        <f>'2.4.Функции'!ZP137+"BYw!$n7"</f>
        <v>#VALUE!</v>
      </c>
      <c r="GZ56" t="e">
        <f>'2.4.Функции'!ZQ137+"BYw!$n8"</f>
        <v>#VALUE!</v>
      </c>
      <c r="HA56" t="e">
        <f>'2.4.Функции'!ZR137+"BYw!$n9"</f>
        <v>#VALUE!</v>
      </c>
      <c r="HB56" t="e">
        <f>'2.4.Функции'!ZS137+"BYw!$n:"</f>
        <v>#VALUE!</v>
      </c>
      <c r="HC56" t="e">
        <f>'2.4.Функции'!ZT137+"BYw!$n;"</f>
        <v>#VALUE!</v>
      </c>
      <c r="HD56" t="e">
        <f>'2.4.Функции'!ZU137+"BYw!$n&lt;"</f>
        <v>#VALUE!</v>
      </c>
      <c r="HE56" t="e">
        <f>'2.4.Функции'!ZV137+"BYw!$n="</f>
        <v>#VALUE!</v>
      </c>
      <c r="HF56" t="e">
        <f>'2.4.Функции'!ZW137+"BYw!$n&gt;"</f>
        <v>#VALUE!</v>
      </c>
      <c r="HG56" t="e">
        <f>'2.4.Функции'!ZX137+"BYw!$n?"</f>
        <v>#VALUE!</v>
      </c>
      <c r="HH56" t="e">
        <f>'2.4.Функции'!ZY137+"BYw!$n@"</f>
        <v>#VALUE!</v>
      </c>
      <c r="HI56" t="e">
        <f>'2.4.Функции'!ZZ137+"BYw!$nA"</f>
        <v>#VALUE!</v>
      </c>
      <c r="HJ56" t="e">
        <f>'2.4.Функции'!AAA137+"BYw!$nB"</f>
        <v>#VALUE!</v>
      </c>
      <c r="HK56" t="e">
        <f>'2.4.Функции'!AAB137+"BYw!$nC"</f>
        <v>#VALUE!</v>
      </c>
      <c r="HL56" t="e">
        <f>'2.4.Функции'!AAC137+"BYw!$nD"</f>
        <v>#VALUE!</v>
      </c>
      <c r="HM56" t="e">
        <f>'2.4.Функции'!AAD137+"BYw!$nE"</f>
        <v>#VALUE!</v>
      </c>
      <c r="HN56" t="e">
        <f>'2.4.Функции'!AAE137+"BYw!$nF"</f>
        <v>#VALUE!</v>
      </c>
      <c r="HO56" t="e">
        <f>'2.4.Функции'!AAF137+"BYw!$nG"</f>
        <v>#VALUE!</v>
      </c>
      <c r="HP56" t="e">
        <f>'2.4.Функции'!AAG137+"BYw!$nH"</f>
        <v>#VALUE!</v>
      </c>
      <c r="HQ56" t="e">
        <f>'2.4.Функции'!AAH137+"BYw!$nI"</f>
        <v>#VALUE!</v>
      </c>
      <c r="HR56" t="e">
        <f>'2.4.Функции'!AAI137+"BYw!$nJ"</f>
        <v>#VALUE!</v>
      </c>
      <c r="HS56" t="e">
        <f>'2.4.Функции'!AAJ137+"BYw!$nK"</f>
        <v>#VALUE!</v>
      </c>
      <c r="HT56" t="e">
        <f>'2.4.Функции'!AAK137+"BYw!$nL"</f>
        <v>#VALUE!</v>
      </c>
      <c r="HU56" t="e">
        <f>'2.4.Функции'!AAL137+"BYw!$nM"</f>
        <v>#VALUE!</v>
      </c>
      <c r="HV56" t="e">
        <f>'2.4.Функции'!AAM137+"BYw!$nN"</f>
        <v>#VALUE!</v>
      </c>
      <c r="HW56" t="e">
        <f>'2.4.Функции'!AAN137+"BYw!$nO"</f>
        <v>#VALUE!</v>
      </c>
      <c r="HX56" t="e">
        <f>'2.4.Функции'!AAO137+"BYw!$nP"</f>
        <v>#VALUE!</v>
      </c>
      <c r="HY56" t="e">
        <f>'2.4.Функции'!AAP137+"BYw!$nQ"</f>
        <v>#VALUE!</v>
      </c>
      <c r="HZ56" t="e">
        <f>'2.4.Функции'!AAQ137+"BYw!$nR"</f>
        <v>#VALUE!</v>
      </c>
      <c r="IA56" t="e">
        <f>'2.4.Функции'!AAR137+"BYw!$nS"</f>
        <v>#VALUE!</v>
      </c>
      <c r="IB56" t="e">
        <f>'2.4.Функции'!AAS137+"BYw!$nT"</f>
        <v>#VALUE!</v>
      </c>
      <c r="IC56" t="e">
        <f>'2.4.Функции'!AAT137+"BYw!$nU"</f>
        <v>#VALUE!</v>
      </c>
      <c r="ID56" t="e">
        <f>'2.4.Функции'!AAU137+"BYw!$nV"</f>
        <v>#VALUE!</v>
      </c>
      <c r="IE56" t="e">
        <f>'2.4.Функции'!AAV137+"BYw!$nW"</f>
        <v>#VALUE!</v>
      </c>
      <c r="IF56" t="e">
        <f>'2.4.Функции'!AAW137+"BYw!$nX"</f>
        <v>#VALUE!</v>
      </c>
      <c r="IG56" t="e">
        <f>'2.4.Функции'!AAX137+"BYw!$nY"</f>
        <v>#VALUE!</v>
      </c>
      <c r="IH56" t="e">
        <f>'2.4.Функции'!AAY137+"BYw!$nZ"</f>
        <v>#VALUE!</v>
      </c>
      <c r="II56" t="e">
        <f>'2.4.Функции'!AAZ137+"BYw!$n["</f>
        <v>#VALUE!</v>
      </c>
      <c r="IJ56" t="e">
        <f>'2.4.Функции'!ABA137+"BYw!$n\"</f>
        <v>#VALUE!</v>
      </c>
      <c r="IK56" t="e">
        <f>'2.4.Функции'!ABB137+"BYw!$n]"</f>
        <v>#VALUE!</v>
      </c>
      <c r="IL56" t="e">
        <f>'2.4.Функции'!ABC137+"BYw!$n^"</f>
        <v>#VALUE!</v>
      </c>
      <c r="IM56" t="e">
        <f>'2.4.Функции'!ABD137+"BYw!$n_"</f>
        <v>#VALUE!</v>
      </c>
      <c r="IN56" t="e">
        <f>'2.4.Функции'!ABE137+"BYw!$n`"</f>
        <v>#VALUE!</v>
      </c>
      <c r="IO56" t="e">
        <f>'2.4.Функции'!ABF137+"BYw!$na"</f>
        <v>#VALUE!</v>
      </c>
      <c r="IP56" t="e">
        <f>'2.4.Функции'!ABG137+"BYw!$nb"</f>
        <v>#VALUE!</v>
      </c>
      <c r="IQ56" t="e">
        <f>'2.4.Функции'!ABH137+"BYw!$nc"</f>
        <v>#VALUE!</v>
      </c>
      <c r="IR56" t="e">
        <f>'2.4.Функции'!ABI137+"BYw!$nd"</f>
        <v>#VALUE!</v>
      </c>
      <c r="IS56" t="e">
        <f>'2.4.Функции'!ABJ137+"BYw!$ne"</f>
        <v>#VALUE!</v>
      </c>
      <c r="IT56" t="e">
        <f>'2.4.Функции'!ABK137+"BYw!$nf"</f>
        <v>#VALUE!</v>
      </c>
      <c r="IU56" t="e">
        <f>'2.4.Функции'!ABL137+"BYw!$ng"</f>
        <v>#VALUE!</v>
      </c>
      <c r="IV56" t="e">
        <f>'2.4.Функции'!ABM137+"BYw!$nh"</f>
        <v>#VALUE!</v>
      </c>
    </row>
    <row r="57" spans="6:256" x14ac:dyDescent="0.2">
      <c r="F57" t="e">
        <f>'2.4.Функции'!ABN137+"BYw!$ni"</f>
        <v>#VALUE!</v>
      </c>
      <c r="G57" t="e">
        <f>'2.4.Функции'!ABO137+"BYw!$nj"</f>
        <v>#VALUE!</v>
      </c>
      <c r="H57" t="e">
        <f>'2.4.Функции'!ABP137+"BYw!$nk"</f>
        <v>#VALUE!</v>
      </c>
      <c r="I57" t="e">
        <f>'2.4.Функции'!ABQ137+"BYw!$nl"</f>
        <v>#VALUE!</v>
      </c>
      <c r="J57" t="e">
        <f>'2.4.Функции'!ABR137+"BYw!$nm"</f>
        <v>#VALUE!</v>
      </c>
      <c r="K57" t="e">
        <f>'2.4.Функции'!ABS137+"BYw!$nn"</f>
        <v>#VALUE!</v>
      </c>
      <c r="L57" t="e">
        <f>'2.4.Функции'!ABT137+"BYw!$no"</f>
        <v>#VALUE!</v>
      </c>
      <c r="M57" t="e">
        <f>'2.4.Функции'!ABU137+"BYw!$np"</f>
        <v>#VALUE!</v>
      </c>
      <c r="N57" t="e">
        <f>'2.4.Функции'!ABV137+"BYw!$nq"</f>
        <v>#VALUE!</v>
      </c>
      <c r="O57" t="e">
        <f>'2.4.Функции'!ABW137+"BYw!$nr"</f>
        <v>#VALUE!</v>
      </c>
      <c r="P57" t="e">
        <f>'2.4.Функции'!ABX137+"BYw!$ns"</f>
        <v>#VALUE!</v>
      </c>
      <c r="Q57" t="e">
        <f>'2.4.Функции'!ABY137+"BYw!$nt"</f>
        <v>#VALUE!</v>
      </c>
      <c r="R57" t="e">
        <f>'2.4.Функции'!ABZ137+"BYw!$nu"</f>
        <v>#VALUE!</v>
      </c>
      <c r="S57" t="e">
        <f>'2.4.Функции'!ACA137+"BYw!$nv"</f>
        <v>#VALUE!</v>
      </c>
      <c r="T57" t="e">
        <f>'2.4.Функции'!ACB137+"BYw!$nw"</f>
        <v>#VALUE!</v>
      </c>
      <c r="U57" t="e">
        <f>'2.4.Функции'!ACC137+"BYw!$nx"</f>
        <v>#VALUE!</v>
      </c>
      <c r="V57" t="e">
        <f>'2.4.Функции'!ACD137+"BYw!$ny"</f>
        <v>#VALUE!</v>
      </c>
      <c r="W57" t="e">
        <f>'2.4.Функции'!ACE137+"BYw!$nz"</f>
        <v>#VALUE!</v>
      </c>
      <c r="X57" t="e">
        <f>'2.4.Функции'!ACF137+"BYw!$n{"</f>
        <v>#VALUE!</v>
      </c>
      <c r="Y57" t="e">
        <f>'2.4.Функции'!ACG137+"BYw!$n|"</f>
        <v>#VALUE!</v>
      </c>
      <c r="Z57" t="e">
        <f>'2.4.Функции'!ACH137+"BYw!$n}"</f>
        <v>#VALUE!</v>
      </c>
      <c r="AA57" t="e">
        <f>'2.4.Функции'!ACI137+"BYw!$n~"</f>
        <v>#VALUE!</v>
      </c>
      <c r="AB57" t="e">
        <f>'2.4.Функции'!ACJ137+"BYw!$o#"</f>
        <v>#VALUE!</v>
      </c>
      <c r="AC57" t="e">
        <f>'2.4.Функции'!ACK137+"BYw!$o$"</f>
        <v>#VALUE!</v>
      </c>
      <c r="AD57" t="e">
        <f>'2.4.Функции'!ACL137+"BYw!$o%"</f>
        <v>#VALUE!</v>
      </c>
      <c r="AE57" t="e">
        <f>'2.4.Функции'!ACM137+"BYw!$o&amp;"</f>
        <v>#VALUE!</v>
      </c>
      <c r="AF57" t="e">
        <f>'2.4.Функции'!ACN137+"BYw!$o'"</f>
        <v>#VALUE!</v>
      </c>
      <c r="AG57" t="e">
        <f>'2.4.Функции'!ACO137+"BYw!$o("</f>
        <v>#VALUE!</v>
      </c>
      <c r="AH57" t="e">
        <f>'2.4.Функции'!ACP137+"BYw!$o)"</f>
        <v>#VALUE!</v>
      </c>
      <c r="AI57" t="e">
        <f>'2.4.Функции'!ACQ137+"BYw!$o."</f>
        <v>#VALUE!</v>
      </c>
      <c r="AJ57" t="e">
        <f>'2.4.Функции'!ACR137+"BYw!$o/"</f>
        <v>#VALUE!</v>
      </c>
      <c r="AK57" t="e">
        <f>'2.4.Функции'!ACS137+"BYw!$o0"</f>
        <v>#VALUE!</v>
      </c>
      <c r="AL57" t="e">
        <f>'2.4.Функции'!ACT137+"BYw!$o1"</f>
        <v>#VALUE!</v>
      </c>
      <c r="AM57" t="e">
        <f>'2.4.Функции'!ACU137+"BYw!$o2"</f>
        <v>#VALUE!</v>
      </c>
      <c r="AN57" t="e">
        <f>'2.4.Функции'!ACV137+"BYw!$o3"</f>
        <v>#VALUE!</v>
      </c>
      <c r="AO57" t="e">
        <f>'2.4.Функции'!ACW137+"BYw!$o4"</f>
        <v>#VALUE!</v>
      </c>
      <c r="AP57" t="e">
        <f>'2.4.Функции'!ACX137+"BYw!$o5"</f>
        <v>#VALUE!</v>
      </c>
      <c r="AQ57" t="e">
        <f>'2.4.Функции'!ACY137+"BYw!$o6"</f>
        <v>#VALUE!</v>
      </c>
      <c r="AR57" t="e">
        <f>'2.4.Функции'!ACZ137+"BYw!$o7"</f>
        <v>#VALUE!</v>
      </c>
      <c r="AS57" t="e">
        <f>'2.4.Функции'!ADA137+"BYw!$o8"</f>
        <v>#VALUE!</v>
      </c>
      <c r="AT57" t="e">
        <f>'2.4.Функции'!ADB137+"BYw!$o9"</f>
        <v>#VALUE!</v>
      </c>
      <c r="AU57" t="e">
        <f>'2.4.Функции'!ADC137+"BYw!$o:"</f>
        <v>#VALUE!</v>
      </c>
      <c r="AV57" t="e">
        <f>'2.4.Функции'!ADD137+"BYw!$o;"</f>
        <v>#VALUE!</v>
      </c>
      <c r="AW57" t="e">
        <f>'2.4.Функции'!ADE137+"BYw!$o&lt;"</f>
        <v>#VALUE!</v>
      </c>
      <c r="AX57" t="e">
        <f>'2.4.Функции'!ADF137+"BYw!$o="</f>
        <v>#VALUE!</v>
      </c>
      <c r="AY57" t="e">
        <f>'2.4.Функции'!ADG137+"BYw!$o&gt;"</f>
        <v>#VALUE!</v>
      </c>
      <c r="AZ57" t="e">
        <f>'2.4.Функции'!ADH137+"BYw!$o?"</f>
        <v>#VALUE!</v>
      </c>
      <c r="BA57" t="e">
        <f>'2.4.Функции'!ADI137+"BYw!$o@"</f>
        <v>#VALUE!</v>
      </c>
      <c r="BB57" t="e">
        <f>'2.4.Функции'!ADJ137+"BYw!$oA"</f>
        <v>#VALUE!</v>
      </c>
      <c r="BC57" t="e">
        <f>'2.4.Функции'!ADK137+"BYw!$oB"</f>
        <v>#VALUE!</v>
      </c>
      <c r="BD57" t="e">
        <f>'2.4.Функции'!ADL137+"BYw!$oC"</f>
        <v>#VALUE!</v>
      </c>
      <c r="BE57" t="e">
        <f>'2.4.Функции'!ADM137+"BYw!$oD"</f>
        <v>#VALUE!</v>
      </c>
      <c r="BF57" t="e">
        <f>'2.4.Функции'!ADN137+"BYw!$oE"</f>
        <v>#VALUE!</v>
      </c>
      <c r="BG57" t="e">
        <f>'2.4.Функции'!ADO137+"BYw!$oF"</f>
        <v>#VALUE!</v>
      </c>
      <c r="BH57" t="e">
        <f>'2.4.Функции'!ADP137+"BYw!$oG"</f>
        <v>#VALUE!</v>
      </c>
      <c r="BI57" t="e">
        <f>'2.4.Функции'!ADQ137+"BYw!$oH"</f>
        <v>#VALUE!</v>
      </c>
      <c r="BJ57" t="e">
        <f>'2.4.Функции'!ADR137+"BYw!$oI"</f>
        <v>#VALUE!</v>
      </c>
      <c r="BK57" t="e">
        <f>'2.4.Функции'!ADS137+"BYw!$oJ"</f>
        <v>#VALUE!</v>
      </c>
      <c r="BL57" t="e">
        <f>'2.4.Функции'!ADT137+"BYw!$oK"</f>
        <v>#VALUE!</v>
      </c>
      <c r="BM57" t="e">
        <f>'2.4.Функции'!ADU137+"BYw!$oL"</f>
        <v>#VALUE!</v>
      </c>
      <c r="BN57" t="e">
        <f>'2.4.Функции'!ADV137+"BYw!$oM"</f>
        <v>#VALUE!</v>
      </c>
      <c r="BO57" t="e">
        <f>'2.4.Функции'!ADW137+"BYw!$oN"</f>
        <v>#VALUE!</v>
      </c>
      <c r="BP57" t="e">
        <f>'2.4.Функции'!ADX137+"BYw!$oO"</f>
        <v>#VALUE!</v>
      </c>
      <c r="BQ57" t="e">
        <f>'2.4.Функции'!ADY137+"BYw!$oP"</f>
        <v>#VALUE!</v>
      </c>
      <c r="BR57" t="e">
        <f>'2.4.Функции'!ADZ137+"BYw!$oQ"</f>
        <v>#VALUE!</v>
      </c>
      <c r="BS57" t="e">
        <f>'2.4.Функции'!AEA137+"BYw!$oR"</f>
        <v>#VALUE!</v>
      </c>
      <c r="BT57" t="e">
        <f>'2.4.Функции'!AEB137+"BYw!$oS"</f>
        <v>#VALUE!</v>
      </c>
      <c r="BU57" t="e">
        <f>'2.4.Функции'!AEC137+"BYw!$oT"</f>
        <v>#VALUE!</v>
      </c>
      <c r="BV57" t="e">
        <f>'2.4.Функции'!AED137+"BYw!$oU"</f>
        <v>#VALUE!</v>
      </c>
      <c r="BW57" t="e">
        <f>'2.4.Функции'!AEE137+"BYw!$oV"</f>
        <v>#VALUE!</v>
      </c>
      <c r="BX57" t="e">
        <f>'2.4.Функции'!AEF137+"BYw!$oW"</f>
        <v>#VALUE!</v>
      </c>
      <c r="BY57" t="e">
        <f>'2.4.Функции'!AEG137+"BYw!$oX"</f>
        <v>#VALUE!</v>
      </c>
      <c r="BZ57" t="e">
        <f>'2.4.Функции'!AEH137+"BYw!$oY"</f>
        <v>#VALUE!</v>
      </c>
      <c r="CA57" t="e">
        <f>'2.4.Функции'!AEI137+"BYw!$oZ"</f>
        <v>#VALUE!</v>
      </c>
      <c r="CB57" t="e">
        <f>'2.4.Функции'!AEJ137+"BYw!$o["</f>
        <v>#VALUE!</v>
      </c>
      <c r="CC57" t="e">
        <f>'2.4.Функции'!AEK137+"BYw!$o\"</f>
        <v>#VALUE!</v>
      </c>
      <c r="CD57" t="e">
        <f>'2.4.Функции'!AEL137+"BYw!$o]"</f>
        <v>#VALUE!</v>
      </c>
      <c r="CE57" t="e">
        <f>'2.4.Функции'!AEM137+"BYw!$o^"</f>
        <v>#VALUE!</v>
      </c>
      <c r="CF57" t="e">
        <f>'2.4.Функции'!AEN137+"BYw!$o_"</f>
        <v>#VALUE!</v>
      </c>
      <c r="CG57" t="e">
        <f>'2.4.Функции'!AEO137+"BYw!$o`"</f>
        <v>#VALUE!</v>
      </c>
      <c r="CH57" t="e">
        <f>'2.4.Функции'!AEP137+"BYw!$oa"</f>
        <v>#VALUE!</v>
      </c>
      <c r="CI57" t="e">
        <f>'2.4.Функции'!AEQ137+"BYw!$ob"</f>
        <v>#VALUE!</v>
      </c>
      <c r="CJ57" t="e">
        <f>'2.4.Функции'!AER137+"BYw!$oc"</f>
        <v>#VALUE!</v>
      </c>
      <c r="CK57" t="e">
        <f>'2.4.Функции'!AES137+"BYw!$od"</f>
        <v>#VALUE!</v>
      </c>
      <c r="CL57" t="e">
        <f>'2.4.Функции'!AET137+"BYw!$oe"</f>
        <v>#VALUE!</v>
      </c>
      <c r="CM57" t="e">
        <f>'2.4.Функции'!AEU137+"BYw!$of"</f>
        <v>#VALUE!</v>
      </c>
      <c r="CN57" t="e">
        <f>'2.4.Функции'!AEV137+"BYw!$og"</f>
        <v>#VALUE!</v>
      </c>
      <c r="CO57" t="e">
        <f>'2.4.Функции'!AEW137+"BYw!$oh"</f>
        <v>#VALUE!</v>
      </c>
      <c r="CP57" t="e">
        <f>'2.4.Функции'!AEX137+"BYw!$oi"</f>
        <v>#VALUE!</v>
      </c>
      <c r="CQ57" t="e">
        <f>'2.4.Функции'!AEY137+"BYw!$oj"</f>
        <v>#VALUE!</v>
      </c>
      <c r="CR57" t="e">
        <f>'2.4.Функции'!AEZ137+"BYw!$ok"</f>
        <v>#VALUE!</v>
      </c>
      <c r="CS57" t="e">
        <f>'2.4.Функции'!AFA137+"BYw!$ol"</f>
        <v>#VALUE!</v>
      </c>
      <c r="CT57" t="e">
        <f>'2.4.Функции'!AFB137+"BYw!$om"</f>
        <v>#VALUE!</v>
      </c>
      <c r="CU57" t="e">
        <f>'2.4.Функции'!AFC137+"BYw!$on"</f>
        <v>#VALUE!</v>
      </c>
      <c r="CV57" t="e">
        <f>'2.4.Функции'!AFD137+"BYw!$oo"</f>
        <v>#VALUE!</v>
      </c>
      <c r="CW57" t="e">
        <f>'2.4.Функции'!AFE137+"BYw!$op"</f>
        <v>#VALUE!</v>
      </c>
      <c r="CX57" t="e">
        <f>'2.4.Функции'!AFF137+"BYw!$oq"</f>
        <v>#VALUE!</v>
      </c>
      <c r="CY57" t="e">
        <f>'2.4.Функции'!AFG137+"BYw!$or"</f>
        <v>#VALUE!</v>
      </c>
      <c r="CZ57" t="e">
        <f>'2.4.Функции'!AFH137+"BYw!$os"</f>
        <v>#VALUE!</v>
      </c>
      <c r="DA57" t="e">
        <f>'2.4.Функции'!AFI137+"BYw!$ot"</f>
        <v>#VALUE!</v>
      </c>
      <c r="DB57" t="e">
        <f>'2.4.Функции'!AFJ137+"BYw!$ou"</f>
        <v>#VALUE!</v>
      </c>
      <c r="DC57" t="e">
        <f>'2.4.Функции'!AFK137+"BYw!$ov"</f>
        <v>#VALUE!</v>
      </c>
      <c r="DD57" t="e">
        <f>'2.4.Функции'!AFL137+"BYw!$ow"</f>
        <v>#VALUE!</v>
      </c>
      <c r="DE57" t="e">
        <f>'2.4.Функции'!AFM137+"BYw!$ox"</f>
        <v>#VALUE!</v>
      </c>
      <c r="DF57" t="e">
        <f>'2.4.Функции'!AFN137+"BYw!$oy"</f>
        <v>#VALUE!</v>
      </c>
      <c r="DG57" t="e">
        <f>'2.4.Функции'!AFO137+"BYw!$oz"</f>
        <v>#VALUE!</v>
      </c>
      <c r="DH57" t="e">
        <f>'2.4.Функции'!AFP137+"BYw!$o{"</f>
        <v>#VALUE!</v>
      </c>
      <c r="DI57" t="e">
        <f>'2.4.Функции'!AFQ137+"BYw!$o|"</f>
        <v>#VALUE!</v>
      </c>
      <c r="DJ57" t="e">
        <f>'2.4.Функции'!AFR137+"BYw!$o}"</f>
        <v>#VALUE!</v>
      </c>
      <c r="DK57" t="e">
        <f>'2.4.Функции'!AFS137+"BYw!$o~"</f>
        <v>#VALUE!</v>
      </c>
      <c r="DL57" t="e">
        <f>'2.4.Функции'!AFT137+"BYw!$p#"</f>
        <v>#VALUE!</v>
      </c>
      <c r="DM57" t="e">
        <f>'2.4.Функции'!AFU137+"BYw!$p$"</f>
        <v>#VALUE!</v>
      </c>
      <c r="DN57" t="e">
        <f>'2.4.Функции'!AFV137+"BYw!$p%"</f>
        <v>#VALUE!</v>
      </c>
      <c r="DO57" t="e">
        <f>'2.4.Функции'!AFW137+"BYw!$p&amp;"</f>
        <v>#VALUE!</v>
      </c>
      <c r="DP57" t="e">
        <f>'2.4.Функции'!AFX137+"BYw!$p'"</f>
        <v>#VALUE!</v>
      </c>
      <c r="DQ57" t="e">
        <f>'2.4.Функции'!AFY137+"BYw!$p("</f>
        <v>#VALUE!</v>
      </c>
      <c r="DR57" t="e">
        <f>'2.4.Функции'!AFZ137+"BYw!$p)"</f>
        <v>#VALUE!</v>
      </c>
      <c r="DS57" t="e">
        <f>'2.4.Функции'!AGA137+"BYw!$p."</f>
        <v>#VALUE!</v>
      </c>
      <c r="DT57" t="e">
        <f>'2.4.Функции'!AGB137+"BYw!$p/"</f>
        <v>#VALUE!</v>
      </c>
      <c r="DU57" t="e">
        <f>'2.4.Функции'!AGC137+"BYw!$p0"</f>
        <v>#VALUE!</v>
      </c>
      <c r="DV57" t="e">
        <f>'2.4.Функции'!AGD137+"BYw!$p1"</f>
        <v>#VALUE!</v>
      </c>
      <c r="DW57" t="e">
        <f>'2.4.Функции'!AGE137+"BYw!$p2"</f>
        <v>#VALUE!</v>
      </c>
      <c r="DX57" t="e">
        <f>'2.4.Функции'!AGF137+"BYw!$p3"</f>
        <v>#VALUE!</v>
      </c>
      <c r="DY57" t="e">
        <f>'2.4.Функции'!AGG137+"BYw!$p4"</f>
        <v>#VALUE!</v>
      </c>
      <c r="DZ57" t="e">
        <f>'2.4.Функции'!AGH137+"BYw!$p5"</f>
        <v>#VALUE!</v>
      </c>
      <c r="EA57" t="e">
        <f>'2.4.Функции'!AGI137+"BYw!$p6"</f>
        <v>#VALUE!</v>
      </c>
      <c r="EB57" t="e">
        <f>'2.4.Функции'!AGJ137+"BYw!$p7"</f>
        <v>#VALUE!</v>
      </c>
      <c r="EC57" t="e">
        <f>'2.4.Функции'!AGK137+"BYw!$p8"</f>
        <v>#VALUE!</v>
      </c>
      <c r="ED57" t="e">
        <f>'2.4.Функции'!AGL137+"BYw!$p9"</f>
        <v>#VALUE!</v>
      </c>
      <c r="EE57" t="e">
        <f>'2.4.Функции'!AGM137+"BYw!$p:"</f>
        <v>#VALUE!</v>
      </c>
      <c r="EF57" t="e">
        <f>'2.4.Функции'!AGN137+"BYw!$p;"</f>
        <v>#VALUE!</v>
      </c>
      <c r="EG57" t="e">
        <f>'2.4.Функции'!AGO137+"BYw!$p&lt;"</f>
        <v>#VALUE!</v>
      </c>
      <c r="EH57" t="e">
        <f>'2.4.Функции'!AGP137+"BYw!$p="</f>
        <v>#VALUE!</v>
      </c>
      <c r="EI57" t="e">
        <f>'2.4.Функции'!AGQ137+"BYw!$p&gt;"</f>
        <v>#VALUE!</v>
      </c>
      <c r="EJ57" t="e">
        <f>'2.4.Функции'!AGR137+"BYw!$p?"</f>
        <v>#VALUE!</v>
      </c>
      <c r="EK57" t="e">
        <f>'2.4.Функции'!AGS137+"BYw!$p@"</f>
        <v>#VALUE!</v>
      </c>
      <c r="EL57" t="e">
        <f>'2.4.Функции'!AGT137+"BYw!$pA"</f>
        <v>#VALUE!</v>
      </c>
      <c r="EM57" t="e">
        <f>'2.4.Функции'!AGU137+"BYw!$pB"</f>
        <v>#VALUE!</v>
      </c>
      <c r="EN57" t="e">
        <f>'2.4.Функции'!AGV137+"BYw!$pC"</f>
        <v>#VALUE!</v>
      </c>
      <c r="EO57" t="e">
        <f>'2.4.Функции'!AGW137+"BYw!$pD"</f>
        <v>#VALUE!</v>
      </c>
      <c r="EP57" t="e">
        <f>'2.4.Функции'!AGX137+"BYw!$pE"</f>
        <v>#VALUE!</v>
      </c>
      <c r="EQ57" t="e">
        <f>'2.4.Функции'!AGY137+"BYw!$pF"</f>
        <v>#VALUE!</v>
      </c>
      <c r="ER57" t="e">
        <f>'2.4.Функции'!AGZ137+"BYw!$pG"</f>
        <v>#VALUE!</v>
      </c>
      <c r="ES57" t="e">
        <f>'2.4.Функции'!AHA137+"BYw!$pH"</f>
        <v>#VALUE!</v>
      </c>
      <c r="ET57" t="e">
        <f>'2.4.Функции'!AHB137+"BYw!$pI"</f>
        <v>#VALUE!</v>
      </c>
      <c r="EU57" t="e">
        <f>'2.4.Функции'!AHC137+"BYw!$pJ"</f>
        <v>#VALUE!</v>
      </c>
      <c r="EV57" t="e">
        <f>'2.4.Функции'!AHD137+"BYw!$pK"</f>
        <v>#VALUE!</v>
      </c>
      <c r="EW57" t="e">
        <f>'2.4.Функции'!AHE137+"BYw!$pL"</f>
        <v>#VALUE!</v>
      </c>
      <c r="EX57" t="e">
        <f>'2.4.Функции'!AHF137+"BYw!$pM"</f>
        <v>#VALUE!</v>
      </c>
      <c r="EY57" t="e">
        <f>'2.4.Функции'!AHG137+"BYw!$pN"</f>
        <v>#VALUE!</v>
      </c>
      <c r="EZ57" t="e">
        <f>'2.4.Функции'!AHH137+"BYw!$pO"</f>
        <v>#VALUE!</v>
      </c>
      <c r="FA57" t="e">
        <f>'2.4.Функции'!AHI137+"BYw!$pP"</f>
        <v>#VALUE!</v>
      </c>
      <c r="FB57" t="e">
        <f>'2.4.Функции'!AHJ137+"BYw!$pQ"</f>
        <v>#VALUE!</v>
      </c>
      <c r="FC57" t="e">
        <f>'2.4.Функции'!AHK137+"BYw!$pR"</f>
        <v>#VALUE!</v>
      </c>
      <c r="FD57" t="e">
        <f>'2.4.Функции'!AHL137+"BYw!$pS"</f>
        <v>#VALUE!</v>
      </c>
      <c r="FE57" t="e">
        <f>'2.4.Функции'!AHM137+"BYw!$pT"</f>
        <v>#VALUE!</v>
      </c>
      <c r="FF57" t="e">
        <f>'2.4.Функции'!AHN137+"BYw!$pU"</f>
        <v>#VALUE!</v>
      </c>
      <c r="FG57" t="e">
        <f>'2.4.Функции'!AHO137+"BYw!$pV"</f>
        <v>#VALUE!</v>
      </c>
      <c r="FH57" t="e">
        <f>'2.4.Функции'!AHP137+"BYw!$pW"</f>
        <v>#VALUE!</v>
      </c>
      <c r="FI57" t="e">
        <f>'2.4.Функции'!AHQ137+"BYw!$pX"</f>
        <v>#VALUE!</v>
      </c>
      <c r="FJ57" t="e">
        <f>'2.4.Функции'!AHR137+"BYw!$pY"</f>
        <v>#VALUE!</v>
      </c>
      <c r="FK57" t="e">
        <f>'2.4.Функции'!AHS137+"BYw!$pZ"</f>
        <v>#VALUE!</v>
      </c>
      <c r="FL57" t="e">
        <f>'2.4.Функции'!AHT137+"BYw!$p["</f>
        <v>#VALUE!</v>
      </c>
      <c r="FM57" t="e">
        <f>'2.4.Функции'!AHU137+"BYw!$p\"</f>
        <v>#VALUE!</v>
      </c>
      <c r="FN57" t="e">
        <f>'2.4.Функции'!AHV137+"BYw!$p]"</f>
        <v>#VALUE!</v>
      </c>
      <c r="FO57" t="e">
        <f>'2.4.Функции'!AHW137+"BYw!$p^"</f>
        <v>#VALUE!</v>
      </c>
      <c r="FP57" t="e">
        <f>'2.4.Функции'!AHX137+"BYw!$p_"</f>
        <v>#VALUE!</v>
      </c>
      <c r="FQ57" t="e">
        <f>'2.4.Функции'!AHY137+"BYw!$p`"</f>
        <v>#VALUE!</v>
      </c>
      <c r="FR57" t="e">
        <f>'2.4.Функции'!AHZ137+"BYw!$pa"</f>
        <v>#VALUE!</v>
      </c>
      <c r="FS57" t="e">
        <f>'2.4.Функции'!AIA137+"BYw!$pb"</f>
        <v>#VALUE!</v>
      </c>
      <c r="FT57" t="e">
        <f>'2.4.Функции'!AIB137+"BYw!$pc"</f>
        <v>#VALUE!</v>
      </c>
      <c r="FU57" t="e">
        <f>'2.4.Функции'!AIC137+"BYw!$pd"</f>
        <v>#VALUE!</v>
      </c>
      <c r="FV57" t="e">
        <f>'2.4.Функции'!AID137+"BYw!$pe"</f>
        <v>#VALUE!</v>
      </c>
      <c r="FW57" t="e">
        <f>'2.4.Функции'!AIE137+"BYw!$pf"</f>
        <v>#VALUE!</v>
      </c>
      <c r="FX57" t="e">
        <f>'2.4.Функции'!AIF137+"BYw!$pg"</f>
        <v>#VALUE!</v>
      </c>
      <c r="FY57" t="e">
        <f>'2.4.Функции'!AIG137+"BYw!$ph"</f>
        <v>#VALUE!</v>
      </c>
      <c r="FZ57" t="e">
        <f>'2.4.Функции'!AIH137+"BYw!$pi"</f>
        <v>#VALUE!</v>
      </c>
      <c r="GA57" t="e">
        <f>'2.4.Функции'!A138+"BYw!$pj"</f>
        <v>#VALUE!</v>
      </c>
      <c r="GB57" s="116" t="e">
        <f>'2.4.Функции'!B138+"BYw!$pk"</f>
        <v>#VALUE!</v>
      </c>
      <c r="GC57" t="e">
        <f>'2.4.Функции'!C138+"BYw!$pl"</f>
        <v>#VALUE!</v>
      </c>
      <c r="GD57" s="119" t="e">
        <f>'2.4.Функции'!D138+"BYw!$pm"</f>
        <v>#VALUE!</v>
      </c>
      <c r="GE57" s="119" t="e">
        <f>'2.4.Функции'!E138+"BYw!$pn"</f>
        <v>#VALUE!</v>
      </c>
      <c r="GF57" s="119" t="e">
        <f>'2.4.Функции'!F138+"BYw!$po"</f>
        <v>#VALUE!</v>
      </c>
      <c r="GG57" s="119" t="e">
        <f>'2.4.Функции'!G138+"BYw!$pp"</f>
        <v>#VALUE!</v>
      </c>
      <c r="GH57" s="119" t="e">
        <f>'2.4.Функции'!H138+"BYw!$pq"</f>
        <v>#VALUE!</v>
      </c>
      <c r="GI57" s="119" t="e">
        <f>'2.4.Функции'!I138+"BYw!$pr"</f>
        <v>#VALUE!</v>
      </c>
      <c r="GJ57" s="119" t="e">
        <f>'2.4.Функции'!J138+"BYw!$ps"</f>
        <v>#VALUE!</v>
      </c>
      <c r="GK57" s="119" t="e">
        <f>'2.4.Функции'!K138+"BYw!$pt"</f>
        <v>#VALUE!</v>
      </c>
      <c r="GL57" t="e">
        <f>'2.4.Функции'!L138+"BYw!$pu"</f>
        <v>#VALUE!</v>
      </c>
      <c r="GM57" t="e">
        <f>'2.4.Функции'!M138+"BYw!$pv"</f>
        <v>#VALUE!</v>
      </c>
      <c r="GN57" t="e">
        <f>'2.4.Функции'!N138+"BYw!$pw"</f>
        <v>#VALUE!</v>
      </c>
      <c r="GO57" t="e">
        <f>'2.4.Функции'!O138+"BYw!$px"</f>
        <v>#VALUE!</v>
      </c>
      <c r="GP57" t="e">
        <f>'2.4.Функции'!P138+"BYw!$py"</f>
        <v>#VALUE!</v>
      </c>
      <c r="GQ57" t="e">
        <f>'2.4.Функции'!Q138+"BYw!$pz"</f>
        <v>#VALUE!</v>
      </c>
      <c r="GR57" t="e">
        <f>'2.4.Функции'!R138+"BYw!$p{"</f>
        <v>#VALUE!</v>
      </c>
      <c r="GS57" t="e">
        <f>'2.4.Функции'!S138+"BYw!$p|"</f>
        <v>#VALUE!</v>
      </c>
      <c r="GT57" t="e">
        <f>'2.4.Функции'!T138+"BYw!$p}"</f>
        <v>#VALUE!</v>
      </c>
      <c r="GU57" t="e">
        <f>'2.4.Функции'!U138+"BYw!$p~"</f>
        <v>#VALUE!</v>
      </c>
      <c r="GV57" t="e">
        <f>'2.4.Функции'!V138+"BYw!$q#"</f>
        <v>#VALUE!</v>
      </c>
      <c r="GW57" t="e">
        <f>'2.4.Функции'!W138+"BYw!$q$"</f>
        <v>#VALUE!</v>
      </c>
      <c r="GX57" t="e">
        <f>'2.4.Функции'!X138+"BYw!$q%"</f>
        <v>#VALUE!</v>
      </c>
      <c r="GY57" t="e">
        <f>'2.4.Функции'!Y138+"BYw!$q&amp;"</f>
        <v>#VALUE!</v>
      </c>
      <c r="GZ57" t="e">
        <f>'2.4.Функции'!Z138+"BYw!$q'"</f>
        <v>#VALUE!</v>
      </c>
      <c r="HA57" t="e">
        <f>'2.4.Функции'!AA138+"BYw!$q("</f>
        <v>#VALUE!</v>
      </c>
      <c r="HB57" t="e">
        <f>'2.4.Функции'!AB138+"BYw!$q)"</f>
        <v>#VALUE!</v>
      </c>
      <c r="HC57" t="e">
        <f>'2.4.Функции'!AC138+"BYw!$q."</f>
        <v>#VALUE!</v>
      </c>
      <c r="HD57" t="e">
        <f>'2.4.Функции'!AD138+"BYw!$q/"</f>
        <v>#VALUE!</v>
      </c>
      <c r="HE57" t="e">
        <f>'2.4.Функции'!AE138+"BYw!$q0"</f>
        <v>#VALUE!</v>
      </c>
      <c r="HF57" t="e">
        <f>'2.4.Функции'!AF138+"BYw!$q1"</f>
        <v>#VALUE!</v>
      </c>
      <c r="HG57" t="e">
        <f>'2.4.Функции'!AG138+"BYw!$q2"</f>
        <v>#VALUE!</v>
      </c>
      <c r="HH57" t="e">
        <f>'2.4.Функции'!AH138+"BYw!$q3"</f>
        <v>#VALUE!</v>
      </c>
      <c r="HI57" t="e">
        <f>'2.4.Функции'!AI138+"BYw!$q4"</f>
        <v>#VALUE!</v>
      </c>
      <c r="HJ57" t="e">
        <f>'2.4.Функции'!AJ138+"BYw!$q5"</f>
        <v>#VALUE!</v>
      </c>
      <c r="HK57" t="e">
        <f>'2.4.Функции'!AK138+"BYw!$q6"</f>
        <v>#VALUE!</v>
      </c>
      <c r="HL57" t="e">
        <f>'2.4.Функции'!AL138+"BYw!$q7"</f>
        <v>#VALUE!</v>
      </c>
      <c r="HM57" t="e">
        <f>'2.4.Функции'!AM138+"BYw!$q8"</f>
        <v>#VALUE!</v>
      </c>
      <c r="HN57" t="e">
        <f>'2.4.Функции'!AN138+"BYw!$q9"</f>
        <v>#VALUE!</v>
      </c>
      <c r="HO57" t="e">
        <f>'2.4.Функции'!AO138+"BYw!$q:"</f>
        <v>#VALUE!</v>
      </c>
      <c r="HP57" t="e">
        <f>'2.4.Функции'!AP138+"BYw!$q;"</f>
        <v>#VALUE!</v>
      </c>
      <c r="HQ57" t="e">
        <f>'2.4.Функции'!AQ138+"BYw!$q&lt;"</f>
        <v>#VALUE!</v>
      </c>
      <c r="HR57" t="e">
        <f>'2.4.Функции'!AR138+"BYw!$q="</f>
        <v>#VALUE!</v>
      </c>
      <c r="HS57" t="e">
        <f>'2.4.Функции'!AS138+"BYw!$q&gt;"</f>
        <v>#VALUE!</v>
      </c>
      <c r="HT57" t="e">
        <f>'2.4.Функции'!AT138+"BYw!$q?"</f>
        <v>#VALUE!</v>
      </c>
      <c r="HU57" t="e">
        <f>'2.4.Функции'!AU138+"BYw!$q@"</f>
        <v>#VALUE!</v>
      </c>
      <c r="HV57" t="e">
        <f>'2.4.Функции'!AV138+"BYw!$qA"</f>
        <v>#VALUE!</v>
      </c>
      <c r="HW57" t="e">
        <f>'2.4.Функции'!AW138+"BYw!$qB"</f>
        <v>#VALUE!</v>
      </c>
      <c r="HX57" t="e">
        <f>'2.4.Функции'!AX138+"BYw!$qC"</f>
        <v>#VALUE!</v>
      </c>
      <c r="HY57" t="e">
        <f>'2.4.Функции'!AY138+"BYw!$qD"</f>
        <v>#VALUE!</v>
      </c>
      <c r="HZ57" t="e">
        <f>'2.4.Функции'!AZ138+"BYw!$qE"</f>
        <v>#VALUE!</v>
      </c>
      <c r="IA57" t="e">
        <f>'2.4.Функции'!BA138+"BYw!$qF"</f>
        <v>#VALUE!</v>
      </c>
      <c r="IB57" t="e">
        <f>'2.4.Функции'!BB138+"BYw!$qG"</f>
        <v>#VALUE!</v>
      </c>
      <c r="IC57" t="e">
        <f>'2.4.Функции'!BC138+"BYw!$qH"</f>
        <v>#VALUE!</v>
      </c>
      <c r="ID57" t="e">
        <f>'2.4.Функции'!BD138+"BYw!$qI"</f>
        <v>#VALUE!</v>
      </c>
      <c r="IE57" t="e">
        <f>'2.4.Функции'!BE138+"BYw!$qJ"</f>
        <v>#VALUE!</v>
      </c>
      <c r="IF57" t="e">
        <f>'2.4.Функции'!BF138+"BYw!$qK"</f>
        <v>#VALUE!</v>
      </c>
      <c r="IG57" t="e">
        <f>'2.4.Функции'!BG138+"BYw!$qL"</f>
        <v>#VALUE!</v>
      </c>
      <c r="IH57" t="e">
        <f>'2.4.Функции'!BH138+"BYw!$qM"</f>
        <v>#VALUE!</v>
      </c>
      <c r="II57" t="e">
        <f>'2.4.Функции'!BI138+"BYw!$qN"</f>
        <v>#VALUE!</v>
      </c>
      <c r="IJ57" t="e">
        <f>'2.4.Функции'!BJ138+"BYw!$qO"</f>
        <v>#VALUE!</v>
      </c>
      <c r="IK57" t="e">
        <f>'2.4.Функции'!BK138+"BYw!$qP"</f>
        <v>#VALUE!</v>
      </c>
      <c r="IL57" t="e">
        <f>'2.4.Функции'!BL138+"BYw!$qQ"</f>
        <v>#VALUE!</v>
      </c>
      <c r="IM57" t="e">
        <f>'2.4.Функции'!BM138+"BYw!$qR"</f>
        <v>#VALUE!</v>
      </c>
      <c r="IN57" t="e">
        <f>'2.4.Функции'!BN138+"BYw!$qS"</f>
        <v>#VALUE!</v>
      </c>
      <c r="IO57" t="e">
        <f>'2.4.Функции'!BO138+"BYw!$qT"</f>
        <v>#VALUE!</v>
      </c>
      <c r="IP57" t="e">
        <f>'2.4.Функции'!BP138+"BYw!$qU"</f>
        <v>#VALUE!</v>
      </c>
      <c r="IQ57" t="e">
        <f>'2.4.Функции'!BQ138+"BYw!$qV"</f>
        <v>#VALUE!</v>
      </c>
      <c r="IR57" t="e">
        <f>'2.4.Функции'!BR138+"BYw!$qW"</f>
        <v>#VALUE!</v>
      </c>
      <c r="IS57" t="e">
        <f>'2.4.Функции'!BS138+"BYw!$qX"</f>
        <v>#VALUE!</v>
      </c>
      <c r="IT57" t="e">
        <f>'2.4.Функции'!BT138+"BYw!$qY"</f>
        <v>#VALUE!</v>
      </c>
      <c r="IU57" t="e">
        <f>'2.4.Функции'!BU138+"BYw!$qZ"</f>
        <v>#VALUE!</v>
      </c>
      <c r="IV57" t="e">
        <f>'2.4.Функции'!BV138+"BYw!$q["</f>
        <v>#VALUE!</v>
      </c>
    </row>
    <row r="58" spans="6:256" x14ac:dyDescent="0.2">
      <c r="F58" t="e">
        <f>'2.4.Функции'!BW138+"BYw!$q\"</f>
        <v>#VALUE!</v>
      </c>
      <c r="G58" t="e">
        <f>'2.4.Функции'!BX138+"BYw!$q]"</f>
        <v>#VALUE!</v>
      </c>
      <c r="H58" t="e">
        <f>'2.4.Функции'!BY138+"BYw!$q^"</f>
        <v>#VALUE!</v>
      </c>
      <c r="I58" t="e">
        <f>'2.4.Функции'!BZ138+"BYw!$q_"</f>
        <v>#VALUE!</v>
      </c>
      <c r="J58" t="e">
        <f>'2.4.Функции'!CA138+"BYw!$q`"</f>
        <v>#VALUE!</v>
      </c>
      <c r="K58" t="e">
        <f>'2.4.Функции'!CB138+"BYw!$qa"</f>
        <v>#VALUE!</v>
      </c>
      <c r="L58" t="e">
        <f>'2.4.Функции'!CC138+"BYw!$qb"</f>
        <v>#VALUE!</v>
      </c>
      <c r="M58" t="e">
        <f>'2.4.Функции'!CD138+"BYw!$qc"</f>
        <v>#VALUE!</v>
      </c>
      <c r="N58" t="e">
        <f>'2.4.Функции'!CE138+"BYw!$qd"</f>
        <v>#VALUE!</v>
      </c>
      <c r="O58" t="e">
        <f>'2.4.Функции'!CF138+"BYw!$qe"</f>
        <v>#VALUE!</v>
      </c>
      <c r="P58" t="e">
        <f>'2.4.Функции'!CG138+"BYw!$qf"</f>
        <v>#VALUE!</v>
      </c>
      <c r="Q58" t="e">
        <f>'2.4.Функции'!CH138+"BYw!$qg"</f>
        <v>#VALUE!</v>
      </c>
      <c r="R58" t="e">
        <f>'2.4.Функции'!CI138+"BYw!$qh"</f>
        <v>#VALUE!</v>
      </c>
      <c r="S58" t="e">
        <f>'2.4.Функции'!CJ138+"BYw!$qi"</f>
        <v>#VALUE!</v>
      </c>
      <c r="T58" t="e">
        <f>'2.4.Функции'!CK138+"BYw!$qj"</f>
        <v>#VALUE!</v>
      </c>
      <c r="U58" t="e">
        <f>'2.4.Функции'!CL138+"BYw!$qk"</f>
        <v>#VALUE!</v>
      </c>
      <c r="V58" t="e">
        <f>'2.4.Функции'!CM138+"BYw!$ql"</f>
        <v>#VALUE!</v>
      </c>
      <c r="W58" t="e">
        <f>'2.4.Функции'!CN138+"BYw!$qm"</f>
        <v>#VALUE!</v>
      </c>
      <c r="X58" t="e">
        <f>'2.4.Функции'!CO138+"BYw!$qn"</f>
        <v>#VALUE!</v>
      </c>
      <c r="Y58" t="e">
        <f>'2.4.Функции'!CP138+"BYw!$qo"</f>
        <v>#VALUE!</v>
      </c>
      <c r="Z58" t="e">
        <f>'2.4.Функции'!CQ138+"BYw!$qp"</f>
        <v>#VALUE!</v>
      </c>
      <c r="AA58" t="e">
        <f>'2.4.Функции'!CR138+"BYw!$qq"</f>
        <v>#VALUE!</v>
      </c>
      <c r="AB58" t="e">
        <f>'2.4.Функции'!CS138+"BYw!$qr"</f>
        <v>#VALUE!</v>
      </c>
      <c r="AC58" t="e">
        <f>'2.4.Функции'!CT138+"BYw!$qs"</f>
        <v>#VALUE!</v>
      </c>
      <c r="AD58" t="e">
        <f>'2.4.Функции'!CU138+"BYw!$qt"</f>
        <v>#VALUE!</v>
      </c>
      <c r="AE58" t="e">
        <f>'2.4.Функции'!CV138+"BYw!$qu"</f>
        <v>#VALUE!</v>
      </c>
      <c r="AF58" t="e">
        <f>'2.4.Функции'!CW138+"BYw!$qv"</f>
        <v>#VALUE!</v>
      </c>
      <c r="AG58" t="e">
        <f>'2.4.Функции'!CX138+"BYw!$qw"</f>
        <v>#VALUE!</v>
      </c>
      <c r="AH58" t="e">
        <f>'2.4.Функции'!CY138+"BYw!$qx"</f>
        <v>#VALUE!</v>
      </c>
      <c r="AI58" t="e">
        <f>'2.4.Функции'!CZ138+"BYw!$qy"</f>
        <v>#VALUE!</v>
      </c>
      <c r="AJ58" t="e">
        <f>'2.4.Функции'!DA138+"BYw!$qz"</f>
        <v>#VALUE!</v>
      </c>
      <c r="AK58" t="e">
        <f>'2.4.Функции'!DB138+"BYw!$q{"</f>
        <v>#VALUE!</v>
      </c>
      <c r="AL58" t="e">
        <f>'2.4.Функции'!DC138+"BYw!$q|"</f>
        <v>#VALUE!</v>
      </c>
      <c r="AM58" t="e">
        <f>'2.4.Функции'!DD138+"BYw!$q}"</f>
        <v>#VALUE!</v>
      </c>
      <c r="AN58" t="e">
        <f>'2.4.Функции'!DE138+"BYw!$q~"</f>
        <v>#VALUE!</v>
      </c>
      <c r="AO58" t="e">
        <f>'2.4.Функции'!DF138+"BYw!$r#"</f>
        <v>#VALUE!</v>
      </c>
      <c r="AP58" t="e">
        <f>'2.4.Функции'!DG138+"BYw!$r$"</f>
        <v>#VALUE!</v>
      </c>
      <c r="AQ58" t="e">
        <f>'2.4.Функции'!DH138+"BYw!$r%"</f>
        <v>#VALUE!</v>
      </c>
      <c r="AR58" t="e">
        <f>'2.4.Функции'!DI138+"BYw!$r&amp;"</f>
        <v>#VALUE!</v>
      </c>
      <c r="AS58" t="e">
        <f>'2.4.Функции'!DJ138+"BYw!$r'"</f>
        <v>#VALUE!</v>
      </c>
      <c r="AT58" t="e">
        <f>'2.4.Функции'!DK138+"BYw!$r("</f>
        <v>#VALUE!</v>
      </c>
      <c r="AU58" t="e">
        <f>'2.4.Функции'!DL138+"BYw!$r)"</f>
        <v>#VALUE!</v>
      </c>
      <c r="AV58" t="e">
        <f>'2.4.Функции'!DM138+"BYw!$r."</f>
        <v>#VALUE!</v>
      </c>
      <c r="AW58" t="e">
        <f>'2.4.Функции'!DN138+"BYw!$r/"</f>
        <v>#VALUE!</v>
      </c>
      <c r="AX58" t="e">
        <f>'2.4.Функции'!DO138+"BYw!$r0"</f>
        <v>#VALUE!</v>
      </c>
      <c r="AY58" t="e">
        <f>'2.4.Функции'!DP138+"BYw!$r1"</f>
        <v>#VALUE!</v>
      </c>
      <c r="AZ58" t="e">
        <f>'2.4.Функции'!DQ138+"BYw!$r2"</f>
        <v>#VALUE!</v>
      </c>
      <c r="BA58" t="e">
        <f>'2.4.Функции'!DR138+"BYw!$r3"</f>
        <v>#VALUE!</v>
      </c>
      <c r="BB58" t="e">
        <f>'2.4.Функции'!DS138+"BYw!$r4"</f>
        <v>#VALUE!</v>
      </c>
      <c r="BC58" t="e">
        <f>'2.4.Функции'!DT138+"BYw!$r5"</f>
        <v>#VALUE!</v>
      </c>
      <c r="BD58" t="e">
        <f>'2.4.Функции'!DU138+"BYw!$r6"</f>
        <v>#VALUE!</v>
      </c>
      <c r="BE58" t="e">
        <f>'2.4.Функции'!DV138+"BYw!$r7"</f>
        <v>#VALUE!</v>
      </c>
      <c r="BF58" t="e">
        <f>'2.4.Функции'!DW138+"BYw!$r8"</f>
        <v>#VALUE!</v>
      </c>
      <c r="BG58" t="e">
        <f>'2.4.Функции'!DX138+"BYw!$r9"</f>
        <v>#VALUE!</v>
      </c>
      <c r="BH58" t="e">
        <f>'2.4.Функции'!DY138+"BYw!$r:"</f>
        <v>#VALUE!</v>
      </c>
      <c r="BI58" t="e">
        <f>'2.4.Функции'!DZ138+"BYw!$r;"</f>
        <v>#VALUE!</v>
      </c>
      <c r="BJ58" t="e">
        <f>'2.4.Функции'!EA138+"BYw!$r&lt;"</f>
        <v>#VALUE!</v>
      </c>
      <c r="BK58" t="e">
        <f>'2.4.Функции'!EB138+"BYw!$r="</f>
        <v>#VALUE!</v>
      </c>
      <c r="BL58" t="e">
        <f>'2.4.Функции'!EC138+"BYw!$r&gt;"</f>
        <v>#VALUE!</v>
      </c>
      <c r="BM58" t="e">
        <f>'2.4.Функции'!ED138+"BYw!$r?"</f>
        <v>#VALUE!</v>
      </c>
      <c r="BN58" t="e">
        <f>'2.4.Функции'!EE138+"BYw!$r@"</f>
        <v>#VALUE!</v>
      </c>
      <c r="BO58" t="e">
        <f>'2.4.Функции'!EF138+"BYw!$rA"</f>
        <v>#VALUE!</v>
      </c>
      <c r="BP58" t="e">
        <f>'2.4.Функции'!EG138+"BYw!$rB"</f>
        <v>#VALUE!</v>
      </c>
      <c r="BQ58" t="e">
        <f>'2.4.Функции'!EH138+"BYw!$rC"</f>
        <v>#VALUE!</v>
      </c>
      <c r="BR58" t="e">
        <f>'2.4.Функции'!EI138+"BYw!$rD"</f>
        <v>#VALUE!</v>
      </c>
      <c r="BS58" t="e">
        <f>'2.4.Функции'!EJ138+"BYw!$rE"</f>
        <v>#VALUE!</v>
      </c>
      <c r="BT58" t="e">
        <f>'2.4.Функции'!EK138+"BYw!$rF"</f>
        <v>#VALUE!</v>
      </c>
      <c r="BU58" t="e">
        <f>'2.4.Функции'!EL138+"BYw!$rG"</f>
        <v>#VALUE!</v>
      </c>
      <c r="BV58" t="e">
        <f>'2.4.Функции'!EM138+"BYw!$rH"</f>
        <v>#VALUE!</v>
      </c>
      <c r="BW58" t="e">
        <f>'2.4.Функции'!EN138+"BYw!$rI"</f>
        <v>#VALUE!</v>
      </c>
      <c r="BX58" t="e">
        <f>'2.4.Функции'!EO138+"BYw!$rJ"</f>
        <v>#VALUE!</v>
      </c>
      <c r="BY58" t="e">
        <f>'2.4.Функции'!EP138+"BYw!$rK"</f>
        <v>#VALUE!</v>
      </c>
      <c r="BZ58" t="e">
        <f>'2.4.Функции'!EQ138+"BYw!$rL"</f>
        <v>#VALUE!</v>
      </c>
      <c r="CA58" t="e">
        <f>'2.4.Функции'!ER138+"BYw!$rM"</f>
        <v>#VALUE!</v>
      </c>
      <c r="CB58" t="e">
        <f>'2.4.Функции'!ES138+"BYw!$rN"</f>
        <v>#VALUE!</v>
      </c>
      <c r="CC58" t="e">
        <f>'2.4.Функции'!ET138+"BYw!$rO"</f>
        <v>#VALUE!</v>
      </c>
      <c r="CD58" t="e">
        <f>'2.4.Функции'!EU138+"BYw!$rP"</f>
        <v>#VALUE!</v>
      </c>
      <c r="CE58" t="e">
        <f>'2.4.Функции'!EV138+"BYw!$rQ"</f>
        <v>#VALUE!</v>
      </c>
      <c r="CF58" t="e">
        <f>'2.4.Функции'!EW138+"BYw!$rR"</f>
        <v>#VALUE!</v>
      </c>
      <c r="CG58" t="e">
        <f>'2.4.Функции'!EX138+"BYw!$rS"</f>
        <v>#VALUE!</v>
      </c>
      <c r="CH58" t="e">
        <f>'2.4.Функции'!EY138+"BYw!$rT"</f>
        <v>#VALUE!</v>
      </c>
      <c r="CI58" t="e">
        <f>'2.4.Функции'!EZ138+"BYw!$rU"</f>
        <v>#VALUE!</v>
      </c>
      <c r="CJ58" t="e">
        <f>'2.4.Функции'!FA138+"BYw!$rV"</f>
        <v>#VALUE!</v>
      </c>
      <c r="CK58" t="e">
        <f>'2.4.Функции'!FB138+"BYw!$rW"</f>
        <v>#VALUE!</v>
      </c>
      <c r="CL58" t="e">
        <f>'2.4.Функции'!FC138+"BYw!$rX"</f>
        <v>#VALUE!</v>
      </c>
      <c r="CM58" t="e">
        <f>'2.4.Функции'!FD138+"BYw!$rY"</f>
        <v>#VALUE!</v>
      </c>
      <c r="CN58" t="e">
        <f>'2.4.Функции'!FE138+"BYw!$rZ"</f>
        <v>#VALUE!</v>
      </c>
      <c r="CO58" t="e">
        <f>'2.4.Функции'!FF138+"BYw!$r["</f>
        <v>#VALUE!</v>
      </c>
      <c r="CP58" t="e">
        <f>'2.4.Функции'!FG138+"BYw!$r\"</f>
        <v>#VALUE!</v>
      </c>
      <c r="CQ58" t="e">
        <f>'2.4.Функции'!FH138+"BYw!$r]"</f>
        <v>#VALUE!</v>
      </c>
      <c r="CR58" t="e">
        <f>'2.4.Функции'!FI138+"BYw!$r^"</f>
        <v>#VALUE!</v>
      </c>
      <c r="CS58" t="e">
        <f>'2.4.Функции'!FJ138+"BYw!$r_"</f>
        <v>#VALUE!</v>
      </c>
      <c r="CT58" t="e">
        <f>'2.4.Функции'!FK138+"BYw!$r`"</f>
        <v>#VALUE!</v>
      </c>
      <c r="CU58" t="e">
        <f>'2.4.Функции'!FL138+"BYw!$ra"</f>
        <v>#VALUE!</v>
      </c>
      <c r="CV58" t="e">
        <f>'2.4.Функции'!FM138+"BYw!$rb"</f>
        <v>#VALUE!</v>
      </c>
      <c r="CW58" t="e">
        <f>'2.4.Функции'!FN138+"BYw!$rc"</f>
        <v>#VALUE!</v>
      </c>
      <c r="CX58" t="e">
        <f>'2.4.Функции'!FO138+"BYw!$rd"</f>
        <v>#VALUE!</v>
      </c>
      <c r="CY58" t="e">
        <f>'2.4.Функции'!FP138+"BYw!$re"</f>
        <v>#VALUE!</v>
      </c>
      <c r="CZ58" t="e">
        <f>'2.4.Функции'!FQ138+"BYw!$rf"</f>
        <v>#VALUE!</v>
      </c>
      <c r="DA58" t="e">
        <f>'2.4.Функции'!FR138+"BYw!$rg"</f>
        <v>#VALUE!</v>
      </c>
      <c r="DB58" t="e">
        <f>'2.4.Функции'!FS138+"BYw!$rh"</f>
        <v>#VALUE!</v>
      </c>
      <c r="DC58" t="e">
        <f>'2.4.Функции'!FT138+"BYw!$ri"</f>
        <v>#VALUE!</v>
      </c>
      <c r="DD58" t="e">
        <f>'2.4.Функции'!FU138+"BYw!$rj"</f>
        <v>#VALUE!</v>
      </c>
      <c r="DE58" t="e">
        <f>'2.4.Функции'!FV138+"BYw!$rk"</f>
        <v>#VALUE!</v>
      </c>
      <c r="DF58" t="e">
        <f>'2.4.Функции'!FW138+"BYw!$rl"</f>
        <v>#VALUE!</v>
      </c>
      <c r="DG58" t="e">
        <f>'2.4.Функции'!FX138+"BYw!$rm"</f>
        <v>#VALUE!</v>
      </c>
      <c r="DH58" t="e">
        <f>'2.4.Функции'!FY138+"BYw!$rn"</f>
        <v>#VALUE!</v>
      </c>
      <c r="DI58" t="e">
        <f>'2.4.Функции'!FZ138+"BYw!$ro"</f>
        <v>#VALUE!</v>
      </c>
      <c r="DJ58" t="e">
        <f>'2.4.Функции'!GA138+"BYw!$rp"</f>
        <v>#VALUE!</v>
      </c>
      <c r="DK58" t="e">
        <f>'2.4.Функции'!GB138+"BYw!$rq"</f>
        <v>#VALUE!</v>
      </c>
      <c r="DL58" t="e">
        <f>'2.4.Функции'!GC138+"BYw!$rr"</f>
        <v>#VALUE!</v>
      </c>
      <c r="DM58" t="e">
        <f>'2.4.Функции'!GD138+"BYw!$rs"</f>
        <v>#VALUE!</v>
      </c>
      <c r="DN58" t="e">
        <f>'2.4.Функции'!GE138+"BYw!$rt"</f>
        <v>#VALUE!</v>
      </c>
      <c r="DO58" t="e">
        <f>'2.4.Функции'!GF138+"BYw!$ru"</f>
        <v>#VALUE!</v>
      </c>
      <c r="DP58" t="e">
        <f>'2.4.Функции'!GG138+"BYw!$rv"</f>
        <v>#VALUE!</v>
      </c>
      <c r="DQ58" t="e">
        <f>'2.4.Функции'!GH138+"BYw!$rw"</f>
        <v>#VALUE!</v>
      </c>
      <c r="DR58" t="e">
        <f>'2.4.Функции'!GI138+"BYw!$rx"</f>
        <v>#VALUE!</v>
      </c>
      <c r="DS58" t="e">
        <f>'2.4.Функции'!GJ138+"BYw!$ry"</f>
        <v>#VALUE!</v>
      </c>
      <c r="DT58" t="e">
        <f>'2.4.Функции'!GK138+"BYw!$rz"</f>
        <v>#VALUE!</v>
      </c>
      <c r="DU58" t="e">
        <f>'2.4.Функции'!GL138+"BYw!$r{"</f>
        <v>#VALUE!</v>
      </c>
      <c r="DV58" t="e">
        <f>'2.4.Функции'!GM138+"BYw!$r|"</f>
        <v>#VALUE!</v>
      </c>
      <c r="DW58" t="e">
        <f>'2.4.Функции'!GN138+"BYw!$r}"</f>
        <v>#VALUE!</v>
      </c>
      <c r="DX58" t="e">
        <f>'2.4.Функции'!GO138+"BYw!$r~"</f>
        <v>#VALUE!</v>
      </c>
      <c r="DY58" t="e">
        <f>'2.4.Функции'!GP138+"BYw!$s#"</f>
        <v>#VALUE!</v>
      </c>
      <c r="DZ58" t="e">
        <f>'2.4.Функции'!GQ138+"BYw!$s$"</f>
        <v>#VALUE!</v>
      </c>
      <c r="EA58" t="e">
        <f>'2.4.Функции'!GR138+"BYw!$s%"</f>
        <v>#VALUE!</v>
      </c>
      <c r="EB58" t="e">
        <f>'2.4.Функции'!GS138+"BYw!$s&amp;"</f>
        <v>#VALUE!</v>
      </c>
      <c r="EC58" t="e">
        <f>'2.4.Функции'!GT138+"BYw!$s'"</f>
        <v>#VALUE!</v>
      </c>
      <c r="ED58" t="e">
        <f>'2.4.Функции'!GU138+"BYw!$s("</f>
        <v>#VALUE!</v>
      </c>
      <c r="EE58" t="e">
        <f>'2.4.Функции'!GV138+"BYw!$s)"</f>
        <v>#VALUE!</v>
      </c>
      <c r="EF58" t="e">
        <f>'2.4.Функции'!GW138+"BYw!$s."</f>
        <v>#VALUE!</v>
      </c>
      <c r="EG58" t="e">
        <f>'2.4.Функции'!GX138+"BYw!$s/"</f>
        <v>#VALUE!</v>
      </c>
      <c r="EH58" t="e">
        <f>'2.4.Функции'!GY138+"BYw!$s0"</f>
        <v>#VALUE!</v>
      </c>
      <c r="EI58" t="e">
        <f>'2.4.Функции'!GZ138+"BYw!$s1"</f>
        <v>#VALUE!</v>
      </c>
      <c r="EJ58" t="e">
        <f>'2.4.Функции'!HA138+"BYw!$s2"</f>
        <v>#VALUE!</v>
      </c>
      <c r="EK58" t="e">
        <f>'2.4.Функции'!HB138+"BYw!$s3"</f>
        <v>#VALUE!</v>
      </c>
      <c r="EL58" t="e">
        <f>'2.4.Функции'!HC138+"BYw!$s4"</f>
        <v>#VALUE!</v>
      </c>
      <c r="EM58" t="e">
        <f>'2.4.Функции'!HD138+"BYw!$s5"</f>
        <v>#VALUE!</v>
      </c>
      <c r="EN58" t="e">
        <f>'2.4.Функции'!HE138+"BYw!$s6"</f>
        <v>#VALUE!</v>
      </c>
      <c r="EO58" t="e">
        <f>'2.4.Функции'!HF138+"BYw!$s7"</f>
        <v>#VALUE!</v>
      </c>
      <c r="EP58" t="e">
        <f>'2.4.Функции'!HG138+"BYw!$s8"</f>
        <v>#VALUE!</v>
      </c>
      <c r="EQ58" t="e">
        <f>'2.4.Функции'!HH138+"BYw!$s9"</f>
        <v>#VALUE!</v>
      </c>
      <c r="ER58" t="e">
        <f>'2.4.Функции'!HI138+"BYw!$s:"</f>
        <v>#VALUE!</v>
      </c>
      <c r="ES58" t="e">
        <f>'2.4.Функции'!HJ138+"BYw!$s;"</f>
        <v>#VALUE!</v>
      </c>
      <c r="ET58" t="e">
        <f>'2.4.Функции'!HK138+"BYw!$s&lt;"</f>
        <v>#VALUE!</v>
      </c>
      <c r="EU58" t="e">
        <f>'2.4.Функции'!HL138+"BYw!$s="</f>
        <v>#VALUE!</v>
      </c>
      <c r="EV58" t="e">
        <f>'2.4.Функции'!HM138+"BYw!$s&gt;"</f>
        <v>#VALUE!</v>
      </c>
      <c r="EW58" t="e">
        <f>'2.4.Функции'!HN138+"BYw!$s?"</f>
        <v>#VALUE!</v>
      </c>
      <c r="EX58" t="e">
        <f>'2.4.Функции'!HO138+"BYw!$s@"</f>
        <v>#VALUE!</v>
      </c>
      <c r="EY58" t="e">
        <f>'2.4.Функции'!HP138+"BYw!$sA"</f>
        <v>#VALUE!</v>
      </c>
      <c r="EZ58" t="e">
        <f>'2.4.Функции'!HQ138+"BYw!$sB"</f>
        <v>#VALUE!</v>
      </c>
      <c r="FA58" t="e">
        <f>'2.4.Функции'!HR138+"BYw!$sC"</f>
        <v>#VALUE!</v>
      </c>
      <c r="FB58" t="e">
        <f>'2.4.Функции'!HS138+"BYw!$sD"</f>
        <v>#VALUE!</v>
      </c>
      <c r="FC58" t="e">
        <f>'2.4.Функции'!HT138+"BYw!$sE"</f>
        <v>#VALUE!</v>
      </c>
      <c r="FD58" t="e">
        <f>'2.4.Функции'!HU138+"BYw!$sF"</f>
        <v>#VALUE!</v>
      </c>
      <c r="FE58" t="e">
        <f>'2.4.Функции'!HV138+"BYw!$sG"</f>
        <v>#VALUE!</v>
      </c>
      <c r="FF58" t="e">
        <f>'2.4.Функции'!HW138+"BYw!$sH"</f>
        <v>#VALUE!</v>
      </c>
      <c r="FG58" t="e">
        <f>'2.4.Функции'!HX138+"BYw!$sI"</f>
        <v>#VALUE!</v>
      </c>
      <c r="FH58" t="e">
        <f>'2.4.Функции'!HY138+"BYw!$sJ"</f>
        <v>#VALUE!</v>
      </c>
      <c r="FI58" t="e">
        <f>'2.4.Функции'!HZ138+"BYw!$sK"</f>
        <v>#VALUE!</v>
      </c>
      <c r="FJ58" t="e">
        <f>'2.4.Функции'!IA138+"BYw!$sL"</f>
        <v>#VALUE!</v>
      </c>
      <c r="FK58" t="e">
        <f>'2.4.Функции'!IB138+"BYw!$sM"</f>
        <v>#VALUE!</v>
      </c>
      <c r="FL58" t="e">
        <f>'2.4.Функции'!IC138+"BYw!$sN"</f>
        <v>#VALUE!</v>
      </c>
      <c r="FM58" t="e">
        <f>'2.4.Функции'!ID138+"BYw!$sO"</f>
        <v>#VALUE!</v>
      </c>
      <c r="FN58" t="e">
        <f>'2.4.Функции'!IE138+"BYw!$sP"</f>
        <v>#VALUE!</v>
      </c>
      <c r="FO58" t="e">
        <f>'2.4.Функции'!IF138+"BYw!$sQ"</f>
        <v>#VALUE!</v>
      </c>
      <c r="FP58" t="e">
        <f>'2.4.Функции'!IG138+"BYw!$sR"</f>
        <v>#VALUE!</v>
      </c>
      <c r="FQ58" t="e">
        <f>'2.4.Функции'!IH138+"BYw!$sS"</f>
        <v>#VALUE!</v>
      </c>
      <c r="FR58" t="e">
        <f>'2.4.Функции'!II138+"BYw!$sT"</f>
        <v>#VALUE!</v>
      </c>
      <c r="FS58" t="e">
        <f>'2.4.Функции'!IJ138+"BYw!$sU"</f>
        <v>#VALUE!</v>
      </c>
      <c r="FT58" t="e">
        <f>'2.4.Функции'!IK138+"BYw!$sV"</f>
        <v>#VALUE!</v>
      </c>
      <c r="FU58" t="e">
        <f>'2.4.Функции'!IL138+"BYw!$sW"</f>
        <v>#VALUE!</v>
      </c>
      <c r="FV58" t="e">
        <f>'2.4.Функции'!IM138+"BYw!$sX"</f>
        <v>#VALUE!</v>
      </c>
      <c r="FW58" t="e">
        <f>'2.4.Функции'!IN138+"BYw!$sY"</f>
        <v>#VALUE!</v>
      </c>
      <c r="FX58" t="e">
        <f>'2.4.Функции'!IO138+"BYw!$sZ"</f>
        <v>#VALUE!</v>
      </c>
      <c r="FY58" t="e">
        <f>'2.4.Функции'!IP138+"BYw!$s["</f>
        <v>#VALUE!</v>
      </c>
      <c r="FZ58" t="e">
        <f>'2.4.Функции'!IQ138+"BYw!$s\"</f>
        <v>#VALUE!</v>
      </c>
      <c r="GA58" t="e">
        <f>'2.4.Функции'!IR138+"BYw!$s]"</f>
        <v>#VALUE!</v>
      </c>
      <c r="GB58" t="e">
        <f>'2.4.Функции'!IS138+"BYw!$s^"</f>
        <v>#VALUE!</v>
      </c>
      <c r="GC58" t="e">
        <f>'2.4.Функции'!IT138+"BYw!$s_"</f>
        <v>#VALUE!</v>
      </c>
      <c r="GD58" t="e">
        <f>'2.4.Функции'!IU138+"BYw!$s`"</f>
        <v>#VALUE!</v>
      </c>
      <c r="GE58" t="e">
        <f>'2.4.Функции'!IV138+"BYw!$sa"</f>
        <v>#VALUE!</v>
      </c>
      <c r="GF58" t="e">
        <f>'2.4.Функции'!IW138+"BYw!$sb"</f>
        <v>#VALUE!</v>
      </c>
      <c r="GG58" t="e">
        <f>'2.4.Функции'!IX138+"BYw!$sc"</f>
        <v>#VALUE!</v>
      </c>
      <c r="GH58" t="e">
        <f>'2.4.Функции'!IY138+"BYw!$sd"</f>
        <v>#VALUE!</v>
      </c>
      <c r="GI58" t="e">
        <f>'2.4.Функции'!IZ138+"BYw!$se"</f>
        <v>#VALUE!</v>
      </c>
      <c r="GJ58" t="e">
        <f>'2.4.Функции'!JA138+"BYw!$sf"</f>
        <v>#VALUE!</v>
      </c>
      <c r="GK58" t="e">
        <f>'2.4.Функции'!JB138+"BYw!$sg"</f>
        <v>#VALUE!</v>
      </c>
      <c r="GL58" t="e">
        <f>'2.4.Функции'!JC138+"BYw!$sh"</f>
        <v>#VALUE!</v>
      </c>
      <c r="GM58" t="e">
        <f>'2.4.Функции'!JD138+"BYw!$si"</f>
        <v>#VALUE!</v>
      </c>
      <c r="GN58" t="e">
        <f>'2.4.Функции'!JE138+"BYw!$sj"</f>
        <v>#VALUE!</v>
      </c>
      <c r="GO58" t="e">
        <f>'2.4.Функции'!JF138+"BYw!$sk"</f>
        <v>#VALUE!</v>
      </c>
      <c r="GP58" t="e">
        <f>'2.4.Функции'!JG138+"BYw!$sl"</f>
        <v>#VALUE!</v>
      </c>
      <c r="GQ58" t="e">
        <f>'2.4.Функции'!JH138+"BYw!$sm"</f>
        <v>#VALUE!</v>
      </c>
      <c r="GR58" t="e">
        <f>'2.4.Функции'!JI138+"BYw!$sn"</f>
        <v>#VALUE!</v>
      </c>
      <c r="GS58" t="e">
        <f>'2.4.Функции'!JJ138+"BYw!$so"</f>
        <v>#VALUE!</v>
      </c>
      <c r="GT58" t="e">
        <f>'2.4.Функции'!JK138+"BYw!$sp"</f>
        <v>#VALUE!</v>
      </c>
      <c r="GU58" t="e">
        <f>'2.4.Функции'!JL138+"BYw!$sq"</f>
        <v>#VALUE!</v>
      </c>
      <c r="GV58" t="e">
        <f>'2.4.Функции'!JM138+"BYw!$sr"</f>
        <v>#VALUE!</v>
      </c>
      <c r="GW58" t="e">
        <f>'2.4.Функции'!JN138+"BYw!$ss"</f>
        <v>#VALUE!</v>
      </c>
      <c r="GX58" t="e">
        <f>'2.4.Функции'!JO138+"BYw!$st"</f>
        <v>#VALUE!</v>
      </c>
      <c r="GY58" t="e">
        <f>'2.4.Функции'!JP138+"BYw!$su"</f>
        <v>#VALUE!</v>
      </c>
      <c r="GZ58" t="e">
        <f>'2.4.Функции'!JQ138+"BYw!$sv"</f>
        <v>#VALUE!</v>
      </c>
      <c r="HA58" t="e">
        <f>'2.4.Функции'!JR138+"BYw!$sw"</f>
        <v>#VALUE!</v>
      </c>
      <c r="HB58" t="e">
        <f>'2.4.Функции'!JS138+"BYw!$sx"</f>
        <v>#VALUE!</v>
      </c>
      <c r="HC58" t="e">
        <f>'2.4.Функции'!JT138+"BYw!$sy"</f>
        <v>#VALUE!</v>
      </c>
      <c r="HD58" t="e">
        <f>'2.4.Функции'!JU138+"BYw!$sz"</f>
        <v>#VALUE!</v>
      </c>
      <c r="HE58" t="e">
        <f>'2.4.Функции'!JV138+"BYw!$s{"</f>
        <v>#VALUE!</v>
      </c>
      <c r="HF58" t="e">
        <f>'2.4.Функции'!JW138+"BYw!$s|"</f>
        <v>#VALUE!</v>
      </c>
      <c r="HG58" t="e">
        <f>'2.4.Функции'!JX138+"BYw!$s}"</f>
        <v>#VALUE!</v>
      </c>
      <c r="HH58" t="e">
        <f>'2.4.Функции'!JY138+"BYw!$s~"</f>
        <v>#VALUE!</v>
      </c>
      <c r="HI58" t="e">
        <f>'2.4.Функции'!JZ138+"BYw!$t#"</f>
        <v>#VALUE!</v>
      </c>
      <c r="HJ58" t="e">
        <f>'2.4.Функции'!KA138+"BYw!$t$"</f>
        <v>#VALUE!</v>
      </c>
      <c r="HK58" t="e">
        <f>'2.4.Функции'!KB138+"BYw!$t%"</f>
        <v>#VALUE!</v>
      </c>
      <c r="HL58" t="e">
        <f>'2.4.Функции'!KC138+"BYw!$t&amp;"</f>
        <v>#VALUE!</v>
      </c>
      <c r="HM58" t="e">
        <f>'2.4.Функции'!KD138+"BYw!$t'"</f>
        <v>#VALUE!</v>
      </c>
      <c r="HN58" t="e">
        <f>'2.4.Функции'!KE138+"BYw!$t("</f>
        <v>#VALUE!</v>
      </c>
      <c r="HO58" t="e">
        <f>'2.4.Функции'!KF138+"BYw!$t)"</f>
        <v>#VALUE!</v>
      </c>
      <c r="HP58" t="e">
        <f>'2.4.Функции'!KG138+"BYw!$t."</f>
        <v>#VALUE!</v>
      </c>
      <c r="HQ58" t="e">
        <f>'2.4.Функции'!KH138+"BYw!$t/"</f>
        <v>#VALUE!</v>
      </c>
      <c r="HR58" t="e">
        <f>'2.4.Функции'!KI138+"BYw!$t0"</f>
        <v>#VALUE!</v>
      </c>
      <c r="HS58" t="e">
        <f>'2.4.Функции'!KJ138+"BYw!$t1"</f>
        <v>#VALUE!</v>
      </c>
      <c r="HT58" t="e">
        <f>'2.4.Функции'!KK138+"BYw!$t2"</f>
        <v>#VALUE!</v>
      </c>
      <c r="HU58" t="e">
        <f>'2.4.Функции'!KL138+"BYw!$t3"</f>
        <v>#VALUE!</v>
      </c>
      <c r="HV58" t="e">
        <f>'2.4.Функции'!KM138+"BYw!$t4"</f>
        <v>#VALUE!</v>
      </c>
      <c r="HW58" t="e">
        <f>'2.4.Функции'!KN138+"BYw!$t5"</f>
        <v>#VALUE!</v>
      </c>
      <c r="HX58" t="e">
        <f>'2.4.Функции'!KO138+"BYw!$t6"</f>
        <v>#VALUE!</v>
      </c>
      <c r="HY58" t="e">
        <f>'2.4.Функции'!KP138+"BYw!$t7"</f>
        <v>#VALUE!</v>
      </c>
      <c r="HZ58" t="e">
        <f>'2.4.Функции'!KQ138+"BYw!$t8"</f>
        <v>#VALUE!</v>
      </c>
      <c r="IA58" t="e">
        <f>'2.4.Функции'!KR138+"BYw!$t9"</f>
        <v>#VALUE!</v>
      </c>
      <c r="IB58" t="e">
        <f>'2.4.Функции'!KS138+"BYw!$t:"</f>
        <v>#VALUE!</v>
      </c>
      <c r="IC58" t="e">
        <f>'2.4.Функции'!KT138+"BYw!$t;"</f>
        <v>#VALUE!</v>
      </c>
      <c r="ID58" t="e">
        <f>'2.4.Функции'!KU138+"BYw!$t&lt;"</f>
        <v>#VALUE!</v>
      </c>
      <c r="IE58" t="e">
        <f>'2.4.Функции'!KV138+"BYw!$t="</f>
        <v>#VALUE!</v>
      </c>
      <c r="IF58" t="e">
        <f>'2.4.Функции'!KW138+"BYw!$t&gt;"</f>
        <v>#VALUE!</v>
      </c>
      <c r="IG58" t="e">
        <f>'2.4.Функции'!KX138+"BYw!$t?"</f>
        <v>#VALUE!</v>
      </c>
      <c r="IH58" t="e">
        <f>'2.4.Функции'!KY138+"BYw!$t@"</f>
        <v>#VALUE!</v>
      </c>
      <c r="II58" t="e">
        <f>'2.4.Функции'!KZ138+"BYw!$tA"</f>
        <v>#VALUE!</v>
      </c>
      <c r="IJ58" t="e">
        <f>'2.4.Функции'!LA138+"BYw!$tB"</f>
        <v>#VALUE!</v>
      </c>
      <c r="IK58" t="e">
        <f>'2.4.Функции'!LB138+"BYw!$tC"</f>
        <v>#VALUE!</v>
      </c>
      <c r="IL58" t="e">
        <f>'2.4.Функции'!LC138+"BYw!$tD"</f>
        <v>#VALUE!</v>
      </c>
      <c r="IM58" t="e">
        <f>'2.4.Функции'!LD138+"BYw!$tE"</f>
        <v>#VALUE!</v>
      </c>
      <c r="IN58" t="e">
        <f>'2.4.Функции'!LE138+"BYw!$tF"</f>
        <v>#VALUE!</v>
      </c>
      <c r="IO58" t="e">
        <f>'2.4.Функции'!LF138+"BYw!$tG"</f>
        <v>#VALUE!</v>
      </c>
      <c r="IP58" t="e">
        <f>'2.4.Функции'!LG138+"BYw!$tH"</f>
        <v>#VALUE!</v>
      </c>
      <c r="IQ58" t="e">
        <f>'2.4.Функции'!LH138+"BYw!$tI"</f>
        <v>#VALUE!</v>
      </c>
      <c r="IR58" t="e">
        <f>'2.4.Функции'!LI138+"BYw!$tJ"</f>
        <v>#VALUE!</v>
      </c>
      <c r="IS58" t="e">
        <f>'2.4.Функции'!LJ138+"BYw!$tK"</f>
        <v>#VALUE!</v>
      </c>
      <c r="IT58" t="e">
        <f>'2.4.Функции'!LK138+"BYw!$tL"</f>
        <v>#VALUE!</v>
      </c>
      <c r="IU58" t="e">
        <f>'2.4.Функции'!LL138+"BYw!$tM"</f>
        <v>#VALUE!</v>
      </c>
      <c r="IV58" t="e">
        <f>'2.4.Функции'!LM138+"BYw!$tN"</f>
        <v>#VALUE!</v>
      </c>
    </row>
    <row r="59" spans="6:256" x14ac:dyDescent="0.2">
      <c r="F59" t="e">
        <f>'2.4.Функции'!LN138+"BYw!$tO"</f>
        <v>#VALUE!</v>
      </c>
      <c r="G59" t="e">
        <f>'2.4.Функции'!LO138+"BYw!$tP"</f>
        <v>#VALUE!</v>
      </c>
      <c r="H59" t="e">
        <f>'2.4.Функции'!LP138+"BYw!$tQ"</f>
        <v>#VALUE!</v>
      </c>
      <c r="I59" t="e">
        <f>'2.4.Функции'!LQ138+"BYw!$tR"</f>
        <v>#VALUE!</v>
      </c>
      <c r="J59" t="e">
        <f>'2.4.Функции'!LR138+"BYw!$tS"</f>
        <v>#VALUE!</v>
      </c>
      <c r="K59" t="e">
        <f>'2.4.Функции'!LS138+"BYw!$tT"</f>
        <v>#VALUE!</v>
      </c>
      <c r="L59" t="e">
        <f>'2.4.Функции'!LT138+"BYw!$tU"</f>
        <v>#VALUE!</v>
      </c>
      <c r="M59" t="e">
        <f>'2.4.Функции'!LU138+"BYw!$tV"</f>
        <v>#VALUE!</v>
      </c>
      <c r="N59" t="e">
        <f>'2.4.Функции'!LV138+"BYw!$tW"</f>
        <v>#VALUE!</v>
      </c>
      <c r="O59" t="e">
        <f>'2.4.Функции'!LW138+"BYw!$tX"</f>
        <v>#VALUE!</v>
      </c>
      <c r="P59" t="e">
        <f>'2.4.Функции'!LX138+"BYw!$tY"</f>
        <v>#VALUE!</v>
      </c>
      <c r="Q59" t="e">
        <f>'2.4.Функции'!LY138+"BYw!$tZ"</f>
        <v>#VALUE!</v>
      </c>
      <c r="R59" t="e">
        <f>'2.4.Функции'!LZ138+"BYw!$t["</f>
        <v>#VALUE!</v>
      </c>
      <c r="S59" t="e">
        <f>'2.4.Функции'!MA138+"BYw!$t\"</f>
        <v>#VALUE!</v>
      </c>
      <c r="T59" t="e">
        <f>'2.4.Функции'!MB138+"BYw!$t]"</f>
        <v>#VALUE!</v>
      </c>
      <c r="U59" t="e">
        <f>'2.4.Функции'!MC138+"BYw!$t^"</f>
        <v>#VALUE!</v>
      </c>
      <c r="V59" t="e">
        <f>'2.4.Функции'!MD138+"BYw!$t_"</f>
        <v>#VALUE!</v>
      </c>
      <c r="W59" t="e">
        <f>'2.4.Функции'!ME138+"BYw!$t`"</f>
        <v>#VALUE!</v>
      </c>
      <c r="X59" t="e">
        <f>'2.4.Функции'!MF138+"BYw!$ta"</f>
        <v>#VALUE!</v>
      </c>
      <c r="Y59" t="e">
        <f>'2.4.Функции'!MG138+"BYw!$tb"</f>
        <v>#VALUE!</v>
      </c>
      <c r="Z59" t="e">
        <f>'2.4.Функции'!MH138+"BYw!$tc"</f>
        <v>#VALUE!</v>
      </c>
      <c r="AA59" t="e">
        <f>'2.4.Функции'!MI138+"BYw!$td"</f>
        <v>#VALUE!</v>
      </c>
      <c r="AB59" t="e">
        <f>'2.4.Функции'!MJ138+"BYw!$te"</f>
        <v>#VALUE!</v>
      </c>
      <c r="AC59" t="e">
        <f>'2.4.Функции'!MK138+"BYw!$tf"</f>
        <v>#VALUE!</v>
      </c>
      <c r="AD59" t="e">
        <f>'2.4.Функции'!ML138+"BYw!$tg"</f>
        <v>#VALUE!</v>
      </c>
      <c r="AE59" t="e">
        <f>'2.4.Функции'!MM138+"BYw!$th"</f>
        <v>#VALUE!</v>
      </c>
      <c r="AF59" t="e">
        <f>'2.4.Функции'!MN138+"BYw!$ti"</f>
        <v>#VALUE!</v>
      </c>
      <c r="AG59" t="e">
        <f>'2.4.Функции'!MO138+"BYw!$tj"</f>
        <v>#VALUE!</v>
      </c>
      <c r="AH59" t="e">
        <f>'2.4.Функции'!MP138+"BYw!$tk"</f>
        <v>#VALUE!</v>
      </c>
      <c r="AI59" t="e">
        <f>'2.4.Функции'!MQ138+"BYw!$tl"</f>
        <v>#VALUE!</v>
      </c>
      <c r="AJ59" t="e">
        <f>'2.4.Функции'!MR138+"BYw!$tm"</f>
        <v>#VALUE!</v>
      </c>
      <c r="AK59" t="e">
        <f>'2.4.Функции'!MS138+"BYw!$tn"</f>
        <v>#VALUE!</v>
      </c>
      <c r="AL59" t="e">
        <f>'2.4.Функции'!MT138+"BYw!$to"</f>
        <v>#VALUE!</v>
      </c>
      <c r="AM59" t="e">
        <f>'2.4.Функции'!MU138+"BYw!$tp"</f>
        <v>#VALUE!</v>
      </c>
      <c r="AN59" t="e">
        <f>'2.4.Функции'!MV138+"BYw!$tq"</f>
        <v>#VALUE!</v>
      </c>
      <c r="AO59" t="e">
        <f>'2.4.Функции'!MW138+"BYw!$tr"</f>
        <v>#VALUE!</v>
      </c>
      <c r="AP59" t="e">
        <f>'2.4.Функции'!MX138+"BYw!$ts"</f>
        <v>#VALUE!</v>
      </c>
      <c r="AQ59" t="e">
        <f>'2.4.Функции'!MY138+"BYw!$tt"</f>
        <v>#VALUE!</v>
      </c>
      <c r="AR59" t="e">
        <f>'2.4.Функции'!MZ138+"BYw!$tu"</f>
        <v>#VALUE!</v>
      </c>
      <c r="AS59" t="e">
        <f>'2.4.Функции'!NA138+"BYw!$tv"</f>
        <v>#VALUE!</v>
      </c>
      <c r="AT59" t="e">
        <f>'2.4.Функции'!NB138+"BYw!$tw"</f>
        <v>#VALUE!</v>
      </c>
      <c r="AU59" t="e">
        <f>'2.4.Функции'!NC138+"BYw!$tx"</f>
        <v>#VALUE!</v>
      </c>
      <c r="AV59" t="e">
        <f>'2.4.Функции'!ND138+"BYw!$ty"</f>
        <v>#VALUE!</v>
      </c>
      <c r="AW59" t="e">
        <f>'2.4.Функции'!NE138+"BYw!$tz"</f>
        <v>#VALUE!</v>
      </c>
      <c r="AX59" t="e">
        <f>'2.4.Функции'!NF138+"BYw!$t{"</f>
        <v>#VALUE!</v>
      </c>
      <c r="AY59" t="e">
        <f>'2.4.Функции'!NG138+"BYw!$t|"</f>
        <v>#VALUE!</v>
      </c>
      <c r="AZ59" t="e">
        <f>'2.4.Функции'!NH138+"BYw!$t}"</f>
        <v>#VALUE!</v>
      </c>
      <c r="BA59" t="e">
        <f>'2.4.Функции'!NI138+"BYw!$t~"</f>
        <v>#VALUE!</v>
      </c>
      <c r="BB59" t="e">
        <f>'2.4.Функции'!NJ138+"BYw!$u#"</f>
        <v>#VALUE!</v>
      </c>
      <c r="BC59" t="e">
        <f>'2.4.Функции'!NK138+"BYw!$u$"</f>
        <v>#VALUE!</v>
      </c>
      <c r="BD59" t="e">
        <f>'2.4.Функции'!NL138+"BYw!$u%"</f>
        <v>#VALUE!</v>
      </c>
      <c r="BE59" t="e">
        <f>'2.4.Функции'!NM138+"BYw!$u&amp;"</f>
        <v>#VALUE!</v>
      </c>
      <c r="BF59" t="e">
        <f>'2.4.Функции'!NN138+"BYw!$u'"</f>
        <v>#VALUE!</v>
      </c>
      <c r="BG59" t="e">
        <f>'2.4.Функции'!NO138+"BYw!$u("</f>
        <v>#VALUE!</v>
      </c>
      <c r="BH59" t="e">
        <f>'2.4.Функции'!NP138+"BYw!$u)"</f>
        <v>#VALUE!</v>
      </c>
      <c r="BI59" t="e">
        <f>'2.4.Функции'!NQ138+"BYw!$u."</f>
        <v>#VALUE!</v>
      </c>
      <c r="BJ59" t="e">
        <f>'2.4.Функции'!NR138+"BYw!$u/"</f>
        <v>#VALUE!</v>
      </c>
      <c r="BK59" t="e">
        <f>'2.4.Функции'!NS138+"BYw!$u0"</f>
        <v>#VALUE!</v>
      </c>
      <c r="BL59" t="e">
        <f>'2.4.Функции'!NT138+"BYw!$u1"</f>
        <v>#VALUE!</v>
      </c>
      <c r="BM59" t="e">
        <f>'2.4.Функции'!NU138+"BYw!$u2"</f>
        <v>#VALUE!</v>
      </c>
      <c r="BN59" t="e">
        <f>'2.4.Функции'!NV138+"BYw!$u3"</f>
        <v>#VALUE!</v>
      </c>
      <c r="BO59" t="e">
        <f>'2.4.Функции'!NW138+"BYw!$u4"</f>
        <v>#VALUE!</v>
      </c>
      <c r="BP59" t="e">
        <f>'2.4.Функции'!NX138+"BYw!$u5"</f>
        <v>#VALUE!</v>
      </c>
      <c r="BQ59" t="e">
        <f>'2.4.Функции'!NY138+"BYw!$u6"</f>
        <v>#VALUE!</v>
      </c>
      <c r="BR59" t="e">
        <f>'2.4.Функции'!NZ138+"BYw!$u7"</f>
        <v>#VALUE!</v>
      </c>
      <c r="BS59" t="e">
        <f>'2.4.Функции'!OA138+"BYw!$u8"</f>
        <v>#VALUE!</v>
      </c>
      <c r="BT59" t="e">
        <f>'2.4.Функции'!OB138+"BYw!$u9"</f>
        <v>#VALUE!</v>
      </c>
      <c r="BU59" t="e">
        <f>'2.4.Функции'!OC138+"BYw!$u:"</f>
        <v>#VALUE!</v>
      </c>
      <c r="BV59" t="e">
        <f>'2.4.Функции'!OD138+"BYw!$u;"</f>
        <v>#VALUE!</v>
      </c>
      <c r="BW59" t="e">
        <f>'2.4.Функции'!OE138+"BYw!$u&lt;"</f>
        <v>#VALUE!</v>
      </c>
      <c r="BX59" t="e">
        <f>'2.4.Функции'!OF138+"BYw!$u="</f>
        <v>#VALUE!</v>
      </c>
      <c r="BY59" t="e">
        <f>'2.4.Функции'!OG138+"BYw!$u&gt;"</f>
        <v>#VALUE!</v>
      </c>
      <c r="BZ59" t="e">
        <f>'2.4.Функции'!OH138+"BYw!$u?"</f>
        <v>#VALUE!</v>
      </c>
      <c r="CA59" t="e">
        <f>'2.4.Функции'!OI138+"BYw!$u@"</f>
        <v>#VALUE!</v>
      </c>
      <c r="CB59" t="e">
        <f>'2.4.Функции'!OJ138+"BYw!$uA"</f>
        <v>#VALUE!</v>
      </c>
      <c r="CC59" t="e">
        <f>'2.4.Функции'!OK138+"BYw!$uB"</f>
        <v>#VALUE!</v>
      </c>
      <c r="CD59" t="e">
        <f>'2.4.Функции'!OL138+"BYw!$uC"</f>
        <v>#VALUE!</v>
      </c>
      <c r="CE59" t="e">
        <f>'2.4.Функции'!OM138+"BYw!$uD"</f>
        <v>#VALUE!</v>
      </c>
      <c r="CF59" t="e">
        <f>'2.4.Функции'!ON138+"BYw!$uE"</f>
        <v>#VALUE!</v>
      </c>
      <c r="CG59" t="e">
        <f>'2.4.Функции'!OO138+"BYw!$uF"</f>
        <v>#VALUE!</v>
      </c>
      <c r="CH59" t="e">
        <f>'2.4.Функции'!OP138+"BYw!$uG"</f>
        <v>#VALUE!</v>
      </c>
      <c r="CI59" t="e">
        <f>'2.4.Функции'!OQ138+"BYw!$uH"</f>
        <v>#VALUE!</v>
      </c>
      <c r="CJ59" t="e">
        <f>'2.4.Функции'!OR138+"BYw!$uI"</f>
        <v>#VALUE!</v>
      </c>
      <c r="CK59" t="e">
        <f>'2.4.Функции'!OS138+"BYw!$uJ"</f>
        <v>#VALUE!</v>
      </c>
      <c r="CL59" t="e">
        <f>'2.4.Функции'!OT138+"BYw!$uK"</f>
        <v>#VALUE!</v>
      </c>
      <c r="CM59" t="e">
        <f>'2.4.Функции'!OU138+"BYw!$uL"</f>
        <v>#VALUE!</v>
      </c>
      <c r="CN59" t="e">
        <f>'2.4.Функции'!OV138+"BYw!$uM"</f>
        <v>#VALUE!</v>
      </c>
      <c r="CO59" t="e">
        <f>'2.4.Функции'!OW138+"BYw!$uN"</f>
        <v>#VALUE!</v>
      </c>
      <c r="CP59" t="e">
        <f>'2.4.Функции'!OX138+"BYw!$uO"</f>
        <v>#VALUE!</v>
      </c>
      <c r="CQ59" t="e">
        <f>'2.4.Функции'!OY138+"BYw!$uP"</f>
        <v>#VALUE!</v>
      </c>
      <c r="CR59" t="e">
        <f>'2.4.Функции'!OZ138+"BYw!$uQ"</f>
        <v>#VALUE!</v>
      </c>
      <c r="CS59" t="e">
        <f>'2.4.Функции'!PA138+"BYw!$uR"</f>
        <v>#VALUE!</v>
      </c>
      <c r="CT59" t="e">
        <f>'2.4.Функции'!PB138+"BYw!$uS"</f>
        <v>#VALUE!</v>
      </c>
      <c r="CU59" t="e">
        <f>'2.4.Функции'!PC138+"BYw!$uT"</f>
        <v>#VALUE!</v>
      </c>
      <c r="CV59" t="e">
        <f>'2.4.Функции'!PD138+"BYw!$uU"</f>
        <v>#VALUE!</v>
      </c>
      <c r="CW59" t="e">
        <f>'2.4.Функции'!PE138+"BYw!$uV"</f>
        <v>#VALUE!</v>
      </c>
      <c r="CX59" t="e">
        <f>'2.4.Функции'!PF138+"BYw!$uW"</f>
        <v>#VALUE!</v>
      </c>
      <c r="CY59" t="e">
        <f>'2.4.Функции'!PG138+"BYw!$uX"</f>
        <v>#VALUE!</v>
      </c>
      <c r="CZ59" t="e">
        <f>'2.4.Функции'!PH138+"BYw!$uY"</f>
        <v>#VALUE!</v>
      </c>
      <c r="DA59" t="e">
        <f>'2.4.Функции'!PI138+"BYw!$uZ"</f>
        <v>#VALUE!</v>
      </c>
      <c r="DB59" t="e">
        <f>'2.4.Функции'!PJ138+"BYw!$u["</f>
        <v>#VALUE!</v>
      </c>
      <c r="DC59" t="e">
        <f>'2.4.Функции'!PK138+"BYw!$u\"</f>
        <v>#VALUE!</v>
      </c>
      <c r="DD59" t="e">
        <f>'2.4.Функции'!PL138+"BYw!$u]"</f>
        <v>#VALUE!</v>
      </c>
      <c r="DE59" t="e">
        <f>'2.4.Функции'!PM138+"BYw!$u^"</f>
        <v>#VALUE!</v>
      </c>
      <c r="DF59" t="e">
        <f>'2.4.Функции'!PN138+"BYw!$u_"</f>
        <v>#VALUE!</v>
      </c>
      <c r="DG59" t="e">
        <f>'2.4.Функции'!PO138+"BYw!$u`"</f>
        <v>#VALUE!</v>
      </c>
      <c r="DH59" t="e">
        <f>'2.4.Функции'!PP138+"BYw!$ua"</f>
        <v>#VALUE!</v>
      </c>
      <c r="DI59" t="e">
        <f>'2.4.Функции'!PQ138+"BYw!$ub"</f>
        <v>#VALUE!</v>
      </c>
      <c r="DJ59" t="e">
        <f>'2.4.Функции'!PR138+"BYw!$uc"</f>
        <v>#VALUE!</v>
      </c>
      <c r="DK59" t="e">
        <f>'2.4.Функции'!PS138+"BYw!$ud"</f>
        <v>#VALUE!</v>
      </c>
      <c r="DL59" t="e">
        <f>'2.4.Функции'!PT138+"BYw!$ue"</f>
        <v>#VALUE!</v>
      </c>
      <c r="DM59" t="e">
        <f>'2.4.Функции'!PU138+"BYw!$uf"</f>
        <v>#VALUE!</v>
      </c>
      <c r="DN59" t="e">
        <f>'2.4.Функции'!PV138+"BYw!$ug"</f>
        <v>#VALUE!</v>
      </c>
      <c r="DO59" t="e">
        <f>'2.4.Функции'!PW138+"BYw!$uh"</f>
        <v>#VALUE!</v>
      </c>
      <c r="DP59" t="e">
        <f>'2.4.Функции'!PX138+"BYw!$ui"</f>
        <v>#VALUE!</v>
      </c>
      <c r="DQ59" t="e">
        <f>'2.4.Функции'!PY138+"BYw!$uj"</f>
        <v>#VALUE!</v>
      </c>
      <c r="DR59" t="e">
        <f>'2.4.Функции'!PZ138+"BYw!$uk"</f>
        <v>#VALUE!</v>
      </c>
      <c r="DS59" t="e">
        <f>'2.4.Функции'!QA138+"BYw!$ul"</f>
        <v>#VALUE!</v>
      </c>
      <c r="DT59" t="e">
        <f>'2.4.Функции'!QB138+"BYw!$um"</f>
        <v>#VALUE!</v>
      </c>
      <c r="DU59" t="e">
        <f>'2.4.Функции'!QC138+"BYw!$un"</f>
        <v>#VALUE!</v>
      </c>
      <c r="DV59" t="e">
        <f>'2.4.Функции'!QD138+"BYw!$uo"</f>
        <v>#VALUE!</v>
      </c>
      <c r="DW59" t="e">
        <f>'2.4.Функции'!QE138+"BYw!$up"</f>
        <v>#VALUE!</v>
      </c>
      <c r="DX59" t="e">
        <f>'2.4.Функции'!QF138+"BYw!$uq"</f>
        <v>#VALUE!</v>
      </c>
      <c r="DY59" t="e">
        <f>'2.4.Функции'!QG138+"BYw!$ur"</f>
        <v>#VALUE!</v>
      </c>
      <c r="DZ59" t="e">
        <f>'2.4.Функции'!QH138+"BYw!$us"</f>
        <v>#VALUE!</v>
      </c>
      <c r="EA59" t="e">
        <f>'2.4.Функции'!QI138+"BYw!$ut"</f>
        <v>#VALUE!</v>
      </c>
      <c r="EB59" t="e">
        <f>'2.4.Функции'!QJ138+"BYw!$uu"</f>
        <v>#VALUE!</v>
      </c>
      <c r="EC59" t="e">
        <f>'2.4.Функции'!QK138+"BYw!$uv"</f>
        <v>#VALUE!</v>
      </c>
      <c r="ED59" t="e">
        <f>'2.4.Функции'!QL138+"BYw!$uw"</f>
        <v>#VALUE!</v>
      </c>
      <c r="EE59" t="e">
        <f>'2.4.Функции'!QM138+"BYw!$ux"</f>
        <v>#VALUE!</v>
      </c>
      <c r="EF59" t="e">
        <f>'2.4.Функции'!QN138+"BYw!$uy"</f>
        <v>#VALUE!</v>
      </c>
      <c r="EG59" t="e">
        <f>'2.4.Функции'!QO138+"BYw!$uz"</f>
        <v>#VALUE!</v>
      </c>
      <c r="EH59" t="e">
        <f>'2.4.Функции'!QP138+"BYw!$u{"</f>
        <v>#VALUE!</v>
      </c>
      <c r="EI59" t="e">
        <f>'2.4.Функции'!QQ138+"BYw!$u|"</f>
        <v>#VALUE!</v>
      </c>
      <c r="EJ59" t="e">
        <f>'2.4.Функции'!QR138+"BYw!$u}"</f>
        <v>#VALUE!</v>
      </c>
      <c r="EK59" t="e">
        <f>'2.4.Функции'!QS138+"BYw!$u~"</f>
        <v>#VALUE!</v>
      </c>
      <c r="EL59" t="e">
        <f>'2.4.Функции'!QT138+"BYw!$v#"</f>
        <v>#VALUE!</v>
      </c>
      <c r="EM59" t="e">
        <f>'2.4.Функции'!QU138+"BYw!$v$"</f>
        <v>#VALUE!</v>
      </c>
      <c r="EN59" t="e">
        <f>'2.4.Функции'!QV138+"BYw!$v%"</f>
        <v>#VALUE!</v>
      </c>
      <c r="EO59" t="e">
        <f>'2.4.Функции'!QW138+"BYw!$v&amp;"</f>
        <v>#VALUE!</v>
      </c>
      <c r="EP59" t="e">
        <f>'2.4.Функции'!QX138+"BYw!$v'"</f>
        <v>#VALUE!</v>
      </c>
      <c r="EQ59" t="e">
        <f>'2.4.Функции'!QY138+"BYw!$v("</f>
        <v>#VALUE!</v>
      </c>
      <c r="ER59" t="e">
        <f>'2.4.Функции'!QZ138+"BYw!$v)"</f>
        <v>#VALUE!</v>
      </c>
      <c r="ES59" t="e">
        <f>'2.4.Функции'!RA138+"BYw!$v."</f>
        <v>#VALUE!</v>
      </c>
      <c r="ET59" t="e">
        <f>'2.4.Функции'!RB138+"BYw!$v/"</f>
        <v>#VALUE!</v>
      </c>
      <c r="EU59" t="e">
        <f>'2.4.Функции'!RC138+"BYw!$v0"</f>
        <v>#VALUE!</v>
      </c>
      <c r="EV59" t="e">
        <f>'2.4.Функции'!RD138+"BYw!$v1"</f>
        <v>#VALUE!</v>
      </c>
      <c r="EW59" t="e">
        <f>'2.4.Функции'!RE138+"BYw!$v2"</f>
        <v>#VALUE!</v>
      </c>
      <c r="EX59" t="e">
        <f>'2.4.Функции'!RF138+"BYw!$v3"</f>
        <v>#VALUE!</v>
      </c>
      <c r="EY59" t="e">
        <f>'2.4.Функции'!RG138+"BYw!$v4"</f>
        <v>#VALUE!</v>
      </c>
      <c r="EZ59" t="e">
        <f>'2.4.Функции'!RH138+"BYw!$v5"</f>
        <v>#VALUE!</v>
      </c>
      <c r="FA59" t="e">
        <f>'2.4.Функции'!RI138+"BYw!$v6"</f>
        <v>#VALUE!</v>
      </c>
      <c r="FB59" t="e">
        <f>'2.4.Функции'!RJ138+"BYw!$v7"</f>
        <v>#VALUE!</v>
      </c>
      <c r="FC59" t="e">
        <f>'2.4.Функции'!RK138+"BYw!$v8"</f>
        <v>#VALUE!</v>
      </c>
      <c r="FD59" t="e">
        <f>'2.4.Функции'!RL138+"BYw!$v9"</f>
        <v>#VALUE!</v>
      </c>
      <c r="FE59" t="e">
        <f>'2.4.Функции'!RM138+"BYw!$v:"</f>
        <v>#VALUE!</v>
      </c>
      <c r="FF59" t="e">
        <f>'2.4.Функции'!RN138+"BYw!$v;"</f>
        <v>#VALUE!</v>
      </c>
      <c r="FG59" t="e">
        <f>'2.4.Функции'!RO138+"BYw!$v&lt;"</f>
        <v>#VALUE!</v>
      </c>
      <c r="FH59" t="e">
        <f>'2.4.Функции'!RP138+"BYw!$v="</f>
        <v>#VALUE!</v>
      </c>
      <c r="FI59" t="e">
        <f>'2.4.Функции'!RQ138+"BYw!$v&gt;"</f>
        <v>#VALUE!</v>
      </c>
      <c r="FJ59" t="e">
        <f>'2.4.Функции'!RR138+"BYw!$v?"</f>
        <v>#VALUE!</v>
      </c>
      <c r="FK59" t="e">
        <f>'2.4.Функции'!RS138+"BYw!$v@"</f>
        <v>#VALUE!</v>
      </c>
      <c r="FL59" t="e">
        <f>'2.4.Функции'!RT138+"BYw!$vA"</f>
        <v>#VALUE!</v>
      </c>
      <c r="FM59" t="e">
        <f>'2.4.Функции'!RU138+"BYw!$vB"</f>
        <v>#VALUE!</v>
      </c>
      <c r="FN59" t="e">
        <f>'2.4.Функции'!RV138+"BYw!$vC"</f>
        <v>#VALUE!</v>
      </c>
      <c r="FO59" t="e">
        <f>'2.4.Функции'!RW138+"BYw!$vD"</f>
        <v>#VALUE!</v>
      </c>
      <c r="FP59" t="e">
        <f>'2.4.Функции'!RX138+"BYw!$vE"</f>
        <v>#VALUE!</v>
      </c>
      <c r="FQ59" t="e">
        <f>'2.4.Функции'!RY138+"BYw!$vF"</f>
        <v>#VALUE!</v>
      </c>
      <c r="FR59" t="e">
        <f>'2.4.Функции'!RZ138+"BYw!$vG"</f>
        <v>#VALUE!</v>
      </c>
      <c r="FS59" t="e">
        <f>'2.4.Функции'!SA138+"BYw!$vH"</f>
        <v>#VALUE!</v>
      </c>
      <c r="FT59" t="e">
        <f>'2.4.Функции'!SB138+"BYw!$vI"</f>
        <v>#VALUE!</v>
      </c>
      <c r="FU59" t="e">
        <f>'2.4.Функции'!SC138+"BYw!$vJ"</f>
        <v>#VALUE!</v>
      </c>
      <c r="FV59" t="e">
        <f>'2.4.Функции'!SD138+"BYw!$vK"</f>
        <v>#VALUE!</v>
      </c>
      <c r="FW59" t="e">
        <f>'2.4.Функции'!SE138+"BYw!$vL"</f>
        <v>#VALUE!</v>
      </c>
      <c r="FX59" t="e">
        <f>'2.4.Функции'!SF138+"BYw!$vM"</f>
        <v>#VALUE!</v>
      </c>
      <c r="FY59" t="e">
        <f>'2.4.Функции'!SG138+"BYw!$vN"</f>
        <v>#VALUE!</v>
      </c>
      <c r="FZ59" t="e">
        <f>'2.4.Функции'!SH138+"BYw!$vO"</f>
        <v>#VALUE!</v>
      </c>
      <c r="GA59" t="e">
        <f>'2.4.Функции'!SI138+"BYw!$vP"</f>
        <v>#VALUE!</v>
      </c>
      <c r="GB59" t="e">
        <f>'2.4.Функции'!SJ138+"BYw!$vQ"</f>
        <v>#VALUE!</v>
      </c>
      <c r="GC59" t="e">
        <f>'2.4.Функции'!SK138+"BYw!$vR"</f>
        <v>#VALUE!</v>
      </c>
      <c r="GD59" t="e">
        <f>'2.4.Функции'!SL138+"BYw!$vS"</f>
        <v>#VALUE!</v>
      </c>
      <c r="GE59" t="e">
        <f>'2.4.Функции'!SM138+"BYw!$vT"</f>
        <v>#VALUE!</v>
      </c>
      <c r="GF59" t="e">
        <f>'2.4.Функции'!SN138+"BYw!$vU"</f>
        <v>#VALUE!</v>
      </c>
      <c r="GG59" t="e">
        <f>'2.4.Функции'!SO138+"BYw!$vV"</f>
        <v>#VALUE!</v>
      </c>
      <c r="GH59" t="e">
        <f>'2.4.Функции'!SP138+"BYw!$vW"</f>
        <v>#VALUE!</v>
      </c>
      <c r="GI59" t="e">
        <f>'2.4.Функции'!SQ138+"BYw!$vX"</f>
        <v>#VALUE!</v>
      </c>
      <c r="GJ59" t="e">
        <f>'2.4.Функции'!SR138+"BYw!$vY"</f>
        <v>#VALUE!</v>
      </c>
      <c r="GK59" t="e">
        <f>'2.4.Функции'!SS138+"BYw!$vZ"</f>
        <v>#VALUE!</v>
      </c>
      <c r="GL59" t="e">
        <f>'2.4.Функции'!ST138+"BYw!$v["</f>
        <v>#VALUE!</v>
      </c>
      <c r="GM59" t="e">
        <f>'2.4.Функции'!SU138+"BYw!$v\"</f>
        <v>#VALUE!</v>
      </c>
      <c r="GN59" t="e">
        <f>'2.4.Функции'!SV138+"BYw!$v]"</f>
        <v>#VALUE!</v>
      </c>
      <c r="GO59" t="e">
        <f>'2.4.Функции'!SW138+"BYw!$v^"</f>
        <v>#VALUE!</v>
      </c>
      <c r="GP59" t="e">
        <f>'2.4.Функции'!SX138+"BYw!$v_"</f>
        <v>#VALUE!</v>
      </c>
      <c r="GQ59" t="e">
        <f>'2.4.Функции'!SY138+"BYw!$v`"</f>
        <v>#VALUE!</v>
      </c>
      <c r="GR59" t="e">
        <f>'2.4.Функции'!SZ138+"BYw!$va"</f>
        <v>#VALUE!</v>
      </c>
      <c r="GS59" t="e">
        <f>'2.4.Функции'!TA138+"BYw!$vb"</f>
        <v>#VALUE!</v>
      </c>
      <c r="GT59" t="e">
        <f>'2.4.Функции'!TB138+"BYw!$vc"</f>
        <v>#VALUE!</v>
      </c>
      <c r="GU59" t="e">
        <f>'2.4.Функции'!TC138+"BYw!$vd"</f>
        <v>#VALUE!</v>
      </c>
      <c r="GV59" t="e">
        <f>'2.4.Функции'!TD138+"BYw!$ve"</f>
        <v>#VALUE!</v>
      </c>
      <c r="GW59" t="e">
        <f>'2.4.Функции'!TE138+"BYw!$vf"</f>
        <v>#VALUE!</v>
      </c>
      <c r="GX59" t="e">
        <f>'2.4.Функции'!TF138+"BYw!$vg"</f>
        <v>#VALUE!</v>
      </c>
      <c r="GY59" t="e">
        <f>'2.4.Функции'!TG138+"BYw!$vh"</f>
        <v>#VALUE!</v>
      </c>
      <c r="GZ59" t="e">
        <f>'2.4.Функции'!TH138+"BYw!$vi"</f>
        <v>#VALUE!</v>
      </c>
      <c r="HA59" t="e">
        <f>'2.4.Функции'!TI138+"BYw!$vj"</f>
        <v>#VALUE!</v>
      </c>
      <c r="HB59" t="e">
        <f>'2.4.Функции'!TJ138+"BYw!$vk"</f>
        <v>#VALUE!</v>
      </c>
      <c r="HC59" t="e">
        <f>'2.4.Функции'!TK138+"BYw!$vl"</f>
        <v>#VALUE!</v>
      </c>
      <c r="HD59" t="e">
        <f>'2.4.Функции'!TL138+"BYw!$vm"</f>
        <v>#VALUE!</v>
      </c>
      <c r="HE59" t="e">
        <f>'2.4.Функции'!TM138+"BYw!$vn"</f>
        <v>#VALUE!</v>
      </c>
      <c r="HF59" t="e">
        <f>'2.4.Функции'!TN138+"BYw!$vo"</f>
        <v>#VALUE!</v>
      </c>
      <c r="HG59" t="e">
        <f>'2.4.Функции'!TO138+"BYw!$vp"</f>
        <v>#VALUE!</v>
      </c>
      <c r="HH59" t="e">
        <f>'2.4.Функции'!TP138+"BYw!$vq"</f>
        <v>#VALUE!</v>
      </c>
      <c r="HI59" t="e">
        <f>'2.4.Функции'!TQ138+"BYw!$vr"</f>
        <v>#VALUE!</v>
      </c>
      <c r="HJ59" t="e">
        <f>'2.4.Функции'!TR138+"BYw!$vs"</f>
        <v>#VALUE!</v>
      </c>
      <c r="HK59" t="e">
        <f>'2.4.Функции'!TS138+"BYw!$vt"</f>
        <v>#VALUE!</v>
      </c>
      <c r="HL59" t="e">
        <f>'2.4.Функции'!TT138+"BYw!$vu"</f>
        <v>#VALUE!</v>
      </c>
      <c r="HM59" t="e">
        <f>'2.4.Функции'!TU138+"BYw!$vv"</f>
        <v>#VALUE!</v>
      </c>
      <c r="HN59" t="e">
        <f>'2.4.Функции'!TV138+"BYw!$vw"</f>
        <v>#VALUE!</v>
      </c>
      <c r="HO59" t="e">
        <f>'2.4.Функции'!TW138+"BYw!$vx"</f>
        <v>#VALUE!</v>
      </c>
      <c r="HP59" t="e">
        <f>'2.4.Функции'!TX138+"BYw!$vy"</f>
        <v>#VALUE!</v>
      </c>
      <c r="HQ59" t="e">
        <f>'2.4.Функции'!TY138+"BYw!$vz"</f>
        <v>#VALUE!</v>
      </c>
      <c r="HR59" t="e">
        <f>'2.4.Функции'!TZ138+"BYw!$v{"</f>
        <v>#VALUE!</v>
      </c>
      <c r="HS59" t="e">
        <f>'2.4.Функции'!UA138+"BYw!$v|"</f>
        <v>#VALUE!</v>
      </c>
      <c r="HT59" t="e">
        <f>'2.4.Функции'!UB138+"BYw!$v}"</f>
        <v>#VALUE!</v>
      </c>
      <c r="HU59" t="e">
        <f>'2.4.Функции'!UC138+"BYw!$v~"</f>
        <v>#VALUE!</v>
      </c>
      <c r="HV59" t="e">
        <f>'2.4.Функции'!UD138+"BYw!$w#"</f>
        <v>#VALUE!</v>
      </c>
      <c r="HW59" t="e">
        <f>'2.4.Функции'!UE138+"BYw!$w$"</f>
        <v>#VALUE!</v>
      </c>
      <c r="HX59" t="e">
        <f>'2.4.Функции'!UF138+"BYw!$w%"</f>
        <v>#VALUE!</v>
      </c>
      <c r="HY59" t="e">
        <f>'2.4.Функции'!UG138+"BYw!$w&amp;"</f>
        <v>#VALUE!</v>
      </c>
      <c r="HZ59" t="e">
        <f>'2.4.Функции'!UH138+"BYw!$w'"</f>
        <v>#VALUE!</v>
      </c>
      <c r="IA59" t="e">
        <f>'2.4.Функции'!UI138+"BYw!$w("</f>
        <v>#VALUE!</v>
      </c>
      <c r="IB59" t="e">
        <f>'2.4.Функции'!UJ138+"BYw!$w)"</f>
        <v>#VALUE!</v>
      </c>
      <c r="IC59" t="e">
        <f>'2.4.Функции'!UK138+"BYw!$w."</f>
        <v>#VALUE!</v>
      </c>
      <c r="ID59" t="e">
        <f>'2.4.Функции'!UL138+"BYw!$w/"</f>
        <v>#VALUE!</v>
      </c>
      <c r="IE59" t="e">
        <f>'2.4.Функции'!UM138+"BYw!$w0"</f>
        <v>#VALUE!</v>
      </c>
      <c r="IF59" t="e">
        <f>'2.4.Функции'!UN138+"BYw!$w1"</f>
        <v>#VALUE!</v>
      </c>
      <c r="IG59" t="e">
        <f>'2.4.Функции'!UO138+"BYw!$w2"</f>
        <v>#VALUE!</v>
      </c>
      <c r="IH59" t="e">
        <f>'2.4.Функции'!UP138+"BYw!$w3"</f>
        <v>#VALUE!</v>
      </c>
      <c r="II59" t="e">
        <f>'2.4.Функции'!UQ138+"BYw!$w4"</f>
        <v>#VALUE!</v>
      </c>
      <c r="IJ59" t="e">
        <f>'2.4.Функции'!UR138+"BYw!$w5"</f>
        <v>#VALUE!</v>
      </c>
      <c r="IK59" t="e">
        <f>'2.4.Функции'!US138+"BYw!$w6"</f>
        <v>#VALUE!</v>
      </c>
      <c r="IL59" t="e">
        <f>'2.4.Функции'!UT138+"BYw!$w7"</f>
        <v>#VALUE!</v>
      </c>
      <c r="IM59" t="e">
        <f>'2.4.Функции'!UU138+"BYw!$w8"</f>
        <v>#VALUE!</v>
      </c>
      <c r="IN59" t="e">
        <f>'2.4.Функции'!UV138+"BYw!$w9"</f>
        <v>#VALUE!</v>
      </c>
      <c r="IO59" t="e">
        <f>'2.4.Функции'!UW138+"BYw!$w:"</f>
        <v>#VALUE!</v>
      </c>
      <c r="IP59" t="e">
        <f>'2.4.Функции'!UX138+"BYw!$w;"</f>
        <v>#VALUE!</v>
      </c>
      <c r="IQ59" t="e">
        <f>'2.4.Функции'!UY138+"BYw!$w&lt;"</f>
        <v>#VALUE!</v>
      </c>
      <c r="IR59" t="e">
        <f>'2.4.Функции'!UZ138+"BYw!$w="</f>
        <v>#VALUE!</v>
      </c>
      <c r="IS59" t="e">
        <f>'2.4.Функции'!VA138+"BYw!$w&gt;"</f>
        <v>#VALUE!</v>
      </c>
      <c r="IT59" t="e">
        <f>'2.4.Функции'!VB138+"BYw!$w?"</f>
        <v>#VALUE!</v>
      </c>
      <c r="IU59" t="e">
        <f>'2.4.Функции'!VC138+"BYw!$w@"</f>
        <v>#VALUE!</v>
      </c>
      <c r="IV59" t="e">
        <f>'2.4.Функции'!VD138+"BYw!$wA"</f>
        <v>#VALUE!</v>
      </c>
    </row>
    <row r="60" spans="6:256" x14ac:dyDescent="0.2">
      <c r="F60" t="e">
        <f>'2.4.Функции'!VE138+"BYw!$wB"</f>
        <v>#VALUE!</v>
      </c>
      <c r="G60" t="e">
        <f>'2.4.Функции'!VF138+"BYw!$wC"</f>
        <v>#VALUE!</v>
      </c>
      <c r="H60" t="e">
        <f>'2.4.Функции'!VG138+"BYw!$wD"</f>
        <v>#VALUE!</v>
      </c>
      <c r="I60" t="e">
        <f>'2.4.Функции'!VH138+"BYw!$wE"</f>
        <v>#VALUE!</v>
      </c>
      <c r="J60" t="e">
        <f>'2.4.Функции'!VI138+"BYw!$wF"</f>
        <v>#VALUE!</v>
      </c>
      <c r="K60" t="e">
        <f>'2.4.Функции'!VJ138+"BYw!$wG"</f>
        <v>#VALUE!</v>
      </c>
      <c r="L60" t="e">
        <f>'2.4.Функции'!VK138+"BYw!$wH"</f>
        <v>#VALUE!</v>
      </c>
      <c r="M60" t="e">
        <f>'2.4.Функции'!VL138+"BYw!$wI"</f>
        <v>#VALUE!</v>
      </c>
      <c r="N60" t="e">
        <f>'2.4.Функции'!VM138+"BYw!$wJ"</f>
        <v>#VALUE!</v>
      </c>
      <c r="O60" t="e">
        <f>'2.4.Функции'!VN138+"BYw!$wK"</f>
        <v>#VALUE!</v>
      </c>
      <c r="P60" t="e">
        <f>'2.4.Функции'!VO138+"BYw!$wL"</f>
        <v>#VALUE!</v>
      </c>
      <c r="Q60" t="e">
        <f>'2.4.Функции'!VP138+"BYw!$wM"</f>
        <v>#VALUE!</v>
      </c>
      <c r="R60" t="e">
        <f>'2.4.Функции'!VQ138+"BYw!$wN"</f>
        <v>#VALUE!</v>
      </c>
      <c r="S60" t="e">
        <f>'2.4.Функции'!VR138+"BYw!$wO"</f>
        <v>#VALUE!</v>
      </c>
      <c r="T60" t="e">
        <f>'2.4.Функции'!VS138+"BYw!$wP"</f>
        <v>#VALUE!</v>
      </c>
      <c r="U60" t="e">
        <f>'2.4.Функции'!VT138+"BYw!$wQ"</f>
        <v>#VALUE!</v>
      </c>
      <c r="V60" t="e">
        <f>'2.4.Функции'!VU138+"BYw!$wR"</f>
        <v>#VALUE!</v>
      </c>
      <c r="W60" t="e">
        <f>'2.4.Функции'!VV138+"BYw!$wS"</f>
        <v>#VALUE!</v>
      </c>
      <c r="X60" t="e">
        <f>'2.4.Функции'!VW138+"BYw!$wT"</f>
        <v>#VALUE!</v>
      </c>
      <c r="Y60" t="e">
        <f>'2.4.Функции'!VX138+"BYw!$wU"</f>
        <v>#VALUE!</v>
      </c>
      <c r="Z60" t="e">
        <f>'2.4.Функции'!VY138+"BYw!$wV"</f>
        <v>#VALUE!</v>
      </c>
      <c r="AA60" t="e">
        <f>'2.4.Функции'!VZ138+"BYw!$wW"</f>
        <v>#VALUE!</v>
      </c>
      <c r="AB60" t="e">
        <f>'2.4.Функции'!WA138+"BYw!$wX"</f>
        <v>#VALUE!</v>
      </c>
      <c r="AC60" t="e">
        <f>'2.4.Функции'!WB138+"BYw!$wY"</f>
        <v>#VALUE!</v>
      </c>
      <c r="AD60" t="e">
        <f>'2.4.Функции'!WC138+"BYw!$wZ"</f>
        <v>#VALUE!</v>
      </c>
      <c r="AE60" t="e">
        <f>'2.4.Функции'!WD138+"BYw!$w["</f>
        <v>#VALUE!</v>
      </c>
      <c r="AF60" t="e">
        <f>'2.4.Функции'!WE138+"BYw!$w\"</f>
        <v>#VALUE!</v>
      </c>
      <c r="AG60" t="e">
        <f>'2.4.Функции'!WF138+"BYw!$w]"</f>
        <v>#VALUE!</v>
      </c>
      <c r="AH60" t="e">
        <f>'2.4.Функции'!WG138+"BYw!$w^"</f>
        <v>#VALUE!</v>
      </c>
      <c r="AI60" t="e">
        <f>'2.4.Функции'!WH138+"BYw!$w_"</f>
        <v>#VALUE!</v>
      </c>
      <c r="AJ60" t="e">
        <f>'2.4.Функции'!WI138+"BYw!$w`"</f>
        <v>#VALUE!</v>
      </c>
      <c r="AK60" t="e">
        <f>'2.4.Функции'!WJ138+"BYw!$wa"</f>
        <v>#VALUE!</v>
      </c>
      <c r="AL60" t="e">
        <f>'2.4.Функции'!WK138+"BYw!$wb"</f>
        <v>#VALUE!</v>
      </c>
      <c r="AM60" t="e">
        <f>'2.4.Функции'!WL138+"BYw!$wc"</f>
        <v>#VALUE!</v>
      </c>
      <c r="AN60" t="e">
        <f>'2.4.Функции'!WM138+"BYw!$wd"</f>
        <v>#VALUE!</v>
      </c>
      <c r="AO60" t="e">
        <f>'2.4.Функции'!WN138+"BYw!$we"</f>
        <v>#VALUE!</v>
      </c>
      <c r="AP60" t="e">
        <f>'2.4.Функции'!WO138+"BYw!$wf"</f>
        <v>#VALUE!</v>
      </c>
      <c r="AQ60" t="e">
        <f>'2.4.Функции'!WP138+"BYw!$wg"</f>
        <v>#VALUE!</v>
      </c>
      <c r="AR60" t="e">
        <f>'2.4.Функции'!WQ138+"BYw!$wh"</f>
        <v>#VALUE!</v>
      </c>
      <c r="AS60" t="e">
        <f>'2.4.Функции'!WR138+"BYw!$wi"</f>
        <v>#VALUE!</v>
      </c>
      <c r="AT60" t="e">
        <f>'2.4.Функции'!WS138+"BYw!$wj"</f>
        <v>#VALUE!</v>
      </c>
      <c r="AU60" t="e">
        <f>'2.4.Функции'!WT138+"BYw!$wk"</f>
        <v>#VALUE!</v>
      </c>
      <c r="AV60" t="e">
        <f>'2.4.Функции'!WU138+"BYw!$wl"</f>
        <v>#VALUE!</v>
      </c>
      <c r="AW60" t="e">
        <f>'2.4.Функции'!WV138+"BYw!$wm"</f>
        <v>#VALUE!</v>
      </c>
      <c r="AX60" t="e">
        <f>'2.4.Функции'!WW138+"BYw!$wn"</f>
        <v>#VALUE!</v>
      </c>
      <c r="AY60" t="e">
        <f>'2.4.Функции'!WX138+"BYw!$wo"</f>
        <v>#VALUE!</v>
      </c>
      <c r="AZ60" t="e">
        <f>'2.4.Функции'!WY138+"BYw!$wp"</f>
        <v>#VALUE!</v>
      </c>
      <c r="BA60" t="e">
        <f>'2.4.Функции'!WZ138+"BYw!$wq"</f>
        <v>#VALUE!</v>
      </c>
      <c r="BB60" t="e">
        <f>'2.4.Функции'!XA138+"BYw!$wr"</f>
        <v>#VALUE!</v>
      </c>
      <c r="BC60" t="e">
        <f>'2.4.Функции'!XB138+"BYw!$ws"</f>
        <v>#VALUE!</v>
      </c>
      <c r="BD60" t="e">
        <f>'2.4.Функции'!XC138+"BYw!$wt"</f>
        <v>#VALUE!</v>
      </c>
      <c r="BE60" t="e">
        <f>'2.4.Функции'!XD138+"BYw!$wu"</f>
        <v>#VALUE!</v>
      </c>
      <c r="BF60" t="e">
        <f>'2.4.Функции'!XE138+"BYw!$wv"</f>
        <v>#VALUE!</v>
      </c>
      <c r="BG60" t="e">
        <f>'2.4.Функции'!XF138+"BYw!$ww"</f>
        <v>#VALUE!</v>
      </c>
      <c r="BH60" t="e">
        <f>'2.4.Функции'!XG138+"BYw!$wx"</f>
        <v>#VALUE!</v>
      </c>
      <c r="BI60" t="e">
        <f>'2.4.Функции'!XH138+"BYw!$wy"</f>
        <v>#VALUE!</v>
      </c>
      <c r="BJ60" t="e">
        <f>'2.4.Функции'!XI138+"BYw!$wz"</f>
        <v>#VALUE!</v>
      </c>
      <c r="BK60" t="e">
        <f>'2.4.Функции'!XJ138+"BYw!$w{"</f>
        <v>#VALUE!</v>
      </c>
      <c r="BL60" t="e">
        <f>'2.4.Функции'!XK138+"BYw!$w|"</f>
        <v>#VALUE!</v>
      </c>
      <c r="BM60" t="e">
        <f>'2.4.Функции'!XL138+"BYw!$w}"</f>
        <v>#VALUE!</v>
      </c>
      <c r="BN60" t="e">
        <f>'2.4.Функции'!XM138+"BYw!$w~"</f>
        <v>#VALUE!</v>
      </c>
      <c r="BO60" t="e">
        <f>'2.4.Функции'!XN138+"BYw!$x#"</f>
        <v>#VALUE!</v>
      </c>
      <c r="BP60" t="e">
        <f>'2.4.Функции'!XO138+"BYw!$x$"</f>
        <v>#VALUE!</v>
      </c>
      <c r="BQ60" t="e">
        <f>'2.4.Функции'!XP138+"BYw!$x%"</f>
        <v>#VALUE!</v>
      </c>
      <c r="BR60" t="e">
        <f>'2.4.Функции'!XQ138+"BYw!$x&amp;"</f>
        <v>#VALUE!</v>
      </c>
      <c r="BS60" t="e">
        <f>'2.4.Функции'!XR138+"BYw!$x'"</f>
        <v>#VALUE!</v>
      </c>
      <c r="BT60" t="e">
        <f>'2.4.Функции'!XS138+"BYw!$x("</f>
        <v>#VALUE!</v>
      </c>
      <c r="BU60" t="e">
        <f>'2.4.Функции'!XT138+"BYw!$x)"</f>
        <v>#VALUE!</v>
      </c>
      <c r="BV60" t="e">
        <f>'2.4.Функции'!XU138+"BYw!$x."</f>
        <v>#VALUE!</v>
      </c>
      <c r="BW60" t="e">
        <f>'2.4.Функции'!XV138+"BYw!$x/"</f>
        <v>#VALUE!</v>
      </c>
      <c r="BX60" t="e">
        <f>'2.4.Функции'!XW138+"BYw!$x0"</f>
        <v>#VALUE!</v>
      </c>
      <c r="BY60" t="e">
        <f>'2.4.Функции'!XX138+"BYw!$x1"</f>
        <v>#VALUE!</v>
      </c>
      <c r="BZ60" t="e">
        <f>'2.4.Функции'!XY138+"BYw!$x2"</f>
        <v>#VALUE!</v>
      </c>
      <c r="CA60" t="e">
        <f>'2.4.Функции'!XZ138+"BYw!$x3"</f>
        <v>#VALUE!</v>
      </c>
      <c r="CB60" t="e">
        <f>'2.4.Функции'!YA138+"BYw!$x4"</f>
        <v>#VALUE!</v>
      </c>
      <c r="CC60" t="e">
        <f>'2.4.Функции'!YB138+"BYw!$x5"</f>
        <v>#VALUE!</v>
      </c>
      <c r="CD60" t="e">
        <f>'2.4.Функции'!YC138+"BYw!$x6"</f>
        <v>#VALUE!</v>
      </c>
      <c r="CE60" t="e">
        <f>'2.4.Функции'!YD138+"BYw!$x7"</f>
        <v>#VALUE!</v>
      </c>
      <c r="CF60" t="e">
        <f>'2.4.Функции'!YE138+"BYw!$x8"</f>
        <v>#VALUE!</v>
      </c>
      <c r="CG60" t="e">
        <f>'2.4.Функции'!YF138+"BYw!$x9"</f>
        <v>#VALUE!</v>
      </c>
      <c r="CH60" t="e">
        <f>'2.4.Функции'!YG138+"BYw!$x:"</f>
        <v>#VALUE!</v>
      </c>
      <c r="CI60" t="e">
        <f>'2.4.Функции'!YH138+"BYw!$x;"</f>
        <v>#VALUE!</v>
      </c>
      <c r="CJ60" t="e">
        <f>'2.4.Функции'!YI138+"BYw!$x&lt;"</f>
        <v>#VALUE!</v>
      </c>
      <c r="CK60" t="e">
        <f>'2.4.Функции'!YJ138+"BYw!$x="</f>
        <v>#VALUE!</v>
      </c>
      <c r="CL60" t="e">
        <f>'2.4.Функции'!YK138+"BYw!$x&gt;"</f>
        <v>#VALUE!</v>
      </c>
      <c r="CM60" t="e">
        <f>'2.4.Функции'!YL138+"BYw!$x?"</f>
        <v>#VALUE!</v>
      </c>
      <c r="CN60" t="e">
        <f>'2.4.Функции'!YM138+"BYw!$x@"</f>
        <v>#VALUE!</v>
      </c>
      <c r="CO60" t="e">
        <f>'2.4.Функции'!YN138+"BYw!$xA"</f>
        <v>#VALUE!</v>
      </c>
      <c r="CP60" t="e">
        <f>'2.4.Функции'!YO138+"BYw!$xB"</f>
        <v>#VALUE!</v>
      </c>
      <c r="CQ60" t="e">
        <f>'2.4.Функции'!YP138+"BYw!$xC"</f>
        <v>#VALUE!</v>
      </c>
      <c r="CR60" t="e">
        <f>'2.4.Функции'!YQ138+"BYw!$xD"</f>
        <v>#VALUE!</v>
      </c>
      <c r="CS60" t="e">
        <f>'2.4.Функции'!YR138+"BYw!$xE"</f>
        <v>#VALUE!</v>
      </c>
      <c r="CT60" t="e">
        <f>'2.4.Функции'!YS138+"BYw!$xF"</f>
        <v>#VALUE!</v>
      </c>
      <c r="CU60" t="e">
        <f>'2.4.Функции'!YT138+"BYw!$xG"</f>
        <v>#VALUE!</v>
      </c>
      <c r="CV60" t="e">
        <f>'2.4.Функции'!YU138+"BYw!$xH"</f>
        <v>#VALUE!</v>
      </c>
      <c r="CW60" t="e">
        <f>'2.4.Функции'!YV138+"BYw!$xI"</f>
        <v>#VALUE!</v>
      </c>
      <c r="CX60" t="e">
        <f>'2.4.Функции'!YW138+"BYw!$xJ"</f>
        <v>#VALUE!</v>
      </c>
      <c r="CY60" t="e">
        <f>'2.4.Функции'!YX138+"BYw!$xK"</f>
        <v>#VALUE!</v>
      </c>
      <c r="CZ60" t="e">
        <f>'2.4.Функции'!YY138+"BYw!$xL"</f>
        <v>#VALUE!</v>
      </c>
      <c r="DA60" t="e">
        <f>'2.4.Функции'!YZ138+"BYw!$xM"</f>
        <v>#VALUE!</v>
      </c>
      <c r="DB60" t="e">
        <f>'2.4.Функции'!ZA138+"BYw!$xN"</f>
        <v>#VALUE!</v>
      </c>
      <c r="DC60" t="e">
        <f>'2.4.Функции'!ZB138+"BYw!$xO"</f>
        <v>#VALUE!</v>
      </c>
      <c r="DD60" t="e">
        <f>'2.4.Функции'!ZC138+"BYw!$xP"</f>
        <v>#VALUE!</v>
      </c>
      <c r="DE60" t="e">
        <f>'2.4.Функции'!ZD138+"BYw!$xQ"</f>
        <v>#VALUE!</v>
      </c>
      <c r="DF60" t="e">
        <f>'2.4.Функции'!ZE138+"BYw!$xR"</f>
        <v>#VALUE!</v>
      </c>
      <c r="DG60" t="e">
        <f>'2.4.Функции'!ZF138+"BYw!$xS"</f>
        <v>#VALUE!</v>
      </c>
      <c r="DH60" t="e">
        <f>'2.4.Функции'!ZG138+"BYw!$xT"</f>
        <v>#VALUE!</v>
      </c>
      <c r="DI60" t="e">
        <f>'2.4.Функции'!ZH138+"BYw!$xU"</f>
        <v>#VALUE!</v>
      </c>
      <c r="DJ60" t="e">
        <f>'2.4.Функции'!ZI138+"BYw!$xV"</f>
        <v>#VALUE!</v>
      </c>
      <c r="DK60" t="e">
        <f>'2.4.Функции'!ZJ138+"BYw!$xW"</f>
        <v>#VALUE!</v>
      </c>
      <c r="DL60" t="e">
        <f>'2.4.Функции'!ZK138+"BYw!$xX"</f>
        <v>#VALUE!</v>
      </c>
      <c r="DM60" t="e">
        <f>'2.4.Функции'!ZL138+"BYw!$xY"</f>
        <v>#VALUE!</v>
      </c>
      <c r="DN60" t="e">
        <f>'2.4.Функции'!ZM138+"BYw!$xZ"</f>
        <v>#VALUE!</v>
      </c>
      <c r="DO60" t="e">
        <f>'2.4.Функции'!ZN138+"BYw!$x["</f>
        <v>#VALUE!</v>
      </c>
      <c r="DP60" t="e">
        <f>'2.4.Функции'!ZO138+"BYw!$x\"</f>
        <v>#VALUE!</v>
      </c>
      <c r="DQ60" t="e">
        <f>'2.4.Функции'!ZP138+"BYw!$x]"</f>
        <v>#VALUE!</v>
      </c>
      <c r="DR60" t="e">
        <f>'2.4.Функции'!ZQ138+"BYw!$x^"</f>
        <v>#VALUE!</v>
      </c>
      <c r="DS60" t="e">
        <f>'2.4.Функции'!ZR138+"BYw!$x_"</f>
        <v>#VALUE!</v>
      </c>
      <c r="DT60" t="e">
        <f>'2.4.Функции'!ZS138+"BYw!$x`"</f>
        <v>#VALUE!</v>
      </c>
      <c r="DU60" t="e">
        <f>'2.4.Функции'!ZT138+"BYw!$xa"</f>
        <v>#VALUE!</v>
      </c>
      <c r="DV60" t="e">
        <f>'2.4.Функции'!ZU138+"BYw!$xb"</f>
        <v>#VALUE!</v>
      </c>
      <c r="DW60" t="e">
        <f>'2.4.Функции'!ZV138+"BYw!$xc"</f>
        <v>#VALUE!</v>
      </c>
      <c r="DX60" t="e">
        <f>'2.4.Функции'!ZW138+"BYw!$xd"</f>
        <v>#VALUE!</v>
      </c>
      <c r="DY60" t="e">
        <f>'2.4.Функции'!ZX138+"BYw!$xe"</f>
        <v>#VALUE!</v>
      </c>
      <c r="DZ60" t="e">
        <f>'2.4.Функции'!ZY138+"BYw!$xf"</f>
        <v>#VALUE!</v>
      </c>
      <c r="EA60" t="e">
        <f>'2.4.Функции'!ZZ138+"BYw!$xg"</f>
        <v>#VALUE!</v>
      </c>
      <c r="EB60" t="e">
        <f>'2.4.Функции'!AAA138+"BYw!$xh"</f>
        <v>#VALUE!</v>
      </c>
      <c r="EC60" t="e">
        <f>'2.4.Функции'!AAB138+"BYw!$xi"</f>
        <v>#VALUE!</v>
      </c>
      <c r="ED60" t="e">
        <f>'2.4.Функции'!AAC138+"BYw!$xj"</f>
        <v>#VALUE!</v>
      </c>
      <c r="EE60" t="e">
        <f>'2.4.Функции'!AAD138+"BYw!$xk"</f>
        <v>#VALUE!</v>
      </c>
      <c r="EF60" t="e">
        <f>'2.4.Функции'!AAE138+"BYw!$xl"</f>
        <v>#VALUE!</v>
      </c>
      <c r="EG60" t="e">
        <f>'2.4.Функции'!AAF138+"BYw!$xm"</f>
        <v>#VALUE!</v>
      </c>
      <c r="EH60" t="e">
        <f>'2.4.Функции'!AAG138+"BYw!$xn"</f>
        <v>#VALUE!</v>
      </c>
      <c r="EI60" t="e">
        <f>'2.4.Функции'!AAH138+"BYw!$xo"</f>
        <v>#VALUE!</v>
      </c>
      <c r="EJ60" t="e">
        <f>'2.4.Функции'!AAI138+"BYw!$xp"</f>
        <v>#VALUE!</v>
      </c>
      <c r="EK60" t="e">
        <f>'2.4.Функции'!AAJ138+"BYw!$xq"</f>
        <v>#VALUE!</v>
      </c>
      <c r="EL60" t="e">
        <f>'2.4.Функции'!AAK138+"BYw!$xr"</f>
        <v>#VALUE!</v>
      </c>
      <c r="EM60" t="e">
        <f>'2.4.Функции'!AAL138+"BYw!$xs"</f>
        <v>#VALUE!</v>
      </c>
      <c r="EN60" t="e">
        <f>'2.4.Функции'!AAM138+"BYw!$xt"</f>
        <v>#VALUE!</v>
      </c>
      <c r="EO60" t="e">
        <f>'2.4.Функции'!AAN138+"BYw!$xu"</f>
        <v>#VALUE!</v>
      </c>
      <c r="EP60" t="e">
        <f>'2.4.Функции'!AAO138+"BYw!$xv"</f>
        <v>#VALUE!</v>
      </c>
      <c r="EQ60" t="e">
        <f>'2.4.Функции'!AAP138+"BYw!$xw"</f>
        <v>#VALUE!</v>
      </c>
      <c r="ER60" t="e">
        <f>'2.4.Функции'!AAQ138+"BYw!$xx"</f>
        <v>#VALUE!</v>
      </c>
      <c r="ES60" t="e">
        <f>'2.4.Функции'!AAR138+"BYw!$xy"</f>
        <v>#VALUE!</v>
      </c>
      <c r="ET60" t="e">
        <f>'2.4.Функции'!AAS138+"BYw!$xz"</f>
        <v>#VALUE!</v>
      </c>
      <c r="EU60" t="e">
        <f>'2.4.Функции'!AAT138+"BYw!$x{"</f>
        <v>#VALUE!</v>
      </c>
      <c r="EV60" t="e">
        <f>'2.4.Функции'!AAU138+"BYw!$x|"</f>
        <v>#VALUE!</v>
      </c>
      <c r="EW60" t="e">
        <f>'2.4.Функции'!AAV138+"BYw!$x}"</f>
        <v>#VALUE!</v>
      </c>
      <c r="EX60" t="e">
        <f>'2.4.Функции'!AAW138+"BYw!$x~"</f>
        <v>#VALUE!</v>
      </c>
      <c r="EY60" t="e">
        <f>'2.4.Функции'!AAX138+"BYw!$y#"</f>
        <v>#VALUE!</v>
      </c>
      <c r="EZ60" t="e">
        <f>'2.4.Функции'!AAY138+"BYw!$y$"</f>
        <v>#VALUE!</v>
      </c>
      <c r="FA60" t="e">
        <f>'2.4.Функции'!AAZ138+"BYw!$y%"</f>
        <v>#VALUE!</v>
      </c>
      <c r="FB60" t="e">
        <f>'2.4.Функции'!ABA138+"BYw!$y&amp;"</f>
        <v>#VALUE!</v>
      </c>
      <c r="FC60" t="e">
        <f>'2.4.Функции'!ABB138+"BYw!$y'"</f>
        <v>#VALUE!</v>
      </c>
      <c r="FD60" t="e">
        <f>'2.4.Функции'!ABC138+"BYw!$y("</f>
        <v>#VALUE!</v>
      </c>
      <c r="FE60" t="e">
        <f>'2.4.Функции'!ABD138+"BYw!$y)"</f>
        <v>#VALUE!</v>
      </c>
      <c r="FF60" t="e">
        <f>'2.4.Функции'!ABE138+"BYw!$y."</f>
        <v>#VALUE!</v>
      </c>
      <c r="FG60" t="e">
        <f>'2.4.Функции'!ABF138+"BYw!$y/"</f>
        <v>#VALUE!</v>
      </c>
      <c r="FH60" t="e">
        <f>'2.4.Функции'!ABG138+"BYw!$y0"</f>
        <v>#VALUE!</v>
      </c>
      <c r="FI60" t="e">
        <f>'2.4.Функции'!ABH138+"BYw!$y1"</f>
        <v>#VALUE!</v>
      </c>
      <c r="FJ60" t="e">
        <f>'2.4.Функции'!ABI138+"BYw!$y2"</f>
        <v>#VALUE!</v>
      </c>
      <c r="FK60" t="e">
        <f>'2.4.Функции'!ABJ138+"BYw!$y3"</f>
        <v>#VALUE!</v>
      </c>
      <c r="FL60" t="e">
        <f>'2.4.Функции'!ABK138+"BYw!$y4"</f>
        <v>#VALUE!</v>
      </c>
      <c r="FM60" t="e">
        <f>'2.4.Функции'!ABL138+"BYw!$y5"</f>
        <v>#VALUE!</v>
      </c>
      <c r="FN60" t="e">
        <f>'2.4.Функции'!ABM138+"BYw!$y6"</f>
        <v>#VALUE!</v>
      </c>
      <c r="FO60" t="e">
        <f>'2.4.Функции'!ABN138+"BYw!$y7"</f>
        <v>#VALUE!</v>
      </c>
      <c r="FP60" t="e">
        <f>'2.4.Функции'!ABO138+"BYw!$y8"</f>
        <v>#VALUE!</v>
      </c>
      <c r="FQ60" t="e">
        <f>'2.4.Функции'!ABP138+"BYw!$y9"</f>
        <v>#VALUE!</v>
      </c>
      <c r="FR60" t="e">
        <f>'2.4.Функции'!ABQ138+"BYw!$y:"</f>
        <v>#VALUE!</v>
      </c>
      <c r="FS60" t="e">
        <f>'2.4.Функции'!ABR138+"BYw!$y;"</f>
        <v>#VALUE!</v>
      </c>
      <c r="FT60" t="e">
        <f>'2.4.Функции'!ABS138+"BYw!$y&lt;"</f>
        <v>#VALUE!</v>
      </c>
      <c r="FU60" t="e">
        <f>'2.4.Функции'!ABT138+"BYw!$y="</f>
        <v>#VALUE!</v>
      </c>
      <c r="FV60" t="e">
        <f>'2.4.Функции'!ABU138+"BYw!$y&gt;"</f>
        <v>#VALUE!</v>
      </c>
      <c r="FW60" t="e">
        <f>'2.4.Функции'!ABV138+"BYw!$y?"</f>
        <v>#VALUE!</v>
      </c>
      <c r="FX60" t="e">
        <f>'2.4.Функции'!ABW138+"BYw!$y@"</f>
        <v>#VALUE!</v>
      </c>
      <c r="FY60" t="e">
        <f>'2.4.Функции'!ABX138+"BYw!$yA"</f>
        <v>#VALUE!</v>
      </c>
      <c r="FZ60" t="e">
        <f>'2.4.Функции'!ABY138+"BYw!$yB"</f>
        <v>#VALUE!</v>
      </c>
      <c r="GA60" t="e">
        <f>'2.4.Функции'!ABZ138+"BYw!$yC"</f>
        <v>#VALUE!</v>
      </c>
      <c r="GB60" t="e">
        <f>'2.4.Функции'!ACA138+"BYw!$yD"</f>
        <v>#VALUE!</v>
      </c>
      <c r="GC60" t="e">
        <f>'2.4.Функции'!ACB138+"BYw!$yE"</f>
        <v>#VALUE!</v>
      </c>
      <c r="GD60" t="e">
        <f>'2.4.Функции'!ACC138+"BYw!$yF"</f>
        <v>#VALUE!</v>
      </c>
      <c r="GE60" t="e">
        <f>'2.4.Функции'!ACD138+"BYw!$yG"</f>
        <v>#VALUE!</v>
      </c>
      <c r="GF60" t="e">
        <f>'2.4.Функции'!ACE138+"BYw!$yH"</f>
        <v>#VALUE!</v>
      </c>
      <c r="GG60" t="e">
        <f>'2.4.Функции'!ACF138+"BYw!$yI"</f>
        <v>#VALUE!</v>
      </c>
      <c r="GH60" t="e">
        <f>'2.4.Функции'!ACG138+"BYw!$yJ"</f>
        <v>#VALUE!</v>
      </c>
      <c r="GI60" t="e">
        <f>'2.4.Функции'!ACH138+"BYw!$yK"</f>
        <v>#VALUE!</v>
      </c>
      <c r="GJ60" t="e">
        <f>'2.4.Функции'!ACI138+"BYw!$yL"</f>
        <v>#VALUE!</v>
      </c>
      <c r="GK60" t="e">
        <f>'2.4.Функции'!ACJ138+"BYw!$yM"</f>
        <v>#VALUE!</v>
      </c>
      <c r="GL60" t="e">
        <f>'2.4.Функции'!ACK138+"BYw!$yN"</f>
        <v>#VALUE!</v>
      </c>
      <c r="GM60" t="e">
        <f>'2.4.Функции'!ACL138+"BYw!$yO"</f>
        <v>#VALUE!</v>
      </c>
      <c r="GN60" t="e">
        <f>'2.4.Функции'!ACM138+"BYw!$yP"</f>
        <v>#VALUE!</v>
      </c>
      <c r="GO60" t="e">
        <f>'2.4.Функции'!ACN138+"BYw!$yQ"</f>
        <v>#VALUE!</v>
      </c>
      <c r="GP60" t="e">
        <f>'2.4.Функции'!ACO138+"BYw!$yR"</f>
        <v>#VALUE!</v>
      </c>
      <c r="GQ60" t="e">
        <f>'2.4.Функции'!ACP138+"BYw!$yS"</f>
        <v>#VALUE!</v>
      </c>
      <c r="GR60" t="e">
        <f>'2.4.Функции'!ACQ138+"BYw!$yT"</f>
        <v>#VALUE!</v>
      </c>
      <c r="GS60" t="e">
        <f>'2.4.Функции'!ACR138+"BYw!$yU"</f>
        <v>#VALUE!</v>
      </c>
      <c r="GT60" t="e">
        <f>'2.4.Функции'!ACS138+"BYw!$yV"</f>
        <v>#VALUE!</v>
      </c>
      <c r="GU60" t="e">
        <f>'2.4.Функции'!ACT138+"BYw!$yW"</f>
        <v>#VALUE!</v>
      </c>
      <c r="GV60" t="e">
        <f>'2.4.Функции'!ACU138+"BYw!$yX"</f>
        <v>#VALUE!</v>
      </c>
      <c r="GW60" t="e">
        <f>'2.4.Функции'!ACV138+"BYw!$yY"</f>
        <v>#VALUE!</v>
      </c>
      <c r="GX60" t="e">
        <f>'2.4.Функции'!ACW138+"BYw!$yZ"</f>
        <v>#VALUE!</v>
      </c>
      <c r="GY60" t="e">
        <f>'2.4.Функции'!ACX138+"BYw!$y["</f>
        <v>#VALUE!</v>
      </c>
      <c r="GZ60" t="e">
        <f>'2.4.Функции'!ACY138+"BYw!$y\"</f>
        <v>#VALUE!</v>
      </c>
      <c r="HA60" t="e">
        <f>'2.4.Функции'!ACZ138+"BYw!$y]"</f>
        <v>#VALUE!</v>
      </c>
      <c r="HB60" t="e">
        <f>'2.4.Функции'!ADA138+"BYw!$y^"</f>
        <v>#VALUE!</v>
      </c>
      <c r="HC60" t="e">
        <f>'2.4.Функции'!ADB138+"BYw!$y_"</f>
        <v>#VALUE!</v>
      </c>
      <c r="HD60" t="e">
        <f>'2.4.Функции'!ADC138+"BYw!$y`"</f>
        <v>#VALUE!</v>
      </c>
      <c r="HE60" t="e">
        <f>'2.4.Функции'!ADD138+"BYw!$ya"</f>
        <v>#VALUE!</v>
      </c>
      <c r="HF60" t="e">
        <f>'2.4.Функции'!ADE138+"BYw!$yb"</f>
        <v>#VALUE!</v>
      </c>
      <c r="HG60" t="e">
        <f>'2.4.Функции'!ADF138+"BYw!$yc"</f>
        <v>#VALUE!</v>
      </c>
      <c r="HH60" t="e">
        <f>'2.4.Функции'!ADG138+"BYw!$yd"</f>
        <v>#VALUE!</v>
      </c>
      <c r="HI60" t="e">
        <f>'2.4.Функции'!ADH138+"BYw!$ye"</f>
        <v>#VALUE!</v>
      </c>
      <c r="HJ60" t="e">
        <f>'2.4.Функции'!ADI138+"BYw!$yf"</f>
        <v>#VALUE!</v>
      </c>
      <c r="HK60" t="e">
        <f>'2.4.Функции'!ADJ138+"BYw!$yg"</f>
        <v>#VALUE!</v>
      </c>
      <c r="HL60" t="e">
        <f>'2.4.Функции'!ADK138+"BYw!$yh"</f>
        <v>#VALUE!</v>
      </c>
      <c r="HM60" t="e">
        <f>'2.4.Функции'!ADL138+"BYw!$yi"</f>
        <v>#VALUE!</v>
      </c>
      <c r="HN60" t="e">
        <f>'2.4.Функции'!ADM138+"BYw!$yj"</f>
        <v>#VALUE!</v>
      </c>
      <c r="HO60" t="e">
        <f>'2.4.Функции'!ADN138+"BYw!$yk"</f>
        <v>#VALUE!</v>
      </c>
      <c r="HP60" t="e">
        <f>'2.4.Функции'!ADO138+"BYw!$yl"</f>
        <v>#VALUE!</v>
      </c>
      <c r="HQ60" t="e">
        <f>'2.4.Функции'!ADP138+"BYw!$ym"</f>
        <v>#VALUE!</v>
      </c>
      <c r="HR60" t="e">
        <f>'2.4.Функции'!ADQ138+"BYw!$yn"</f>
        <v>#VALUE!</v>
      </c>
      <c r="HS60" t="e">
        <f>'2.4.Функции'!ADR138+"BYw!$yo"</f>
        <v>#VALUE!</v>
      </c>
      <c r="HT60" t="e">
        <f>'2.4.Функции'!ADS138+"BYw!$yp"</f>
        <v>#VALUE!</v>
      </c>
      <c r="HU60" t="e">
        <f>'2.4.Функции'!ADT138+"BYw!$yq"</f>
        <v>#VALUE!</v>
      </c>
      <c r="HV60" t="e">
        <f>'2.4.Функции'!ADU138+"BYw!$yr"</f>
        <v>#VALUE!</v>
      </c>
      <c r="HW60" t="e">
        <f>'2.4.Функции'!ADV138+"BYw!$ys"</f>
        <v>#VALUE!</v>
      </c>
      <c r="HX60" t="e">
        <f>'2.4.Функции'!ADW138+"BYw!$yt"</f>
        <v>#VALUE!</v>
      </c>
      <c r="HY60" t="e">
        <f>'2.4.Функции'!ADX138+"BYw!$yu"</f>
        <v>#VALUE!</v>
      </c>
      <c r="HZ60" t="e">
        <f>'2.4.Функции'!ADY138+"BYw!$yv"</f>
        <v>#VALUE!</v>
      </c>
      <c r="IA60" t="e">
        <f>'2.4.Функции'!ADZ138+"BYw!$yw"</f>
        <v>#VALUE!</v>
      </c>
      <c r="IB60" t="e">
        <f>'2.4.Функции'!AEA138+"BYw!$yx"</f>
        <v>#VALUE!</v>
      </c>
      <c r="IC60" t="e">
        <f>'2.4.Функции'!AEB138+"BYw!$yy"</f>
        <v>#VALUE!</v>
      </c>
      <c r="ID60" t="e">
        <f>'2.4.Функции'!AEC138+"BYw!$yz"</f>
        <v>#VALUE!</v>
      </c>
      <c r="IE60" t="e">
        <f>'2.4.Функции'!AED138+"BYw!$y{"</f>
        <v>#VALUE!</v>
      </c>
      <c r="IF60" t="e">
        <f>'2.4.Функции'!AEE138+"BYw!$y|"</f>
        <v>#VALUE!</v>
      </c>
      <c r="IG60" t="e">
        <f>'2.4.Функции'!AEF138+"BYw!$y}"</f>
        <v>#VALUE!</v>
      </c>
      <c r="IH60" t="e">
        <f>'2.4.Функции'!AEG138+"BYw!$y~"</f>
        <v>#VALUE!</v>
      </c>
      <c r="II60" t="e">
        <f>'2.4.Функции'!AEH138+"BYw!$z#"</f>
        <v>#VALUE!</v>
      </c>
      <c r="IJ60" t="e">
        <f>'2.4.Функции'!AEI138+"BYw!$z$"</f>
        <v>#VALUE!</v>
      </c>
      <c r="IK60" t="e">
        <f>'2.4.Функции'!AEJ138+"BYw!$z%"</f>
        <v>#VALUE!</v>
      </c>
      <c r="IL60" t="e">
        <f>'2.4.Функции'!AEK138+"BYw!$z&amp;"</f>
        <v>#VALUE!</v>
      </c>
      <c r="IM60" t="e">
        <f>'2.4.Функции'!AEL138+"BYw!$z'"</f>
        <v>#VALUE!</v>
      </c>
      <c r="IN60" t="e">
        <f>'2.4.Функции'!AEM138+"BYw!$z("</f>
        <v>#VALUE!</v>
      </c>
      <c r="IO60" t="e">
        <f>'2.4.Функции'!AEN138+"BYw!$z)"</f>
        <v>#VALUE!</v>
      </c>
      <c r="IP60" t="e">
        <f>'2.4.Функции'!AEO138+"BYw!$z."</f>
        <v>#VALUE!</v>
      </c>
      <c r="IQ60" t="e">
        <f>'2.4.Функции'!AEP138+"BYw!$z/"</f>
        <v>#VALUE!</v>
      </c>
      <c r="IR60" t="e">
        <f>'2.4.Функции'!AEQ138+"BYw!$z0"</f>
        <v>#VALUE!</v>
      </c>
      <c r="IS60" t="e">
        <f>'2.4.Функции'!AER138+"BYw!$z1"</f>
        <v>#VALUE!</v>
      </c>
      <c r="IT60" t="e">
        <f>'2.4.Функции'!AES138+"BYw!$z2"</f>
        <v>#VALUE!</v>
      </c>
      <c r="IU60" t="e">
        <f>'2.4.Функции'!AET138+"BYw!$z3"</f>
        <v>#VALUE!</v>
      </c>
      <c r="IV60" t="e">
        <f>'2.4.Функции'!AEU138+"BYw!$z4"</f>
        <v>#VALUE!</v>
      </c>
    </row>
    <row r="61" spans="6:256" x14ac:dyDescent="0.2">
      <c r="F61" t="e">
        <f>'2.4.Функции'!AEV138+"BYw!$z5"</f>
        <v>#VALUE!</v>
      </c>
      <c r="G61" t="e">
        <f>'2.4.Функции'!AEW138+"BYw!$z6"</f>
        <v>#VALUE!</v>
      </c>
      <c r="H61" t="e">
        <f>'2.4.Функции'!AEX138+"BYw!$z7"</f>
        <v>#VALUE!</v>
      </c>
      <c r="I61" t="e">
        <f>'2.4.Функции'!AEY138+"BYw!$z8"</f>
        <v>#VALUE!</v>
      </c>
      <c r="J61" t="e">
        <f>'2.4.Функции'!AEZ138+"BYw!$z9"</f>
        <v>#VALUE!</v>
      </c>
      <c r="K61" t="e">
        <f>'2.4.Функции'!AFA138+"BYw!$z:"</f>
        <v>#VALUE!</v>
      </c>
      <c r="L61" t="e">
        <f>'2.4.Функции'!AFB138+"BYw!$z;"</f>
        <v>#VALUE!</v>
      </c>
      <c r="M61" t="e">
        <f>'2.4.Функции'!AFC138+"BYw!$z&lt;"</f>
        <v>#VALUE!</v>
      </c>
      <c r="N61" t="e">
        <f>'2.4.Функции'!AFD138+"BYw!$z="</f>
        <v>#VALUE!</v>
      </c>
      <c r="O61" t="e">
        <f>'2.4.Функции'!AFE138+"BYw!$z&gt;"</f>
        <v>#VALUE!</v>
      </c>
      <c r="P61" t="e">
        <f>'2.4.Функции'!AFF138+"BYw!$z?"</f>
        <v>#VALUE!</v>
      </c>
      <c r="Q61" t="e">
        <f>'2.4.Функции'!AFG138+"BYw!$z@"</f>
        <v>#VALUE!</v>
      </c>
      <c r="R61" t="e">
        <f>'2.4.Функции'!AFH138+"BYw!$zA"</f>
        <v>#VALUE!</v>
      </c>
      <c r="S61" t="e">
        <f>'2.4.Функции'!AFI138+"BYw!$zB"</f>
        <v>#VALUE!</v>
      </c>
      <c r="T61" t="e">
        <f>'2.4.Функции'!AFJ138+"BYw!$zC"</f>
        <v>#VALUE!</v>
      </c>
      <c r="U61" t="e">
        <f>'2.4.Функции'!AFK138+"BYw!$zD"</f>
        <v>#VALUE!</v>
      </c>
      <c r="V61" t="e">
        <f>'2.4.Функции'!AFL138+"BYw!$zE"</f>
        <v>#VALUE!</v>
      </c>
      <c r="W61" t="e">
        <f>'2.4.Функции'!AFM138+"BYw!$zF"</f>
        <v>#VALUE!</v>
      </c>
      <c r="X61" t="e">
        <f>'2.4.Функции'!AFN138+"BYw!$zG"</f>
        <v>#VALUE!</v>
      </c>
      <c r="Y61" t="e">
        <f>'2.4.Функции'!AFO138+"BYw!$zH"</f>
        <v>#VALUE!</v>
      </c>
      <c r="Z61" t="e">
        <f>'2.4.Функции'!AFP138+"BYw!$zI"</f>
        <v>#VALUE!</v>
      </c>
      <c r="AA61" t="e">
        <f>'2.4.Функции'!AFQ138+"BYw!$zJ"</f>
        <v>#VALUE!</v>
      </c>
      <c r="AB61" t="e">
        <f>'2.4.Функции'!AFR138+"BYw!$zK"</f>
        <v>#VALUE!</v>
      </c>
      <c r="AC61" t="e">
        <f>'2.4.Функции'!AFS138+"BYw!$zL"</f>
        <v>#VALUE!</v>
      </c>
      <c r="AD61" t="e">
        <f>'2.4.Функции'!AFT138+"BYw!$zM"</f>
        <v>#VALUE!</v>
      </c>
      <c r="AE61" t="e">
        <f>'2.4.Функции'!AFU138+"BYw!$zN"</f>
        <v>#VALUE!</v>
      </c>
      <c r="AF61" t="e">
        <f>'2.4.Функции'!AFV138+"BYw!$zO"</f>
        <v>#VALUE!</v>
      </c>
      <c r="AG61" t="e">
        <f>'2.4.Функции'!AFW138+"BYw!$zP"</f>
        <v>#VALUE!</v>
      </c>
      <c r="AH61" t="e">
        <f>'2.4.Функции'!AFX138+"BYw!$zQ"</f>
        <v>#VALUE!</v>
      </c>
      <c r="AI61" t="e">
        <f>'2.4.Функции'!AFY138+"BYw!$zR"</f>
        <v>#VALUE!</v>
      </c>
      <c r="AJ61" t="e">
        <f>'2.4.Функции'!AFZ138+"BYw!$zS"</f>
        <v>#VALUE!</v>
      </c>
      <c r="AK61" t="e">
        <f>'2.4.Функции'!AGA138+"BYw!$zT"</f>
        <v>#VALUE!</v>
      </c>
      <c r="AL61" t="e">
        <f>'2.4.Функции'!AGB138+"BYw!$zU"</f>
        <v>#VALUE!</v>
      </c>
      <c r="AM61" t="e">
        <f>'2.4.Функции'!AGC138+"BYw!$zV"</f>
        <v>#VALUE!</v>
      </c>
      <c r="AN61" t="e">
        <f>'2.4.Функции'!AGD138+"BYw!$zW"</f>
        <v>#VALUE!</v>
      </c>
      <c r="AO61" t="e">
        <f>'2.4.Функции'!AGE138+"BYw!$zX"</f>
        <v>#VALUE!</v>
      </c>
      <c r="AP61" t="e">
        <f>'2.4.Функции'!AGF138+"BYw!$zY"</f>
        <v>#VALUE!</v>
      </c>
      <c r="AQ61" t="e">
        <f>'2.4.Функции'!AGG138+"BYw!$zZ"</f>
        <v>#VALUE!</v>
      </c>
      <c r="AR61" t="e">
        <f>'2.4.Функции'!AGH138+"BYw!$z["</f>
        <v>#VALUE!</v>
      </c>
      <c r="AS61" t="e">
        <f>'2.4.Функции'!AGI138+"BYw!$z\"</f>
        <v>#VALUE!</v>
      </c>
      <c r="AT61" t="e">
        <f>'2.4.Функции'!AGJ138+"BYw!$z]"</f>
        <v>#VALUE!</v>
      </c>
      <c r="AU61" t="e">
        <f>'2.4.Функции'!AGK138+"BYw!$z^"</f>
        <v>#VALUE!</v>
      </c>
      <c r="AV61" t="e">
        <f>'2.4.Функции'!AGL138+"BYw!$z_"</f>
        <v>#VALUE!</v>
      </c>
      <c r="AW61" t="e">
        <f>'2.4.Функции'!AGM138+"BYw!$z`"</f>
        <v>#VALUE!</v>
      </c>
      <c r="AX61" t="e">
        <f>'2.4.Функции'!AGN138+"BYw!$za"</f>
        <v>#VALUE!</v>
      </c>
      <c r="AY61" t="e">
        <f>'2.4.Функции'!AGO138+"BYw!$zb"</f>
        <v>#VALUE!</v>
      </c>
      <c r="AZ61" t="e">
        <f>'2.4.Функции'!AGP138+"BYw!$zc"</f>
        <v>#VALUE!</v>
      </c>
      <c r="BA61" t="e">
        <f>'2.4.Функции'!AGQ138+"BYw!$zd"</f>
        <v>#VALUE!</v>
      </c>
      <c r="BB61" t="e">
        <f>'2.4.Функции'!AGR138+"BYw!$ze"</f>
        <v>#VALUE!</v>
      </c>
      <c r="BC61" t="e">
        <f>'2.4.Функции'!AGS138+"BYw!$zf"</f>
        <v>#VALUE!</v>
      </c>
      <c r="BD61" t="e">
        <f>'2.4.Функции'!AGT138+"BYw!$zg"</f>
        <v>#VALUE!</v>
      </c>
      <c r="BE61" t="e">
        <f>'2.4.Функции'!AGU138+"BYw!$zh"</f>
        <v>#VALUE!</v>
      </c>
      <c r="BF61" t="e">
        <f>'2.4.Функции'!AGV138+"BYw!$zi"</f>
        <v>#VALUE!</v>
      </c>
      <c r="BG61" t="e">
        <f>'2.4.Функции'!AGW138+"BYw!$zj"</f>
        <v>#VALUE!</v>
      </c>
      <c r="BH61" t="e">
        <f>'2.4.Функции'!AGX138+"BYw!$zk"</f>
        <v>#VALUE!</v>
      </c>
      <c r="BI61" t="e">
        <f>'2.4.Функции'!AGY138+"BYw!$zl"</f>
        <v>#VALUE!</v>
      </c>
      <c r="BJ61" t="e">
        <f>'2.4.Функции'!AGZ138+"BYw!$zm"</f>
        <v>#VALUE!</v>
      </c>
      <c r="BK61" t="e">
        <f>'2.4.Функции'!AHA138+"BYw!$zn"</f>
        <v>#VALUE!</v>
      </c>
      <c r="BL61" t="e">
        <f>'2.4.Функции'!AHB138+"BYw!$zo"</f>
        <v>#VALUE!</v>
      </c>
      <c r="BM61" t="e">
        <f>'2.4.Функции'!AHC138+"BYw!$zp"</f>
        <v>#VALUE!</v>
      </c>
      <c r="BN61" t="e">
        <f>'2.4.Функции'!AHD138+"BYw!$zq"</f>
        <v>#VALUE!</v>
      </c>
      <c r="BO61" t="e">
        <f>'2.4.Функции'!AHE138+"BYw!$zr"</f>
        <v>#VALUE!</v>
      </c>
      <c r="BP61" t="e">
        <f>'2.4.Функции'!AHF138+"BYw!$zs"</f>
        <v>#VALUE!</v>
      </c>
      <c r="BQ61" t="e">
        <f>'2.4.Функции'!AHG138+"BYw!$zt"</f>
        <v>#VALUE!</v>
      </c>
      <c r="BR61" t="e">
        <f>'2.4.Функции'!AHH138+"BYw!$zu"</f>
        <v>#VALUE!</v>
      </c>
      <c r="BS61" t="e">
        <f>'2.4.Функции'!AHI138+"BYw!$zv"</f>
        <v>#VALUE!</v>
      </c>
      <c r="BT61" t="e">
        <f>'2.4.Функции'!AHJ138+"BYw!$zw"</f>
        <v>#VALUE!</v>
      </c>
      <c r="BU61" t="e">
        <f>'2.4.Функции'!AHK138+"BYw!$zx"</f>
        <v>#VALUE!</v>
      </c>
      <c r="BV61" t="e">
        <f>'2.4.Функции'!AHL138+"BYw!$zy"</f>
        <v>#VALUE!</v>
      </c>
      <c r="BW61" t="e">
        <f>'2.4.Функции'!AHM138+"BYw!$zz"</f>
        <v>#VALUE!</v>
      </c>
      <c r="BX61" t="e">
        <f>'2.4.Функции'!AHN138+"BYw!$z{"</f>
        <v>#VALUE!</v>
      </c>
      <c r="BY61" t="e">
        <f>'2.4.Функции'!AHO138+"BYw!$z|"</f>
        <v>#VALUE!</v>
      </c>
      <c r="BZ61" t="e">
        <f>'2.4.Функции'!AHP138+"BYw!$z}"</f>
        <v>#VALUE!</v>
      </c>
      <c r="CA61" t="e">
        <f>'2.4.Функции'!AHQ138+"BYw!$z~"</f>
        <v>#VALUE!</v>
      </c>
      <c r="CB61" t="e">
        <f>'2.4.Функции'!AHR138+"BYw!${#"</f>
        <v>#VALUE!</v>
      </c>
      <c r="CC61" t="e">
        <f>'2.4.Функции'!AHS138+"BYw!${$"</f>
        <v>#VALUE!</v>
      </c>
      <c r="CD61" t="e">
        <f>'2.4.Функции'!AHT138+"BYw!${%"</f>
        <v>#VALUE!</v>
      </c>
      <c r="CE61" t="e">
        <f>'2.4.Функции'!AHU138+"BYw!${&amp;"</f>
        <v>#VALUE!</v>
      </c>
      <c r="CF61" t="e">
        <f>'2.4.Функции'!AHV138+"BYw!${'"</f>
        <v>#VALUE!</v>
      </c>
      <c r="CG61" t="e">
        <f>'2.4.Функции'!AHW138+"BYw!${("</f>
        <v>#VALUE!</v>
      </c>
      <c r="CH61" t="e">
        <f>'2.4.Функции'!AHX138+"BYw!${)"</f>
        <v>#VALUE!</v>
      </c>
      <c r="CI61" t="e">
        <f>'2.4.Функции'!AHY138+"BYw!${."</f>
        <v>#VALUE!</v>
      </c>
      <c r="CJ61" t="e">
        <f>'2.4.Функции'!AHZ138+"BYw!${/"</f>
        <v>#VALUE!</v>
      </c>
      <c r="CK61" t="e">
        <f>'2.4.Функции'!AIA138+"BYw!${0"</f>
        <v>#VALUE!</v>
      </c>
      <c r="CL61" t="e">
        <f>'2.4.Функции'!AIB138+"BYw!${1"</f>
        <v>#VALUE!</v>
      </c>
      <c r="CM61" t="e">
        <f>'2.4.Функции'!AIC138+"BYw!${2"</f>
        <v>#VALUE!</v>
      </c>
      <c r="CN61" t="e">
        <f>'2.4.Функции'!AID138+"BYw!${3"</f>
        <v>#VALUE!</v>
      </c>
      <c r="CO61" t="e">
        <f>'2.4.Функции'!AIE138+"BYw!${4"</f>
        <v>#VALUE!</v>
      </c>
      <c r="CP61" t="e">
        <f>'2.4.Функции'!AIF138+"BYw!${5"</f>
        <v>#VALUE!</v>
      </c>
      <c r="CQ61" t="e">
        <f>'2.4.Функции'!AIG138+"BYw!${6"</f>
        <v>#VALUE!</v>
      </c>
      <c r="CR61" t="e">
        <f>'2.4.Функции'!AIH138+"BYw!${7"</f>
        <v>#VALUE!</v>
      </c>
      <c r="CS61" t="e">
        <f>'2.4.Функции'!A139+"BYw!${8"</f>
        <v>#VALUE!</v>
      </c>
      <c r="CT61" s="116" t="e">
        <f>'2.4.Функции'!B139+"BYw!${9"</f>
        <v>#VALUE!</v>
      </c>
      <c r="CU61" t="e">
        <f>'2.4.Функции'!C139+"BYw!${:"</f>
        <v>#VALUE!</v>
      </c>
      <c r="CV61" s="119" t="e">
        <f>'2.4.Функции'!D139+"BYw!${;"</f>
        <v>#VALUE!</v>
      </c>
      <c r="CW61" s="119" t="e">
        <f>'2.4.Функции'!E139+"BYw!${&lt;"</f>
        <v>#VALUE!</v>
      </c>
      <c r="CX61" s="119" t="e">
        <f>'2.4.Функции'!F139+"BYw!${="</f>
        <v>#VALUE!</v>
      </c>
      <c r="CY61" s="119" t="e">
        <f>'2.4.Функции'!G139+"BYw!${&gt;"</f>
        <v>#VALUE!</v>
      </c>
      <c r="CZ61" s="119" t="e">
        <f>'2.4.Функции'!H139+"BYw!${?"</f>
        <v>#VALUE!</v>
      </c>
      <c r="DA61" s="119" t="e">
        <f>'2.4.Функции'!I139+"BYw!${@"</f>
        <v>#VALUE!</v>
      </c>
      <c r="DB61" s="119" t="e">
        <f>'2.4.Функции'!J139+"BYw!${A"</f>
        <v>#VALUE!</v>
      </c>
      <c r="DC61" s="119" t="e">
        <f>'2.4.Функции'!K139+"BYw!${B"</f>
        <v>#VALUE!</v>
      </c>
      <c r="DD61" t="e">
        <f>'2.4.Функции'!L139+"BYw!${C"</f>
        <v>#VALUE!</v>
      </c>
      <c r="DE61" t="e">
        <f>'2.4.Функции'!M139+"BYw!${D"</f>
        <v>#VALUE!</v>
      </c>
      <c r="DF61" t="e">
        <f>'2.4.Функции'!N139+"BYw!${E"</f>
        <v>#VALUE!</v>
      </c>
      <c r="DG61" t="e">
        <f>'2.4.Функции'!O139+"BYw!${F"</f>
        <v>#VALUE!</v>
      </c>
      <c r="DH61" t="e">
        <f>'2.4.Функции'!P139+"BYw!${G"</f>
        <v>#VALUE!</v>
      </c>
      <c r="DI61" t="e">
        <f>'2.4.Функции'!Q139+"BYw!${H"</f>
        <v>#VALUE!</v>
      </c>
      <c r="DJ61" t="e">
        <f>'2.4.Функции'!R139+"BYw!${I"</f>
        <v>#VALUE!</v>
      </c>
      <c r="DK61" t="e">
        <f>'2.4.Функции'!S139+"BYw!${J"</f>
        <v>#VALUE!</v>
      </c>
      <c r="DL61" t="e">
        <f>'2.4.Функции'!T139+"BYw!${K"</f>
        <v>#VALUE!</v>
      </c>
      <c r="DM61" t="e">
        <f>'2.4.Функции'!U139+"BYw!${L"</f>
        <v>#VALUE!</v>
      </c>
      <c r="DN61" t="e">
        <f>'2.4.Функции'!V139+"BYw!${M"</f>
        <v>#VALUE!</v>
      </c>
      <c r="DO61" t="e">
        <f>'2.4.Функции'!W139+"BYw!${N"</f>
        <v>#VALUE!</v>
      </c>
      <c r="DP61" t="e">
        <f>'2.4.Функции'!X139+"BYw!${O"</f>
        <v>#VALUE!</v>
      </c>
      <c r="DQ61" t="e">
        <f>'2.4.Функции'!Y139+"BYw!${P"</f>
        <v>#VALUE!</v>
      </c>
      <c r="DR61" t="e">
        <f>'2.4.Функции'!Z139+"BYw!${Q"</f>
        <v>#VALUE!</v>
      </c>
      <c r="DS61" t="e">
        <f>'2.4.Функции'!AA139+"BYw!${R"</f>
        <v>#VALUE!</v>
      </c>
      <c r="DT61" t="e">
        <f>'2.4.Функции'!AB139+"BYw!${S"</f>
        <v>#VALUE!</v>
      </c>
      <c r="DU61" t="e">
        <f>'2.4.Функции'!AC139+"BYw!${T"</f>
        <v>#VALUE!</v>
      </c>
      <c r="DV61" t="e">
        <f>'2.4.Функции'!AD139+"BYw!${U"</f>
        <v>#VALUE!</v>
      </c>
      <c r="DW61" t="e">
        <f>'2.4.Функции'!AE139+"BYw!${V"</f>
        <v>#VALUE!</v>
      </c>
      <c r="DX61" t="e">
        <f>'2.4.Функции'!AF139+"BYw!${W"</f>
        <v>#VALUE!</v>
      </c>
      <c r="DY61" t="e">
        <f>'2.4.Функции'!AG139+"BYw!${X"</f>
        <v>#VALUE!</v>
      </c>
      <c r="DZ61" t="e">
        <f>'2.4.Функции'!AH139+"BYw!${Y"</f>
        <v>#VALUE!</v>
      </c>
      <c r="EA61" t="e">
        <f>'2.4.Функции'!AI139+"BYw!${Z"</f>
        <v>#VALUE!</v>
      </c>
      <c r="EB61" t="e">
        <f>'2.4.Функции'!AJ139+"BYw!${["</f>
        <v>#VALUE!</v>
      </c>
      <c r="EC61" t="e">
        <f>'2.4.Функции'!AK139+"BYw!${\"</f>
        <v>#VALUE!</v>
      </c>
      <c r="ED61" t="e">
        <f>'2.4.Функции'!AL139+"BYw!${]"</f>
        <v>#VALUE!</v>
      </c>
      <c r="EE61" t="e">
        <f>'2.4.Функции'!AM139+"BYw!${^"</f>
        <v>#VALUE!</v>
      </c>
      <c r="EF61" t="e">
        <f>'2.4.Функции'!AN139+"BYw!${_"</f>
        <v>#VALUE!</v>
      </c>
      <c r="EG61" t="e">
        <f>'2.4.Функции'!AO139+"BYw!${`"</f>
        <v>#VALUE!</v>
      </c>
      <c r="EH61" t="e">
        <f>'2.4.Функции'!AP139+"BYw!${a"</f>
        <v>#VALUE!</v>
      </c>
      <c r="EI61" t="e">
        <f>'2.4.Функции'!AQ139+"BYw!${b"</f>
        <v>#VALUE!</v>
      </c>
      <c r="EJ61" t="e">
        <f>'2.4.Функции'!AR139+"BYw!${c"</f>
        <v>#VALUE!</v>
      </c>
      <c r="EK61" t="e">
        <f>'2.4.Функции'!AS139+"BYw!${d"</f>
        <v>#VALUE!</v>
      </c>
      <c r="EL61" t="e">
        <f>'2.4.Функции'!AT139+"BYw!${e"</f>
        <v>#VALUE!</v>
      </c>
      <c r="EM61" t="e">
        <f>'2.4.Функции'!AU139+"BYw!${f"</f>
        <v>#VALUE!</v>
      </c>
      <c r="EN61" t="e">
        <f>'2.4.Функции'!AV139+"BYw!${g"</f>
        <v>#VALUE!</v>
      </c>
      <c r="EO61" t="e">
        <f>'2.4.Функции'!AW139+"BYw!${h"</f>
        <v>#VALUE!</v>
      </c>
      <c r="EP61" t="e">
        <f>'2.4.Функции'!AX139+"BYw!${i"</f>
        <v>#VALUE!</v>
      </c>
      <c r="EQ61" t="e">
        <f>'2.4.Функции'!AY139+"BYw!${j"</f>
        <v>#VALUE!</v>
      </c>
      <c r="ER61" t="e">
        <f>'2.4.Функции'!AZ139+"BYw!${k"</f>
        <v>#VALUE!</v>
      </c>
      <c r="ES61" t="e">
        <f>'2.4.Функции'!BA139+"BYw!${l"</f>
        <v>#VALUE!</v>
      </c>
      <c r="ET61" t="e">
        <f>'2.4.Функции'!BB139+"BYw!${m"</f>
        <v>#VALUE!</v>
      </c>
      <c r="EU61" t="e">
        <f>'2.4.Функции'!BC139+"BYw!${n"</f>
        <v>#VALUE!</v>
      </c>
      <c r="EV61" t="e">
        <f>'2.4.Функции'!BD139+"BYw!${o"</f>
        <v>#VALUE!</v>
      </c>
      <c r="EW61" t="e">
        <f>'2.4.Функции'!BE139+"BYw!${p"</f>
        <v>#VALUE!</v>
      </c>
      <c r="EX61" t="e">
        <f>'2.4.Функции'!BF139+"BYw!${q"</f>
        <v>#VALUE!</v>
      </c>
      <c r="EY61" t="e">
        <f>'2.4.Функции'!BG139+"BYw!${r"</f>
        <v>#VALUE!</v>
      </c>
      <c r="EZ61" t="e">
        <f>'2.4.Функции'!BH139+"BYw!${s"</f>
        <v>#VALUE!</v>
      </c>
      <c r="FA61" t="e">
        <f>'2.4.Функции'!BI139+"BYw!${t"</f>
        <v>#VALUE!</v>
      </c>
      <c r="FB61" t="e">
        <f>'2.4.Функции'!BJ139+"BYw!${u"</f>
        <v>#VALUE!</v>
      </c>
      <c r="FC61" t="e">
        <f>'2.4.Функции'!BK139+"BYw!${v"</f>
        <v>#VALUE!</v>
      </c>
      <c r="FD61" t="e">
        <f>'2.4.Функции'!BL139+"BYw!${w"</f>
        <v>#VALUE!</v>
      </c>
      <c r="FE61" t="e">
        <f>'2.4.Функции'!BM139+"BYw!${x"</f>
        <v>#VALUE!</v>
      </c>
      <c r="FF61" t="e">
        <f>'2.4.Функции'!BN139+"BYw!${y"</f>
        <v>#VALUE!</v>
      </c>
      <c r="FG61" t="e">
        <f>'2.4.Функции'!BO139+"BYw!${z"</f>
        <v>#VALUE!</v>
      </c>
      <c r="FH61" t="e">
        <f>'2.4.Функции'!BP139+"BYw!${{"</f>
        <v>#VALUE!</v>
      </c>
      <c r="FI61" t="e">
        <f>'2.4.Функции'!BQ139+"BYw!${|"</f>
        <v>#VALUE!</v>
      </c>
      <c r="FJ61" t="e">
        <f>'2.4.Функции'!BR139+"BYw!${}"</f>
        <v>#VALUE!</v>
      </c>
      <c r="FK61" t="e">
        <f>'2.4.Функции'!BS139+"BYw!${~"</f>
        <v>#VALUE!</v>
      </c>
      <c r="FL61" t="e">
        <f>'2.4.Функции'!BT139+"BYw!$|#"</f>
        <v>#VALUE!</v>
      </c>
      <c r="FM61" t="e">
        <f>'2.4.Функции'!BU139+"BYw!$|$"</f>
        <v>#VALUE!</v>
      </c>
      <c r="FN61" t="e">
        <f>'2.4.Функции'!BV139+"BYw!$|%"</f>
        <v>#VALUE!</v>
      </c>
      <c r="FO61" t="e">
        <f>'2.4.Функции'!BW139+"BYw!$|&amp;"</f>
        <v>#VALUE!</v>
      </c>
      <c r="FP61" t="e">
        <f>'2.4.Функции'!BX139+"BYw!$|'"</f>
        <v>#VALUE!</v>
      </c>
      <c r="FQ61" t="e">
        <f>'2.4.Функции'!BY139+"BYw!$|("</f>
        <v>#VALUE!</v>
      </c>
      <c r="FR61" t="e">
        <f>'2.4.Функции'!BZ139+"BYw!$|)"</f>
        <v>#VALUE!</v>
      </c>
      <c r="FS61" t="e">
        <f>'2.4.Функции'!CA139+"BYw!$|."</f>
        <v>#VALUE!</v>
      </c>
      <c r="FT61" t="e">
        <f>'2.4.Функции'!CB139+"BYw!$|/"</f>
        <v>#VALUE!</v>
      </c>
      <c r="FU61" t="e">
        <f>'2.4.Функции'!CC139+"BYw!$|0"</f>
        <v>#VALUE!</v>
      </c>
      <c r="FV61" t="e">
        <f>'2.4.Функции'!CD139+"BYw!$|1"</f>
        <v>#VALUE!</v>
      </c>
      <c r="FW61" t="e">
        <f>'2.4.Функции'!CE139+"BYw!$|2"</f>
        <v>#VALUE!</v>
      </c>
      <c r="FX61" t="e">
        <f>'2.4.Функции'!CF139+"BYw!$|3"</f>
        <v>#VALUE!</v>
      </c>
      <c r="FY61" t="e">
        <f>'2.4.Функции'!CG139+"BYw!$|4"</f>
        <v>#VALUE!</v>
      </c>
      <c r="FZ61" t="e">
        <f>'2.4.Функции'!CH139+"BYw!$|5"</f>
        <v>#VALUE!</v>
      </c>
      <c r="GA61" t="e">
        <f>'2.4.Функции'!CI139+"BYw!$|6"</f>
        <v>#VALUE!</v>
      </c>
      <c r="GB61" t="e">
        <f>'2.4.Функции'!CJ139+"BYw!$|7"</f>
        <v>#VALUE!</v>
      </c>
      <c r="GC61" t="e">
        <f>'2.4.Функции'!CK139+"BYw!$|8"</f>
        <v>#VALUE!</v>
      </c>
      <c r="GD61" t="e">
        <f>'2.4.Функции'!CL139+"BYw!$|9"</f>
        <v>#VALUE!</v>
      </c>
      <c r="GE61" t="e">
        <f>'2.4.Функции'!CM139+"BYw!$|:"</f>
        <v>#VALUE!</v>
      </c>
      <c r="GF61" t="e">
        <f>'2.4.Функции'!CN139+"BYw!$|;"</f>
        <v>#VALUE!</v>
      </c>
      <c r="GG61" t="e">
        <f>'2.4.Функции'!CO139+"BYw!$|&lt;"</f>
        <v>#VALUE!</v>
      </c>
      <c r="GH61" t="e">
        <f>'2.4.Функции'!CP139+"BYw!$|="</f>
        <v>#VALUE!</v>
      </c>
      <c r="GI61" t="e">
        <f>'2.4.Функции'!CQ139+"BYw!$|&gt;"</f>
        <v>#VALUE!</v>
      </c>
      <c r="GJ61" t="e">
        <f>'2.4.Функции'!CR139+"BYw!$|?"</f>
        <v>#VALUE!</v>
      </c>
      <c r="GK61" t="e">
        <f>'2.4.Функции'!CS139+"BYw!$|@"</f>
        <v>#VALUE!</v>
      </c>
      <c r="GL61" t="e">
        <f>'2.4.Функции'!CT139+"BYw!$|A"</f>
        <v>#VALUE!</v>
      </c>
      <c r="GM61" t="e">
        <f>'2.4.Функции'!CU139+"BYw!$|B"</f>
        <v>#VALUE!</v>
      </c>
      <c r="GN61" t="e">
        <f>'2.4.Функции'!CV139+"BYw!$|C"</f>
        <v>#VALUE!</v>
      </c>
      <c r="GO61" t="e">
        <f>'2.4.Функции'!CW139+"BYw!$|D"</f>
        <v>#VALUE!</v>
      </c>
      <c r="GP61" t="e">
        <f>'2.4.Функции'!CX139+"BYw!$|E"</f>
        <v>#VALUE!</v>
      </c>
      <c r="GQ61" t="e">
        <f>'2.4.Функции'!CY139+"BYw!$|F"</f>
        <v>#VALUE!</v>
      </c>
      <c r="GR61" t="e">
        <f>'2.4.Функции'!CZ139+"BYw!$|G"</f>
        <v>#VALUE!</v>
      </c>
      <c r="GS61" t="e">
        <f>'2.4.Функции'!DA139+"BYw!$|H"</f>
        <v>#VALUE!</v>
      </c>
      <c r="GT61" t="e">
        <f>'2.4.Функции'!DB139+"BYw!$|I"</f>
        <v>#VALUE!</v>
      </c>
      <c r="GU61" t="e">
        <f>'2.4.Функции'!DC139+"BYw!$|J"</f>
        <v>#VALUE!</v>
      </c>
      <c r="GV61" t="e">
        <f>'2.4.Функции'!DD139+"BYw!$|K"</f>
        <v>#VALUE!</v>
      </c>
      <c r="GW61" t="e">
        <f>'2.4.Функции'!DE139+"BYw!$|L"</f>
        <v>#VALUE!</v>
      </c>
      <c r="GX61" t="e">
        <f>'2.4.Функции'!DF139+"BYw!$|M"</f>
        <v>#VALUE!</v>
      </c>
      <c r="GY61" t="e">
        <f>'2.4.Функции'!DG139+"BYw!$|N"</f>
        <v>#VALUE!</v>
      </c>
      <c r="GZ61" t="e">
        <f>'2.4.Функции'!DH139+"BYw!$|O"</f>
        <v>#VALUE!</v>
      </c>
      <c r="HA61" t="e">
        <f>'2.4.Функции'!DI139+"BYw!$|P"</f>
        <v>#VALUE!</v>
      </c>
      <c r="HB61" t="e">
        <f>'2.4.Функции'!DJ139+"BYw!$|Q"</f>
        <v>#VALUE!</v>
      </c>
      <c r="HC61" t="e">
        <f>'2.4.Функции'!DK139+"BYw!$|R"</f>
        <v>#VALUE!</v>
      </c>
      <c r="HD61" t="e">
        <f>'2.4.Функции'!DL139+"BYw!$|S"</f>
        <v>#VALUE!</v>
      </c>
      <c r="HE61" t="e">
        <f>'2.4.Функции'!DM139+"BYw!$|T"</f>
        <v>#VALUE!</v>
      </c>
      <c r="HF61" t="e">
        <f>'2.4.Функции'!DN139+"BYw!$|U"</f>
        <v>#VALUE!</v>
      </c>
      <c r="HG61" t="e">
        <f>'2.4.Функции'!DO139+"BYw!$|V"</f>
        <v>#VALUE!</v>
      </c>
      <c r="HH61" t="e">
        <f>'2.4.Функции'!DP139+"BYw!$|W"</f>
        <v>#VALUE!</v>
      </c>
      <c r="HI61" t="e">
        <f>'2.4.Функции'!DQ139+"BYw!$|X"</f>
        <v>#VALUE!</v>
      </c>
      <c r="HJ61" t="e">
        <f>'2.4.Функции'!DR139+"BYw!$|Y"</f>
        <v>#VALUE!</v>
      </c>
      <c r="HK61" t="e">
        <f>'2.4.Функции'!DS139+"BYw!$|Z"</f>
        <v>#VALUE!</v>
      </c>
      <c r="HL61" t="e">
        <f>'2.4.Функции'!DT139+"BYw!$|["</f>
        <v>#VALUE!</v>
      </c>
      <c r="HM61" t="e">
        <f>'2.4.Функции'!DU139+"BYw!$|\"</f>
        <v>#VALUE!</v>
      </c>
      <c r="HN61" t="e">
        <f>'2.4.Функции'!DV139+"BYw!$|]"</f>
        <v>#VALUE!</v>
      </c>
      <c r="HO61" t="e">
        <f>'2.4.Функции'!DW139+"BYw!$|^"</f>
        <v>#VALUE!</v>
      </c>
      <c r="HP61" t="e">
        <f>'2.4.Функции'!DX139+"BYw!$|_"</f>
        <v>#VALUE!</v>
      </c>
      <c r="HQ61" t="e">
        <f>'2.4.Функции'!DY139+"BYw!$|`"</f>
        <v>#VALUE!</v>
      </c>
      <c r="HR61" t="e">
        <f>'2.4.Функции'!DZ139+"BYw!$|a"</f>
        <v>#VALUE!</v>
      </c>
      <c r="HS61" t="e">
        <f>'2.4.Функции'!EA139+"BYw!$|b"</f>
        <v>#VALUE!</v>
      </c>
      <c r="HT61" t="e">
        <f>'2.4.Функции'!EB139+"BYw!$|c"</f>
        <v>#VALUE!</v>
      </c>
      <c r="HU61" t="e">
        <f>'2.4.Функции'!EC139+"BYw!$|d"</f>
        <v>#VALUE!</v>
      </c>
      <c r="HV61" t="e">
        <f>'2.4.Функции'!ED139+"BYw!$|e"</f>
        <v>#VALUE!</v>
      </c>
      <c r="HW61" t="e">
        <f>'2.4.Функции'!EE139+"BYw!$|f"</f>
        <v>#VALUE!</v>
      </c>
      <c r="HX61" t="e">
        <f>'2.4.Функции'!EF139+"BYw!$|g"</f>
        <v>#VALUE!</v>
      </c>
      <c r="HY61" t="e">
        <f>'2.4.Функции'!EG139+"BYw!$|h"</f>
        <v>#VALUE!</v>
      </c>
      <c r="HZ61" t="e">
        <f>'2.4.Функции'!EH139+"BYw!$|i"</f>
        <v>#VALUE!</v>
      </c>
      <c r="IA61" t="e">
        <f>'2.4.Функции'!EI139+"BYw!$|j"</f>
        <v>#VALUE!</v>
      </c>
      <c r="IB61" t="e">
        <f>'2.4.Функции'!EJ139+"BYw!$|k"</f>
        <v>#VALUE!</v>
      </c>
      <c r="IC61" t="e">
        <f>'2.4.Функции'!EK139+"BYw!$|l"</f>
        <v>#VALUE!</v>
      </c>
      <c r="ID61" t="e">
        <f>'2.4.Функции'!EL139+"BYw!$|m"</f>
        <v>#VALUE!</v>
      </c>
      <c r="IE61" t="e">
        <f>'2.4.Функции'!EM139+"BYw!$|n"</f>
        <v>#VALUE!</v>
      </c>
      <c r="IF61" t="e">
        <f>'2.4.Функции'!EN139+"BYw!$|o"</f>
        <v>#VALUE!</v>
      </c>
      <c r="IG61" t="e">
        <f>'2.4.Функции'!EO139+"BYw!$|p"</f>
        <v>#VALUE!</v>
      </c>
      <c r="IH61" t="e">
        <f>'2.4.Функции'!EP139+"BYw!$|q"</f>
        <v>#VALUE!</v>
      </c>
      <c r="II61" t="e">
        <f>'2.4.Функции'!EQ139+"BYw!$|r"</f>
        <v>#VALUE!</v>
      </c>
      <c r="IJ61" t="e">
        <f>'2.4.Функции'!ER139+"BYw!$|s"</f>
        <v>#VALUE!</v>
      </c>
      <c r="IK61" t="e">
        <f>'2.4.Функции'!ES139+"BYw!$|t"</f>
        <v>#VALUE!</v>
      </c>
      <c r="IL61" t="e">
        <f>'2.4.Функции'!ET139+"BYw!$|u"</f>
        <v>#VALUE!</v>
      </c>
      <c r="IM61" t="e">
        <f>'2.4.Функции'!EU139+"BYw!$|v"</f>
        <v>#VALUE!</v>
      </c>
      <c r="IN61" t="e">
        <f>'2.4.Функции'!EV139+"BYw!$|w"</f>
        <v>#VALUE!</v>
      </c>
      <c r="IO61" t="e">
        <f>'2.4.Функции'!EW139+"BYw!$|x"</f>
        <v>#VALUE!</v>
      </c>
      <c r="IP61" t="e">
        <f>'2.4.Функции'!EX139+"BYw!$|y"</f>
        <v>#VALUE!</v>
      </c>
      <c r="IQ61" t="e">
        <f>'2.4.Функции'!EY139+"BYw!$|z"</f>
        <v>#VALUE!</v>
      </c>
      <c r="IR61" t="e">
        <f>'2.4.Функции'!EZ139+"BYw!$|{"</f>
        <v>#VALUE!</v>
      </c>
      <c r="IS61" t="e">
        <f>'2.4.Функции'!FA139+"BYw!$||"</f>
        <v>#VALUE!</v>
      </c>
      <c r="IT61" t="e">
        <f>'2.4.Функции'!FB139+"BYw!$|}"</f>
        <v>#VALUE!</v>
      </c>
      <c r="IU61" t="e">
        <f>'2.4.Функции'!FC139+"BYw!$|~"</f>
        <v>#VALUE!</v>
      </c>
      <c r="IV61" t="e">
        <f>'2.4.Функции'!FD139+"BYw!$}#"</f>
        <v>#VALUE!</v>
      </c>
    </row>
    <row r="62" spans="6:256" x14ac:dyDescent="0.2">
      <c r="F62" t="e">
        <f>'2.4.Функции'!FE139+"BYw!$}$"</f>
        <v>#VALUE!</v>
      </c>
      <c r="G62" t="e">
        <f>'2.4.Функции'!FF139+"BYw!$}%"</f>
        <v>#VALUE!</v>
      </c>
      <c r="H62" t="e">
        <f>'2.4.Функции'!FG139+"BYw!$}&amp;"</f>
        <v>#VALUE!</v>
      </c>
      <c r="I62" t="e">
        <f>'2.4.Функции'!FH139+"BYw!$}'"</f>
        <v>#VALUE!</v>
      </c>
      <c r="J62" t="e">
        <f>'2.4.Функции'!FI139+"BYw!$}("</f>
        <v>#VALUE!</v>
      </c>
      <c r="K62" t="e">
        <f>'2.4.Функции'!FJ139+"BYw!$})"</f>
        <v>#VALUE!</v>
      </c>
      <c r="L62" t="e">
        <f>'2.4.Функции'!FK139+"BYw!$}."</f>
        <v>#VALUE!</v>
      </c>
      <c r="M62" t="e">
        <f>'2.4.Функции'!FL139+"BYw!$}/"</f>
        <v>#VALUE!</v>
      </c>
      <c r="N62" t="e">
        <f>'2.4.Функции'!FM139+"BYw!$}0"</f>
        <v>#VALUE!</v>
      </c>
      <c r="O62" t="e">
        <f>'2.4.Функции'!FN139+"BYw!$}1"</f>
        <v>#VALUE!</v>
      </c>
      <c r="P62" t="e">
        <f>'2.4.Функции'!FO139+"BYw!$}2"</f>
        <v>#VALUE!</v>
      </c>
      <c r="Q62" t="e">
        <f>'2.4.Функции'!FP139+"BYw!$}3"</f>
        <v>#VALUE!</v>
      </c>
      <c r="R62" t="e">
        <f>'2.4.Функции'!FQ139+"BYw!$}4"</f>
        <v>#VALUE!</v>
      </c>
      <c r="S62" t="e">
        <f>'2.4.Функции'!FR139+"BYw!$}5"</f>
        <v>#VALUE!</v>
      </c>
      <c r="T62" t="e">
        <f>'2.4.Функции'!FS139+"BYw!$}6"</f>
        <v>#VALUE!</v>
      </c>
      <c r="U62" t="e">
        <f>'2.4.Функции'!FT139+"BYw!$}7"</f>
        <v>#VALUE!</v>
      </c>
      <c r="V62" t="e">
        <f>'2.4.Функции'!FU139+"BYw!$}8"</f>
        <v>#VALUE!</v>
      </c>
      <c r="W62" t="e">
        <f>'2.4.Функции'!FV139+"BYw!$}9"</f>
        <v>#VALUE!</v>
      </c>
      <c r="X62" t="e">
        <f>'2.4.Функции'!FW139+"BYw!$}:"</f>
        <v>#VALUE!</v>
      </c>
      <c r="Y62" t="e">
        <f>'2.4.Функции'!FX139+"BYw!$};"</f>
        <v>#VALUE!</v>
      </c>
      <c r="Z62" t="e">
        <f>'2.4.Функции'!FY139+"BYw!$}&lt;"</f>
        <v>#VALUE!</v>
      </c>
      <c r="AA62" t="e">
        <f>'2.4.Функции'!FZ139+"BYw!$}="</f>
        <v>#VALUE!</v>
      </c>
      <c r="AB62" t="e">
        <f>'2.4.Функции'!GA139+"BYw!$}&gt;"</f>
        <v>#VALUE!</v>
      </c>
      <c r="AC62" t="e">
        <f>'2.4.Функции'!GB139+"BYw!$}?"</f>
        <v>#VALUE!</v>
      </c>
      <c r="AD62" t="e">
        <f>'2.4.Функции'!GC139+"BYw!$}@"</f>
        <v>#VALUE!</v>
      </c>
      <c r="AE62" t="e">
        <f>'2.4.Функции'!GD139+"BYw!$}A"</f>
        <v>#VALUE!</v>
      </c>
      <c r="AF62" t="e">
        <f>'2.4.Функции'!GE139+"BYw!$}B"</f>
        <v>#VALUE!</v>
      </c>
      <c r="AG62" t="e">
        <f>'2.4.Функции'!GF139+"BYw!$}C"</f>
        <v>#VALUE!</v>
      </c>
      <c r="AH62" t="e">
        <f>'2.4.Функции'!GG139+"BYw!$}D"</f>
        <v>#VALUE!</v>
      </c>
      <c r="AI62" t="e">
        <f>'2.4.Функции'!GH139+"BYw!$}E"</f>
        <v>#VALUE!</v>
      </c>
      <c r="AJ62" t="e">
        <f>'2.4.Функции'!GI139+"BYw!$}F"</f>
        <v>#VALUE!</v>
      </c>
      <c r="AK62" t="e">
        <f>'2.4.Функции'!GJ139+"BYw!$}G"</f>
        <v>#VALUE!</v>
      </c>
      <c r="AL62" t="e">
        <f>'2.4.Функции'!GK139+"BYw!$}H"</f>
        <v>#VALUE!</v>
      </c>
      <c r="AM62" t="e">
        <f>'2.4.Функции'!GL139+"BYw!$}I"</f>
        <v>#VALUE!</v>
      </c>
      <c r="AN62" t="e">
        <f>'2.4.Функции'!GM139+"BYw!$}J"</f>
        <v>#VALUE!</v>
      </c>
      <c r="AO62" t="e">
        <f>'2.4.Функции'!GN139+"BYw!$}K"</f>
        <v>#VALUE!</v>
      </c>
      <c r="AP62" t="e">
        <f>'2.4.Функции'!GO139+"BYw!$}L"</f>
        <v>#VALUE!</v>
      </c>
      <c r="AQ62" t="e">
        <f>'2.4.Функции'!GP139+"BYw!$}M"</f>
        <v>#VALUE!</v>
      </c>
      <c r="AR62" t="e">
        <f>'2.4.Функции'!GQ139+"BYw!$}N"</f>
        <v>#VALUE!</v>
      </c>
      <c r="AS62" t="e">
        <f>'2.4.Функции'!GR139+"BYw!$}O"</f>
        <v>#VALUE!</v>
      </c>
      <c r="AT62" t="e">
        <f>'2.4.Функции'!GS139+"BYw!$}P"</f>
        <v>#VALUE!</v>
      </c>
      <c r="AU62" t="e">
        <f>'2.4.Функции'!GT139+"BYw!$}Q"</f>
        <v>#VALUE!</v>
      </c>
      <c r="AV62" t="e">
        <f>'2.4.Функции'!GU139+"BYw!$}R"</f>
        <v>#VALUE!</v>
      </c>
      <c r="AW62" t="e">
        <f>'2.4.Функции'!GV139+"BYw!$}S"</f>
        <v>#VALUE!</v>
      </c>
      <c r="AX62" t="e">
        <f>'2.4.Функции'!GW139+"BYw!$}T"</f>
        <v>#VALUE!</v>
      </c>
      <c r="AY62" t="e">
        <f>'2.4.Функции'!GX139+"BYw!$}U"</f>
        <v>#VALUE!</v>
      </c>
      <c r="AZ62" t="e">
        <f>'2.4.Функции'!GY139+"BYw!$}V"</f>
        <v>#VALUE!</v>
      </c>
      <c r="BA62" t="e">
        <f>'2.4.Функции'!GZ139+"BYw!$}W"</f>
        <v>#VALUE!</v>
      </c>
      <c r="BB62" t="e">
        <f>'2.4.Функции'!HA139+"BYw!$}X"</f>
        <v>#VALUE!</v>
      </c>
      <c r="BC62" t="e">
        <f>'2.4.Функции'!HB139+"BYw!$}Y"</f>
        <v>#VALUE!</v>
      </c>
      <c r="BD62" t="e">
        <f>'2.4.Функции'!HC139+"BYw!$}Z"</f>
        <v>#VALUE!</v>
      </c>
      <c r="BE62" t="e">
        <f>'2.4.Функции'!HD139+"BYw!$}["</f>
        <v>#VALUE!</v>
      </c>
      <c r="BF62" t="e">
        <f>'2.4.Функции'!HE139+"BYw!$}\"</f>
        <v>#VALUE!</v>
      </c>
      <c r="BG62" t="e">
        <f>'2.4.Функции'!HF139+"BYw!$}]"</f>
        <v>#VALUE!</v>
      </c>
      <c r="BH62" t="e">
        <f>'2.4.Функции'!HG139+"BYw!$}^"</f>
        <v>#VALUE!</v>
      </c>
      <c r="BI62" t="e">
        <f>'2.4.Функции'!HH139+"BYw!$}_"</f>
        <v>#VALUE!</v>
      </c>
      <c r="BJ62" t="e">
        <f>'2.4.Функции'!HI139+"BYw!$}`"</f>
        <v>#VALUE!</v>
      </c>
      <c r="BK62" t="e">
        <f>'2.4.Функции'!HJ139+"BYw!$}a"</f>
        <v>#VALUE!</v>
      </c>
      <c r="BL62" t="e">
        <f>'2.4.Функции'!HK139+"BYw!$}b"</f>
        <v>#VALUE!</v>
      </c>
      <c r="BM62" t="e">
        <f>'2.4.Функции'!HL139+"BYw!$}c"</f>
        <v>#VALUE!</v>
      </c>
      <c r="BN62" t="e">
        <f>'2.4.Функции'!HM139+"BYw!$}d"</f>
        <v>#VALUE!</v>
      </c>
      <c r="BO62" t="e">
        <f>'2.4.Функции'!HN139+"BYw!$}e"</f>
        <v>#VALUE!</v>
      </c>
      <c r="BP62" t="e">
        <f>'2.4.Функции'!HO139+"BYw!$}f"</f>
        <v>#VALUE!</v>
      </c>
      <c r="BQ62" t="e">
        <f>'2.4.Функции'!HP139+"BYw!$}g"</f>
        <v>#VALUE!</v>
      </c>
      <c r="BR62" t="e">
        <f>'2.4.Функции'!HQ139+"BYw!$}h"</f>
        <v>#VALUE!</v>
      </c>
      <c r="BS62" t="e">
        <f>'2.4.Функции'!HR139+"BYw!$}i"</f>
        <v>#VALUE!</v>
      </c>
      <c r="BT62" t="e">
        <f>'2.4.Функции'!HS139+"BYw!$}j"</f>
        <v>#VALUE!</v>
      </c>
      <c r="BU62" t="e">
        <f>'2.4.Функции'!HT139+"BYw!$}k"</f>
        <v>#VALUE!</v>
      </c>
      <c r="BV62" t="e">
        <f>'2.4.Функции'!HU139+"BYw!$}l"</f>
        <v>#VALUE!</v>
      </c>
      <c r="BW62" t="e">
        <f>'2.4.Функции'!HV139+"BYw!$}m"</f>
        <v>#VALUE!</v>
      </c>
      <c r="BX62" t="e">
        <f>'2.4.Функции'!HW139+"BYw!$}n"</f>
        <v>#VALUE!</v>
      </c>
      <c r="BY62" t="e">
        <f>'2.4.Функции'!HX139+"BYw!$}o"</f>
        <v>#VALUE!</v>
      </c>
      <c r="BZ62" t="e">
        <f>'2.4.Функции'!HY139+"BYw!$}p"</f>
        <v>#VALUE!</v>
      </c>
      <c r="CA62" t="e">
        <f>'2.4.Функции'!HZ139+"BYw!$}q"</f>
        <v>#VALUE!</v>
      </c>
      <c r="CB62" t="e">
        <f>'2.4.Функции'!IA139+"BYw!$}r"</f>
        <v>#VALUE!</v>
      </c>
      <c r="CC62" t="e">
        <f>'2.4.Функции'!IB139+"BYw!$}s"</f>
        <v>#VALUE!</v>
      </c>
      <c r="CD62" t="e">
        <f>'2.4.Функции'!IC139+"BYw!$}t"</f>
        <v>#VALUE!</v>
      </c>
      <c r="CE62" t="e">
        <f>'2.4.Функции'!ID139+"BYw!$}u"</f>
        <v>#VALUE!</v>
      </c>
      <c r="CF62" t="e">
        <f>'2.4.Функции'!IE139+"BYw!$}v"</f>
        <v>#VALUE!</v>
      </c>
      <c r="CG62" t="e">
        <f>'2.4.Функции'!IF139+"BYw!$}w"</f>
        <v>#VALUE!</v>
      </c>
      <c r="CH62" t="e">
        <f>'2.4.Функции'!IG139+"BYw!$}x"</f>
        <v>#VALUE!</v>
      </c>
      <c r="CI62" t="e">
        <f>'2.4.Функции'!IH139+"BYw!$}y"</f>
        <v>#VALUE!</v>
      </c>
      <c r="CJ62" t="e">
        <f>'2.4.Функции'!II139+"BYw!$}z"</f>
        <v>#VALUE!</v>
      </c>
      <c r="CK62" t="e">
        <f>'2.4.Функции'!IJ139+"BYw!$}{"</f>
        <v>#VALUE!</v>
      </c>
      <c r="CL62" t="e">
        <f>'2.4.Функции'!IK139+"BYw!$}|"</f>
        <v>#VALUE!</v>
      </c>
      <c r="CM62" t="e">
        <f>'2.4.Функции'!IL139+"BYw!$}}"</f>
        <v>#VALUE!</v>
      </c>
      <c r="CN62" t="e">
        <f>'2.4.Функции'!IM139+"BYw!$}~"</f>
        <v>#VALUE!</v>
      </c>
      <c r="CO62" t="e">
        <f>'2.4.Функции'!IN139+"BYw!$~#"</f>
        <v>#VALUE!</v>
      </c>
      <c r="CP62" t="e">
        <f>'2.4.Функции'!IO139+"BYw!$~$"</f>
        <v>#VALUE!</v>
      </c>
      <c r="CQ62" t="e">
        <f>'2.4.Функции'!IP139+"BYw!$~%"</f>
        <v>#VALUE!</v>
      </c>
      <c r="CR62" t="e">
        <f>'2.4.Функции'!IQ139+"BYw!$~&amp;"</f>
        <v>#VALUE!</v>
      </c>
      <c r="CS62" t="e">
        <f>'2.4.Функции'!IR139+"BYw!$~'"</f>
        <v>#VALUE!</v>
      </c>
      <c r="CT62" t="e">
        <f>'2.4.Функции'!IS139+"BYw!$~("</f>
        <v>#VALUE!</v>
      </c>
      <c r="CU62" t="e">
        <f>'2.4.Функции'!IT139+"BYw!$~)"</f>
        <v>#VALUE!</v>
      </c>
      <c r="CV62" t="e">
        <f>'2.4.Функции'!IU139+"BYw!$~."</f>
        <v>#VALUE!</v>
      </c>
      <c r="CW62" t="e">
        <f>'2.4.Функции'!IV139+"BYw!$~/"</f>
        <v>#VALUE!</v>
      </c>
      <c r="CX62" t="e">
        <f>'2.4.Функции'!IW139+"BYw!$~0"</f>
        <v>#VALUE!</v>
      </c>
      <c r="CY62" t="e">
        <f>'2.4.Функции'!IX139+"BYw!$~1"</f>
        <v>#VALUE!</v>
      </c>
      <c r="CZ62" t="e">
        <f>'2.4.Функции'!IY139+"BYw!$~2"</f>
        <v>#VALUE!</v>
      </c>
      <c r="DA62" t="e">
        <f>'2.4.Функции'!IZ139+"BYw!$~3"</f>
        <v>#VALUE!</v>
      </c>
      <c r="DB62" t="e">
        <f>'2.4.Функции'!JA139+"BYw!$~4"</f>
        <v>#VALUE!</v>
      </c>
      <c r="DC62" t="e">
        <f>'2.4.Функции'!JB139+"BYw!$~5"</f>
        <v>#VALUE!</v>
      </c>
      <c r="DD62" t="e">
        <f>'2.4.Функции'!JC139+"BYw!$~6"</f>
        <v>#VALUE!</v>
      </c>
      <c r="DE62" t="e">
        <f>'2.4.Функции'!JD139+"BYw!$~7"</f>
        <v>#VALUE!</v>
      </c>
      <c r="DF62" t="e">
        <f>'2.4.Функции'!JE139+"BYw!$~8"</f>
        <v>#VALUE!</v>
      </c>
      <c r="DG62" t="e">
        <f>'2.4.Функции'!JF139+"BYw!$~9"</f>
        <v>#VALUE!</v>
      </c>
      <c r="DH62" t="e">
        <f>'2.4.Функции'!JG139+"BYw!$~:"</f>
        <v>#VALUE!</v>
      </c>
      <c r="DI62" t="e">
        <f>'2.4.Функции'!JH139+"BYw!$~;"</f>
        <v>#VALUE!</v>
      </c>
      <c r="DJ62" t="e">
        <f>'2.4.Функции'!JI139+"BYw!$~&lt;"</f>
        <v>#VALUE!</v>
      </c>
      <c r="DK62" t="e">
        <f>'2.4.Функции'!JJ139+"BYw!$~="</f>
        <v>#VALUE!</v>
      </c>
      <c r="DL62" t="e">
        <f>'2.4.Функции'!JK139+"BYw!$~&gt;"</f>
        <v>#VALUE!</v>
      </c>
      <c r="DM62" t="e">
        <f>'2.4.Функции'!JL139+"BYw!$~?"</f>
        <v>#VALUE!</v>
      </c>
      <c r="DN62" t="e">
        <f>'2.4.Функции'!JM139+"BYw!$~@"</f>
        <v>#VALUE!</v>
      </c>
      <c r="DO62" t="e">
        <f>'2.4.Функции'!JN139+"BYw!$~A"</f>
        <v>#VALUE!</v>
      </c>
      <c r="DP62" t="e">
        <f>'2.4.Функции'!JO139+"BYw!$~B"</f>
        <v>#VALUE!</v>
      </c>
      <c r="DQ62" t="e">
        <f>'2.4.Функции'!JP139+"BYw!$~C"</f>
        <v>#VALUE!</v>
      </c>
      <c r="DR62" t="e">
        <f>'2.4.Функции'!JQ139+"BYw!$~D"</f>
        <v>#VALUE!</v>
      </c>
      <c r="DS62" t="e">
        <f>'2.4.Функции'!JR139+"BYw!$~E"</f>
        <v>#VALUE!</v>
      </c>
      <c r="DT62" t="e">
        <f>'2.4.Функции'!JS139+"BYw!$~F"</f>
        <v>#VALUE!</v>
      </c>
      <c r="DU62" t="e">
        <f>'2.4.Функции'!JT139+"BYw!$~G"</f>
        <v>#VALUE!</v>
      </c>
      <c r="DV62" t="e">
        <f>'2.4.Функции'!JU139+"BYw!$~H"</f>
        <v>#VALUE!</v>
      </c>
      <c r="DW62" t="e">
        <f>'2.4.Функции'!JV139+"BYw!$~I"</f>
        <v>#VALUE!</v>
      </c>
      <c r="DX62" t="e">
        <f>'2.4.Функции'!JW139+"BYw!$~J"</f>
        <v>#VALUE!</v>
      </c>
      <c r="DY62" t="e">
        <f>'2.4.Функции'!JX139+"BYw!$~K"</f>
        <v>#VALUE!</v>
      </c>
      <c r="DZ62" t="e">
        <f>'2.4.Функции'!JY139+"BYw!$~L"</f>
        <v>#VALUE!</v>
      </c>
      <c r="EA62" t="e">
        <f>'2.4.Функции'!JZ139+"BYw!$~M"</f>
        <v>#VALUE!</v>
      </c>
      <c r="EB62" t="e">
        <f>'2.4.Функции'!KA139+"BYw!$~N"</f>
        <v>#VALUE!</v>
      </c>
      <c r="EC62" t="e">
        <f>'2.4.Функции'!KB139+"BYw!$~O"</f>
        <v>#VALUE!</v>
      </c>
      <c r="ED62" t="e">
        <f>'2.4.Функции'!KC139+"BYw!$~P"</f>
        <v>#VALUE!</v>
      </c>
      <c r="EE62" t="e">
        <f>'2.4.Функции'!KD139+"BYw!$~Q"</f>
        <v>#VALUE!</v>
      </c>
      <c r="EF62" t="e">
        <f>'2.4.Функции'!KE139+"BYw!$~R"</f>
        <v>#VALUE!</v>
      </c>
      <c r="EG62" t="e">
        <f>'2.4.Функции'!KF139+"BYw!$~S"</f>
        <v>#VALUE!</v>
      </c>
      <c r="EH62" t="e">
        <f>'2.4.Функции'!KG139+"BYw!$~T"</f>
        <v>#VALUE!</v>
      </c>
      <c r="EI62" t="e">
        <f>'2.4.Функции'!KH139+"BYw!$~U"</f>
        <v>#VALUE!</v>
      </c>
      <c r="EJ62" t="e">
        <f>'2.4.Функции'!KI139+"BYw!$~V"</f>
        <v>#VALUE!</v>
      </c>
      <c r="EK62" t="e">
        <f>'2.4.Функции'!KJ139+"BYw!$~W"</f>
        <v>#VALUE!</v>
      </c>
      <c r="EL62" t="e">
        <f>'2.4.Функции'!KK139+"BYw!$~X"</f>
        <v>#VALUE!</v>
      </c>
      <c r="EM62" t="e">
        <f>'2.4.Функции'!KL139+"BYw!$~Y"</f>
        <v>#VALUE!</v>
      </c>
      <c r="EN62" t="e">
        <f>'2.4.Функции'!KM139+"BYw!$~Z"</f>
        <v>#VALUE!</v>
      </c>
      <c r="EO62" t="e">
        <f>'2.4.Функции'!KN139+"BYw!$~["</f>
        <v>#VALUE!</v>
      </c>
      <c r="EP62" t="e">
        <f>'2.4.Функции'!KO139+"BYw!$~\"</f>
        <v>#VALUE!</v>
      </c>
      <c r="EQ62" t="e">
        <f>'2.4.Функции'!KP139+"BYw!$~]"</f>
        <v>#VALUE!</v>
      </c>
      <c r="ER62" t="e">
        <f>'2.4.Функции'!KQ139+"BYw!$~^"</f>
        <v>#VALUE!</v>
      </c>
      <c r="ES62" t="e">
        <f>'2.4.Функции'!KR139+"BYw!$~_"</f>
        <v>#VALUE!</v>
      </c>
      <c r="ET62" t="e">
        <f>'2.4.Функции'!KS139+"BYw!$~`"</f>
        <v>#VALUE!</v>
      </c>
      <c r="EU62" t="e">
        <f>'2.4.Функции'!KT139+"BYw!$~a"</f>
        <v>#VALUE!</v>
      </c>
      <c r="EV62" t="e">
        <f>'2.4.Функции'!KU139+"BYw!$~b"</f>
        <v>#VALUE!</v>
      </c>
      <c r="EW62" t="e">
        <f>'2.4.Функции'!KV139+"BYw!$~c"</f>
        <v>#VALUE!</v>
      </c>
      <c r="EX62" t="e">
        <f>'2.4.Функции'!KW139+"BYw!$~d"</f>
        <v>#VALUE!</v>
      </c>
      <c r="EY62" t="e">
        <f>'2.4.Функции'!KX139+"BYw!$~e"</f>
        <v>#VALUE!</v>
      </c>
      <c r="EZ62" t="e">
        <f>'2.4.Функции'!KY139+"BYw!$~f"</f>
        <v>#VALUE!</v>
      </c>
      <c r="FA62" t="e">
        <f>'2.4.Функции'!KZ139+"BYw!$~g"</f>
        <v>#VALUE!</v>
      </c>
      <c r="FB62" t="e">
        <f>'2.4.Функции'!LA139+"BYw!$~h"</f>
        <v>#VALUE!</v>
      </c>
      <c r="FC62" t="e">
        <f>'2.4.Функции'!LB139+"BYw!$~i"</f>
        <v>#VALUE!</v>
      </c>
      <c r="FD62" t="e">
        <f>'2.4.Функции'!LC139+"BYw!$~j"</f>
        <v>#VALUE!</v>
      </c>
      <c r="FE62" t="e">
        <f>'2.4.Функции'!LD139+"BYw!$~k"</f>
        <v>#VALUE!</v>
      </c>
      <c r="FF62" t="e">
        <f>'2.4.Функции'!LE139+"BYw!$~l"</f>
        <v>#VALUE!</v>
      </c>
      <c r="FG62" t="e">
        <f>'2.4.Функции'!LF139+"BYw!$~m"</f>
        <v>#VALUE!</v>
      </c>
      <c r="FH62" t="e">
        <f>'2.4.Функции'!LG139+"BYw!$~n"</f>
        <v>#VALUE!</v>
      </c>
      <c r="FI62" t="e">
        <f>'2.4.Функции'!LH139+"BYw!$~o"</f>
        <v>#VALUE!</v>
      </c>
      <c r="FJ62" t="e">
        <f>'2.4.Функции'!LI139+"BYw!$~p"</f>
        <v>#VALUE!</v>
      </c>
      <c r="FK62" t="e">
        <f>'2.4.Функции'!LJ139+"BYw!$~q"</f>
        <v>#VALUE!</v>
      </c>
      <c r="FL62" t="e">
        <f>'2.4.Функции'!LK139+"BYw!$~r"</f>
        <v>#VALUE!</v>
      </c>
      <c r="FM62" t="e">
        <f>'2.4.Функции'!LL139+"BYw!$~s"</f>
        <v>#VALUE!</v>
      </c>
      <c r="FN62" t="e">
        <f>'2.4.Функции'!LM139+"BYw!$~t"</f>
        <v>#VALUE!</v>
      </c>
      <c r="FO62" t="e">
        <f>'2.4.Функции'!LN139+"BYw!$~u"</f>
        <v>#VALUE!</v>
      </c>
      <c r="FP62" t="e">
        <f>'2.4.Функции'!LO139+"BYw!$~v"</f>
        <v>#VALUE!</v>
      </c>
      <c r="FQ62" t="e">
        <f>'2.4.Функции'!LP139+"BYw!$~w"</f>
        <v>#VALUE!</v>
      </c>
      <c r="FR62" t="e">
        <f>'2.4.Функции'!LQ139+"BYw!$~x"</f>
        <v>#VALUE!</v>
      </c>
      <c r="FS62" t="e">
        <f>'2.4.Функции'!LR139+"BYw!$~y"</f>
        <v>#VALUE!</v>
      </c>
      <c r="FT62" t="e">
        <f>'2.4.Функции'!LS139+"BYw!$~z"</f>
        <v>#VALUE!</v>
      </c>
      <c r="FU62" t="e">
        <f>'2.4.Функции'!LT139+"BYw!$~{"</f>
        <v>#VALUE!</v>
      </c>
      <c r="FV62" t="e">
        <f>'2.4.Функции'!LU139+"BYw!$~|"</f>
        <v>#VALUE!</v>
      </c>
      <c r="FW62" t="e">
        <f>'2.4.Функции'!LV139+"BYw!$~}"</f>
        <v>#VALUE!</v>
      </c>
      <c r="FX62" t="e">
        <f>'2.4.Функции'!LW139+"BYw!$~~"</f>
        <v>#VALUE!</v>
      </c>
      <c r="FY62" t="e">
        <f>'2.4.Функции'!LX139+"BYw!%##"</f>
        <v>#VALUE!</v>
      </c>
      <c r="FZ62" t="e">
        <f>'2.4.Функции'!LY139+"BYw!%#$"</f>
        <v>#VALUE!</v>
      </c>
      <c r="GA62" t="e">
        <f>'2.4.Функции'!LZ139+"BYw!%#%"</f>
        <v>#VALUE!</v>
      </c>
      <c r="GB62" t="e">
        <f>'2.4.Функции'!MA139+"BYw!%#&amp;"</f>
        <v>#VALUE!</v>
      </c>
      <c r="GC62" t="e">
        <f>'2.4.Функции'!MB139+"BYw!%#'"</f>
        <v>#VALUE!</v>
      </c>
      <c r="GD62" t="e">
        <f>'2.4.Функции'!MC139+"BYw!%#("</f>
        <v>#VALUE!</v>
      </c>
      <c r="GE62" t="e">
        <f>'2.4.Функции'!MD139+"BYw!%#)"</f>
        <v>#VALUE!</v>
      </c>
      <c r="GF62" t="e">
        <f>'2.4.Функции'!ME139+"BYw!%#."</f>
        <v>#VALUE!</v>
      </c>
      <c r="GG62" t="e">
        <f>'2.4.Функции'!MF139+"BYw!%#/"</f>
        <v>#VALUE!</v>
      </c>
      <c r="GH62" t="e">
        <f>'2.4.Функции'!MG139+"BYw!%#0"</f>
        <v>#VALUE!</v>
      </c>
      <c r="GI62" t="e">
        <f>'2.4.Функции'!MH139+"BYw!%#1"</f>
        <v>#VALUE!</v>
      </c>
      <c r="GJ62" t="e">
        <f>'2.4.Функции'!MI139+"BYw!%#2"</f>
        <v>#VALUE!</v>
      </c>
      <c r="GK62" t="e">
        <f>'2.4.Функции'!MJ139+"BYw!%#3"</f>
        <v>#VALUE!</v>
      </c>
      <c r="GL62" t="e">
        <f>'2.4.Функции'!MK139+"BYw!%#4"</f>
        <v>#VALUE!</v>
      </c>
      <c r="GM62" t="e">
        <f>'2.4.Функции'!ML139+"BYw!%#5"</f>
        <v>#VALUE!</v>
      </c>
      <c r="GN62" t="e">
        <f>'2.4.Функции'!MM139+"BYw!%#6"</f>
        <v>#VALUE!</v>
      </c>
      <c r="GO62" t="e">
        <f>'2.4.Функции'!MN139+"BYw!%#7"</f>
        <v>#VALUE!</v>
      </c>
      <c r="GP62" t="e">
        <f>'2.4.Функции'!MO139+"BYw!%#8"</f>
        <v>#VALUE!</v>
      </c>
      <c r="GQ62" t="e">
        <f>'2.4.Функции'!MP139+"BYw!%#9"</f>
        <v>#VALUE!</v>
      </c>
      <c r="GR62" t="e">
        <f>'2.4.Функции'!MQ139+"BYw!%#:"</f>
        <v>#VALUE!</v>
      </c>
      <c r="GS62" t="e">
        <f>'2.4.Функции'!MR139+"BYw!%#;"</f>
        <v>#VALUE!</v>
      </c>
      <c r="GT62" t="e">
        <f>'2.4.Функции'!MS139+"BYw!%#&lt;"</f>
        <v>#VALUE!</v>
      </c>
      <c r="GU62" t="e">
        <f>'2.4.Функции'!MT139+"BYw!%#="</f>
        <v>#VALUE!</v>
      </c>
      <c r="GV62" t="e">
        <f>'2.4.Функции'!MU139+"BYw!%#&gt;"</f>
        <v>#VALUE!</v>
      </c>
      <c r="GW62" t="e">
        <f>'2.4.Функции'!MV139+"BYw!%#?"</f>
        <v>#VALUE!</v>
      </c>
      <c r="GX62" t="e">
        <f>'2.4.Функции'!MW139+"BYw!%#@"</f>
        <v>#VALUE!</v>
      </c>
      <c r="GY62" t="e">
        <f>'2.4.Функции'!MX139+"BYw!%#A"</f>
        <v>#VALUE!</v>
      </c>
      <c r="GZ62" t="e">
        <f>'2.4.Функции'!MY139+"BYw!%#B"</f>
        <v>#VALUE!</v>
      </c>
      <c r="HA62" t="e">
        <f>'2.4.Функции'!MZ139+"BYw!%#C"</f>
        <v>#VALUE!</v>
      </c>
      <c r="HB62" t="e">
        <f>'2.4.Функции'!NA139+"BYw!%#D"</f>
        <v>#VALUE!</v>
      </c>
      <c r="HC62" t="e">
        <f>'2.4.Функции'!NB139+"BYw!%#E"</f>
        <v>#VALUE!</v>
      </c>
      <c r="HD62" t="e">
        <f>'2.4.Функции'!NC139+"BYw!%#F"</f>
        <v>#VALUE!</v>
      </c>
      <c r="HE62" t="e">
        <f>'2.4.Функции'!ND139+"BYw!%#G"</f>
        <v>#VALUE!</v>
      </c>
      <c r="HF62" t="e">
        <f>'2.4.Функции'!NE139+"BYw!%#H"</f>
        <v>#VALUE!</v>
      </c>
      <c r="HG62" t="e">
        <f>'2.4.Функции'!NF139+"BYw!%#I"</f>
        <v>#VALUE!</v>
      </c>
      <c r="HH62" t="e">
        <f>'2.4.Функции'!NG139+"BYw!%#J"</f>
        <v>#VALUE!</v>
      </c>
      <c r="HI62" t="e">
        <f>'2.4.Функции'!NH139+"BYw!%#K"</f>
        <v>#VALUE!</v>
      </c>
      <c r="HJ62" t="e">
        <f>'2.4.Функции'!NI139+"BYw!%#L"</f>
        <v>#VALUE!</v>
      </c>
      <c r="HK62" t="e">
        <f>'2.4.Функции'!NJ139+"BYw!%#M"</f>
        <v>#VALUE!</v>
      </c>
      <c r="HL62" t="e">
        <f>'2.4.Функции'!NK139+"BYw!%#N"</f>
        <v>#VALUE!</v>
      </c>
      <c r="HM62" t="e">
        <f>'2.4.Функции'!NL139+"BYw!%#O"</f>
        <v>#VALUE!</v>
      </c>
      <c r="HN62" t="e">
        <f>'2.4.Функции'!NM139+"BYw!%#P"</f>
        <v>#VALUE!</v>
      </c>
      <c r="HO62" t="e">
        <f>'2.4.Функции'!NN139+"BYw!%#Q"</f>
        <v>#VALUE!</v>
      </c>
      <c r="HP62" t="e">
        <f>'2.4.Функции'!NO139+"BYw!%#R"</f>
        <v>#VALUE!</v>
      </c>
      <c r="HQ62" t="e">
        <f>'2.4.Функции'!NP139+"BYw!%#S"</f>
        <v>#VALUE!</v>
      </c>
      <c r="HR62" t="e">
        <f>'2.4.Функции'!NQ139+"BYw!%#T"</f>
        <v>#VALUE!</v>
      </c>
      <c r="HS62" t="e">
        <f>'2.4.Функции'!NR139+"BYw!%#U"</f>
        <v>#VALUE!</v>
      </c>
      <c r="HT62" t="e">
        <f>'2.4.Функции'!NS139+"BYw!%#V"</f>
        <v>#VALUE!</v>
      </c>
      <c r="HU62" t="e">
        <f>'2.4.Функции'!NT139+"BYw!%#W"</f>
        <v>#VALUE!</v>
      </c>
      <c r="HV62" t="e">
        <f>'2.4.Функции'!NU139+"BYw!%#X"</f>
        <v>#VALUE!</v>
      </c>
      <c r="HW62" t="e">
        <f>'2.4.Функции'!NV139+"BYw!%#Y"</f>
        <v>#VALUE!</v>
      </c>
      <c r="HX62" t="e">
        <f>'2.4.Функции'!NW139+"BYw!%#Z"</f>
        <v>#VALUE!</v>
      </c>
      <c r="HY62" t="e">
        <f>'2.4.Функции'!NX139+"BYw!%#["</f>
        <v>#VALUE!</v>
      </c>
      <c r="HZ62" t="e">
        <f>'2.4.Функции'!NY139+"BYw!%#\"</f>
        <v>#VALUE!</v>
      </c>
      <c r="IA62" t="e">
        <f>'2.4.Функции'!NZ139+"BYw!%#]"</f>
        <v>#VALUE!</v>
      </c>
      <c r="IB62" t="e">
        <f>'2.4.Функции'!OA139+"BYw!%#^"</f>
        <v>#VALUE!</v>
      </c>
      <c r="IC62" t="e">
        <f>'2.4.Функции'!OB139+"BYw!%#_"</f>
        <v>#VALUE!</v>
      </c>
      <c r="ID62" t="e">
        <f>'2.4.Функции'!OC139+"BYw!%#`"</f>
        <v>#VALUE!</v>
      </c>
      <c r="IE62" t="e">
        <f>'2.4.Функции'!OD139+"BYw!%#a"</f>
        <v>#VALUE!</v>
      </c>
      <c r="IF62" t="e">
        <f>'2.4.Функции'!OE139+"BYw!%#b"</f>
        <v>#VALUE!</v>
      </c>
      <c r="IG62" t="e">
        <f>'2.4.Функции'!OF139+"BYw!%#c"</f>
        <v>#VALUE!</v>
      </c>
      <c r="IH62" t="e">
        <f>'2.4.Функции'!OG139+"BYw!%#d"</f>
        <v>#VALUE!</v>
      </c>
      <c r="II62" t="e">
        <f>'2.4.Функции'!OH139+"BYw!%#e"</f>
        <v>#VALUE!</v>
      </c>
      <c r="IJ62" t="e">
        <f>'2.4.Функции'!OI139+"BYw!%#f"</f>
        <v>#VALUE!</v>
      </c>
      <c r="IK62" t="e">
        <f>'2.4.Функции'!OJ139+"BYw!%#g"</f>
        <v>#VALUE!</v>
      </c>
      <c r="IL62" t="e">
        <f>'2.4.Функции'!OK139+"BYw!%#h"</f>
        <v>#VALUE!</v>
      </c>
      <c r="IM62" t="e">
        <f>'2.4.Функции'!OL139+"BYw!%#i"</f>
        <v>#VALUE!</v>
      </c>
      <c r="IN62" t="e">
        <f>'2.4.Функции'!OM139+"BYw!%#j"</f>
        <v>#VALUE!</v>
      </c>
      <c r="IO62" t="e">
        <f>'2.4.Функции'!ON139+"BYw!%#k"</f>
        <v>#VALUE!</v>
      </c>
      <c r="IP62" t="e">
        <f>'2.4.Функции'!OO139+"BYw!%#l"</f>
        <v>#VALUE!</v>
      </c>
      <c r="IQ62" t="e">
        <f>'2.4.Функции'!OP139+"BYw!%#m"</f>
        <v>#VALUE!</v>
      </c>
      <c r="IR62" t="e">
        <f>'2.4.Функции'!OQ139+"BYw!%#n"</f>
        <v>#VALUE!</v>
      </c>
      <c r="IS62" t="e">
        <f>'2.4.Функции'!OR139+"BYw!%#o"</f>
        <v>#VALUE!</v>
      </c>
      <c r="IT62" t="e">
        <f>'2.4.Функции'!OS139+"BYw!%#p"</f>
        <v>#VALUE!</v>
      </c>
      <c r="IU62" t="e">
        <f>'2.4.Функции'!OT139+"BYw!%#q"</f>
        <v>#VALUE!</v>
      </c>
      <c r="IV62" t="e">
        <f>'2.4.Функции'!OU139+"BYw!%#r"</f>
        <v>#VALUE!</v>
      </c>
    </row>
    <row r="63" spans="6:256" x14ac:dyDescent="0.2">
      <c r="F63" t="e">
        <f>'2.4.Функции'!OV139+"BYw!%#s"</f>
        <v>#VALUE!</v>
      </c>
      <c r="G63" t="e">
        <f>'2.4.Функции'!OW139+"BYw!%#t"</f>
        <v>#VALUE!</v>
      </c>
      <c r="H63" t="e">
        <f>'2.4.Функции'!OX139+"BYw!%#u"</f>
        <v>#VALUE!</v>
      </c>
      <c r="I63" t="e">
        <f>'2.4.Функции'!OY139+"BYw!%#v"</f>
        <v>#VALUE!</v>
      </c>
      <c r="J63" t="e">
        <f>'2.4.Функции'!OZ139+"BYw!%#w"</f>
        <v>#VALUE!</v>
      </c>
      <c r="K63" t="e">
        <f>'2.4.Функции'!PA139+"BYw!%#x"</f>
        <v>#VALUE!</v>
      </c>
      <c r="L63" t="e">
        <f>'2.4.Функции'!PB139+"BYw!%#y"</f>
        <v>#VALUE!</v>
      </c>
      <c r="M63" t="e">
        <f>'2.4.Функции'!PC139+"BYw!%#z"</f>
        <v>#VALUE!</v>
      </c>
      <c r="N63" t="e">
        <f>'2.4.Функции'!PD139+"BYw!%#{"</f>
        <v>#VALUE!</v>
      </c>
      <c r="O63" t="e">
        <f>'2.4.Функции'!PE139+"BYw!%#|"</f>
        <v>#VALUE!</v>
      </c>
      <c r="P63" t="e">
        <f>'2.4.Функции'!PF139+"BYw!%#}"</f>
        <v>#VALUE!</v>
      </c>
      <c r="Q63" t="e">
        <f>'2.4.Функции'!PG139+"BYw!%#~"</f>
        <v>#VALUE!</v>
      </c>
      <c r="R63" t="e">
        <f>'2.4.Функции'!PH139+"BYw!%$#"</f>
        <v>#VALUE!</v>
      </c>
      <c r="S63" t="e">
        <f>'2.4.Функции'!PI139+"BYw!%$$"</f>
        <v>#VALUE!</v>
      </c>
      <c r="T63" t="e">
        <f>'2.4.Функции'!PJ139+"BYw!%$%"</f>
        <v>#VALUE!</v>
      </c>
      <c r="U63" t="e">
        <f>'2.4.Функции'!PK139+"BYw!%$&amp;"</f>
        <v>#VALUE!</v>
      </c>
      <c r="V63" t="e">
        <f>'2.4.Функции'!PL139+"BYw!%$'"</f>
        <v>#VALUE!</v>
      </c>
      <c r="W63" t="e">
        <f>'2.4.Функции'!PM139+"BYw!%$("</f>
        <v>#VALUE!</v>
      </c>
      <c r="X63" t="e">
        <f>'2.4.Функции'!PN139+"BYw!%$)"</f>
        <v>#VALUE!</v>
      </c>
      <c r="Y63" t="e">
        <f>'2.4.Функции'!PO139+"BYw!%$."</f>
        <v>#VALUE!</v>
      </c>
      <c r="Z63" t="e">
        <f>'2.4.Функции'!PP139+"BYw!%$/"</f>
        <v>#VALUE!</v>
      </c>
      <c r="AA63" t="e">
        <f>'2.4.Функции'!PQ139+"BYw!%$0"</f>
        <v>#VALUE!</v>
      </c>
      <c r="AB63" t="e">
        <f>'2.4.Функции'!PR139+"BYw!%$1"</f>
        <v>#VALUE!</v>
      </c>
      <c r="AC63" t="e">
        <f>'2.4.Функции'!PS139+"BYw!%$2"</f>
        <v>#VALUE!</v>
      </c>
      <c r="AD63" t="e">
        <f>'2.4.Функции'!PT139+"BYw!%$3"</f>
        <v>#VALUE!</v>
      </c>
      <c r="AE63" t="e">
        <f>'2.4.Функции'!PU139+"BYw!%$4"</f>
        <v>#VALUE!</v>
      </c>
      <c r="AF63" t="e">
        <f>'2.4.Функции'!PV139+"BYw!%$5"</f>
        <v>#VALUE!</v>
      </c>
      <c r="AG63" t="e">
        <f>'2.4.Функции'!PW139+"BYw!%$6"</f>
        <v>#VALUE!</v>
      </c>
      <c r="AH63" t="e">
        <f>'2.4.Функции'!PX139+"BYw!%$7"</f>
        <v>#VALUE!</v>
      </c>
      <c r="AI63" t="e">
        <f>'2.4.Функции'!PY139+"BYw!%$8"</f>
        <v>#VALUE!</v>
      </c>
      <c r="AJ63" t="e">
        <f>'2.4.Функции'!PZ139+"BYw!%$9"</f>
        <v>#VALUE!</v>
      </c>
      <c r="AK63" t="e">
        <f>'2.4.Функции'!QA139+"BYw!%$:"</f>
        <v>#VALUE!</v>
      </c>
      <c r="AL63" t="e">
        <f>'2.4.Функции'!QB139+"BYw!%$;"</f>
        <v>#VALUE!</v>
      </c>
      <c r="AM63" t="e">
        <f>'2.4.Функции'!QC139+"BYw!%$&lt;"</f>
        <v>#VALUE!</v>
      </c>
      <c r="AN63" t="e">
        <f>'2.4.Функции'!QD139+"BYw!%$="</f>
        <v>#VALUE!</v>
      </c>
      <c r="AO63" t="e">
        <f>'2.4.Функции'!QE139+"BYw!%$&gt;"</f>
        <v>#VALUE!</v>
      </c>
      <c r="AP63" t="e">
        <f>'2.4.Функции'!QF139+"BYw!%$?"</f>
        <v>#VALUE!</v>
      </c>
      <c r="AQ63" t="e">
        <f>'2.4.Функции'!QG139+"BYw!%$@"</f>
        <v>#VALUE!</v>
      </c>
      <c r="AR63" t="e">
        <f>'2.4.Функции'!QH139+"BYw!%$A"</f>
        <v>#VALUE!</v>
      </c>
      <c r="AS63" t="e">
        <f>'2.4.Функции'!QI139+"BYw!%$B"</f>
        <v>#VALUE!</v>
      </c>
      <c r="AT63" t="e">
        <f>'2.4.Функции'!QJ139+"BYw!%$C"</f>
        <v>#VALUE!</v>
      </c>
      <c r="AU63" t="e">
        <f>'2.4.Функции'!QK139+"BYw!%$D"</f>
        <v>#VALUE!</v>
      </c>
      <c r="AV63" t="e">
        <f>'2.4.Функции'!QL139+"BYw!%$E"</f>
        <v>#VALUE!</v>
      </c>
      <c r="AW63" t="e">
        <f>'2.4.Функции'!QM139+"BYw!%$F"</f>
        <v>#VALUE!</v>
      </c>
      <c r="AX63" t="e">
        <f>'2.4.Функции'!QN139+"BYw!%$G"</f>
        <v>#VALUE!</v>
      </c>
      <c r="AY63" t="e">
        <f>'2.4.Функции'!QO139+"BYw!%$H"</f>
        <v>#VALUE!</v>
      </c>
      <c r="AZ63" t="e">
        <f>'2.4.Функции'!QP139+"BYw!%$I"</f>
        <v>#VALUE!</v>
      </c>
      <c r="BA63" t="e">
        <f>'2.4.Функции'!QQ139+"BYw!%$J"</f>
        <v>#VALUE!</v>
      </c>
      <c r="BB63" t="e">
        <f>'2.4.Функции'!QR139+"BYw!%$K"</f>
        <v>#VALUE!</v>
      </c>
      <c r="BC63" t="e">
        <f>'2.4.Функции'!QS139+"BYw!%$L"</f>
        <v>#VALUE!</v>
      </c>
      <c r="BD63" t="e">
        <f>'2.4.Функции'!QT139+"BYw!%$M"</f>
        <v>#VALUE!</v>
      </c>
      <c r="BE63" t="e">
        <f>'2.4.Функции'!QU139+"BYw!%$N"</f>
        <v>#VALUE!</v>
      </c>
      <c r="BF63" t="e">
        <f>'2.4.Функции'!QV139+"BYw!%$O"</f>
        <v>#VALUE!</v>
      </c>
      <c r="BG63" t="e">
        <f>'2.4.Функции'!QW139+"BYw!%$P"</f>
        <v>#VALUE!</v>
      </c>
      <c r="BH63" t="e">
        <f>'2.4.Функции'!QX139+"BYw!%$Q"</f>
        <v>#VALUE!</v>
      </c>
      <c r="BI63" t="e">
        <f>'2.4.Функции'!QY139+"BYw!%$R"</f>
        <v>#VALUE!</v>
      </c>
      <c r="BJ63" t="e">
        <f>'2.4.Функции'!QZ139+"BYw!%$S"</f>
        <v>#VALUE!</v>
      </c>
      <c r="BK63" t="e">
        <f>'2.4.Функции'!RA139+"BYw!%$T"</f>
        <v>#VALUE!</v>
      </c>
      <c r="BL63" t="e">
        <f>'2.4.Функции'!RB139+"BYw!%$U"</f>
        <v>#VALUE!</v>
      </c>
      <c r="BM63" t="e">
        <f>'2.4.Функции'!RC139+"BYw!%$V"</f>
        <v>#VALUE!</v>
      </c>
      <c r="BN63" t="e">
        <f>'2.4.Функции'!RD139+"BYw!%$W"</f>
        <v>#VALUE!</v>
      </c>
      <c r="BO63" t="e">
        <f>'2.4.Функции'!RE139+"BYw!%$X"</f>
        <v>#VALUE!</v>
      </c>
      <c r="BP63" t="e">
        <f>'2.4.Функции'!RF139+"BYw!%$Y"</f>
        <v>#VALUE!</v>
      </c>
      <c r="BQ63" t="e">
        <f>'2.4.Функции'!RG139+"BYw!%$Z"</f>
        <v>#VALUE!</v>
      </c>
      <c r="BR63" t="e">
        <f>'2.4.Функции'!RH139+"BYw!%$["</f>
        <v>#VALUE!</v>
      </c>
      <c r="BS63" t="e">
        <f>'2.4.Функции'!RI139+"BYw!%$\"</f>
        <v>#VALUE!</v>
      </c>
      <c r="BT63" t="e">
        <f>'2.4.Функции'!RJ139+"BYw!%$]"</f>
        <v>#VALUE!</v>
      </c>
      <c r="BU63" t="e">
        <f>'2.4.Функции'!RK139+"BYw!%$^"</f>
        <v>#VALUE!</v>
      </c>
      <c r="BV63" t="e">
        <f>'2.4.Функции'!RL139+"BYw!%$_"</f>
        <v>#VALUE!</v>
      </c>
      <c r="BW63" t="e">
        <f>'2.4.Функции'!RM139+"BYw!%$`"</f>
        <v>#VALUE!</v>
      </c>
      <c r="BX63" t="e">
        <f>'2.4.Функции'!RN139+"BYw!%$a"</f>
        <v>#VALUE!</v>
      </c>
      <c r="BY63" t="e">
        <f>'2.4.Функции'!RO139+"BYw!%$b"</f>
        <v>#VALUE!</v>
      </c>
      <c r="BZ63" t="e">
        <f>'2.4.Функции'!RP139+"BYw!%$c"</f>
        <v>#VALUE!</v>
      </c>
      <c r="CA63" t="e">
        <f>'2.4.Функции'!RQ139+"BYw!%$d"</f>
        <v>#VALUE!</v>
      </c>
      <c r="CB63" t="e">
        <f>'2.4.Функции'!RR139+"BYw!%$e"</f>
        <v>#VALUE!</v>
      </c>
      <c r="CC63" t="e">
        <f>'2.4.Функции'!RS139+"BYw!%$f"</f>
        <v>#VALUE!</v>
      </c>
      <c r="CD63" t="e">
        <f>'2.4.Функции'!RT139+"BYw!%$g"</f>
        <v>#VALUE!</v>
      </c>
      <c r="CE63" t="e">
        <f>'2.4.Функции'!RU139+"BYw!%$h"</f>
        <v>#VALUE!</v>
      </c>
      <c r="CF63" t="e">
        <f>'2.4.Функции'!RV139+"BYw!%$i"</f>
        <v>#VALUE!</v>
      </c>
      <c r="CG63" t="e">
        <f>'2.4.Функции'!RW139+"BYw!%$j"</f>
        <v>#VALUE!</v>
      </c>
      <c r="CH63" t="e">
        <f>'2.4.Функции'!RX139+"BYw!%$k"</f>
        <v>#VALUE!</v>
      </c>
      <c r="CI63" t="e">
        <f>'2.4.Функции'!RY139+"BYw!%$l"</f>
        <v>#VALUE!</v>
      </c>
      <c r="CJ63" t="e">
        <f>'2.4.Функции'!RZ139+"BYw!%$m"</f>
        <v>#VALUE!</v>
      </c>
      <c r="CK63" t="e">
        <f>'2.4.Функции'!SA139+"BYw!%$n"</f>
        <v>#VALUE!</v>
      </c>
      <c r="CL63" t="e">
        <f>'2.4.Функции'!SB139+"BYw!%$o"</f>
        <v>#VALUE!</v>
      </c>
      <c r="CM63" t="e">
        <f>'2.4.Функции'!SC139+"BYw!%$p"</f>
        <v>#VALUE!</v>
      </c>
      <c r="CN63" t="e">
        <f>'2.4.Функции'!SD139+"BYw!%$q"</f>
        <v>#VALUE!</v>
      </c>
      <c r="CO63" t="e">
        <f>'2.4.Функции'!SE139+"BYw!%$r"</f>
        <v>#VALUE!</v>
      </c>
      <c r="CP63" t="e">
        <f>'2.4.Функции'!SF139+"BYw!%$s"</f>
        <v>#VALUE!</v>
      </c>
      <c r="CQ63" t="e">
        <f>'2.4.Функции'!SG139+"BYw!%$t"</f>
        <v>#VALUE!</v>
      </c>
      <c r="CR63" t="e">
        <f>'2.4.Функции'!SH139+"BYw!%$u"</f>
        <v>#VALUE!</v>
      </c>
      <c r="CS63" t="e">
        <f>'2.4.Функции'!SI139+"BYw!%$v"</f>
        <v>#VALUE!</v>
      </c>
      <c r="CT63" t="e">
        <f>'2.4.Функции'!SJ139+"BYw!%$w"</f>
        <v>#VALUE!</v>
      </c>
      <c r="CU63" t="e">
        <f>'2.4.Функции'!SK139+"BYw!%$x"</f>
        <v>#VALUE!</v>
      </c>
      <c r="CV63" t="e">
        <f>'2.4.Функции'!SL139+"BYw!%$y"</f>
        <v>#VALUE!</v>
      </c>
      <c r="CW63" t="e">
        <f>'2.4.Функции'!SM139+"BYw!%$z"</f>
        <v>#VALUE!</v>
      </c>
      <c r="CX63" t="e">
        <f>'2.4.Функции'!SN139+"BYw!%${"</f>
        <v>#VALUE!</v>
      </c>
      <c r="CY63" t="e">
        <f>'2.4.Функции'!SO139+"BYw!%$|"</f>
        <v>#VALUE!</v>
      </c>
      <c r="CZ63" t="e">
        <f>'2.4.Функции'!SP139+"BYw!%$}"</f>
        <v>#VALUE!</v>
      </c>
      <c r="DA63" t="e">
        <f>'2.4.Функции'!SQ139+"BYw!%$~"</f>
        <v>#VALUE!</v>
      </c>
      <c r="DB63" t="e">
        <f>'2.4.Функции'!SR139+"BYw!%%#"</f>
        <v>#VALUE!</v>
      </c>
      <c r="DC63" t="e">
        <f>'2.4.Функции'!SS139+"BYw!%%$"</f>
        <v>#VALUE!</v>
      </c>
      <c r="DD63" t="e">
        <f>'2.4.Функции'!ST139+"BYw!%%%"</f>
        <v>#VALUE!</v>
      </c>
      <c r="DE63" t="e">
        <f>'2.4.Функции'!SU139+"BYw!%%&amp;"</f>
        <v>#VALUE!</v>
      </c>
      <c r="DF63" t="e">
        <f>'2.4.Функции'!SV139+"BYw!%%'"</f>
        <v>#VALUE!</v>
      </c>
      <c r="DG63" t="e">
        <f>'2.4.Функции'!SW139+"BYw!%%("</f>
        <v>#VALUE!</v>
      </c>
      <c r="DH63" t="e">
        <f>'2.4.Функции'!SX139+"BYw!%%)"</f>
        <v>#VALUE!</v>
      </c>
      <c r="DI63" t="e">
        <f>'2.4.Функции'!SY139+"BYw!%%."</f>
        <v>#VALUE!</v>
      </c>
      <c r="DJ63" t="e">
        <f>'2.4.Функции'!SZ139+"BYw!%%/"</f>
        <v>#VALUE!</v>
      </c>
      <c r="DK63" t="e">
        <f>'2.4.Функции'!TA139+"BYw!%%0"</f>
        <v>#VALUE!</v>
      </c>
      <c r="DL63" t="e">
        <f>'2.4.Функции'!TB139+"BYw!%%1"</f>
        <v>#VALUE!</v>
      </c>
      <c r="DM63" t="e">
        <f>'2.4.Функции'!TC139+"BYw!%%2"</f>
        <v>#VALUE!</v>
      </c>
      <c r="DN63" t="e">
        <f>'2.4.Функции'!TD139+"BYw!%%3"</f>
        <v>#VALUE!</v>
      </c>
      <c r="DO63" t="e">
        <f>'2.4.Функции'!TE139+"BYw!%%4"</f>
        <v>#VALUE!</v>
      </c>
      <c r="DP63" t="e">
        <f>'2.4.Функции'!TF139+"BYw!%%5"</f>
        <v>#VALUE!</v>
      </c>
      <c r="DQ63" t="e">
        <f>'2.4.Функции'!TG139+"BYw!%%6"</f>
        <v>#VALUE!</v>
      </c>
      <c r="DR63" t="e">
        <f>'2.4.Функции'!TH139+"BYw!%%7"</f>
        <v>#VALUE!</v>
      </c>
      <c r="DS63" t="e">
        <f>'2.4.Функции'!TI139+"BYw!%%8"</f>
        <v>#VALUE!</v>
      </c>
      <c r="DT63" t="e">
        <f>'2.4.Функции'!TJ139+"BYw!%%9"</f>
        <v>#VALUE!</v>
      </c>
      <c r="DU63" t="e">
        <f>'2.4.Функции'!TK139+"BYw!%%:"</f>
        <v>#VALUE!</v>
      </c>
      <c r="DV63" t="e">
        <f>'2.4.Функции'!TL139+"BYw!%%;"</f>
        <v>#VALUE!</v>
      </c>
      <c r="DW63" t="e">
        <f>'2.4.Функции'!TM139+"BYw!%%&lt;"</f>
        <v>#VALUE!</v>
      </c>
      <c r="DX63" t="e">
        <f>'2.4.Функции'!TN139+"BYw!%%="</f>
        <v>#VALUE!</v>
      </c>
      <c r="DY63" t="e">
        <f>'2.4.Функции'!TO139+"BYw!%%&gt;"</f>
        <v>#VALUE!</v>
      </c>
      <c r="DZ63" t="e">
        <f>'2.4.Функции'!TP139+"BYw!%%?"</f>
        <v>#VALUE!</v>
      </c>
      <c r="EA63" t="e">
        <f>'2.4.Функции'!TQ139+"BYw!%%@"</f>
        <v>#VALUE!</v>
      </c>
      <c r="EB63" t="e">
        <f>'2.4.Функции'!TR139+"BYw!%%A"</f>
        <v>#VALUE!</v>
      </c>
      <c r="EC63" t="e">
        <f>'2.4.Функции'!TS139+"BYw!%%B"</f>
        <v>#VALUE!</v>
      </c>
      <c r="ED63" t="e">
        <f>'2.4.Функции'!TT139+"BYw!%%C"</f>
        <v>#VALUE!</v>
      </c>
      <c r="EE63" t="e">
        <f>'2.4.Функции'!TU139+"BYw!%%D"</f>
        <v>#VALUE!</v>
      </c>
      <c r="EF63" t="e">
        <f>'2.4.Функции'!TV139+"BYw!%%E"</f>
        <v>#VALUE!</v>
      </c>
      <c r="EG63" t="e">
        <f>'2.4.Функции'!TW139+"BYw!%%F"</f>
        <v>#VALUE!</v>
      </c>
      <c r="EH63" t="e">
        <f>'2.4.Функции'!TX139+"BYw!%%G"</f>
        <v>#VALUE!</v>
      </c>
      <c r="EI63" t="e">
        <f>'2.4.Функции'!TY139+"BYw!%%H"</f>
        <v>#VALUE!</v>
      </c>
      <c r="EJ63" t="e">
        <f>'2.4.Функции'!TZ139+"BYw!%%I"</f>
        <v>#VALUE!</v>
      </c>
      <c r="EK63" t="e">
        <f>'2.4.Функции'!UA139+"BYw!%%J"</f>
        <v>#VALUE!</v>
      </c>
      <c r="EL63" t="e">
        <f>'2.4.Функции'!UB139+"BYw!%%K"</f>
        <v>#VALUE!</v>
      </c>
      <c r="EM63" t="e">
        <f>'2.4.Функции'!UC139+"BYw!%%L"</f>
        <v>#VALUE!</v>
      </c>
      <c r="EN63" t="e">
        <f>'2.4.Функции'!UD139+"BYw!%%M"</f>
        <v>#VALUE!</v>
      </c>
      <c r="EO63" t="e">
        <f>'2.4.Функции'!UE139+"BYw!%%N"</f>
        <v>#VALUE!</v>
      </c>
      <c r="EP63" t="e">
        <f>'2.4.Функции'!UF139+"BYw!%%O"</f>
        <v>#VALUE!</v>
      </c>
      <c r="EQ63" t="e">
        <f>'2.4.Функции'!UG139+"BYw!%%P"</f>
        <v>#VALUE!</v>
      </c>
      <c r="ER63" t="e">
        <f>'2.4.Функции'!UH139+"BYw!%%Q"</f>
        <v>#VALUE!</v>
      </c>
      <c r="ES63" t="e">
        <f>'2.4.Функции'!UI139+"BYw!%%R"</f>
        <v>#VALUE!</v>
      </c>
      <c r="ET63" t="e">
        <f>'2.4.Функции'!UJ139+"BYw!%%S"</f>
        <v>#VALUE!</v>
      </c>
      <c r="EU63" t="e">
        <f>'2.4.Функции'!UK139+"BYw!%%T"</f>
        <v>#VALUE!</v>
      </c>
      <c r="EV63" t="e">
        <f>'2.4.Функции'!UL139+"BYw!%%U"</f>
        <v>#VALUE!</v>
      </c>
      <c r="EW63" t="e">
        <f>'2.4.Функции'!UM139+"BYw!%%V"</f>
        <v>#VALUE!</v>
      </c>
      <c r="EX63" t="e">
        <f>'2.4.Функции'!UN139+"BYw!%%W"</f>
        <v>#VALUE!</v>
      </c>
      <c r="EY63" t="e">
        <f>'2.4.Функции'!UO139+"BYw!%%X"</f>
        <v>#VALUE!</v>
      </c>
      <c r="EZ63" t="e">
        <f>'2.4.Функции'!UP139+"BYw!%%Y"</f>
        <v>#VALUE!</v>
      </c>
      <c r="FA63" t="e">
        <f>'2.4.Функции'!UQ139+"BYw!%%Z"</f>
        <v>#VALUE!</v>
      </c>
      <c r="FB63" t="e">
        <f>'2.4.Функции'!UR139+"BYw!%%["</f>
        <v>#VALUE!</v>
      </c>
      <c r="FC63" t="e">
        <f>'2.4.Функции'!US139+"BYw!%%\"</f>
        <v>#VALUE!</v>
      </c>
      <c r="FD63" t="e">
        <f>'2.4.Функции'!UT139+"BYw!%%]"</f>
        <v>#VALUE!</v>
      </c>
      <c r="FE63" t="e">
        <f>'2.4.Функции'!UU139+"BYw!%%^"</f>
        <v>#VALUE!</v>
      </c>
      <c r="FF63" t="e">
        <f>'2.4.Функции'!UV139+"BYw!%%_"</f>
        <v>#VALUE!</v>
      </c>
      <c r="FG63" t="e">
        <f>'2.4.Функции'!UW139+"BYw!%%`"</f>
        <v>#VALUE!</v>
      </c>
      <c r="FH63" t="e">
        <f>'2.4.Функции'!UX139+"BYw!%%a"</f>
        <v>#VALUE!</v>
      </c>
      <c r="FI63" t="e">
        <f>'2.4.Функции'!UY139+"BYw!%%b"</f>
        <v>#VALUE!</v>
      </c>
      <c r="FJ63" t="e">
        <f>'2.4.Функции'!UZ139+"BYw!%%c"</f>
        <v>#VALUE!</v>
      </c>
      <c r="FK63" t="e">
        <f>'2.4.Функции'!VA139+"BYw!%%d"</f>
        <v>#VALUE!</v>
      </c>
      <c r="FL63" t="e">
        <f>'2.4.Функции'!VB139+"BYw!%%e"</f>
        <v>#VALUE!</v>
      </c>
      <c r="FM63" t="e">
        <f>'2.4.Функции'!VC139+"BYw!%%f"</f>
        <v>#VALUE!</v>
      </c>
      <c r="FN63" t="e">
        <f>'2.4.Функции'!VD139+"BYw!%%g"</f>
        <v>#VALUE!</v>
      </c>
      <c r="FO63" t="e">
        <f>'2.4.Функции'!VE139+"BYw!%%h"</f>
        <v>#VALUE!</v>
      </c>
      <c r="FP63" t="e">
        <f>'2.4.Функции'!VF139+"BYw!%%i"</f>
        <v>#VALUE!</v>
      </c>
      <c r="FQ63" t="e">
        <f>'2.4.Функции'!VG139+"BYw!%%j"</f>
        <v>#VALUE!</v>
      </c>
      <c r="FR63" t="e">
        <f>'2.4.Функции'!VH139+"BYw!%%k"</f>
        <v>#VALUE!</v>
      </c>
      <c r="FS63" t="e">
        <f>'2.4.Функции'!VI139+"BYw!%%l"</f>
        <v>#VALUE!</v>
      </c>
      <c r="FT63" t="e">
        <f>'2.4.Функции'!VJ139+"BYw!%%m"</f>
        <v>#VALUE!</v>
      </c>
      <c r="FU63" t="e">
        <f>'2.4.Функции'!VK139+"BYw!%%n"</f>
        <v>#VALUE!</v>
      </c>
      <c r="FV63" t="e">
        <f>'2.4.Функции'!VL139+"BYw!%%o"</f>
        <v>#VALUE!</v>
      </c>
      <c r="FW63" t="e">
        <f>'2.4.Функции'!VM139+"BYw!%%p"</f>
        <v>#VALUE!</v>
      </c>
      <c r="FX63" t="e">
        <f>'2.4.Функции'!VN139+"BYw!%%q"</f>
        <v>#VALUE!</v>
      </c>
      <c r="FY63" t="e">
        <f>'2.4.Функции'!VO139+"BYw!%%r"</f>
        <v>#VALUE!</v>
      </c>
      <c r="FZ63" t="e">
        <f>'2.4.Функции'!VP139+"BYw!%%s"</f>
        <v>#VALUE!</v>
      </c>
      <c r="GA63" t="e">
        <f>'2.4.Функции'!VQ139+"BYw!%%t"</f>
        <v>#VALUE!</v>
      </c>
      <c r="GB63" t="e">
        <f>'2.4.Функции'!VR139+"BYw!%%u"</f>
        <v>#VALUE!</v>
      </c>
      <c r="GC63" t="e">
        <f>'2.4.Функции'!VS139+"BYw!%%v"</f>
        <v>#VALUE!</v>
      </c>
      <c r="GD63" t="e">
        <f>'2.4.Функции'!VT139+"BYw!%%w"</f>
        <v>#VALUE!</v>
      </c>
      <c r="GE63" t="e">
        <f>'2.4.Функции'!VU139+"BYw!%%x"</f>
        <v>#VALUE!</v>
      </c>
      <c r="GF63" t="e">
        <f>'2.4.Функции'!VV139+"BYw!%%y"</f>
        <v>#VALUE!</v>
      </c>
      <c r="GG63" t="e">
        <f>'2.4.Функции'!VW139+"BYw!%%z"</f>
        <v>#VALUE!</v>
      </c>
      <c r="GH63" t="e">
        <f>'2.4.Функции'!VX139+"BYw!%%{"</f>
        <v>#VALUE!</v>
      </c>
      <c r="GI63" t="e">
        <f>'2.4.Функции'!VY139+"BYw!%%|"</f>
        <v>#VALUE!</v>
      </c>
      <c r="GJ63" t="e">
        <f>'2.4.Функции'!VZ139+"BYw!%%}"</f>
        <v>#VALUE!</v>
      </c>
      <c r="GK63" t="e">
        <f>'2.4.Функции'!WA139+"BYw!%%~"</f>
        <v>#VALUE!</v>
      </c>
      <c r="GL63" t="e">
        <f>'2.4.Функции'!WB139+"BYw!%&amp;#"</f>
        <v>#VALUE!</v>
      </c>
      <c r="GM63" t="e">
        <f>'2.4.Функции'!WC139+"BYw!%&amp;$"</f>
        <v>#VALUE!</v>
      </c>
      <c r="GN63" t="e">
        <f>'2.4.Функции'!WD139+"BYw!%&amp;%"</f>
        <v>#VALUE!</v>
      </c>
      <c r="GO63" t="e">
        <f>'2.4.Функции'!WE139+"BYw!%&amp;&amp;"</f>
        <v>#VALUE!</v>
      </c>
      <c r="GP63" t="e">
        <f>'2.4.Функции'!WF139+"BYw!%&amp;'"</f>
        <v>#VALUE!</v>
      </c>
      <c r="GQ63" t="e">
        <f>'2.4.Функции'!WG139+"BYw!%&amp;("</f>
        <v>#VALUE!</v>
      </c>
      <c r="GR63" t="e">
        <f>'2.4.Функции'!WH139+"BYw!%&amp;)"</f>
        <v>#VALUE!</v>
      </c>
      <c r="GS63" t="e">
        <f>'2.4.Функции'!WI139+"BYw!%&amp;."</f>
        <v>#VALUE!</v>
      </c>
      <c r="GT63" t="e">
        <f>'2.4.Функции'!WJ139+"BYw!%&amp;/"</f>
        <v>#VALUE!</v>
      </c>
      <c r="GU63" t="e">
        <f>'2.4.Функции'!WK139+"BYw!%&amp;0"</f>
        <v>#VALUE!</v>
      </c>
      <c r="GV63" t="e">
        <f>'2.4.Функции'!WL139+"BYw!%&amp;1"</f>
        <v>#VALUE!</v>
      </c>
      <c r="GW63" t="e">
        <f>'2.4.Функции'!WM139+"BYw!%&amp;2"</f>
        <v>#VALUE!</v>
      </c>
      <c r="GX63" t="e">
        <f>'2.4.Функции'!WN139+"BYw!%&amp;3"</f>
        <v>#VALUE!</v>
      </c>
      <c r="GY63" t="e">
        <f>'2.4.Функции'!WO139+"BYw!%&amp;4"</f>
        <v>#VALUE!</v>
      </c>
      <c r="GZ63" t="e">
        <f>'2.4.Функции'!WP139+"BYw!%&amp;5"</f>
        <v>#VALUE!</v>
      </c>
      <c r="HA63" t="e">
        <f>'2.4.Функции'!WQ139+"BYw!%&amp;6"</f>
        <v>#VALUE!</v>
      </c>
      <c r="HB63" t="e">
        <f>'2.4.Функции'!WR139+"BYw!%&amp;7"</f>
        <v>#VALUE!</v>
      </c>
      <c r="HC63" t="e">
        <f>'2.4.Функции'!WS139+"BYw!%&amp;8"</f>
        <v>#VALUE!</v>
      </c>
      <c r="HD63" t="e">
        <f>'2.4.Функции'!WT139+"BYw!%&amp;9"</f>
        <v>#VALUE!</v>
      </c>
      <c r="HE63" t="e">
        <f>'2.4.Функции'!WU139+"BYw!%&amp;:"</f>
        <v>#VALUE!</v>
      </c>
      <c r="HF63" t="e">
        <f>'2.4.Функции'!WV139+"BYw!%&amp;;"</f>
        <v>#VALUE!</v>
      </c>
      <c r="HG63" t="e">
        <f>'2.4.Функции'!WW139+"BYw!%&amp;&lt;"</f>
        <v>#VALUE!</v>
      </c>
      <c r="HH63" t="e">
        <f>'2.4.Функции'!WX139+"BYw!%&amp;="</f>
        <v>#VALUE!</v>
      </c>
      <c r="HI63" t="e">
        <f>'2.4.Функции'!WY139+"BYw!%&amp;&gt;"</f>
        <v>#VALUE!</v>
      </c>
      <c r="HJ63" t="e">
        <f>'2.4.Функции'!WZ139+"BYw!%&amp;?"</f>
        <v>#VALUE!</v>
      </c>
      <c r="HK63" t="e">
        <f>'2.4.Функции'!XA139+"BYw!%&amp;@"</f>
        <v>#VALUE!</v>
      </c>
      <c r="HL63" t="e">
        <f>'2.4.Функции'!XB139+"BYw!%&amp;A"</f>
        <v>#VALUE!</v>
      </c>
      <c r="HM63" t="e">
        <f>'2.4.Функции'!XC139+"BYw!%&amp;B"</f>
        <v>#VALUE!</v>
      </c>
      <c r="HN63" t="e">
        <f>'2.4.Функции'!XD139+"BYw!%&amp;C"</f>
        <v>#VALUE!</v>
      </c>
      <c r="HO63" t="e">
        <f>'2.4.Функции'!XE139+"BYw!%&amp;D"</f>
        <v>#VALUE!</v>
      </c>
      <c r="HP63" t="e">
        <f>'2.4.Функции'!XF139+"BYw!%&amp;E"</f>
        <v>#VALUE!</v>
      </c>
      <c r="HQ63" t="e">
        <f>'2.4.Функции'!XG139+"BYw!%&amp;F"</f>
        <v>#VALUE!</v>
      </c>
      <c r="HR63" t="e">
        <f>'2.4.Функции'!XH139+"BYw!%&amp;G"</f>
        <v>#VALUE!</v>
      </c>
      <c r="HS63" t="e">
        <f>'2.4.Функции'!XI139+"BYw!%&amp;H"</f>
        <v>#VALUE!</v>
      </c>
      <c r="HT63" t="e">
        <f>'2.4.Функции'!XJ139+"BYw!%&amp;I"</f>
        <v>#VALUE!</v>
      </c>
      <c r="HU63" t="e">
        <f>'2.4.Функции'!XK139+"BYw!%&amp;J"</f>
        <v>#VALUE!</v>
      </c>
      <c r="HV63" t="e">
        <f>'2.4.Функции'!XL139+"BYw!%&amp;K"</f>
        <v>#VALUE!</v>
      </c>
      <c r="HW63" t="e">
        <f>'2.4.Функции'!XM139+"BYw!%&amp;L"</f>
        <v>#VALUE!</v>
      </c>
      <c r="HX63" t="e">
        <f>'2.4.Функции'!XN139+"BYw!%&amp;M"</f>
        <v>#VALUE!</v>
      </c>
      <c r="HY63" t="e">
        <f>'2.4.Функции'!XO139+"BYw!%&amp;N"</f>
        <v>#VALUE!</v>
      </c>
      <c r="HZ63" t="e">
        <f>'2.4.Функции'!XP139+"BYw!%&amp;O"</f>
        <v>#VALUE!</v>
      </c>
      <c r="IA63" t="e">
        <f>'2.4.Функции'!XQ139+"BYw!%&amp;P"</f>
        <v>#VALUE!</v>
      </c>
      <c r="IB63" t="e">
        <f>'2.4.Функции'!XR139+"BYw!%&amp;Q"</f>
        <v>#VALUE!</v>
      </c>
      <c r="IC63" t="e">
        <f>'2.4.Функции'!XS139+"BYw!%&amp;R"</f>
        <v>#VALUE!</v>
      </c>
      <c r="ID63" t="e">
        <f>'2.4.Функции'!XT139+"BYw!%&amp;S"</f>
        <v>#VALUE!</v>
      </c>
      <c r="IE63" t="e">
        <f>'2.4.Функции'!XU139+"BYw!%&amp;T"</f>
        <v>#VALUE!</v>
      </c>
      <c r="IF63" t="e">
        <f>'2.4.Функции'!XV139+"BYw!%&amp;U"</f>
        <v>#VALUE!</v>
      </c>
      <c r="IG63" t="e">
        <f>'2.4.Функции'!XW139+"BYw!%&amp;V"</f>
        <v>#VALUE!</v>
      </c>
      <c r="IH63" t="e">
        <f>'2.4.Функции'!XX139+"BYw!%&amp;W"</f>
        <v>#VALUE!</v>
      </c>
      <c r="II63" t="e">
        <f>'2.4.Функции'!XY139+"BYw!%&amp;X"</f>
        <v>#VALUE!</v>
      </c>
      <c r="IJ63" t="e">
        <f>'2.4.Функции'!XZ139+"BYw!%&amp;Y"</f>
        <v>#VALUE!</v>
      </c>
      <c r="IK63" t="e">
        <f>'2.4.Функции'!YA139+"BYw!%&amp;Z"</f>
        <v>#VALUE!</v>
      </c>
      <c r="IL63" t="e">
        <f>'2.4.Функции'!YB139+"BYw!%&amp;["</f>
        <v>#VALUE!</v>
      </c>
      <c r="IM63" t="e">
        <f>'2.4.Функции'!YC139+"BYw!%&amp;\"</f>
        <v>#VALUE!</v>
      </c>
      <c r="IN63" t="e">
        <f>'2.4.Функции'!YD139+"BYw!%&amp;]"</f>
        <v>#VALUE!</v>
      </c>
      <c r="IO63" t="e">
        <f>'2.4.Функции'!YE139+"BYw!%&amp;^"</f>
        <v>#VALUE!</v>
      </c>
      <c r="IP63" t="e">
        <f>'2.4.Функции'!YF139+"BYw!%&amp;_"</f>
        <v>#VALUE!</v>
      </c>
      <c r="IQ63" t="e">
        <f>'2.4.Функции'!YG139+"BYw!%&amp;`"</f>
        <v>#VALUE!</v>
      </c>
      <c r="IR63" t="e">
        <f>'2.4.Функции'!YH139+"BYw!%&amp;a"</f>
        <v>#VALUE!</v>
      </c>
      <c r="IS63" t="e">
        <f>'2.4.Функции'!YI139+"BYw!%&amp;b"</f>
        <v>#VALUE!</v>
      </c>
      <c r="IT63" t="e">
        <f>'2.4.Функции'!YJ139+"BYw!%&amp;c"</f>
        <v>#VALUE!</v>
      </c>
      <c r="IU63" t="e">
        <f>'2.4.Функции'!YK139+"BYw!%&amp;d"</f>
        <v>#VALUE!</v>
      </c>
      <c r="IV63" t="e">
        <f>'2.4.Функции'!YL139+"BYw!%&amp;e"</f>
        <v>#VALUE!</v>
      </c>
    </row>
    <row r="64" spans="6:256" x14ac:dyDescent="0.2">
      <c r="F64" t="e">
        <f>'2.4.Функции'!YM139+"BYw!%&amp;f"</f>
        <v>#VALUE!</v>
      </c>
      <c r="G64" t="e">
        <f>'2.4.Функции'!YN139+"BYw!%&amp;g"</f>
        <v>#VALUE!</v>
      </c>
      <c r="H64" t="e">
        <f>'2.4.Функции'!YO139+"BYw!%&amp;h"</f>
        <v>#VALUE!</v>
      </c>
      <c r="I64" t="e">
        <f>'2.4.Функции'!YP139+"BYw!%&amp;i"</f>
        <v>#VALUE!</v>
      </c>
      <c r="J64" t="e">
        <f>'2.4.Функции'!YQ139+"BYw!%&amp;j"</f>
        <v>#VALUE!</v>
      </c>
      <c r="K64" t="e">
        <f>'2.4.Функции'!YR139+"BYw!%&amp;k"</f>
        <v>#VALUE!</v>
      </c>
      <c r="L64" t="e">
        <f>'2.4.Функции'!YS139+"BYw!%&amp;l"</f>
        <v>#VALUE!</v>
      </c>
      <c r="M64" t="e">
        <f>'2.4.Функции'!YT139+"BYw!%&amp;m"</f>
        <v>#VALUE!</v>
      </c>
      <c r="N64" t="e">
        <f>'2.4.Функции'!YU139+"BYw!%&amp;n"</f>
        <v>#VALUE!</v>
      </c>
      <c r="O64" t="e">
        <f>'2.4.Функции'!YV139+"BYw!%&amp;o"</f>
        <v>#VALUE!</v>
      </c>
      <c r="P64" t="e">
        <f>'2.4.Функции'!YW139+"BYw!%&amp;p"</f>
        <v>#VALUE!</v>
      </c>
      <c r="Q64" t="e">
        <f>'2.4.Функции'!YX139+"BYw!%&amp;q"</f>
        <v>#VALUE!</v>
      </c>
      <c r="R64" t="e">
        <f>'2.4.Функции'!YY139+"BYw!%&amp;r"</f>
        <v>#VALUE!</v>
      </c>
      <c r="S64" t="e">
        <f>'2.4.Функции'!YZ139+"BYw!%&amp;s"</f>
        <v>#VALUE!</v>
      </c>
      <c r="T64" t="e">
        <f>'2.4.Функции'!ZA139+"BYw!%&amp;t"</f>
        <v>#VALUE!</v>
      </c>
      <c r="U64" t="e">
        <f>'2.4.Функции'!ZB139+"BYw!%&amp;u"</f>
        <v>#VALUE!</v>
      </c>
      <c r="V64" t="e">
        <f>'2.4.Функции'!ZC139+"BYw!%&amp;v"</f>
        <v>#VALUE!</v>
      </c>
      <c r="W64" t="e">
        <f>'2.4.Функции'!ZD139+"BYw!%&amp;w"</f>
        <v>#VALUE!</v>
      </c>
      <c r="X64" t="e">
        <f>'2.4.Функции'!ZE139+"BYw!%&amp;x"</f>
        <v>#VALUE!</v>
      </c>
      <c r="Y64" t="e">
        <f>'2.4.Функции'!ZF139+"BYw!%&amp;y"</f>
        <v>#VALUE!</v>
      </c>
      <c r="Z64" t="e">
        <f>'2.4.Функции'!ZG139+"BYw!%&amp;z"</f>
        <v>#VALUE!</v>
      </c>
      <c r="AA64" t="e">
        <f>'2.4.Функции'!ZH139+"BYw!%&amp;{"</f>
        <v>#VALUE!</v>
      </c>
      <c r="AB64" t="e">
        <f>'2.4.Функции'!ZI139+"BYw!%&amp;|"</f>
        <v>#VALUE!</v>
      </c>
      <c r="AC64" t="e">
        <f>'2.4.Функции'!ZJ139+"BYw!%&amp;}"</f>
        <v>#VALUE!</v>
      </c>
      <c r="AD64" t="e">
        <f>'2.4.Функции'!ZK139+"BYw!%&amp;~"</f>
        <v>#VALUE!</v>
      </c>
      <c r="AE64" t="e">
        <f>'2.4.Функции'!ZL139+"BYw!%'#"</f>
        <v>#VALUE!</v>
      </c>
      <c r="AF64" t="e">
        <f>'2.4.Функции'!ZM139+"BYw!%'$"</f>
        <v>#VALUE!</v>
      </c>
      <c r="AG64" t="e">
        <f>'2.4.Функции'!ZN139+"BYw!%'%"</f>
        <v>#VALUE!</v>
      </c>
      <c r="AH64" t="e">
        <f>'2.4.Функции'!ZO139+"BYw!%'&amp;"</f>
        <v>#VALUE!</v>
      </c>
      <c r="AI64" t="e">
        <f>'2.4.Функции'!ZP139+"BYw!%''"</f>
        <v>#VALUE!</v>
      </c>
      <c r="AJ64" t="e">
        <f>'2.4.Функции'!ZQ139+"BYw!%'("</f>
        <v>#VALUE!</v>
      </c>
      <c r="AK64" t="e">
        <f>'2.4.Функции'!ZR139+"BYw!%')"</f>
        <v>#VALUE!</v>
      </c>
      <c r="AL64" t="e">
        <f>'2.4.Функции'!ZS139+"BYw!%'."</f>
        <v>#VALUE!</v>
      </c>
      <c r="AM64" t="e">
        <f>'2.4.Функции'!ZT139+"BYw!%'/"</f>
        <v>#VALUE!</v>
      </c>
      <c r="AN64" t="e">
        <f>'2.4.Функции'!ZU139+"BYw!%'0"</f>
        <v>#VALUE!</v>
      </c>
      <c r="AO64" t="e">
        <f>'2.4.Функции'!ZV139+"BYw!%'1"</f>
        <v>#VALUE!</v>
      </c>
      <c r="AP64" t="e">
        <f>'2.4.Функции'!ZW139+"BYw!%'2"</f>
        <v>#VALUE!</v>
      </c>
      <c r="AQ64" t="e">
        <f>'2.4.Функции'!ZX139+"BYw!%'3"</f>
        <v>#VALUE!</v>
      </c>
      <c r="AR64" t="e">
        <f>'2.4.Функции'!ZY139+"BYw!%'4"</f>
        <v>#VALUE!</v>
      </c>
      <c r="AS64" t="e">
        <f>'2.4.Функции'!ZZ139+"BYw!%'5"</f>
        <v>#VALUE!</v>
      </c>
      <c r="AT64" t="e">
        <f>'2.4.Функции'!AAA139+"BYw!%'6"</f>
        <v>#VALUE!</v>
      </c>
      <c r="AU64" t="e">
        <f>'2.4.Функции'!AAB139+"BYw!%'7"</f>
        <v>#VALUE!</v>
      </c>
      <c r="AV64" t="e">
        <f>'2.4.Функции'!AAC139+"BYw!%'8"</f>
        <v>#VALUE!</v>
      </c>
      <c r="AW64" t="e">
        <f>'2.4.Функции'!AAD139+"BYw!%'9"</f>
        <v>#VALUE!</v>
      </c>
      <c r="AX64" t="e">
        <f>'2.4.Функции'!AAE139+"BYw!%':"</f>
        <v>#VALUE!</v>
      </c>
      <c r="AY64" t="e">
        <f>'2.4.Функции'!AAF139+"BYw!%';"</f>
        <v>#VALUE!</v>
      </c>
      <c r="AZ64" t="e">
        <f>'2.4.Функции'!AAG139+"BYw!%'&lt;"</f>
        <v>#VALUE!</v>
      </c>
      <c r="BA64" t="e">
        <f>'2.4.Функции'!AAH139+"BYw!%'="</f>
        <v>#VALUE!</v>
      </c>
      <c r="BB64" t="e">
        <f>'2.4.Функции'!AAI139+"BYw!%'&gt;"</f>
        <v>#VALUE!</v>
      </c>
      <c r="BC64" t="e">
        <f>'2.4.Функции'!AAJ139+"BYw!%'?"</f>
        <v>#VALUE!</v>
      </c>
      <c r="BD64" t="e">
        <f>'2.4.Функции'!AAK139+"BYw!%'@"</f>
        <v>#VALUE!</v>
      </c>
      <c r="BE64" t="e">
        <f>'2.4.Функции'!AAL139+"BYw!%'A"</f>
        <v>#VALUE!</v>
      </c>
      <c r="BF64" t="e">
        <f>'2.4.Функции'!AAM139+"BYw!%'B"</f>
        <v>#VALUE!</v>
      </c>
      <c r="BG64" t="e">
        <f>'2.4.Функции'!AAN139+"BYw!%'C"</f>
        <v>#VALUE!</v>
      </c>
      <c r="BH64" t="e">
        <f>'2.4.Функции'!AAO139+"BYw!%'D"</f>
        <v>#VALUE!</v>
      </c>
      <c r="BI64" t="e">
        <f>'2.4.Функции'!AAP139+"BYw!%'E"</f>
        <v>#VALUE!</v>
      </c>
      <c r="BJ64" t="e">
        <f>'2.4.Функции'!AAQ139+"BYw!%'F"</f>
        <v>#VALUE!</v>
      </c>
      <c r="BK64" t="e">
        <f>'2.4.Функции'!AAR139+"BYw!%'G"</f>
        <v>#VALUE!</v>
      </c>
      <c r="BL64" t="e">
        <f>'2.4.Функции'!AAS139+"BYw!%'H"</f>
        <v>#VALUE!</v>
      </c>
      <c r="BM64" t="e">
        <f>'2.4.Функции'!AAT139+"BYw!%'I"</f>
        <v>#VALUE!</v>
      </c>
      <c r="BN64" t="e">
        <f>'2.4.Функции'!AAU139+"BYw!%'J"</f>
        <v>#VALUE!</v>
      </c>
      <c r="BO64" t="e">
        <f>'2.4.Функции'!AAV139+"BYw!%'K"</f>
        <v>#VALUE!</v>
      </c>
      <c r="BP64" t="e">
        <f>'2.4.Функции'!AAW139+"BYw!%'L"</f>
        <v>#VALUE!</v>
      </c>
      <c r="BQ64" t="e">
        <f>'2.4.Функции'!AAX139+"BYw!%'M"</f>
        <v>#VALUE!</v>
      </c>
      <c r="BR64" t="e">
        <f>'2.4.Функции'!AAY139+"BYw!%'N"</f>
        <v>#VALUE!</v>
      </c>
      <c r="BS64" t="e">
        <f>'2.4.Функции'!AAZ139+"BYw!%'O"</f>
        <v>#VALUE!</v>
      </c>
      <c r="BT64" t="e">
        <f>'2.4.Функции'!ABA139+"BYw!%'P"</f>
        <v>#VALUE!</v>
      </c>
      <c r="BU64" t="e">
        <f>'2.4.Функции'!ABB139+"BYw!%'Q"</f>
        <v>#VALUE!</v>
      </c>
      <c r="BV64" t="e">
        <f>'2.4.Функции'!ABC139+"BYw!%'R"</f>
        <v>#VALUE!</v>
      </c>
      <c r="BW64" t="e">
        <f>'2.4.Функции'!ABD139+"BYw!%'S"</f>
        <v>#VALUE!</v>
      </c>
      <c r="BX64" t="e">
        <f>'2.4.Функции'!ABE139+"BYw!%'T"</f>
        <v>#VALUE!</v>
      </c>
      <c r="BY64" t="e">
        <f>'2.4.Функции'!ABF139+"BYw!%'U"</f>
        <v>#VALUE!</v>
      </c>
      <c r="BZ64" t="e">
        <f>'2.4.Функции'!ABG139+"BYw!%'V"</f>
        <v>#VALUE!</v>
      </c>
      <c r="CA64" t="e">
        <f>'2.4.Функции'!ABH139+"BYw!%'W"</f>
        <v>#VALUE!</v>
      </c>
      <c r="CB64" t="e">
        <f>'2.4.Функции'!ABI139+"BYw!%'X"</f>
        <v>#VALUE!</v>
      </c>
      <c r="CC64" t="e">
        <f>'2.4.Функции'!ABJ139+"BYw!%'Y"</f>
        <v>#VALUE!</v>
      </c>
      <c r="CD64" t="e">
        <f>'2.4.Функции'!ABK139+"BYw!%'Z"</f>
        <v>#VALUE!</v>
      </c>
      <c r="CE64" t="e">
        <f>'2.4.Функции'!ABL139+"BYw!%'["</f>
        <v>#VALUE!</v>
      </c>
      <c r="CF64" t="e">
        <f>'2.4.Функции'!ABM139+"BYw!%'\"</f>
        <v>#VALUE!</v>
      </c>
      <c r="CG64" t="e">
        <f>'2.4.Функции'!ABN139+"BYw!%']"</f>
        <v>#VALUE!</v>
      </c>
      <c r="CH64" t="e">
        <f>'2.4.Функции'!ABO139+"BYw!%'^"</f>
        <v>#VALUE!</v>
      </c>
      <c r="CI64" t="e">
        <f>'2.4.Функции'!ABP139+"BYw!%'_"</f>
        <v>#VALUE!</v>
      </c>
      <c r="CJ64" t="e">
        <f>'2.4.Функции'!ABQ139+"BYw!%'`"</f>
        <v>#VALUE!</v>
      </c>
      <c r="CK64" t="e">
        <f>'2.4.Функции'!ABR139+"BYw!%'a"</f>
        <v>#VALUE!</v>
      </c>
      <c r="CL64" t="e">
        <f>'2.4.Функции'!ABS139+"BYw!%'b"</f>
        <v>#VALUE!</v>
      </c>
      <c r="CM64" t="e">
        <f>'2.4.Функции'!ABT139+"BYw!%'c"</f>
        <v>#VALUE!</v>
      </c>
      <c r="CN64" t="e">
        <f>'2.4.Функции'!ABU139+"BYw!%'d"</f>
        <v>#VALUE!</v>
      </c>
      <c r="CO64" t="e">
        <f>'2.4.Функции'!ABV139+"BYw!%'e"</f>
        <v>#VALUE!</v>
      </c>
      <c r="CP64" t="e">
        <f>'2.4.Функции'!ABW139+"BYw!%'f"</f>
        <v>#VALUE!</v>
      </c>
      <c r="CQ64" t="e">
        <f>'2.4.Функции'!ABX139+"BYw!%'g"</f>
        <v>#VALUE!</v>
      </c>
      <c r="CR64" t="e">
        <f>'2.4.Функции'!ABY139+"BYw!%'h"</f>
        <v>#VALUE!</v>
      </c>
      <c r="CS64" t="e">
        <f>'2.4.Функции'!ABZ139+"BYw!%'i"</f>
        <v>#VALUE!</v>
      </c>
      <c r="CT64" t="e">
        <f>'2.4.Функции'!ACA139+"BYw!%'j"</f>
        <v>#VALUE!</v>
      </c>
      <c r="CU64" t="e">
        <f>'2.4.Функции'!ACB139+"BYw!%'k"</f>
        <v>#VALUE!</v>
      </c>
      <c r="CV64" t="e">
        <f>'2.4.Функции'!ACC139+"BYw!%'l"</f>
        <v>#VALUE!</v>
      </c>
      <c r="CW64" t="e">
        <f>'2.4.Функции'!ACD139+"BYw!%'m"</f>
        <v>#VALUE!</v>
      </c>
      <c r="CX64" t="e">
        <f>'2.4.Функции'!ACE139+"BYw!%'n"</f>
        <v>#VALUE!</v>
      </c>
      <c r="CY64" t="e">
        <f>'2.4.Функции'!ACF139+"BYw!%'o"</f>
        <v>#VALUE!</v>
      </c>
      <c r="CZ64" t="e">
        <f>'2.4.Функции'!ACG139+"BYw!%'p"</f>
        <v>#VALUE!</v>
      </c>
      <c r="DA64" t="e">
        <f>'2.4.Функции'!ACH139+"BYw!%'q"</f>
        <v>#VALUE!</v>
      </c>
      <c r="DB64" t="e">
        <f>'2.4.Функции'!ACI139+"BYw!%'r"</f>
        <v>#VALUE!</v>
      </c>
      <c r="DC64" t="e">
        <f>'2.4.Функции'!ACJ139+"BYw!%'s"</f>
        <v>#VALUE!</v>
      </c>
      <c r="DD64" t="e">
        <f>'2.4.Функции'!ACK139+"BYw!%'t"</f>
        <v>#VALUE!</v>
      </c>
      <c r="DE64" t="e">
        <f>'2.4.Функции'!ACL139+"BYw!%'u"</f>
        <v>#VALUE!</v>
      </c>
      <c r="DF64" t="e">
        <f>'2.4.Функции'!ACM139+"BYw!%'v"</f>
        <v>#VALUE!</v>
      </c>
      <c r="DG64" t="e">
        <f>'2.4.Функции'!ACN139+"BYw!%'w"</f>
        <v>#VALUE!</v>
      </c>
      <c r="DH64" t="e">
        <f>'2.4.Функции'!ACO139+"BYw!%'x"</f>
        <v>#VALUE!</v>
      </c>
      <c r="DI64" t="e">
        <f>'2.4.Функции'!ACP139+"BYw!%'y"</f>
        <v>#VALUE!</v>
      </c>
      <c r="DJ64" t="e">
        <f>'2.4.Функции'!ACQ139+"BYw!%'z"</f>
        <v>#VALUE!</v>
      </c>
      <c r="DK64" t="e">
        <f>'2.4.Функции'!ACR139+"BYw!%'{"</f>
        <v>#VALUE!</v>
      </c>
      <c r="DL64" t="e">
        <f>'2.4.Функции'!ACS139+"BYw!%'|"</f>
        <v>#VALUE!</v>
      </c>
      <c r="DM64" t="e">
        <f>'2.4.Функции'!ACT139+"BYw!%'}"</f>
        <v>#VALUE!</v>
      </c>
      <c r="DN64" t="e">
        <f>'2.4.Функции'!ACU139+"BYw!%'~"</f>
        <v>#VALUE!</v>
      </c>
      <c r="DO64" t="e">
        <f>'2.4.Функции'!ACV139+"BYw!%(#"</f>
        <v>#VALUE!</v>
      </c>
      <c r="DP64" t="e">
        <f>'2.4.Функции'!ACW139+"BYw!%($"</f>
        <v>#VALUE!</v>
      </c>
      <c r="DQ64" t="e">
        <f>'2.4.Функции'!ACX139+"BYw!%(%"</f>
        <v>#VALUE!</v>
      </c>
      <c r="DR64" t="e">
        <f>'2.4.Функции'!ACY139+"BYw!%(&amp;"</f>
        <v>#VALUE!</v>
      </c>
      <c r="DS64" t="e">
        <f>'2.4.Функции'!ACZ139+"BYw!%('"</f>
        <v>#VALUE!</v>
      </c>
      <c r="DT64" t="e">
        <f>'2.4.Функции'!ADA139+"BYw!%(("</f>
        <v>#VALUE!</v>
      </c>
      <c r="DU64" t="e">
        <f>'2.4.Функции'!ADB139+"BYw!%()"</f>
        <v>#VALUE!</v>
      </c>
      <c r="DV64" t="e">
        <f>'2.4.Функции'!ADC139+"BYw!%(."</f>
        <v>#VALUE!</v>
      </c>
      <c r="DW64" t="e">
        <f>'2.4.Функции'!ADD139+"BYw!%(/"</f>
        <v>#VALUE!</v>
      </c>
      <c r="DX64" t="e">
        <f>'2.4.Функции'!ADE139+"BYw!%(0"</f>
        <v>#VALUE!</v>
      </c>
      <c r="DY64" t="e">
        <f>'2.4.Функции'!ADF139+"BYw!%(1"</f>
        <v>#VALUE!</v>
      </c>
      <c r="DZ64" t="e">
        <f>'2.4.Функции'!ADG139+"BYw!%(2"</f>
        <v>#VALUE!</v>
      </c>
      <c r="EA64" t="e">
        <f>'2.4.Функции'!ADH139+"BYw!%(3"</f>
        <v>#VALUE!</v>
      </c>
      <c r="EB64" t="e">
        <f>'2.4.Функции'!ADI139+"BYw!%(4"</f>
        <v>#VALUE!</v>
      </c>
      <c r="EC64" t="e">
        <f>'2.4.Функции'!ADJ139+"BYw!%(5"</f>
        <v>#VALUE!</v>
      </c>
      <c r="ED64" t="e">
        <f>'2.4.Функции'!ADK139+"BYw!%(6"</f>
        <v>#VALUE!</v>
      </c>
      <c r="EE64" t="e">
        <f>'2.4.Функции'!ADL139+"BYw!%(7"</f>
        <v>#VALUE!</v>
      </c>
      <c r="EF64" t="e">
        <f>'2.4.Функции'!ADM139+"BYw!%(8"</f>
        <v>#VALUE!</v>
      </c>
      <c r="EG64" t="e">
        <f>'2.4.Функции'!ADN139+"BYw!%(9"</f>
        <v>#VALUE!</v>
      </c>
      <c r="EH64" t="e">
        <f>'2.4.Функции'!ADO139+"BYw!%(:"</f>
        <v>#VALUE!</v>
      </c>
      <c r="EI64" t="e">
        <f>'2.4.Функции'!ADP139+"BYw!%(;"</f>
        <v>#VALUE!</v>
      </c>
      <c r="EJ64" t="e">
        <f>'2.4.Функции'!ADQ139+"BYw!%(&lt;"</f>
        <v>#VALUE!</v>
      </c>
      <c r="EK64" t="e">
        <f>'2.4.Функции'!ADR139+"BYw!%(="</f>
        <v>#VALUE!</v>
      </c>
      <c r="EL64" t="e">
        <f>'2.4.Функции'!ADS139+"BYw!%(&gt;"</f>
        <v>#VALUE!</v>
      </c>
      <c r="EM64" t="e">
        <f>'2.4.Функции'!ADT139+"BYw!%(?"</f>
        <v>#VALUE!</v>
      </c>
      <c r="EN64" t="e">
        <f>'2.4.Функции'!ADU139+"BYw!%(@"</f>
        <v>#VALUE!</v>
      </c>
      <c r="EO64" t="e">
        <f>'2.4.Функции'!ADV139+"BYw!%(A"</f>
        <v>#VALUE!</v>
      </c>
      <c r="EP64" t="e">
        <f>'2.4.Функции'!ADW139+"BYw!%(B"</f>
        <v>#VALUE!</v>
      </c>
      <c r="EQ64" t="e">
        <f>'2.4.Функции'!ADX139+"BYw!%(C"</f>
        <v>#VALUE!</v>
      </c>
      <c r="ER64" t="e">
        <f>'2.4.Функции'!ADY139+"BYw!%(D"</f>
        <v>#VALUE!</v>
      </c>
      <c r="ES64" t="e">
        <f>'2.4.Функции'!ADZ139+"BYw!%(E"</f>
        <v>#VALUE!</v>
      </c>
      <c r="ET64" t="e">
        <f>'2.4.Функции'!AEA139+"BYw!%(F"</f>
        <v>#VALUE!</v>
      </c>
      <c r="EU64" t="e">
        <f>'2.4.Функции'!AEB139+"BYw!%(G"</f>
        <v>#VALUE!</v>
      </c>
      <c r="EV64" t="e">
        <f>'2.4.Функции'!AEC139+"BYw!%(H"</f>
        <v>#VALUE!</v>
      </c>
      <c r="EW64" t="e">
        <f>'2.4.Функции'!AED139+"BYw!%(I"</f>
        <v>#VALUE!</v>
      </c>
      <c r="EX64" t="e">
        <f>'2.4.Функции'!AEE139+"BYw!%(J"</f>
        <v>#VALUE!</v>
      </c>
      <c r="EY64" t="e">
        <f>'2.4.Функции'!AEF139+"BYw!%(K"</f>
        <v>#VALUE!</v>
      </c>
      <c r="EZ64" t="e">
        <f>'2.4.Функции'!AEG139+"BYw!%(L"</f>
        <v>#VALUE!</v>
      </c>
      <c r="FA64" t="e">
        <f>'2.4.Функции'!AEH139+"BYw!%(M"</f>
        <v>#VALUE!</v>
      </c>
      <c r="FB64" t="e">
        <f>'2.4.Функции'!AEI139+"BYw!%(N"</f>
        <v>#VALUE!</v>
      </c>
      <c r="FC64" t="e">
        <f>'2.4.Функции'!AEJ139+"BYw!%(O"</f>
        <v>#VALUE!</v>
      </c>
      <c r="FD64" t="e">
        <f>'2.4.Функции'!AEK139+"BYw!%(P"</f>
        <v>#VALUE!</v>
      </c>
      <c r="FE64" t="e">
        <f>'2.4.Функции'!AEL139+"BYw!%(Q"</f>
        <v>#VALUE!</v>
      </c>
      <c r="FF64" t="e">
        <f>'2.4.Функции'!AEM139+"BYw!%(R"</f>
        <v>#VALUE!</v>
      </c>
      <c r="FG64" t="e">
        <f>'2.4.Функции'!AEN139+"BYw!%(S"</f>
        <v>#VALUE!</v>
      </c>
      <c r="FH64" t="e">
        <f>'2.4.Функции'!AEO139+"BYw!%(T"</f>
        <v>#VALUE!</v>
      </c>
      <c r="FI64" t="e">
        <f>'2.4.Функции'!AEP139+"BYw!%(U"</f>
        <v>#VALUE!</v>
      </c>
      <c r="FJ64" t="e">
        <f>'2.4.Функции'!AEQ139+"BYw!%(V"</f>
        <v>#VALUE!</v>
      </c>
      <c r="FK64" t="e">
        <f>'2.4.Функции'!AER139+"BYw!%(W"</f>
        <v>#VALUE!</v>
      </c>
      <c r="FL64" t="e">
        <f>'2.4.Функции'!AES139+"BYw!%(X"</f>
        <v>#VALUE!</v>
      </c>
      <c r="FM64" t="e">
        <f>'2.4.Функции'!AET139+"BYw!%(Y"</f>
        <v>#VALUE!</v>
      </c>
      <c r="FN64" t="e">
        <f>'2.4.Функции'!AEU139+"BYw!%(Z"</f>
        <v>#VALUE!</v>
      </c>
      <c r="FO64" t="e">
        <f>'2.4.Функции'!AEV139+"BYw!%(["</f>
        <v>#VALUE!</v>
      </c>
      <c r="FP64" t="e">
        <f>'2.4.Функции'!AEW139+"BYw!%(\"</f>
        <v>#VALUE!</v>
      </c>
      <c r="FQ64" t="e">
        <f>'2.4.Функции'!AEX139+"BYw!%(]"</f>
        <v>#VALUE!</v>
      </c>
      <c r="FR64" t="e">
        <f>'2.4.Функции'!AEY139+"BYw!%(^"</f>
        <v>#VALUE!</v>
      </c>
      <c r="FS64" t="e">
        <f>'2.4.Функции'!AEZ139+"BYw!%(_"</f>
        <v>#VALUE!</v>
      </c>
      <c r="FT64" t="e">
        <f>'2.4.Функции'!AFA139+"BYw!%(`"</f>
        <v>#VALUE!</v>
      </c>
      <c r="FU64" t="e">
        <f>'2.4.Функции'!AFB139+"BYw!%(a"</f>
        <v>#VALUE!</v>
      </c>
      <c r="FV64" t="e">
        <f>'2.4.Функции'!AFC139+"BYw!%(b"</f>
        <v>#VALUE!</v>
      </c>
      <c r="FW64" t="e">
        <f>'2.4.Функции'!AFD139+"BYw!%(c"</f>
        <v>#VALUE!</v>
      </c>
      <c r="FX64" t="e">
        <f>'2.4.Функции'!AFE139+"BYw!%(d"</f>
        <v>#VALUE!</v>
      </c>
      <c r="FY64" t="e">
        <f>'2.4.Функции'!AFF139+"BYw!%(e"</f>
        <v>#VALUE!</v>
      </c>
      <c r="FZ64" t="e">
        <f>'2.4.Функции'!AFG139+"BYw!%(f"</f>
        <v>#VALUE!</v>
      </c>
      <c r="GA64" t="e">
        <f>'2.4.Функции'!AFH139+"BYw!%(g"</f>
        <v>#VALUE!</v>
      </c>
      <c r="GB64" t="e">
        <f>'2.4.Функции'!AFI139+"BYw!%(h"</f>
        <v>#VALUE!</v>
      </c>
      <c r="GC64" t="e">
        <f>'2.4.Функции'!AFJ139+"BYw!%(i"</f>
        <v>#VALUE!</v>
      </c>
      <c r="GD64" t="e">
        <f>'2.4.Функции'!AFK139+"BYw!%(j"</f>
        <v>#VALUE!</v>
      </c>
      <c r="GE64" t="e">
        <f>'2.4.Функции'!AFL139+"BYw!%(k"</f>
        <v>#VALUE!</v>
      </c>
      <c r="GF64" t="e">
        <f>'2.4.Функции'!AFM139+"BYw!%(l"</f>
        <v>#VALUE!</v>
      </c>
      <c r="GG64" t="e">
        <f>'2.4.Функции'!AFN139+"BYw!%(m"</f>
        <v>#VALUE!</v>
      </c>
      <c r="GH64" t="e">
        <f>'2.4.Функции'!AFO139+"BYw!%(n"</f>
        <v>#VALUE!</v>
      </c>
      <c r="GI64" t="e">
        <f>'2.4.Функции'!AFP139+"BYw!%(o"</f>
        <v>#VALUE!</v>
      </c>
      <c r="GJ64" t="e">
        <f>'2.4.Функции'!AFQ139+"BYw!%(p"</f>
        <v>#VALUE!</v>
      </c>
      <c r="GK64" t="e">
        <f>'2.4.Функции'!AFR139+"BYw!%(q"</f>
        <v>#VALUE!</v>
      </c>
      <c r="GL64" t="e">
        <f>'2.4.Функции'!AFS139+"BYw!%(r"</f>
        <v>#VALUE!</v>
      </c>
      <c r="GM64" t="e">
        <f>'2.4.Функции'!AFT139+"BYw!%(s"</f>
        <v>#VALUE!</v>
      </c>
      <c r="GN64" t="e">
        <f>'2.4.Функции'!AFU139+"BYw!%(t"</f>
        <v>#VALUE!</v>
      </c>
      <c r="GO64" t="e">
        <f>'2.4.Функции'!AFV139+"BYw!%(u"</f>
        <v>#VALUE!</v>
      </c>
      <c r="GP64" t="e">
        <f>'2.4.Функции'!AFW139+"BYw!%(v"</f>
        <v>#VALUE!</v>
      </c>
      <c r="GQ64" t="e">
        <f>'2.4.Функции'!AFX139+"BYw!%(w"</f>
        <v>#VALUE!</v>
      </c>
      <c r="GR64" t="e">
        <f>'2.4.Функции'!AFY139+"BYw!%(x"</f>
        <v>#VALUE!</v>
      </c>
      <c r="GS64" t="e">
        <f>'2.4.Функции'!AFZ139+"BYw!%(y"</f>
        <v>#VALUE!</v>
      </c>
      <c r="GT64" t="e">
        <f>'2.4.Функции'!AGA139+"BYw!%(z"</f>
        <v>#VALUE!</v>
      </c>
      <c r="GU64" t="e">
        <f>'2.4.Функции'!AGB139+"BYw!%({"</f>
        <v>#VALUE!</v>
      </c>
      <c r="GV64" t="e">
        <f>'2.4.Функции'!AGC139+"BYw!%(|"</f>
        <v>#VALUE!</v>
      </c>
      <c r="GW64" t="e">
        <f>'2.4.Функции'!AGD139+"BYw!%(}"</f>
        <v>#VALUE!</v>
      </c>
      <c r="GX64" t="e">
        <f>'2.4.Функции'!AGE139+"BYw!%(~"</f>
        <v>#VALUE!</v>
      </c>
      <c r="GY64" t="e">
        <f>'2.4.Функции'!AGF139+"BYw!%)#"</f>
        <v>#VALUE!</v>
      </c>
      <c r="GZ64" t="e">
        <f>'2.4.Функции'!AGG139+"BYw!%)$"</f>
        <v>#VALUE!</v>
      </c>
      <c r="HA64" t="e">
        <f>'2.4.Функции'!AGH139+"BYw!%)%"</f>
        <v>#VALUE!</v>
      </c>
      <c r="HB64" t="e">
        <f>'2.4.Функции'!AGI139+"BYw!%)&amp;"</f>
        <v>#VALUE!</v>
      </c>
      <c r="HC64" t="e">
        <f>'2.4.Функции'!AGJ139+"BYw!%)'"</f>
        <v>#VALUE!</v>
      </c>
      <c r="HD64" t="e">
        <f>'2.4.Функции'!AGK139+"BYw!%)("</f>
        <v>#VALUE!</v>
      </c>
      <c r="HE64" t="e">
        <f>'2.4.Функции'!AGL139+"BYw!%))"</f>
        <v>#VALUE!</v>
      </c>
      <c r="HF64" t="e">
        <f>'2.4.Функции'!AGM139+"BYw!%)."</f>
        <v>#VALUE!</v>
      </c>
      <c r="HG64" t="e">
        <f>'2.4.Функции'!AGN139+"BYw!%)/"</f>
        <v>#VALUE!</v>
      </c>
      <c r="HH64" t="e">
        <f>'2.4.Функции'!AGO139+"BYw!%)0"</f>
        <v>#VALUE!</v>
      </c>
      <c r="HI64" t="e">
        <f>'2.4.Функции'!AGP139+"BYw!%)1"</f>
        <v>#VALUE!</v>
      </c>
      <c r="HJ64" t="e">
        <f>'2.4.Функции'!AGQ139+"BYw!%)2"</f>
        <v>#VALUE!</v>
      </c>
      <c r="HK64" t="e">
        <f>'2.4.Функции'!AGR139+"BYw!%)3"</f>
        <v>#VALUE!</v>
      </c>
      <c r="HL64" t="e">
        <f>'2.4.Функции'!AGS139+"BYw!%)4"</f>
        <v>#VALUE!</v>
      </c>
      <c r="HM64" t="e">
        <f>'2.4.Функции'!AGT139+"BYw!%)5"</f>
        <v>#VALUE!</v>
      </c>
      <c r="HN64" t="e">
        <f>'2.4.Функции'!AGU139+"BYw!%)6"</f>
        <v>#VALUE!</v>
      </c>
      <c r="HO64" t="e">
        <f>'2.4.Функции'!AGV139+"BYw!%)7"</f>
        <v>#VALUE!</v>
      </c>
      <c r="HP64" t="e">
        <f>'2.4.Функции'!AGW139+"BYw!%)8"</f>
        <v>#VALUE!</v>
      </c>
      <c r="HQ64" t="e">
        <f>'2.4.Функции'!AGX139+"BYw!%)9"</f>
        <v>#VALUE!</v>
      </c>
      <c r="HR64" t="e">
        <f>'2.4.Функции'!AGY139+"BYw!%):"</f>
        <v>#VALUE!</v>
      </c>
      <c r="HS64" t="e">
        <f>'2.4.Функции'!AGZ139+"BYw!%);"</f>
        <v>#VALUE!</v>
      </c>
      <c r="HT64" t="e">
        <f>'2.4.Функции'!AHA139+"BYw!%)&lt;"</f>
        <v>#VALUE!</v>
      </c>
      <c r="HU64" t="e">
        <f>'2.4.Функции'!AHB139+"BYw!%)="</f>
        <v>#VALUE!</v>
      </c>
      <c r="HV64" t="e">
        <f>'2.4.Функции'!AHC139+"BYw!%)&gt;"</f>
        <v>#VALUE!</v>
      </c>
      <c r="HW64" t="e">
        <f>'2.4.Функции'!AHD139+"BYw!%)?"</f>
        <v>#VALUE!</v>
      </c>
      <c r="HX64" t="e">
        <f>'2.4.Функции'!AHE139+"BYw!%)@"</f>
        <v>#VALUE!</v>
      </c>
      <c r="HY64" t="e">
        <f>'2.4.Функции'!AHF139+"BYw!%)A"</f>
        <v>#VALUE!</v>
      </c>
      <c r="HZ64" t="e">
        <f>'2.4.Функции'!AHG139+"BYw!%)B"</f>
        <v>#VALUE!</v>
      </c>
      <c r="IA64" t="e">
        <f>'2.4.Функции'!AHH139+"BYw!%)C"</f>
        <v>#VALUE!</v>
      </c>
      <c r="IB64" t="e">
        <f>'2.4.Функции'!AHI139+"BYw!%)D"</f>
        <v>#VALUE!</v>
      </c>
      <c r="IC64" t="e">
        <f>'2.4.Функции'!AHJ139+"BYw!%)E"</f>
        <v>#VALUE!</v>
      </c>
      <c r="ID64" t="e">
        <f>'2.4.Функции'!AHK139+"BYw!%)F"</f>
        <v>#VALUE!</v>
      </c>
      <c r="IE64" t="e">
        <f>'2.4.Функции'!AHL139+"BYw!%)G"</f>
        <v>#VALUE!</v>
      </c>
      <c r="IF64" t="e">
        <f>'2.4.Функции'!AHM139+"BYw!%)H"</f>
        <v>#VALUE!</v>
      </c>
      <c r="IG64" t="e">
        <f>'2.4.Функции'!AHN139+"BYw!%)I"</f>
        <v>#VALUE!</v>
      </c>
      <c r="IH64" t="e">
        <f>'2.4.Функции'!AHO139+"BYw!%)J"</f>
        <v>#VALUE!</v>
      </c>
      <c r="II64" t="e">
        <f>'2.4.Функции'!AHP139+"BYw!%)K"</f>
        <v>#VALUE!</v>
      </c>
      <c r="IJ64" t="e">
        <f>'2.4.Функции'!AHQ139+"BYw!%)L"</f>
        <v>#VALUE!</v>
      </c>
      <c r="IK64" t="e">
        <f>'2.4.Функции'!AHR139+"BYw!%)M"</f>
        <v>#VALUE!</v>
      </c>
      <c r="IL64" t="e">
        <f>'2.4.Функции'!AHS139+"BYw!%)N"</f>
        <v>#VALUE!</v>
      </c>
      <c r="IM64" t="e">
        <f>'2.4.Функции'!AHT139+"BYw!%)O"</f>
        <v>#VALUE!</v>
      </c>
      <c r="IN64" t="e">
        <f>'2.4.Функции'!AHU139+"BYw!%)P"</f>
        <v>#VALUE!</v>
      </c>
      <c r="IO64" t="e">
        <f>'2.4.Функции'!AHV139+"BYw!%)Q"</f>
        <v>#VALUE!</v>
      </c>
      <c r="IP64" t="e">
        <f>'2.4.Функции'!AHW139+"BYw!%)R"</f>
        <v>#VALUE!</v>
      </c>
      <c r="IQ64" t="e">
        <f>'2.4.Функции'!AHX139+"BYw!%)S"</f>
        <v>#VALUE!</v>
      </c>
      <c r="IR64" t="e">
        <f>'2.4.Функции'!AHY139+"BYw!%)T"</f>
        <v>#VALUE!</v>
      </c>
      <c r="IS64" t="e">
        <f>'2.4.Функции'!AHZ139+"BYw!%)U"</f>
        <v>#VALUE!</v>
      </c>
      <c r="IT64" t="e">
        <f>'2.4.Функции'!AIA139+"BYw!%)V"</f>
        <v>#VALUE!</v>
      </c>
      <c r="IU64" t="e">
        <f>'2.4.Функции'!AIB139+"BYw!%)W"</f>
        <v>#VALUE!</v>
      </c>
      <c r="IV64" t="e">
        <f>'2.4.Функции'!AIC139+"BYw!%)X"</f>
        <v>#VALUE!</v>
      </c>
    </row>
    <row r="65" spans="6:256" x14ac:dyDescent="0.2">
      <c r="F65" t="e">
        <f>'2.4.Функции'!AID139+"BYw!%)Y"</f>
        <v>#VALUE!</v>
      </c>
      <c r="G65" t="e">
        <f>'2.4.Функции'!AIE139+"BYw!%)Z"</f>
        <v>#VALUE!</v>
      </c>
      <c r="H65" t="e">
        <f>'2.4.Функции'!AIF139+"BYw!%)["</f>
        <v>#VALUE!</v>
      </c>
      <c r="I65" t="e">
        <f>'2.4.Функции'!AIG139+"BYw!%)\"</f>
        <v>#VALUE!</v>
      </c>
      <c r="J65" t="e">
        <f>'2.4.Функции'!AIH139+"BYw!%)]"</f>
        <v>#VALUE!</v>
      </c>
      <c r="K65" t="e">
        <f>'2.4.Функции'!A140+"BYw!%)^"</f>
        <v>#VALUE!</v>
      </c>
      <c r="L65" s="116" t="e">
        <f>'2.4.Функции'!B140+"BYw!%)_"</f>
        <v>#VALUE!</v>
      </c>
      <c r="M65" t="e">
        <f>'2.4.Функции'!C140+"BYw!%)`"</f>
        <v>#VALUE!</v>
      </c>
      <c r="N65" s="119" t="e">
        <f>'2.4.Функции'!D140+"BYw!%)a"</f>
        <v>#VALUE!</v>
      </c>
      <c r="O65" s="119" t="e">
        <f>'2.4.Функции'!E140+"BYw!%)b"</f>
        <v>#VALUE!</v>
      </c>
      <c r="P65" s="119" t="e">
        <f>'2.4.Функции'!F140+"BYw!%)c"</f>
        <v>#VALUE!</v>
      </c>
      <c r="Q65" s="119" t="e">
        <f>'2.4.Функции'!G140+"BYw!%)d"</f>
        <v>#VALUE!</v>
      </c>
      <c r="R65" s="119" t="e">
        <f>'2.4.Функции'!H140+"BYw!%)e"</f>
        <v>#VALUE!</v>
      </c>
      <c r="S65" s="119" t="e">
        <f>'2.4.Функции'!I140+"BYw!%)f"</f>
        <v>#VALUE!</v>
      </c>
      <c r="T65" s="119" t="e">
        <f>'2.4.Функции'!J140+"BYw!%)g"</f>
        <v>#VALUE!</v>
      </c>
      <c r="U65" s="119" t="e">
        <f>'2.4.Функции'!K140+"BYw!%)h"</f>
        <v>#VALUE!</v>
      </c>
      <c r="V65" t="e">
        <f>'2.4.Функции'!L140+"BYw!%)i"</f>
        <v>#VALUE!</v>
      </c>
      <c r="W65" t="e">
        <f>'2.4.Функции'!M140+"BYw!%)j"</f>
        <v>#VALUE!</v>
      </c>
      <c r="X65" t="e">
        <f>'2.4.Функции'!N140+"BYw!%)k"</f>
        <v>#VALUE!</v>
      </c>
      <c r="Y65" t="e">
        <f>'2.4.Функции'!O140+"BYw!%)l"</f>
        <v>#VALUE!</v>
      </c>
      <c r="Z65" t="e">
        <f>'2.4.Функции'!P140+"BYw!%)m"</f>
        <v>#VALUE!</v>
      </c>
      <c r="AA65" t="e">
        <f>'2.4.Функции'!Q140+"BYw!%)n"</f>
        <v>#VALUE!</v>
      </c>
      <c r="AB65" t="e">
        <f>'2.4.Функции'!R140+"BYw!%)o"</f>
        <v>#VALUE!</v>
      </c>
      <c r="AC65" t="e">
        <f>'2.4.Функции'!S140+"BYw!%)p"</f>
        <v>#VALUE!</v>
      </c>
      <c r="AD65" t="e">
        <f>'2.4.Функции'!T140+"BYw!%)q"</f>
        <v>#VALUE!</v>
      </c>
      <c r="AE65" t="e">
        <f>'2.4.Функции'!U140+"BYw!%)r"</f>
        <v>#VALUE!</v>
      </c>
      <c r="AF65" t="e">
        <f>'2.4.Функции'!V140+"BYw!%)s"</f>
        <v>#VALUE!</v>
      </c>
      <c r="AG65" t="e">
        <f>'2.4.Функции'!W140+"BYw!%)t"</f>
        <v>#VALUE!</v>
      </c>
      <c r="AH65" t="e">
        <f>'2.4.Функции'!X140+"BYw!%)u"</f>
        <v>#VALUE!</v>
      </c>
      <c r="AI65" t="e">
        <f>'2.4.Функции'!Y140+"BYw!%)v"</f>
        <v>#VALUE!</v>
      </c>
      <c r="AJ65" t="e">
        <f>'2.4.Функции'!Z140+"BYw!%)w"</f>
        <v>#VALUE!</v>
      </c>
      <c r="AK65" t="e">
        <f>'2.4.Функции'!AA140+"BYw!%)x"</f>
        <v>#VALUE!</v>
      </c>
      <c r="AL65" t="e">
        <f>'2.4.Функции'!AB140+"BYw!%)y"</f>
        <v>#VALUE!</v>
      </c>
      <c r="AM65" t="e">
        <f>'2.4.Функции'!AC140+"BYw!%)z"</f>
        <v>#VALUE!</v>
      </c>
      <c r="AN65" t="e">
        <f>'2.4.Функции'!AD140+"BYw!%){"</f>
        <v>#VALUE!</v>
      </c>
      <c r="AO65" t="e">
        <f>'2.4.Функции'!AE140+"BYw!%)|"</f>
        <v>#VALUE!</v>
      </c>
      <c r="AP65" t="e">
        <f>'2.4.Функции'!AF140+"BYw!%)}"</f>
        <v>#VALUE!</v>
      </c>
      <c r="AQ65" t="e">
        <f>'2.4.Функции'!AG140+"BYw!%)~"</f>
        <v>#VALUE!</v>
      </c>
      <c r="AR65" t="e">
        <f>'2.4.Функции'!AH140+"BYw!%.#"</f>
        <v>#VALUE!</v>
      </c>
      <c r="AS65" t="e">
        <f>'2.4.Функции'!AI140+"BYw!%.$"</f>
        <v>#VALUE!</v>
      </c>
      <c r="AT65" t="e">
        <f>'2.4.Функции'!AJ140+"BYw!%.%"</f>
        <v>#VALUE!</v>
      </c>
      <c r="AU65" t="e">
        <f>'2.4.Функции'!AK140+"BYw!%.&amp;"</f>
        <v>#VALUE!</v>
      </c>
      <c r="AV65" t="e">
        <f>'2.4.Функции'!AL140+"BYw!%.'"</f>
        <v>#VALUE!</v>
      </c>
      <c r="AW65" t="e">
        <f>'2.4.Функции'!AM140+"BYw!%.("</f>
        <v>#VALUE!</v>
      </c>
      <c r="AX65" t="e">
        <f>'2.4.Функции'!AN140+"BYw!%.)"</f>
        <v>#VALUE!</v>
      </c>
      <c r="AY65" t="e">
        <f>'2.4.Функции'!AO140+"BYw!%.."</f>
        <v>#VALUE!</v>
      </c>
      <c r="AZ65" t="e">
        <f>'2.4.Функции'!AP140+"BYw!%./"</f>
        <v>#VALUE!</v>
      </c>
      <c r="BA65" t="e">
        <f>'2.4.Функции'!AQ140+"BYw!%.0"</f>
        <v>#VALUE!</v>
      </c>
      <c r="BB65" t="e">
        <f>'2.4.Функции'!AR140+"BYw!%.1"</f>
        <v>#VALUE!</v>
      </c>
      <c r="BC65" t="e">
        <f>'2.4.Функции'!AS140+"BYw!%.2"</f>
        <v>#VALUE!</v>
      </c>
      <c r="BD65" t="e">
        <f>'2.4.Функции'!AT140+"BYw!%.3"</f>
        <v>#VALUE!</v>
      </c>
      <c r="BE65" t="e">
        <f>'2.4.Функции'!AU140+"BYw!%.4"</f>
        <v>#VALUE!</v>
      </c>
      <c r="BF65" t="e">
        <f>'2.4.Функции'!AV140+"BYw!%.5"</f>
        <v>#VALUE!</v>
      </c>
      <c r="BG65" t="e">
        <f>'2.4.Функции'!AW140+"BYw!%.6"</f>
        <v>#VALUE!</v>
      </c>
      <c r="BH65" t="e">
        <f>'2.4.Функции'!AX140+"BYw!%.7"</f>
        <v>#VALUE!</v>
      </c>
      <c r="BI65" t="e">
        <f>'2.4.Функции'!AY140+"BYw!%.8"</f>
        <v>#VALUE!</v>
      </c>
      <c r="BJ65" t="e">
        <f>'2.4.Функции'!AZ140+"BYw!%.9"</f>
        <v>#VALUE!</v>
      </c>
      <c r="BK65" t="e">
        <f>'2.4.Функции'!BA140+"BYw!%.:"</f>
        <v>#VALUE!</v>
      </c>
      <c r="BL65" t="e">
        <f>'2.4.Функции'!BB140+"BYw!%.;"</f>
        <v>#VALUE!</v>
      </c>
      <c r="BM65" t="e">
        <f>'2.4.Функции'!BC140+"BYw!%.&lt;"</f>
        <v>#VALUE!</v>
      </c>
      <c r="BN65" t="e">
        <f>'2.4.Функции'!BD140+"BYw!%.="</f>
        <v>#VALUE!</v>
      </c>
      <c r="BO65" t="e">
        <f>'2.4.Функции'!BE140+"BYw!%.&gt;"</f>
        <v>#VALUE!</v>
      </c>
      <c r="BP65" t="e">
        <f>'2.4.Функции'!BF140+"BYw!%.?"</f>
        <v>#VALUE!</v>
      </c>
      <c r="BQ65" t="e">
        <f>'2.4.Функции'!BG140+"BYw!%.@"</f>
        <v>#VALUE!</v>
      </c>
      <c r="BR65" t="e">
        <f>'2.4.Функции'!BH140+"BYw!%.A"</f>
        <v>#VALUE!</v>
      </c>
      <c r="BS65" t="e">
        <f>'2.4.Функции'!BI140+"BYw!%.B"</f>
        <v>#VALUE!</v>
      </c>
      <c r="BT65" t="e">
        <f>'2.4.Функции'!BJ140+"BYw!%.C"</f>
        <v>#VALUE!</v>
      </c>
      <c r="BU65" t="e">
        <f>'2.4.Функции'!BK140+"BYw!%.D"</f>
        <v>#VALUE!</v>
      </c>
      <c r="BV65" t="e">
        <f>'2.4.Функции'!BL140+"BYw!%.E"</f>
        <v>#VALUE!</v>
      </c>
      <c r="BW65" t="e">
        <f>'2.4.Функции'!BM140+"BYw!%.F"</f>
        <v>#VALUE!</v>
      </c>
      <c r="BX65" t="e">
        <f>'2.4.Функции'!BN140+"BYw!%.G"</f>
        <v>#VALUE!</v>
      </c>
      <c r="BY65" t="e">
        <f>'2.4.Функции'!BO140+"BYw!%.H"</f>
        <v>#VALUE!</v>
      </c>
      <c r="BZ65" t="e">
        <f>'2.4.Функции'!BP140+"BYw!%.I"</f>
        <v>#VALUE!</v>
      </c>
      <c r="CA65" t="e">
        <f>'2.4.Функции'!BQ140+"BYw!%.J"</f>
        <v>#VALUE!</v>
      </c>
      <c r="CB65" t="e">
        <f>'2.4.Функции'!BR140+"BYw!%.K"</f>
        <v>#VALUE!</v>
      </c>
      <c r="CC65" t="e">
        <f>'2.4.Функции'!BS140+"BYw!%.L"</f>
        <v>#VALUE!</v>
      </c>
      <c r="CD65" t="e">
        <f>'2.4.Функции'!BT140+"BYw!%.M"</f>
        <v>#VALUE!</v>
      </c>
      <c r="CE65" t="e">
        <f>'2.4.Функции'!BU140+"BYw!%.N"</f>
        <v>#VALUE!</v>
      </c>
      <c r="CF65" t="e">
        <f>'2.4.Функции'!BV140+"BYw!%.O"</f>
        <v>#VALUE!</v>
      </c>
      <c r="CG65" t="e">
        <f>'2.4.Функции'!BW140+"BYw!%.P"</f>
        <v>#VALUE!</v>
      </c>
      <c r="CH65" t="e">
        <f>'2.4.Функции'!BX140+"BYw!%.Q"</f>
        <v>#VALUE!</v>
      </c>
      <c r="CI65" t="e">
        <f>'2.4.Функции'!BY140+"BYw!%.R"</f>
        <v>#VALUE!</v>
      </c>
      <c r="CJ65" t="e">
        <f>'2.4.Функции'!BZ140+"BYw!%.S"</f>
        <v>#VALUE!</v>
      </c>
      <c r="CK65" t="e">
        <f>'2.4.Функции'!CA140+"BYw!%.T"</f>
        <v>#VALUE!</v>
      </c>
      <c r="CL65" t="e">
        <f>'2.4.Функции'!CB140+"BYw!%.U"</f>
        <v>#VALUE!</v>
      </c>
      <c r="CM65" t="e">
        <f>'2.4.Функции'!CC140+"BYw!%.V"</f>
        <v>#VALUE!</v>
      </c>
      <c r="CN65" t="e">
        <f>'2.4.Функции'!CD140+"BYw!%.W"</f>
        <v>#VALUE!</v>
      </c>
      <c r="CO65" t="e">
        <f>'2.4.Функции'!CE140+"BYw!%.X"</f>
        <v>#VALUE!</v>
      </c>
      <c r="CP65" t="e">
        <f>'2.4.Функции'!CF140+"BYw!%.Y"</f>
        <v>#VALUE!</v>
      </c>
      <c r="CQ65" t="e">
        <f>'2.4.Функции'!CG140+"BYw!%.Z"</f>
        <v>#VALUE!</v>
      </c>
      <c r="CR65" t="e">
        <f>'2.4.Функции'!CH140+"BYw!%.["</f>
        <v>#VALUE!</v>
      </c>
      <c r="CS65" t="e">
        <f>'2.4.Функции'!CI140+"BYw!%.\"</f>
        <v>#VALUE!</v>
      </c>
      <c r="CT65" t="e">
        <f>'2.4.Функции'!CJ140+"BYw!%.]"</f>
        <v>#VALUE!</v>
      </c>
      <c r="CU65" t="e">
        <f>'2.4.Функции'!CK140+"BYw!%.^"</f>
        <v>#VALUE!</v>
      </c>
      <c r="CV65" t="e">
        <f>'2.4.Функции'!CL140+"BYw!%._"</f>
        <v>#VALUE!</v>
      </c>
      <c r="CW65" t="e">
        <f>'2.4.Функции'!CM140+"BYw!%.`"</f>
        <v>#VALUE!</v>
      </c>
      <c r="CX65" t="e">
        <f>'2.4.Функции'!CN140+"BYw!%.a"</f>
        <v>#VALUE!</v>
      </c>
      <c r="CY65" t="e">
        <f>'2.4.Функции'!CO140+"BYw!%.b"</f>
        <v>#VALUE!</v>
      </c>
      <c r="CZ65" t="e">
        <f>'2.4.Функции'!CP140+"BYw!%.c"</f>
        <v>#VALUE!</v>
      </c>
      <c r="DA65" t="e">
        <f>'2.4.Функции'!CQ140+"BYw!%.d"</f>
        <v>#VALUE!</v>
      </c>
      <c r="DB65" t="e">
        <f>'2.4.Функции'!CR140+"BYw!%.e"</f>
        <v>#VALUE!</v>
      </c>
      <c r="DC65" t="e">
        <f>'2.4.Функции'!CS140+"BYw!%.f"</f>
        <v>#VALUE!</v>
      </c>
      <c r="DD65" t="e">
        <f>'2.4.Функции'!CT140+"BYw!%.g"</f>
        <v>#VALUE!</v>
      </c>
      <c r="DE65" t="e">
        <f>'2.4.Функции'!CU140+"BYw!%.h"</f>
        <v>#VALUE!</v>
      </c>
      <c r="DF65" t="e">
        <f>'2.4.Функции'!CV140+"BYw!%.i"</f>
        <v>#VALUE!</v>
      </c>
      <c r="DG65" t="e">
        <f>'2.4.Функции'!CW140+"BYw!%.j"</f>
        <v>#VALUE!</v>
      </c>
      <c r="DH65" t="e">
        <f>'2.4.Функции'!CX140+"BYw!%.k"</f>
        <v>#VALUE!</v>
      </c>
      <c r="DI65" t="e">
        <f>'2.4.Функции'!CY140+"BYw!%.l"</f>
        <v>#VALUE!</v>
      </c>
      <c r="DJ65" t="e">
        <f>'2.4.Функции'!CZ140+"BYw!%.m"</f>
        <v>#VALUE!</v>
      </c>
      <c r="DK65" t="e">
        <f>'2.4.Функции'!DA140+"BYw!%.n"</f>
        <v>#VALUE!</v>
      </c>
      <c r="DL65" t="e">
        <f>'2.4.Функции'!DB140+"BYw!%.o"</f>
        <v>#VALUE!</v>
      </c>
      <c r="DM65" t="e">
        <f>'2.4.Функции'!DC140+"BYw!%.p"</f>
        <v>#VALUE!</v>
      </c>
      <c r="DN65" t="e">
        <f>'2.4.Функции'!DD140+"BYw!%.q"</f>
        <v>#VALUE!</v>
      </c>
      <c r="DO65" t="e">
        <f>'2.4.Функции'!DE140+"BYw!%.r"</f>
        <v>#VALUE!</v>
      </c>
      <c r="DP65" t="e">
        <f>'2.4.Функции'!DF140+"BYw!%.s"</f>
        <v>#VALUE!</v>
      </c>
      <c r="DQ65" t="e">
        <f>'2.4.Функции'!DG140+"BYw!%.t"</f>
        <v>#VALUE!</v>
      </c>
      <c r="DR65" t="e">
        <f>'2.4.Функции'!DH140+"BYw!%.u"</f>
        <v>#VALUE!</v>
      </c>
      <c r="DS65" t="e">
        <f>'2.4.Функции'!DI140+"BYw!%.v"</f>
        <v>#VALUE!</v>
      </c>
      <c r="DT65" t="e">
        <f>'2.4.Функции'!DJ140+"BYw!%.w"</f>
        <v>#VALUE!</v>
      </c>
      <c r="DU65" t="e">
        <f>'2.4.Функции'!DK140+"BYw!%.x"</f>
        <v>#VALUE!</v>
      </c>
      <c r="DV65" t="e">
        <f>'2.4.Функции'!DL140+"BYw!%.y"</f>
        <v>#VALUE!</v>
      </c>
      <c r="DW65" t="e">
        <f>'2.4.Функции'!DM140+"BYw!%.z"</f>
        <v>#VALUE!</v>
      </c>
      <c r="DX65" t="e">
        <f>'2.4.Функции'!DN140+"BYw!%.{"</f>
        <v>#VALUE!</v>
      </c>
      <c r="DY65" t="e">
        <f>'2.4.Функции'!DO140+"BYw!%.|"</f>
        <v>#VALUE!</v>
      </c>
      <c r="DZ65" t="e">
        <f>'2.4.Функции'!DP140+"BYw!%.}"</f>
        <v>#VALUE!</v>
      </c>
      <c r="EA65" t="e">
        <f>'2.4.Функции'!DQ140+"BYw!%.~"</f>
        <v>#VALUE!</v>
      </c>
      <c r="EB65" t="e">
        <f>'2.4.Функции'!DR140+"BYw!%/#"</f>
        <v>#VALUE!</v>
      </c>
      <c r="EC65" t="e">
        <f>'2.4.Функции'!DS140+"BYw!%/$"</f>
        <v>#VALUE!</v>
      </c>
      <c r="ED65" t="e">
        <f>'2.4.Функции'!DT140+"BYw!%/%"</f>
        <v>#VALUE!</v>
      </c>
      <c r="EE65" t="e">
        <f>'2.4.Функции'!DU140+"BYw!%/&amp;"</f>
        <v>#VALUE!</v>
      </c>
      <c r="EF65" t="e">
        <f>'2.4.Функции'!DV140+"BYw!%/'"</f>
        <v>#VALUE!</v>
      </c>
      <c r="EG65" t="e">
        <f>'2.4.Функции'!DW140+"BYw!%/("</f>
        <v>#VALUE!</v>
      </c>
      <c r="EH65" t="e">
        <f>'2.4.Функции'!DX140+"BYw!%/)"</f>
        <v>#VALUE!</v>
      </c>
      <c r="EI65" t="e">
        <f>'2.4.Функции'!DY140+"BYw!%/."</f>
        <v>#VALUE!</v>
      </c>
      <c r="EJ65" t="e">
        <f>'2.4.Функции'!DZ140+"BYw!%//"</f>
        <v>#VALUE!</v>
      </c>
      <c r="EK65" t="e">
        <f>'2.4.Функции'!EA140+"BYw!%/0"</f>
        <v>#VALUE!</v>
      </c>
      <c r="EL65" t="e">
        <f>'2.4.Функции'!EB140+"BYw!%/1"</f>
        <v>#VALUE!</v>
      </c>
      <c r="EM65" t="e">
        <f>'2.4.Функции'!EC140+"BYw!%/2"</f>
        <v>#VALUE!</v>
      </c>
      <c r="EN65" t="e">
        <f>'2.4.Функции'!ED140+"BYw!%/3"</f>
        <v>#VALUE!</v>
      </c>
      <c r="EO65" t="e">
        <f>'2.4.Функции'!EE140+"BYw!%/4"</f>
        <v>#VALUE!</v>
      </c>
      <c r="EP65" t="e">
        <f>'2.4.Функции'!EF140+"BYw!%/5"</f>
        <v>#VALUE!</v>
      </c>
      <c r="EQ65" t="e">
        <f>'2.4.Функции'!EG140+"BYw!%/6"</f>
        <v>#VALUE!</v>
      </c>
      <c r="ER65" t="e">
        <f>'2.4.Функции'!EH140+"BYw!%/7"</f>
        <v>#VALUE!</v>
      </c>
      <c r="ES65" t="e">
        <f>'2.4.Функции'!EI140+"BYw!%/8"</f>
        <v>#VALUE!</v>
      </c>
      <c r="ET65" t="e">
        <f>'2.4.Функции'!EJ140+"BYw!%/9"</f>
        <v>#VALUE!</v>
      </c>
      <c r="EU65" t="e">
        <f>'2.4.Функции'!EK140+"BYw!%/:"</f>
        <v>#VALUE!</v>
      </c>
      <c r="EV65" t="e">
        <f>'2.4.Функции'!EL140+"BYw!%/;"</f>
        <v>#VALUE!</v>
      </c>
      <c r="EW65" t="e">
        <f>'2.4.Функции'!EM140+"BYw!%/&lt;"</f>
        <v>#VALUE!</v>
      </c>
      <c r="EX65" t="e">
        <f>'2.4.Функции'!EN140+"BYw!%/="</f>
        <v>#VALUE!</v>
      </c>
      <c r="EY65" t="e">
        <f>'2.4.Функции'!EO140+"BYw!%/&gt;"</f>
        <v>#VALUE!</v>
      </c>
      <c r="EZ65" t="e">
        <f>'2.4.Функции'!EP140+"BYw!%/?"</f>
        <v>#VALUE!</v>
      </c>
      <c r="FA65" t="e">
        <f>'2.4.Функции'!EQ140+"BYw!%/@"</f>
        <v>#VALUE!</v>
      </c>
      <c r="FB65" t="e">
        <f>'2.4.Функции'!ER140+"BYw!%/A"</f>
        <v>#VALUE!</v>
      </c>
      <c r="FC65" t="e">
        <f>'2.4.Функции'!ES140+"BYw!%/B"</f>
        <v>#VALUE!</v>
      </c>
      <c r="FD65" t="e">
        <f>'2.4.Функции'!ET140+"BYw!%/C"</f>
        <v>#VALUE!</v>
      </c>
      <c r="FE65" t="e">
        <f>'2.4.Функции'!EU140+"BYw!%/D"</f>
        <v>#VALUE!</v>
      </c>
      <c r="FF65" t="e">
        <f>'2.4.Функции'!EV140+"BYw!%/E"</f>
        <v>#VALUE!</v>
      </c>
      <c r="FG65" t="e">
        <f>'2.4.Функции'!EW140+"BYw!%/F"</f>
        <v>#VALUE!</v>
      </c>
      <c r="FH65" t="e">
        <f>'2.4.Функции'!EX140+"BYw!%/G"</f>
        <v>#VALUE!</v>
      </c>
      <c r="FI65" t="e">
        <f>'2.4.Функции'!EY140+"BYw!%/H"</f>
        <v>#VALUE!</v>
      </c>
      <c r="FJ65" t="e">
        <f>'2.4.Функции'!EZ140+"BYw!%/I"</f>
        <v>#VALUE!</v>
      </c>
      <c r="FK65" t="e">
        <f>'2.4.Функции'!FA140+"BYw!%/J"</f>
        <v>#VALUE!</v>
      </c>
      <c r="FL65" t="e">
        <f>'2.4.Функции'!FB140+"BYw!%/K"</f>
        <v>#VALUE!</v>
      </c>
      <c r="FM65" t="e">
        <f>'2.4.Функции'!FC140+"BYw!%/L"</f>
        <v>#VALUE!</v>
      </c>
      <c r="FN65" t="e">
        <f>'2.4.Функции'!FD140+"BYw!%/M"</f>
        <v>#VALUE!</v>
      </c>
      <c r="FO65" t="e">
        <f>'2.4.Функции'!FE140+"BYw!%/N"</f>
        <v>#VALUE!</v>
      </c>
      <c r="FP65" t="e">
        <f>'2.4.Функции'!FF140+"BYw!%/O"</f>
        <v>#VALUE!</v>
      </c>
      <c r="FQ65" t="e">
        <f>'2.4.Функции'!FG140+"BYw!%/P"</f>
        <v>#VALUE!</v>
      </c>
      <c r="FR65" t="e">
        <f>'2.4.Функции'!FH140+"BYw!%/Q"</f>
        <v>#VALUE!</v>
      </c>
      <c r="FS65" t="e">
        <f>'2.4.Функции'!FI140+"BYw!%/R"</f>
        <v>#VALUE!</v>
      </c>
      <c r="FT65" t="e">
        <f>'2.4.Функции'!FJ140+"BYw!%/S"</f>
        <v>#VALUE!</v>
      </c>
      <c r="FU65" t="e">
        <f>'2.4.Функции'!FK140+"BYw!%/T"</f>
        <v>#VALUE!</v>
      </c>
      <c r="FV65" t="e">
        <f>'2.4.Функции'!FL140+"BYw!%/U"</f>
        <v>#VALUE!</v>
      </c>
      <c r="FW65" t="e">
        <f>'2.4.Функции'!FM140+"BYw!%/V"</f>
        <v>#VALUE!</v>
      </c>
      <c r="FX65" t="e">
        <f>'2.4.Функции'!FN140+"BYw!%/W"</f>
        <v>#VALUE!</v>
      </c>
      <c r="FY65" t="e">
        <f>'2.4.Функции'!FO140+"BYw!%/X"</f>
        <v>#VALUE!</v>
      </c>
      <c r="FZ65" t="e">
        <f>'2.4.Функции'!FP140+"BYw!%/Y"</f>
        <v>#VALUE!</v>
      </c>
      <c r="GA65" t="e">
        <f>'2.4.Функции'!FQ140+"BYw!%/Z"</f>
        <v>#VALUE!</v>
      </c>
      <c r="GB65" t="e">
        <f>'2.4.Функции'!FR140+"BYw!%/["</f>
        <v>#VALUE!</v>
      </c>
      <c r="GC65" t="e">
        <f>'2.4.Функции'!FS140+"BYw!%/\"</f>
        <v>#VALUE!</v>
      </c>
      <c r="GD65" t="e">
        <f>'2.4.Функции'!FT140+"BYw!%/]"</f>
        <v>#VALUE!</v>
      </c>
      <c r="GE65" t="e">
        <f>'2.4.Функции'!FU140+"BYw!%/^"</f>
        <v>#VALUE!</v>
      </c>
      <c r="GF65" t="e">
        <f>'2.4.Функции'!FV140+"BYw!%/_"</f>
        <v>#VALUE!</v>
      </c>
      <c r="GG65" t="e">
        <f>'2.4.Функции'!FW140+"BYw!%/`"</f>
        <v>#VALUE!</v>
      </c>
      <c r="GH65" t="e">
        <f>'2.4.Функции'!FX140+"BYw!%/a"</f>
        <v>#VALUE!</v>
      </c>
      <c r="GI65" t="e">
        <f>'2.4.Функции'!FY140+"BYw!%/b"</f>
        <v>#VALUE!</v>
      </c>
      <c r="GJ65" t="e">
        <f>'2.4.Функции'!FZ140+"BYw!%/c"</f>
        <v>#VALUE!</v>
      </c>
      <c r="GK65" t="e">
        <f>'2.4.Функции'!GA140+"BYw!%/d"</f>
        <v>#VALUE!</v>
      </c>
      <c r="GL65" t="e">
        <f>'2.4.Функции'!GB140+"BYw!%/e"</f>
        <v>#VALUE!</v>
      </c>
      <c r="GM65" t="e">
        <f>'2.4.Функции'!GC140+"BYw!%/f"</f>
        <v>#VALUE!</v>
      </c>
      <c r="GN65" t="e">
        <f>'2.4.Функции'!GD140+"BYw!%/g"</f>
        <v>#VALUE!</v>
      </c>
      <c r="GO65" t="e">
        <f>'2.4.Функции'!GE140+"BYw!%/h"</f>
        <v>#VALUE!</v>
      </c>
      <c r="GP65" t="e">
        <f>'2.4.Функции'!GF140+"BYw!%/i"</f>
        <v>#VALUE!</v>
      </c>
      <c r="GQ65" t="e">
        <f>'2.4.Функции'!GG140+"BYw!%/j"</f>
        <v>#VALUE!</v>
      </c>
      <c r="GR65" t="e">
        <f>'2.4.Функции'!GH140+"BYw!%/k"</f>
        <v>#VALUE!</v>
      </c>
      <c r="GS65" t="e">
        <f>'2.4.Функции'!GI140+"BYw!%/l"</f>
        <v>#VALUE!</v>
      </c>
      <c r="GT65" t="e">
        <f>'2.4.Функции'!GJ140+"BYw!%/m"</f>
        <v>#VALUE!</v>
      </c>
      <c r="GU65" t="e">
        <f>'2.4.Функции'!GK140+"BYw!%/n"</f>
        <v>#VALUE!</v>
      </c>
      <c r="GV65" t="e">
        <f>'2.4.Функции'!GL140+"BYw!%/o"</f>
        <v>#VALUE!</v>
      </c>
      <c r="GW65" t="e">
        <f>'2.4.Функции'!GM140+"BYw!%/p"</f>
        <v>#VALUE!</v>
      </c>
      <c r="GX65" t="e">
        <f>'2.4.Функции'!GN140+"BYw!%/q"</f>
        <v>#VALUE!</v>
      </c>
      <c r="GY65" t="e">
        <f>'2.4.Функции'!GO140+"BYw!%/r"</f>
        <v>#VALUE!</v>
      </c>
      <c r="GZ65" t="e">
        <f>'2.4.Функции'!GP140+"BYw!%/s"</f>
        <v>#VALUE!</v>
      </c>
      <c r="HA65" t="e">
        <f>'2.4.Функции'!GQ140+"BYw!%/t"</f>
        <v>#VALUE!</v>
      </c>
      <c r="HB65" t="e">
        <f>'2.4.Функции'!GR140+"BYw!%/u"</f>
        <v>#VALUE!</v>
      </c>
      <c r="HC65" t="e">
        <f>'2.4.Функции'!GS140+"BYw!%/v"</f>
        <v>#VALUE!</v>
      </c>
      <c r="HD65" t="e">
        <f>'2.4.Функции'!GT140+"BYw!%/w"</f>
        <v>#VALUE!</v>
      </c>
      <c r="HE65" t="e">
        <f>'2.4.Функции'!GU140+"BYw!%/x"</f>
        <v>#VALUE!</v>
      </c>
      <c r="HF65" t="e">
        <f>'2.4.Функции'!GV140+"BYw!%/y"</f>
        <v>#VALUE!</v>
      </c>
      <c r="HG65" t="e">
        <f>'2.4.Функции'!GW140+"BYw!%/z"</f>
        <v>#VALUE!</v>
      </c>
      <c r="HH65" t="e">
        <f>'2.4.Функции'!GX140+"BYw!%/{"</f>
        <v>#VALUE!</v>
      </c>
      <c r="HI65" t="e">
        <f>'2.4.Функции'!GY140+"BYw!%/|"</f>
        <v>#VALUE!</v>
      </c>
      <c r="HJ65" t="e">
        <f>'2.4.Функции'!GZ140+"BYw!%/}"</f>
        <v>#VALUE!</v>
      </c>
      <c r="HK65" t="e">
        <f>'2.4.Функции'!HA140+"BYw!%/~"</f>
        <v>#VALUE!</v>
      </c>
      <c r="HL65" t="e">
        <f>'2.4.Функции'!HB140+"BYw!%0#"</f>
        <v>#VALUE!</v>
      </c>
      <c r="HM65" t="e">
        <f>'2.4.Функции'!HC140+"BYw!%0$"</f>
        <v>#VALUE!</v>
      </c>
      <c r="HN65" t="e">
        <f>'2.4.Функции'!HD140+"BYw!%0%"</f>
        <v>#VALUE!</v>
      </c>
      <c r="HO65" t="e">
        <f>'2.4.Функции'!HE140+"BYw!%0&amp;"</f>
        <v>#VALUE!</v>
      </c>
      <c r="HP65" t="e">
        <f>'2.4.Функции'!HF140+"BYw!%0'"</f>
        <v>#VALUE!</v>
      </c>
      <c r="HQ65" t="e">
        <f>'2.4.Функции'!HG140+"BYw!%0("</f>
        <v>#VALUE!</v>
      </c>
      <c r="HR65" t="e">
        <f>'2.4.Функции'!HH140+"BYw!%0)"</f>
        <v>#VALUE!</v>
      </c>
      <c r="HS65" t="e">
        <f>'2.4.Функции'!HI140+"BYw!%0."</f>
        <v>#VALUE!</v>
      </c>
      <c r="HT65" t="e">
        <f>'2.4.Функции'!HJ140+"BYw!%0/"</f>
        <v>#VALUE!</v>
      </c>
      <c r="HU65" t="e">
        <f>'2.4.Функции'!HK140+"BYw!%00"</f>
        <v>#VALUE!</v>
      </c>
      <c r="HV65" t="e">
        <f>'2.4.Функции'!HL140+"BYw!%01"</f>
        <v>#VALUE!</v>
      </c>
      <c r="HW65" t="e">
        <f>'2.4.Функции'!HM140+"BYw!%02"</f>
        <v>#VALUE!</v>
      </c>
      <c r="HX65" t="e">
        <f>'2.4.Функции'!HN140+"BYw!%03"</f>
        <v>#VALUE!</v>
      </c>
      <c r="HY65" t="e">
        <f>'2.4.Функции'!HO140+"BYw!%04"</f>
        <v>#VALUE!</v>
      </c>
      <c r="HZ65" t="e">
        <f>'2.4.Функции'!HP140+"BYw!%05"</f>
        <v>#VALUE!</v>
      </c>
      <c r="IA65" t="e">
        <f>'2.4.Функции'!HQ140+"BYw!%06"</f>
        <v>#VALUE!</v>
      </c>
      <c r="IB65" t="e">
        <f>'2.4.Функции'!HR140+"BYw!%07"</f>
        <v>#VALUE!</v>
      </c>
      <c r="IC65" t="e">
        <f>'2.4.Функции'!HS140+"BYw!%08"</f>
        <v>#VALUE!</v>
      </c>
      <c r="ID65" t="e">
        <f>'2.4.Функции'!HT140+"BYw!%09"</f>
        <v>#VALUE!</v>
      </c>
      <c r="IE65" t="e">
        <f>'2.4.Функции'!HU140+"BYw!%0:"</f>
        <v>#VALUE!</v>
      </c>
      <c r="IF65" t="e">
        <f>'2.4.Функции'!HV140+"BYw!%0;"</f>
        <v>#VALUE!</v>
      </c>
      <c r="IG65" t="e">
        <f>'2.4.Функции'!HW140+"BYw!%0&lt;"</f>
        <v>#VALUE!</v>
      </c>
      <c r="IH65" t="e">
        <f>'2.4.Функции'!HX140+"BYw!%0="</f>
        <v>#VALUE!</v>
      </c>
      <c r="II65" t="e">
        <f>'2.4.Функции'!HY140+"BYw!%0&gt;"</f>
        <v>#VALUE!</v>
      </c>
      <c r="IJ65" t="e">
        <f>'2.4.Функции'!HZ140+"BYw!%0?"</f>
        <v>#VALUE!</v>
      </c>
      <c r="IK65" t="e">
        <f>'2.4.Функции'!IA140+"BYw!%0@"</f>
        <v>#VALUE!</v>
      </c>
      <c r="IL65" t="e">
        <f>'2.4.Функции'!IB140+"BYw!%0A"</f>
        <v>#VALUE!</v>
      </c>
      <c r="IM65" t="e">
        <f>'2.4.Функции'!IC140+"BYw!%0B"</f>
        <v>#VALUE!</v>
      </c>
      <c r="IN65" t="e">
        <f>'2.4.Функции'!ID140+"BYw!%0C"</f>
        <v>#VALUE!</v>
      </c>
      <c r="IO65" t="e">
        <f>'2.4.Функции'!IE140+"BYw!%0D"</f>
        <v>#VALUE!</v>
      </c>
      <c r="IP65" t="e">
        <f>'2.4.Функции'!IF140+"BYw!%0E"</f>
        <v>#VALUE!</v>
      </c>
      <c r="IQ65" t="e">
        <f>'2.4.Функции'!IG140+"BYw!%0F"</f>
        <v>#VALUE!</v>
      </c>
      <c r="IR65" t="e">
        <f>'2.4.Функции'!IH140+"BYw!%0G"</f>
        <v>#VALUE!</v>
      </c>
      <c r="IS65" t="e">
        <f>'2.4.Функции'!II140+"BYw!%0H"</f>
        <v>#VALUE!</v>
      </c>
      <c r="IT65" t="e">
        <f>'2.4.Функции'!IJ140+"BYw!%0I"</f>
        <v>#VALUE!</v>
      </c>
      <c r="IU65" t="e">
        <f>'2.4.Функции'!IK140+"BYw!%0J"</f>
        <v>#VALUE!</v>
      </c>
      <c r="IV65" t="e">
        <f>'2.4.Функции'!IL140+"BYw!%0K"</f>
        <v>#VALUE!</v>
      </c>
    </row>
    <row r="66" spans="6:256" x14ac:dyDescent="0.2">
      <c r="F66" t="e">
        <f>'2.4.Функции'!IM140+"BYw!%0L"</f>
        <v>#VALUE!</v>
      </c>
      <c r="G66" t="e">
        <f>'2.4.Функции'!IN140+"BYw!%0M"</f>
        <v>#VALUE!</v>
      </c>
      <c r="H66" t="e">
        <f>'2.4.Функции'!IO140+"BYw!%0N"</f>
        <v>#VALUE!</v>
      </c>
      <c r="I66" t="e">
        <f>'2.4.Функции'!IP140+"BYw!%0O"</f>
        <v>#VALUE!</v>
      </c>
      <c r="J66" t="e">
        <f>'2.4.Функции'!IQ140+"BYw!%0P"</f>
        <v>#VALUE!</v>
      </c>
      <c r="K66" t="e">
        <f>'2.4.Функции'!IR140+"BYw!%0Q"</f>
        <v>#VALUE!</v>
      </c>
      <c r="L66" t="e">
        <f>'2.4.Функции'!IS140+"BYw!%0R"</f>
        <v>#VALUE!</v>
      </c>
      <c r="M66" t="e">
        <f>'2.4.Функции'!IT140+"BYw!%0S"</f>
        <v>#VALUE!</v>
      </c>
      <c r="N66" t="e">
        <f>'2.4.Функции'!IU140+"BYw!%0T"</f>
        <v>#VALUE!</v>
      </c>
      <c r="O66" t="e">
        <f>'2.4.Функции'!IV140+"BYw!%0U"</f>
        <v>#VALUE!</v>
      </c>
      <c r="P66" t="e">
        <f>'2.4.Функции'!IW140+"BYw!%0V"</f>
        <v>#VALUE!</v>
      </c>
      <c r="Q66" t="e">
        <f>'2.4.Функции'!IX140+"BYw!%0W"</f>
        <v>#VALUE!</v>
      </c>
      <c r="R66" t="e">
        <f>'2.4.Функции'!IY140+"BYw!%0X"</f>
        <v>#VALUE!</v>
      </c>
      <c r="S66" t="e">
        <f>'2.4.Функции'!IZ140+"BYw!%0Y"</f>
        <v>#VALUE!</v>
      </c>
      <c r="T66" t="e">
        <f>'2.4.Функции'!JA140+"BYw!%0Z"</f>
        <v>#VALUE!</v>
      </c>
      <c r="U66" t="e">
        <f>'2.4.Функции'!JB140+"BYw!%0["</f>
        <v>#VALUE!</v>
      </c>
      <c r="V66" t="e">
        <f>'2.4.Функции'!JC140+"BYw!%0\"</f>
        <v>#VALUE!</v>
      </c>
      <c r="W66" t="e">
        <f>'2.4.Функции'!JD140+"BYw!%0]"</f>
        <v>#VALUE!</v>
      </c>
      <c r="X66" t="e">
        <f>'2.4.Функции'!JE140+"BYw!%0^"</f>
        <v>#VALUE!</v>
      </c>
      <c r="Y66" t="e">
        <f>'2.4.Функции'!JF140+"BYw!%0_"</f>
        <v>#VALUE!</v>
      </c>
      <c r="Z66" t="e">
        <f>'2.4.Функции'!JG140+"BYw!%0`"</f>
        <v>#VALUE!</v>
      </c>
      <c r="AA66" t="e">
        <f>'2.4.Функции'!JH140+"BYw!%0a"</f>
        <v>#VALUE!</v>
      </c>
      <c r="AB66" t="e">
        <f>'2.4.Функции'!JI140+"BYw!%0b"</f>
        <v>#VALUE!</v>
      </c>
      <c r="AC66" t="e">
        <f>'2.4.Функции'!JJ140+"BYw!%0c"</f>
        <v>#VALUE!</v>
      </c>
      <c r="AD66" t="e">
        <f>'2.4.Функции'!JK140+"BYw!%0d"</f>
        <v>#VALUE!</v>
      </c>
      <c r="AE66" t="e">
        <f>'2.4.Функции'!JL140+"BYw!%0e"</f>
        <v>#VALUE!</v>
      </c>
      <c r="AF66" t="e">
        <f>'2.4.Функции'!JM140+"BYw!%0f"</f>
        <v>#VALUE!</v>
      </c>
      <c r="AG66" t="e">
        <f>'2.4.Функции'!JN140+"BYw!%0g"</f>
        <v>#VALUE!</v>
      </c>
      <c r="AH66" t="e">
        <f>'2.4.Функции'!JO140+"BYw!%0h"</f>
        <v>#VALUE!</v>
      </c>
      <c r="AI66" t="e">
        <f>'2.4.Функции'!JP140+"BYw!%0i"</f>
        <v>#VALUE!</v>
      </c>
      <c r="AJ66" t="e">
        <f>'2.4.Функции'!JQ140+"BYw!%0j"</f>
        <v>#VALUE!</v>
      </c>
      <c r="AK66" t="e">
        <f>'2.4.Функции'!JR140+"BYw!%0k"</f>
        <v>#VALUE!</v>
      </c>
      <c r="AL66" t="e">
        <f>'2.4.Функции'!JS140+"BYw!%0l"</f>
        <v>#VALUE!</v>
      </c>
      <c r="AM66" t="e">
        <f>'2.4.Функции'!JT140+"BYw!%0m"</f>
        <v>#VALUE!</v>
      </c>
      <c r="AN66" t="e">
        <f>'2.4.Функции'!JU140+"BYw!%0n"</f>
        <v>#VALUE!</v>
      </c>
      <c r="AO66" t="e">
        <f>'2.4.Функции'!JV140+"BYw!%0o"</f>
        <v>#VALUE!</v>
      </c>
      <c r="AP66" t="e">
        <f>'2.4.Функции'!JW140+"BYw!%0p"</f>
        <v>#VALUE!</v>
      </c>
      <c r="AQ66" t="e">
        <f>'2.4.Функции'!JX140+"BYw!%0q"</f>
        <v>#VALUE!</v>
      </c>
      <c r="AR66" t="e">
        <f>'2.4.Функции'!JY140+"BYw!%0r"</f>
        <v>#VALUE!</v>
      </c>
      <c r="AS66" t="e">
        <f>'2.4.Функции'!JZ140+"BYw!%0s"</f>
        <v>#VALUE!</v>
      </c>
      <c r="AT66" t="e">
        <f>'2.4.Функции'!KA140+"BYw!%0t"</f>
        <v>#VALUE!</v>
      </c>
      <c r="AU66" t="e">
        <f>'2.4.Функции'!KB140+"BYw!%0u"</f>
        <v>#VALUE!</v>
      </c>
      <c r="AV66" t="e">
        <f>'2.4.Функции'!KC140+"BYw!%0v"</f>
        <v>#VALUE!</v>
      </c>
      <c r="AW66" t="e">
        <f>'2.4.Функции'!KD140+"BYw!%0w"</f>
        <v>#VALUE!</v>
      </c>
      <c r="AX66" t="e">
        <f>'2.4.Функции'!KE140+"BYw!%0x"</f>
        <v>#VALUE!</v>
      </c>
      <c r="AY66" t="e">
        <f>'2.4.Функции'!KF140+"BYw!%0y"</f>
        <v>#VALUE!</v>
      </c>
      <c r="AZ66" t="e">
        <f>'2.4.Функции'!KG140+"BYw!%0z"</f>
        <v>#VALUE!</v>
      </c>
      <c r="BA66" t="e">
        <f>'2.4.Функции'!KH140+"BYw!%0{"</f>
        <v>#VALUE!</v>
      </c>
      <c r="BB66" t="e">
        <f>'2.4.Функции'!KI140+"BYw!%0|"</f>
        <v>#VALUE!</v>
      </c>
      <c r="BC66" t="e">
        <f>'2.4.Функции'!KJ140+"BYw!%0}"</f>
        <v>#VALUE!</v>
      </c>
      <c r="BD66" t="e">
        <f>'2.4.Функции'!KK140+"BYw!%0~"</f>
        <v>#VALUE!</v>
      </c>
      <c r="BE66" t="e">
        <f>'2.4.Функции'!KL140+"BYw!%1#"</f>
        <v>#VALUE!</v>
      </c>
      <c r="BF66" t="e">
        <f>'2.4.Функции'!KM140+"BYw!%1$"</f>
        <v>#VALUE!</v>
      </c>
      <c r="BG66" t="e">
        <f>'2.4.Функции'!KN140+"BYw!%1%"</f>
        <v>#VALUE!</v>
      </c>
      <c r="BH66" t="e">
        <f>'2.4.Функции'!KO140+"BYw!%1&amp;"</f>
        <v>#VALUE!</v>
      </c>
      <c r="BI66" t="e">
        <f>'2.4.Функции'!KP140+"BYw!%1'"</f>
        <v>#VALUE!</v>
      </c>
      <c r="BJ66" t="e">
        <f>'2.4.Функции'!KQ140+"BYw!%1("</f>
        <v>#VALUE!</v>
      </c>
      <c r="BK66" t="e">
        <f>'2.4.Функции'!KR140+"BYw!%1)"</f>
        <v>#VALUE!</v>
      </c>
      <c r="BL66" t="e">
        <f>'2.4.Функции'!KS140+"BYw!%1."</f>
        <v>#VALUE!</v>
      </c>
      <c r="BM66" t="e">
        <f>'2.4.Функции'!KT140+"BYw!%1/"</f>
        <v>#VALUE!</v>
      </c>
      <c r="BN66" t="e">
        <f>'2.4.Функции'!KU140+"BYw!%10"</f>
        <v>#VALUE!</v>
      </c>
      <c r="BO66" t="e">
        <f>'2.4.Функции'!KV140+"BYw!%11"</f>
        <v>#VALUE!</v>
      </c>
      <c r="BP66" t="e">
        <f>'2.4.Функции'!KW140+"BYw!%12"</f>
        <v>#VALUE!</v>
      </c>
      <c r="BQ66" t="e">
        <f>'2.4.Функции'!KX140+"BYw!%13"</f>
        <v>#VALUE!</v>
      </c>
      <c r="BR66" t="e">
        <f>'2.4.Функции'!KY140+"BYw!%14"</f>
        <v>#VALUE!</v>
      </c>
      <c r="BS66" t="e">
        <f>'2.4.Функции'!KZ140+"BYw!%15"</f>
        <v>#VALUE!</v>
      </c>
      <c r="BT66" t="e">
        <f>'2.4.Функции'!LA140+"BYw!%16"</f>
        <v>#VALUE!</v>
      </c>
      <c r="BU66" t="e">
        <f>'2.4.Функции'!LB140+"BYw!%17"</f>
        <v>#VALUE!</v>
      </c>
      <c r="BV66" t="e">
        <f>'2.4.Функции'!LC140+"BYw!%18"</f>
        <v>#VALUE!</v>
      </c>
      <c r="BW66" t="e">
        <f>'2.4.Функции'!LD140+"BYw!%19"</f>
        <v>#VALUE!</v>
      </c>
      <c r="BX66" t="e">
        <f>'2.4.Функции'!LE140+"BYw!%1:"</f>
        <v>#VALUE!</v>
      </c>
      <c r="BY66" t="e">
        <f>'2.4.Функции'!LF140+"BYw!%1;"</f>
        <v>#VALUE!</v>
      </c>
      <c r="BZ66" t="e">
        <f>'2.4.Функции'!LG140+"BYw!%1&lt;"</f>
        <v>#VALUE!</v>
      </c>
      <c r="CA66" t="e">
        <f>'2.4.Функции'!LH140+"BYw!%1="</f>
        <v>#VALUE!</v>
      </c>
      <c r="CB66" t="e">
        <f>'2.4.Функции'!LI140+"BYw!%1&gt;"</f>
        <v>#VALUE!</v>
      </c>
      <c r="CC66" t="e">
        <f>'2.4.Функции'!LJ140+"BYw!%1?"</f>
        <v>#VALUE!</v>
      </c>
      <c r="CD66" t="e">
        <f>'2.4.Функции'!LK140+"BYw!%1@"</f>
        <v>#VALUE!</v>
      </c>
      <c r="CE66" t="e">
        <f>'2.4.Функции'!LL140+"BYw!%1A"</f>
        <v>#VALUE!</v>
      </c>
      <c r="CF66" t="e">
        <f>'2.4.Функции'!LM140+"BYw!%1B"</f>
        <v>#VALUE!</v>
      </c>
      <c r="CG66" t="e">
        <f>'2.4.Функции'!LN140+"BYw!%1C"</f>
        <v>#VALUE!</v>
      </c>
      <c r="CH66" t="e">
        <f>'2.4.Функции'!LO140+"BYw!%1D"</f>
        <v>#VALUE!</v>
      </c>
      <c r="CI66" t="e">
        <f>'2.4.Функции'!LP140+"BYw!%1E"</f>
        <v>#VALUE!</v>
      </c>
      <c r="CJ66" t="e">
        <f>'2.4.Функции'!LQ140+"BYw!%1F"</f>
        <v>#VALUE!</v>
      </c>
      <c r="CK66" t="e">
        <f>'2.4.Функции'!LR140+"BYw!%1G"</f>
        <v>#VALUE!</v>
      </c>
      <c r="CL66" t="e">
        <f>'2.4.Функции'!LS140+"BYw!%1H"</f>
        <v>#VALUE!</v>
      </c>
      <c r="CM66" t="e">
        <f>'2.4.Функции'!LT140+"BYw!%1I"</f>
        <v>#VALUE!</v>
      </c>
      <c r="CN66" t="e">
        <f>'2.4.Функции'!LU140+"BYw!%1J"</f>
        <v>#VALUE!</v>
      </c>
      <c r="CO66" t="e">
        <f>'2.4.Функции'!LV140+"BYw!%1K"</f>
        <v>#VALUE!</v>
      </c>
      <c r="CP66" t="e">
        <f>'2.4.Функции'!LW140+"BYw!%1L"</f>
        <v>#VALUE!</v>
      </c>
      <c r="CQ66" t="e">
        <f>'2.4.Функции'!LX140+"BYw!%1M"</f>
        <v>#VALUE!</v>
      </c>
      <c r="CR66" t="e">
        <f>'2.4.Функции'!LY140+"BYw!%1N"</f>
        <v>#VALUE!</v>
      </c>
      <c r="CS66" t="e">
        <f>'2.4.Функции'!LZ140+"BYw!%1O"</f>
        <v>#VALUE!</v>
      </c>
      <c r="CT66" t="e">
        <f>'2.4.Функции'!MA140+"BYw!%1P"</f>
        <v>#VALUE!</v>
      </c>
      <c r="CU66" t="e">
        <f>'2.4.Функции'!MB140+"BYw!%1Q"</f>
        <v>#VALUE!</v>
      </c>
      <c r="CV66" t="e">
        <f>'2.4.Функции'!MC140+"BYw!%1R"</f>
        <v>#VALUE!</v>
      </c>
      <c r="CW66" t="e">
        <f>'2.4.Функции'!MD140+"BYw!%1S"</f>
        <v>#VALUE!</v>
      </c>
      <c r="CX66" t="e">
        <f>'2.4.Функции'!ME140+"BYw!%1T"</f>
        <v>#VALUE!</v>
      </c>
      <c r="CY66" t="e">
        <f>'2.4.Функции'!MF140+"BYw!%1U"</f>
        <v>#VALUE!</v>
      </c>
      <c r="CZ66" t="e">
        <f>'2.4.Функции'!MG140+"BYw!%1V"</f>
        <v>#VALUE!</v>
      </c>
      <c r="DA66" t="e">
        <f>'2.4.Функции'!MH140+"BYw!%1W"</f>
        <v>#VALUE!</v>
      </c>
      <c r="DB66" t="e">
        <f>'2.4.Функции'!MI140+"BYw!%1X"</f>
        <v>#VALUE!</v>
      </c>
      <c r="DC66" t="e">
        <f>'2.4.Функции'!MJ140+"BYw!%1Y"</f>
        <v>#VALUE!</v>
      </c>
      <c r="DD66" t="e">
        <f>'2.4.Функции'!MK140+"BYw!%1Z"</f>
        <v>#VALUE!</v>
      </c>
      <c r="DE66" t="e">
        <f>'2.4.Функции'!ML140+"BYw!%1["</f>
        <v>#VALUE!</v>
      </c>
      <c r="DF66" t="e">
        <f>'2.4.Функции'!MM140+"BYw!%1\"</f>
        <v>#VALUE!</v>
      </c>
      <c r="DG66" t="e">
        <f>'2.4.Функции'!MN140+"BYw!%1]"</f>
        <v>#VALUE!</v>
      </c>
      <c r="DH66" t="e">
        <f>'2.4.Функции'!MO140+"BYw!%1^"</f>
        <v>#VALUE!</v>
      </c>
      <c r="DI66" t="e">
        <f>'2.4.Функции'!MP140+"BYw!%1_"</f>
        <v>#VALUE!</v>
      </c>
      <c r="DJ66" t="e">
        <f>'2.4.Функции'!MQ140+"BYw!%1`"</f>
        <v>#VALUE!</v>
      </c>
      <c r="DK66" t="e">
        <f>'2.4.Функции'!MR140+"BYw!%1a"</f>
        <v>#VALUE!</v>
      </c>
      <c r="DL66" t="e">
        <f>'2.4.Функции'!MS140+"BYw!%1b"</f>
        <v>#VALUE!</v>
      </c>
      <c r="DM66" t="e">
        <f>'2.4.Функции'!MT140+"BYw!%1c"</f>
        <v>#VALUE!</v>
      </c>
      <c r="DN66" t="e">
        <f>'2.4.Функции'!MU140+"BYw!%1d"</f>
        <v>#VALUE!</v>
      </c>
      <c r="DO66" t="e">
        <f>'2.4.Функции'!MV140+"BYw!%1e"</f>
        <v>#VALUE!</v>
      </c>
      <c r="DP66" t="e">
        <f>'2.4.Функции'!MW140+"BYw!%1f"</f>
        <v>#VALUE!</v>
      </c>
      <c r="DQ66" t="e">
        <f>'2.4.Функции'!MX140+"BYw!%1g"</f>
        <v>#VALUE!</v>
      </c>
      <c r="DR66" t="e">
        <f>'2.4.Функции'!MY140+"BYw!%1h"</f>
        <v>#VALUE!</v>
      </c>
      <c r="DS66" t="e">
        <f>'2.4.Функции'!MZ140+"BYw!%1i"</f>
        <v>#VALUE!</v>
      </c>
      <c r="DT66" t="e">
        <f>'2.4.Функции'!NA140+"BYw!%1j"</f>
        <v>#VALUE!</v>
      </c>
      <c r="DU66" t="e">
        <f>'2.4.Функции'!NB140+"BYw!%1k"</f>
        <v>#VALUE!</v>
      </c>
      <c r="DV66" t="e">
        <f>'2.4.Функции'!NC140+"BYw!%1l"</f>
        <v>#VALUE!</v>
      </c>
      <c r="DW66" t="e">
        <f>'2.4.Функции'!ND140+"BYw!%1m"</f>
        <v>#VALUE!</v>
      </c>
      <c r="DX66" t="e">
        <f>'2.4.Функции'!NE140+"BYw!%1n"</f>
        <v>#VALUE!</v>
      </c>
      <c r="DY66" t="e">
        <f>'2.4.Функции'!NF140+"BYw!%1o"</f>
        <v>#VALUE!</v>
      </c>
      <c r="DZ66" t="e">
        <f>'2.4.Функции'!NG140+"BYw!%1p"</f>
        <v>#VALUE!</v>
      </c>
      <c r="EA66" t="e">
        <f>'2.4.Функции'!NH140+"BYw!%1q"</f>
        <v>#VALUE!</v>
      </c>
      <c r="EB66" t="e">
        <f>'2.4.Функции'!NI140+"BYw!%1r"</f>
        <v>#VALUE!</v>
      </c>
      <c r="EC66" t="e">
        <f>'2.4.Функции'!NJ140+"BYw!%1s"</f>
        <v>#VALUE!</v>
      </c>
      <c r="ED66" t="e">
        <f>'2.4.Функции'!NK140+"BYw!%1t"</f>
        <v>#VALUE!</v>
      </c>
      <c r="EE66" t="e">
        <f>'2.4.Функции'!NL140+"BYw!%1u"</f>
        <v>#VALUE!</v>
      </c>
      <c r="EF66" t="e">
        <f>'2.4.Функции'!NM140+"BYw!%1v"</f>
        <v>#VALUE!</v>
      </c>
      <c r="EG66" t="e">
        <f>'2.4.Функции'!NN140+"BYw!%1w"</f>
        <v>#VALUE!</v>
      </c>
      <c r="EH66" t="e">
        <f>'2.4.Функции'!NO140+"BYw!%1x"</f>
        <v>#VALUE!</v>
      </c>
      <c r="EI66" t="e">
        <f>'2.4.Функции'!NP140+"BYw!%1y"</f>
        <v>#VALUE!</v>
      </c>
      <c r="EJ66" t="e">
        <f>'2.4.Функции'!NQ140+"BYw!%1z"</f>
        <v>#VALUE!</v>
      </c>
      <c r="EK66" t="e">
        <f>'2.4.Функции'!NR140+"BYw!%1{"</f>
        <v>#VALUE!</v>
      </c>
      <c r="EL66" t="e">
        <f>'2.4.Функции'!NS140+"BYw!%1|"</f>
        <v>#VALUE!</v>
      </c>
      <c r="EM66" t="e">
        <f>'2.4.Функции'!NT140+"BYw!%1}"</f>
        <v>#VALUE!</v>
      </c>
      <c r="EN66" t="e">
        <f>'2.4.Функции'!NU140+"BYw!%1~"</f>
        <v>#VALUE!</v>
      </c>
      <c r="EO66" t="e">
        <f>'2.4.Функции'!NV140+"BYw!%2#"</f>
        <v>#VALUE!</v>
      </c>
      <c r="EP66" t="e">
        <f>'2.4.Функции'!NW140+"BYw!%2$"</f>
        <v>#VALUE!</v>
      </c>
      <c r="EQ66" t="e">
        <f>'2.4.Функции'!NX140+"BYw!%2%"</f>
        <v>#VALUE!</v>
      </c>
      <c r="ER66" t="e">
        <f>'2.4.Функции'!NY140+"BYw!%2&amp;"</f>
        <v>#VALUE!</v>
      </c>
      <c r="ES66" t="e">
        <f>'2.4.Функции'!NZ140+"BYw!%2'"</f>
        <v>#VALUE!</v>
      </c>
      <c r="ET66" t="e">
        <f>'2.4.Функции'!OA140+"BYw!%2("</f>
        <v>#VALUE!</v>
      </c>
      <c r="EU66" t="e">
        <f>'2.4.Функции'!OB140+"BYw!%2)"</f>
        <v>#VALUE!</v>
      </c>
      <c r="EV66" t="e">
        <f>'2.4.Функции'!OC140+"BYw!%2."</f>
        <v>#VALUE!</v>
      </c>
      <c r="EW66" t="e">
        <f>'2.4.Функции'!OD140+"BYw!%2/"</f>
        <v>#VALUE!</v>
      </c>
      <c r="EX66" t="e">
        <f>'2.4.Функции'!OE140+"BYw!%20"</f>
        <v>#VALUE!</v>
      </c>
      <c r="EY66" t="e">
        <f>'2.4.Функции'!OF140+"BYw!%21"</f>
        <v>#VALUE!</v>
      </c>
      <c r="EZ66" t="e">
        <f>'2.4.Функции'!OG140+"BYw!%22"</f>
        <v>#VALUE!</v>
      </c>
      <c r="FA66" t="e">
        <f>'2.4.Функции'!OH140+"BYw!%23"</f>
        <v>#VALUE!</v>
      </c>
      <c r="FB66" t="e">
        <f>'2.4.Функции'!OI140+"BYw!%24"</f>
        <v>#VALUE!</v>
      </c>
      <c r="FC66" t="e">
        <f>'2.4.Функции'!OJ140+"BYw!%25"</f>
        <v>#VALUE!</v>
      </c>
      <c r="FD66" t="e">
        <f>'2.4.Функции'!OK140+"BYw!%26"</f>
        <v>#VALUE!</v>
      </c>
      <c r="FE66" t="e">
        <f>'2.4.Функции'!OL140+"BYw!%27"</f>
        <v>#VALUE!</v>
      </c>
      <c r="FF66" t="e">
        <f>'2.4.Функции'!OM140+"BYw!%28"</f>
        <v>#VALUE!</v>
      </c>
      <c r="FG66" t="e">
        <f>'2.4.Функции'!ON140+"BYw!%29"</f>
        <v>#VALUE!</v>
      </c>
      <c r="FH66" t="e">
        <f>'2.4.Функции'!OO140+"BYw!%2:"</f>
        <v>#VALUE!</v>
      </c>
      <c r="FI66" t="e">
        <f>'2.4.Функции'!OP140+"BYw!%2;"</f>
        <v>#VALUE!</v>
      </c>
      <c r="FJ66" t="e">
        <f>'2.4.Функции'!OQ140+"BYw!%2&lt;"</f>
        <v>#VALUE!</v>
      </c>
      <c r="FK66" t="e">
        <f>'2.4.Функции'!OR140+"BYw!%2="</f>
        <v>#VALUE!</v>
      </c>
      <c r="FL66" t="e">
        <f>'2.4.Функции'!OS140+"BYw!%2&gt;"</f>
        <v>#VALUE!</v>
      </c>
      <c r="FM66" t="e">
        <f>'2.4.Функции'!OT140+"BYw!%2?"</f>
        <v>#VALUE!</v>
      </c>
      <c r="FN66" t="e">
        <f>'2.4.Функции'!OU140+"BYw!%2@"</f>
        <v>#VALUE!</v>
      </c>
      <c r="FO66" t="e">
        <f>'2.4.Функции'!OV140+"BYw!%2A"</f>
        <v>#VALUE!</v>
      </c>
      <c r="FP66" t="e">
        <f>'2.4.Функции'!OW140+"BYw!%2B"</f>
        <v>#VALUE!</v>
      </c>
      <c r="FQ66" t="e">
        <f>'2.4.Функции'!OX140+"BYw!%2C"</f>
        <v>#VALUE!</v>
      </c>
      <c r="FR66" t="e">
        <f>'2.4.Функции'!OY140+"BYw!%2D"</f>
        <v>#VALUE!</v>
      </c>
      <c r="FS66" t="e">
        <f>'2.4.Функции'!OZ140+"BYw!%2E"</f>
        <v>#VALUE!</v>
      </c>
      <c r="FT66" t="e">
        <f>'2.4.Функции'!PA140+"BYw!%2F"</f>
        <v>#VALUE!</v>
      </c>
      <c r="FU66" t="e">
        <f>'2.4.Функции'!PB140+"BYw!%2G"</f>
        <v>#VALUE!</v>
      </c>
      <c r="FV66" t="e">
        <f>'2.4.Функции'!PC140+"BYw!%2H"</f>
        <v>#VALUE!</v>
      </c>
      <c r="FW66" t="e">
        <f>'2.4.Функции'!PD140+"BYw!%2I"</f>
        <v>#VALUE!</v>
      </c>
      <c r="FX66" t="e">
        <f>'2.4.Функции'!PE140+"BYw!%2J"</f>
        <v>#VALUE!</v>
      </c>
      <c r="FY66" t="e">
        <f>'2.4.Функции'!PF140+"BYw!%2K"</f>
        <v>#VALUE!</v>
      </c>
      <c r="FZ66" t="e">
        <f>'2.4.Функции'!PG140+"BYw!%2L"</f>
        <v>#VALUE!</v>
      </c>
      <c r="GA66" t="e">
        <f>'2.4.Функции'!PH140+"BYw!%2M"</f>
        <v>#VALUE!</v>
      </c>
      <c r="GB66" t="e">
        <f>'2.4.Функции'!PI140+"BYw!%2N"</f>
        <v>#VALUE!</v>
      </c>
      <c r="GC66" t="e">
        <f>'2.4.Функции'!PJ140+"BYw!%2O"</f>
        <v>#VALUE!</v>
      </c>
      <c r="GD66" t="e">
        <f>'2.4.Функции'!PK140+"BYw!%2P"</f>
        <v>#VALUE!</v>
      </c>
      <c r="GE66" t="e">
        <f>'2.4.Функции'!PL140+"BYw!%2Q"</f>
        <v>#VALUE!</v>
      </c>
      <c r="GF66" t="e">
        <f>'2.4.Функции'!PM140+"BYw!%2R"</f>
        <v>#VALUE!</v>
      </c>
      <c r="GG66" t="e">
        <f>'2.4.Функции'!PN140+"BYw!%2S"</f>
        <v>#VALUE!</v>
      </c>
      <c r="GH66" t="e">
        <f>'2.4.Функции'!PO140+"BYw!%2T"</f>
        <v>#VALUE!</v>
      </c>
      <c r="GI66" t="e">
        <f>'2.4.Функции'!PP140+"BYw!%2U"</f>
        <v>#VALUE!</v>
      </c>
      <c r="GJ66" t="e">
        <f>'2.4.Функции'!PQ140+"BYw!%2V"</f>
        <v>#VALUE!</v>
      </c>
      <c r="GK66" t="e">
        <f>'2.4.Функции'!PR140+"BYw!%2W"</f>
        <v>#VALUE!</v>
      </c>
      <c r="GL66" t="e">
        <f>'2.4.Функции'!PS140+"BYw!%2X"</f>
        <v>#VALUE!</v>
      </c>
      <c r="GM66" t="e">
        <f>'2.4.Функции'!PT140+"BYw!%2Y"</f>
        <v>#VALUE!</v>
      </c>
      <c r="GN66" t="e">
        <f>'2.4.Функции'!PU140+"BYw!%2Z"</f>
        <v>#VALUE!</v>
      </c>
      <c r="GO66" t="e">
        <f>'2.4.Функции'!PV140+"BYw!%2["</f>
        <v>#VALUE!</v>
      </c>
      <c r="GP66" t="e">
        <f>'2.4.Функции'!PW140+"BYw!%2\"</f>
        <v>#VALUE!</v>
      </c>
      <c r="GQ66" t="e">
        <f>'2.4.Функции'!PX140+"BYw!%2]"</f>
        <v>#VALUE!</v>
      </c>
      <c r="GR66" t="e">
        <f>'2.4.Функции'!PY140+"BYw!%2^"</f>
        <v>#VALUE!</v>
      </c>
      <c r="GS66" t="e">
        <f>'2.4.Функции'!PZ140+"BYw!%2_"</f>
        <v>#VALUE!</v>
      </c>
      <c r="GT66" t="e">
        <f>'2.4.Функции'!QA140+"BYw!%2`"</f>
        <v>#VALUE!</v>
      </c>
      <c r="GU66" t="e">
        <f>'2.4.Функции'!QB140+"BYw!%2a"</f>
        <v>#VALUE!</v>
      </c>
      <c r="GV66" t="e">
        <f>'2.4.Функции'!QC140+"BYw!%2b"</f>
        <v>#VALUE!</v>
      </c>
      <c r="GW66" t="e">
        <f>'2.4.Функции'!QD140+"BYw!%2c"</f>
        <v>#VALUE!</v>
      </c>
      <c r="GX66" t="e">
        <f>'2.4.Функции'!QE140+"BYw!%2d"</f>
        <v>#VALUE!</v>
      </c>
      <c r="GY66" t="e">
        <f>'2.4.Функции'!QF140+"BYw!%2e"</f>
        <v>#VALUE!</v>
      </c>
      <c r="GZ66" t="e">
        <f>'2.4.Функции'!QG140+"BYw!%2f"</f>
        <v>#VALUE!</v>
      </c>
      <c r="HA66" t="e">
        <f>'2.4.Функции'!QH140+"BYw!%2g"</f>
        <v>#VALUE!</v>
      </c>
      <c r="HB66" t="e">
        <f>'2.4.Функции'!QI140+"BYw!%2h"</f>
        <v>#VALUE!</v>
      </c>
      <c r="HC66" t="e">
        <f>'2.4.Функции'!QJ140+"BYw!%2i"</f>
        <v>#VALUE!</v>
      </c>
      <c r="HD66" t="e">
        <f>'2.4.Функции'!QK140+"BYw!%2j"</f>
        <v>#VALUE!</v>
      </c>
      <c r="HE66" t="e">
        <f>'2.4.Функции'!QL140+"BYw!%2k"</f>
        <v>#VALUE!</v>
      </c>
      <c r="HF66" t="e">
        <f>'2.4.Функции'!QM140+"BYw!%2l"</f>
        <v>#VALUE!</v>
      </c>
      <c r="HG66" t="e">
        <f>'2.4.Функции'!QN140+"BYw!%2m"</f>
        <v>#VALUE!</v>
      </c>
      <c r="HH66" t="e">
        <f>'2.4.Функции'!QO140+"BYw!%2n"</f>
        <v>#VALUE!</v>
      </c>
      <c r="HI66" t="e">
        <f>'2.4.Функции'!QP140+"BYw!%2o"</f>
        <v>#VALUE!</v>
      </c>
      <c r="HJ66" t="e">
        <f>'2.4.Функции'!QQ140+"BYw!%2p"</f>
        <v>#VALUE!</v>
      </c>
      <c r="HK66" t="e">
        <f>'2.4.Функции'!QR140+"BYw!%2q"</f>
        <v>#VALUE!</v>
      </c>
      <c r="HL66" t="e">
        <f>'2.4.Функции'!QS140+"BYw!%2r"</f>
        <v>#VALUE!</v>
      </c>
      <c r="HM66" t="e">
        <f>'2.4.Функции'!QT140+"BYw!%2s"</f>
        <v>#VALUE!</v>
      </c>
      <c r="HN66" t="e">
        <f>'2.4.Функции'!QU140+"BYw!%2t"</f>
        <v>#VALUE!</v>
      </c>
      <c r="HO66" t="e">
        <f>'2.4.Функции'!QV140+"BYw!%2u"</f>
        <v>#VALUE!</v>
      </c>
      <c r="HP66" t="e">
        <f>'2.4.Функции'!QW140+"BYw!%2v"</f>
        <v>#VALUE!</v>
      </c>
      <c r="HQ66" t="e">
        <f>'2.4.Функции'!QX140+"BYw!%2w"</f>
        <v>#VALUE!</v>
      </c>
      <c r="HR66" t="e">
        <f>'2.4.Функции'!QY140+"BYw!%2x"</f>
        <v>#VALUE!</v>
      </c>
      <c r="HS66" t="e">
        <f>'2.4.Функции'!QZ140+"BYw!%2y"</f>
        <v>#VALUE!</v>
      </c>
      <c r="HT66" t="e">
        <f>'2.4.Функции'!RA140+"BYw!%2z"</f>
        <v>#VALUE!</v>
      </c>
      <c r="HU66" t="e">
        <f>'2.4.Функции'!RB140+"BYw!%2{"</f>
        <v>#VALUE!</v>
      </c>
      <c r="HV66" t="e">
        <f>'2.4.Функции'!RC140+"BYw!%2|"</f>
        <v>#VALUE!</v>
      </c>
      <c r="HW66" t="e">
        <f>'2.4.Функции'!RD140+"BYw!%2}"</f>
        <v>#VALUE!</v>
      </c>
      <c r="HX66" t="e">
        <f>'2.4.Функции'!RE140+"BYw!%2~"</f>
        <v>#VALUE!</v>
      </c>
      <c r="HY66" t="e">
        <f>'2.4.Функции'!RF140+"BYw!%3#"</f>
        <v>#VALUE!</v>
      </c>
      <c r="HZ66" t="e">
        <f>'2.4.Функции'!RG140+"BYw!%3$"</f>
        <v>#VALUE!</v>
      </c>
      <c r="IA66" t="e">
        <f>'2.4.Функции'!RH140+"BYw!%3%"</f>
        <v>#VALUE!</v>
      </c>
      <c r="IB66" t="e">
        <f>'2.4.Функции'!RI140+"BYw!%3&amp;"</f>
        <v>#VALUE!</v>
      </c>
      <c r="IC66" t="e">
        <f>'2.4.Функции'!RJ140+"BYw!%3'"</f>
        <v>#VALUE!</v>
      </c>
      <c r="ID66" t="e">
        <f>'2.4.Функции'!RK140+"BYw!%3("</f>
        <v>#VALUE!</v>
      </c>
      <c r="IE66" t="e">
        <f>'2.4.Функции'!RL140+"BYw!%3)"</f>
        <v>#VALUE!</v>
      </c>
      <c r="IF66" t="e">
        <f>'2.4.Функции'!RM140+"BYw!%3."</f>
        <v>#VALUE!</v>
      </c>
      <c r="IG66" t="e">
        <f>'2.4.Функции'!RN140+"BYw!%3/"</f>
        <v>#VALUE!</v>
      </c>
      <c r="IH66" t="e">
        <f>'2.4.Функции'!RO140+"BYw!%30"</f>
        <v>#VALUE!</v>
      </c>
      <c r="II66" t="e">
        <f>'2.4.Функции'!RP140+"BYw!%31"</f>
        <v>#VALUE!</v>
      </c>
      <c r="IJ66" t="e">
        <f>'2.4.Функции'!RQ140+"BYw!%32"</f>
        <v>#VALUE!</v>
      </c>
      <c r="IK66" t="e">
        <f>'2.4.Функции'!RR140+"BYw!%33"</f>
        <v>#VALUE!</v>
      </c>
      <c r="IL66" t="e">
        <f>'2.4.Функции'!RS140+"BYw!%34"</f>
        <v>#VALUE!</v>
      </c>
      <c r="IM66" t="e">
        <f>'2.4.Функции'!RT140+"BYw!%35"</f>
        <v>#VALUE!</v>
      </c>
      <c r="IN66" t="e">
        <f>'2.4.Функции'!RU140+"BYw!%36"</f>
        <v>#VALUE!</v>
      </c>
      <c r="IO66" t="e">
        <f>'2.4.Функции'!RV140+"BYw!%37"</f>
        <v>#VALUE!</v>
      </c>
      <c r="IP66" t="e">
        <f>'2.4.Функции'!RW140+"BYw!%38"</f>
        <v>#VALUE!</v>
      </c>
      <c r="IQ66" t="e">
        <f>'2.4.Функции'!RX140+"BYw!%39"</f>
        <v>#VALUE!</v>
      </c>
      <c r="IR66" t="e">
        <f>'2.4.Функции'!RY140+"BYw!%3:"</f>
        <v>#VALUE!</v>
      </c>
      <c r="IS66" t="e">
        <f>'2.4.Функции'!RZ140+"BYw!%3;"</f>
        <v>#VALUE!</v>
      </c>
      <c r="IT66" t="e">
        <f>'2.4.Функции'!SA140+"BYw!%3&lt;"</f>
        <v>#VALUE!</v>
      </c>
      <c r="IU66" t="e">
        <f>'2.4.Функции'!SB140+"BYw!%3="</f>
        <v>#VALUE!</v>
      </c>
      <c r="IV66" t="e">
        <f>'2.4.Функции'!SC140+"BYw!%3&gt;"</f>
        <v>#VALUE!</v>
      </c>
    </row>
    <row r="67" spans="6:256" x14ac:dyDescent="0.2">
      <c r="F67" t="e">
        <f>'2.4.Функции'!SD140+"BYw!%3?"</f>
        <v>#VALUE!</v>
      </c>
      <c r="G67" t="e">
        <f>'2.4.Функции'!SE140+"BYw!%3@"</f>
        <v>#VALUE!</v>
      </c>
      <c r="H67" t="e">
        <f>'2.4.Функции'!SF140+"BYw!%3A"</f>
        <v>#VALUE!</v>
      </c>
      <c r="I67" t="e">
        <f>'2.4.Функции'!SG140+"BYw!%3B"</f>
        <v>#VALUE!</v>
      </c>
      <c r="J67" t="e">
        <f>'2.4.Функции'!SH140+"BYw!%3C"</f>
        <v>#VALUE!</v>
      </c>
      <c r="K67" t="e">
        <f>'2.4.Функции'!SI140+"BYw!%3D"</f>
        <v>#VALUE!</v>
      </c>
      <c r="L67" t="e">
        <f>'2.4.Функции'!SJ140+"BYw!%3E"</f>
        <v>#VALUE!</v>
      </c>
      <c r="M67" t="e">
        <f>'2.4.Функции'!SK140+"BYw!%3F"</f>
        <v>#VALUE!</v>
      </c>
      <c r="N67" t="e">
        <f>'2.4.Функции'!SL140+"BYw!%3G"</f>
        <v>#VALUE!</v>
      </c>
      <c r="O67" t="e">
        <f>'2.4.Функции'!SM140+"BYw!%3H"</f>
        <v>#VALUE!</v>
      </c>
      <c r="P67" t="e">
        <f>'2.4.Функции'!SN140+"BYw!%3I"</f>
        <v>#VALUE!</v>
      </c>
      <c r="Q67" t="e">
        <f>'2.4.Функции'!SO140+"BYw!%3J"</f>
        <v>#VALUE!</v>
      </c>
      <c r="R67" t="e">
        <f>'2.4.Функции'!SP140+"BYw!%3K"</f>
        <v>#VALUE!</v>
      </c>
      <c r="S67" t="e">
        <f>'2.4.Функции'!SQ140+"BYw!%3L"</f>
        <v>#VALUE!</v>
      </c>
      <c r="T67" t="e">
        <f>'2.4.Функции'!SR140+"BYw!%3M"</f>
        <v>#VALUE!</v>
      </c>
      <c r="U67" t="e">
        <f>'2.4.Функции'!SS140+"BYw!%3N"</f>
        <v>#VALUE!</v>
      </c>
      <c r="V67" t="e">
        <f>'2.4.Функции'!ST140+"BYw!%3O"</f>
        <v>#VALUE!</v>
      </c>
      <c r="W67" t="e">
        <f>'2.4.Функции'!SU140+"BYw!%3P"</f>
        <v>#VALUE!</v>
      </c>
      <c r="X67" t="e">
        <f>'2.4.Функции'!SV140+"BYw!%3Q"</f>
        <v>#VALUE!</v>
      </c>
      <c r="Y67" t="e">
        <f>'2.4.Функции'!SW140+"BYw!%3R"</f>
        <v>#VALUE!</v>
      </c>
      <c r="Z67" t="e">
        <f>'2.4.Функции'!SX140+"BYw!%3S"</f>
        <v>#VALUE!</v>
      </c>
      <c r="AA67" t="e">
        <f>'2.4.Функции'!SY140+"BYw!%3T"</f>
        <v>#VALUE!</v>
      </c>
      <c r="AB67" t="e">
        <f>'2.4.Функции'!SZ140+"BYw!%3U"</f>
        <v>#VALUE!</v>
      </c>
      <c r="AC67" t="e">
        <f>'2.4.Функции'!TA140+"BYw!%3V"</f>
        <v>#VALUE!</v>
      </c>
      <c r="AD67" t="e">
        <f>'2.4.Функции'!TB140+"BYw!%3W"</f>
        <v>#VALUE!</v>
      </c>
      <c r="AE67" t="e">
        <f>'2.4.Функции'!TC140+"BYw!%3X"</f>
        <v>#VALUE!</v>
      </c>
      <c r="AF67" t="e">
        <f>'2.4.Функции'!TD140+"BYw!%3Y"</f>
        <v>#VALUE!</v>
      </c>
      <c r="AG67" t="e">
        <f>'2.4.Функции'!TE140+"BYw!%3Z"</f>
        <v>#VALUE!</v>
      </c>
      <c r="AH67" t="e">
        <f>'2.4.Функции'!TF140+"BYw!%3["</f>
        <v>#VALUE!</v>
      </c>
      <c r="AI67" t="e">
        <f>'2.4.Функции'!TG140+"BYw!%3\"</f>
        <v>#VALUE!</v>
      </c>
      <c r="AJ67" t="e">
        <f>'2.4.Функции'!TH140+"BYw!%3]"</f>
        <v>#VALUE!</v>
      </c>
      <c r="AK67" t="e">
        <f>'2.4.Функции'!TI140+"BYw!%3^"</f>
        <v>#VALUE!</v>
      </c>
      <c r="AL67" t="e">
        <f>'2.4.Функции'!TJ140+"BYw!%3_"</f>
        <v>#VALUE!</v>
      </c>
      <c r="AM67" t="e">
        <f>'2.4.Функции'!TK140+"BYw!%3`"</f>
        <v>#VALUE!</v>
      </c>
      <c r="AN67" t="e">
        <f>'2.4.Функции'!TL140+"BYw!%3a"</f>
        <v>#VALUE!</v>
      </c>
      <c r="AO67" t="e">
        <f>'2.4.Функции'!TM140+"BYw!%3b"</f>
        <v>#VALUE!</v>
      </c>
      <c r="AP67" t="e">
        <f>'2.4.Функции'!TN140+"BYw!%3c"</f>
        <v>#VALUE!</v>
      </c>
      <c r="AQ67" t="e">
        <f>'2.4.Функции'!TO140+"BYw!%3d"</f>
        <v>#VALUE!</v>
      </c>
      <c r="AR67" t="e">
        <f>'2.4.Функции'!TP140+"BYw!%3e"</f>
        <v>#VALUE!</v>
      </c>
      <c r="AS67" t="e">
        <f>'2.4.Функции'!TQ140+"BYw!%3f"</f>
        <v>#VALUE!</v>
      </c>
      <c r="AT67" t="e">
        <f>'2.4.Функции'!TR140+"BYw!%3g"</f>
        <v>#VALUE!</v>
      </c>
      <c r="AU67" t="e">
        <f>'2.4.Функции'!TS140+"BYw!%3h"</f>
        <v>#VALUE!</v>
      </c>
      <c r="AV67" t="e">
        <f>'2.4.Функции'!TT140+"BYw!%3i"</f>
        <v>#VALUE!</v>
      </c>
      <c r="AW67" t="e">
        <f>'2.4.Функции'!TU140+"BYw!%3j"</f>
        <v>#VALUE!</v>
      </c>
      <c r="AX67" t="e">
        <f>'2.4.Функции'!TV140+"BYw!%3k"</f>
        <v>#VALUE!</v>
      </c>
      <c r="AY67" t="e">
        <f>'2.4.Функции'!TW140+"BYw!%3l"</f>
        <v>#VALUE!</v>
      </c>
      <c r="AZ67" t="e">
        <f>'2.4.Функции'!TX140+"BYw!%3m"</f>
        <v>#VALUE!</v>
      </c>
      <c r="BA67" t="e">
        <f>'2.4.Функции'!TY140+"BYw!%3n"</f>
        <v>#VALUE!</v>
      </c>
      <c r="BB67" t="e">
        <f>'2.4.Функции'!TZ140+"BYw!%3o"</f>
        <v>#VALUE!</v>
      </c>
      <c r="BC67" t="e">
        <f>'2.4.Функции'!UA140+"BYw!%3p"</f>
        <v>#VALUE!</v>
      </c>
      <c r="BD67" t="e">
        <f>'2.4.Функции'!UB140+"BYw!%3q"</f>
        <v>#VALUE!</v>
      </c>
      <c r="BE67" t="e">
        <f>'2.4.Функции'!UC140+"BYw!%3r"</f>
        <v>#VALUE!</v>
      </c>
      <c r="BF67" t="e">
        <f>'2.4.Функции'!UD140+"BYw!%3s"</f>
        <v>#VALUE!</v>
      </c>
      <c r="BG67" t="e">
        <f>'2.4.Функции'!UE140+"BYw!%3t"</f>
        <v>#VALUE!</v>
      </c>
      <c r="BH67" t="e">
        <f>'2.4.Функции'!UF140+"BYw!%3u"</f>
        <v>#VALUE!</v>
      </c>
      <c r="BI67" t="e">
        <f>'2.4.Функции'!UG140+"BYw!%3v"</f>
        <v>#VALUE!</v>
      </c>
      <c r="BJ67" t="e">
        <f>'2.4.Функции'!UH140+"BYw!%3w"</f>
        <v>#VALUE!</v>
      </c>
      <c r="BK67" t="e">
        <f>'2.4.Функции'!UI140+"BYw!%3x"</f>
        <v>#VALUE!</v>
      </c>
      <c r="BL67" t="e">
        <f>'2.4.Функции'!UJ140+"BYw!%3y"</f>
        <v>#VALUE!</v>
      </c>
      <c r="BM67" t="e">
        <f>'2.4.Функции'!UK140+"BYw!%3z"</f>
        <v>#VALUE!</v>
      </c>
      <c r="BN67" t="e">
        <f>'2.4.Функции'!UL140+"BYw!%3{"</f>
        <v>#VALUE!</v>
      </c>
      <c r="BO67" t="e">
        <f>'2.4.Функции'!UM140+"BYw!%3|"</f>
        <v>#VALUE!</v>
      </c>
      <c r="BP67" t="e">
        <f>'2.4.Функции'!UN140+"BYw!%3}"</f>
        <v>#VALUE!</v>
      </c>
      <c r="BQ67" t="e">
        <f>'2.4.Функции'!UO140+"BYw!%3~"</f>
        <v>#VALUE!</v>
      </c>
      <c r="BR67" t="e">
        <f>'2.4.Функции'!UP140+"BYw!%4#"</f>
        <v>#VALUE!</v>
      </c>
      <c r="BS67" t="e">
        <f>'2.4.Функции'!UQ140+"BYw!%4$"</f>
        <v>#VALUE!</v>
      </c>
      <c r="BT67" t="e">
        <f>'2.4.Функции'!UR140+"BYw!%4%"</f>
        <v>#VALUE!</v>
      </c>
      <c r="BU67" t="e">
        <f>'2.4.Функции'!US140+"BYw!%4&amp;"</f>
        <v>#VALUE!</v>
      </c>
      <c r="BV67" t="e">
        <f>'2.4.Функции'!UT140+"BYw!%4'"</f>
        <v>#VALUE!</v>
      </c>
      <c r="BW67" t="e">
        <f>'2.4.Функции'!UU140+"BYw!%4("</f>
        <v>#VALUE!</v>
      </c>
      <c r="BX67" t="e">
        <f>'2.4.Функции'!UV140+"BYw!%4)"</f>
        <v>#VALUE!</v>
      </c>
      <c r="BY67" t="e">
        <f>'2.4.Функции'!UW140+"BYw!%4."</f>
        <v>#VALUE!</v>
      </c>
      <c r="BZ67" t="e">
        <f>'2.4.Функции'!UX140+"BYw!%4/"</f>
        <v>#VALUE!</v>
      </c>
      <c r="CA67" t="e">
        <f>'2.4.Функции'!UY140+"BYw!%40"</f>
        <v>#VALUE!</v>
      </c>
      <c r="CB67" t="e">
        <f>'2.4.Функции'!UZ140+"BYw!%41"</f>
        <v>#VALUE!</v>
      </c>
      <c r="CC67" t="e">
        <f>'2.4.Функции'!VA140+"BYw!%42"</f>
        <v>#VALUE!</v>
      </c>
      <c r="CD67" t="e">
        <f>'2.4.Функции'!VB140+"BYw!%43"</f>
        <v>#VALUE!</v>
      </c>
      <c r="CE67" t="e">
        <f>'2.4.Функции'!VC140+"BYw!%44"</f>
        <v>#VALUE!</v>
      </c>
      <c r="CF67" t="e">
        <f>'2.4.Функции'!VD140+"BYw!%45"</f>
        <v>#VALUE!</v>
      </c>
      <c r="CG67" t="e">
        <f>'2.4.Функции'!VE140+"BYw!%46"</f>
        <v>#VALUE!</v>
      </c>
      <c r="CH67" t="e">
        <f>'2.4.Функции'!VF140+"BYw!%47"</f>
        <v>#VALUE!</v>
      </c>
      <c r="CI67" t="e">
        <f>'2.4.Функции'!VG140+"BYw!%48"</f>
        <v>#VALUE!</v>
      </c>
      <c r="CJ67" t="e">
        <f>'2.4.Функции'!VH140+"BYw!%49"</f>
        <v>#VALUE!</v>
      </c>
      <c r="CK67" t="e">
        <f>'2.4.Функции'!VI140+"BYw!%4:"</f>
        <v>#VALUE!</v>
      </c>
      <c r="CL67" t="e">
        <f>'2.4.Функции'!VJ140+"BYw!%4;"</f>
        <v>#VALUE!</v>
      </c>
      <c r="CM67" t="e">
        <f>'2.4.Функции'!VK140+"BYw!%4&lt;"</f>
        <v>#VALUE!</v>
      </c>
      <c r="CN67" t="e">
        <f>'2.4.Функции'!VL140+"BYw!%4="</f>
        <v>#VALUE!</v>
      </c>
      <c r="CO67" t="e">
        <f>'2.4.Функции'!VM140+"BYw!%4&gt;"</f>
        <v>#VALUE!</v>
      </c>
      <c r="CP67" t="e">
        <f>'2.4.Функции'!VN140+"BYw!%4?"</f>
        <v>#VALUE!</v>
      </c>
      <c r="CQ67" t="e">
        <f>'2.4.Функции'!VO140+"BYw!%4@"</f>
        <v>#VALUE!</v>
      </c>
      <c r="CR67" t="e">
        <f>'2.4.Функции'!VP140+"BYw!%4A"</f>
        <v>#VALUE!</v>
      </c>
      <c r="CS67" t="e">
        <f>'2.4.Функции'!VQ140+"BYw!%4B"</f>
        <v>#VALUE!</v>
      </c>
      <c r="CT67" t="e">
        <f>'2.4.Функции'!VR140+"BYw!%4C"</f>
        <v>#VALUE!</v>
      </c>
      <c r="CU67" t="e">
        <f>'2.4.Функции'!VS140+"BYw!%4D"</f>
        <v>#VALUE!</v>
      </c>
      <c r="CV67" t="e">
        <f>'2.4.Функции'!VT140+"BYw!%4E"</f>
        <v>#VALUE!</v>
      </c>
      <c r="CW67" t="e">
        <f>'2.4.Функции'!VU140+"BYw!%4F"</f>
        <v>#VALUE!</v>
      </c>
      <c r="CX67" t="e">
        <f>'2.4.Функции'!VV140+"BYw!%4G"</f>
        <v>#VALUE!</v>
      </c>
      <c r="CY67" t="e">
        <f>'2.4.Функции'!VW140+"BYw!%4H"</f>
        <v>#VALUE!</v>
      </c>
      <c r="CZ67" t="e">
        <f>'2.4.Функции'!VX140+"BYw!%4I"</f>
        <v>#VALUE!</v>
      </c>
      <c r="DA67" t="e">
        <f>'2.4.Функции'!VY140+"BYw!%4J"</f>
        <v>#VALUE!</v>
      </c>
      <c r="DB67" t="e">
        <f>'2.4.Функции'!VZ140+"BYw!%4K"</f>
        <v>#VALUE!</v>
      </c>
      <c r="DC67" t="e">
        <f>'2.4.Функции'!WA140+"BYw!%4L"</f>
        <v>#VALUE!</v>
      </c>
      <c r="DD67" t="e">
        <f>'2.4.Функции'!WB140+"BYw!%4M"</f>
        <v>#VALUE!</v>
      </c>
      <c r="DE67" t="e">
        <f>'2.4.Функции'!WC140+"BYw!%4N"</f>
        <v>#VALUE!</v>
      </c>
      <c r="DF67" t="e">
        <f>'2.4.Функции'!WD140+"BYw!%4O"</f>
        <v>#VALUE!</v>
      </c>
      <c r="DG67" t="e">
        <f>'2.4.Функции'!WE140+"BYw!%4P"</f>
        <v>#VALUE!</v>
      </c>
      <c r="DH67" t="e">
        <f>'2.4.Функции'!WF140+"BYw!%4Q"</f>
        <v>#VALUE!</v>
      </c>
      <c r="DI67" t="e">
        <f>'2.4.Функции'!WG140+"BYw!%4R"</f>
        <v>#VALUE!</v>
      </c>
      <c r="DJ67" t="e">
        <f>'2.4.Функции'!WH140+"BYw!%4S"</f>
        <v>#VALUE!</v>
      </c>
      <c r="DK67" t="e">
        <f>'2.4.Функции'!WI140+"BYw!%4T"</f>
        <v>#VALUE!</v>
      </c>
      <c r="DL67" t="e">
        <f>'2.4.Функции'!WJ140+"BYw!%4U"</f>
        <v>#VALUE!</v>
      </c>
      <c r="DM67" t="e">
        <f>'2.4.Функции'!WK140+"BYw!%4V"</f>
        <v>#VALUE!</v>
      </c>
      <c r="DN67" t="e">
        <f>'2.4.Функции'!WL140+"BYw!%4W"</f>
        <v>#VALUE!</v>
      </c>
      <c r="DO67" t="e">
        <f>'2.4.Функции'!WM140+"BYw!%4X"</f>
        <v>#VALUE!</v>
      </c>
      <c r="DP67" t="e">
        <f>'2.4.Функции'!WN140+"BYw!%4Y"</f>
        <v>#VALUE!</v>
      </c>
      <c r="DQ67" t="e">
        <f>'2.4.Функции'!WO140+"BYw!%4Z"</f>
        <v>#VALUE!</v>
      </c>
      <c r="DR67" t="e">
        <f>'2.4.Функции'!WP140+"BYw!%4["</f>
        <v>#VALUE!</v>
      </c>
      <c r="DS67" t="e">
        <f>'2.4.Функции'!WQ140+"BYw!%4\"</f>
        <v>#VALUE!</v>
      </c>
      <c r="DT67" t="e">
        <f>'2.4.Функции'!WR140+"BYw!%4]"</f>
        <v>#VALUE!</v>
      </c>
      <c r="DU67" t="e">
        <f>'2.4.Функции'!WS140+"BYw!%4^"</f>
        <v>#VALUE!</v>
      </c>
      <c r="DV67" t="e">
        <f>'2.4.Функции'!WT140+"BYw!%4_"</f>
        <v>#VALUE!</v>
      </c>
      <c r="DW67" t="e">
        <f>'2.4.Функции'!WU140+"BYw!%4`"</f>
        <v>#VALUE!</v>
      </c>
      <c r="DX67" t="e">
        <f>'2.4.Функции'!WV140+"BYw!%4a"</f>
        <v>#VALUE!</v>
      </c>
      <c r="DY67" t="e">
        <f>'2.4.Функции'!WW140+"BYw!%4b"</f>
        <v>#VALUE!</v>
      </c>
      <c r="DZ67" t="e">
        <f>'2.4.Функции'!WX140+"BYw!%4c"</f>
        <v>#VALUE!</v>
      </c>
      <c r="EA67" t="e">
        <f>'2.4.Функции'!WY140+"BYw!%4d"</f>
        <v>#VALUE!</v>
      </c>
      <c r="EB67" t="e">
        <f>'2.4.Функции'!WZ140+"BYw!%4e"</f>
        <v>#VALUE!</v>
      </c>
      <c r="EC67" t="e">
        <f>'2.4.Функции'!XA140+"BYw!%4f"</f>
        <v>#VALUE!</v>
      </c>
      <c r="ED67" t="e">
        <f>'2.4.Функции'!XB140+"BYw!%4g"</f>
        <v>#VALUE!</v>
      </c>
      <c r="EE67" t="e">
        <f>'2.4.Функции'!XC140+"BYw!%4h"</f>
        <v>#VALUE!</v>
      </c>
      <c r="EF67" t="e">
        <f>'2.4.Функции'!XD140+"BYw!%4i"</f>
        <v>#VALUE!</v>
      </c>
      <c r="EG67" t="e">
        <f>'2.4.Функции'!XE140+"BYw!%4j"</f>
        <v>#VALUE!</v>
      </c>
      <c r="EH67" t="e">
        <f>'2.4.Функции'!XF140+"BYw!%4k"</f>
        <v>#VALUE!</v>
      </c>
      <c r="EI67" t="e">
        <f>'2.4.Функции'!XG140+"BYw!%4l"</f>
        <v>#VALUE!</v>
      </c>
      <c r="EJ67" t="e">
        <f>'2.4.Функции'!XH140+"BYw!%4m"</f>
        <v>#VALUE!</v>
      </c>
      <c r="EK67" t="e">
        <f>'2.4.Функции'!XI140+"BYw!%4n"</f>
        <v>#VALUE!</v>
      </c>
      <c r="EL67" t="e">
        <f>'2.4.Функции'!XJ140+"BYw!%4o"</f>
        <v>#VALUE!</v>
      </c>
      <c r="EM67" t="e">
        <f>'2.4.Функции'!XK140+"BYw!%4p"</f>
        <v>#VALUE!</v>
      </c>
      <c r="EN67" t="e">
        <f>'2.4.Функции'!XL140+"BYw!%4q"</f>
        <v>#VALUE!</v>
      </c>
      <c r="EO67" t="e">
        <f>'2.4.Функции'!XM140+"BYw!%4r"</f>
        <v>#VALUE!</v>
      </c>
      <c r="EP67" t="e">
        <f>'2.4.Функции'!XN140+"BYw!%4s"</f>
        <v>#VALUE!</v>
      </c>
      <c r="EQ67" t="e">
        <f>'2.4.Функции'!XO140+"BYw!%4t"</f>
        <v>#VALUE!</v>
      </c>
      <c r="ER67" t="e">
        <f>'2.4.Функции'!XP140+"BYw!%4u"</f>
        <v>#VALUE!</v>
      </c>
      <c r="ES67" t="e">
        <f>'2.4.Функции'!XQ140+"BYw!%4v"</f>
        <v>#VALUE!</v>
      </c>
      <c r="ET67" t="e">
        <f>'2.4.Функции'!XR140+"BYw!%4w"</f>
        <v>#VALUE!</v>
      </c>
      <c r="EU67" t="e">
        <f>'2.4.Функции'!XS140+"BYw!%4x"</f>
        <v>#VALUE!</v>
      </c>
      <c r="EV67" t="e">
        <f>'2.4.Функции'!XT140+"BYw!%4y"</f>
        <v>#VALUE!</v>
      </c>
      <c r="EW67" t="e">
        <f>'2.4.Функции'!XU140+"BYw!%4z"</f>
        <v>#VALUE!</v>
      </c>
      <c r="EX67" t="e">
        <f>'2.4.Функции'!XV140+"BYw!%4{"</f>
        <v>#VALUE!</v>
      </c>
      <c r="EY67" t="e">
        <f>'2.4.Функции'!XW140+"BYw!%4|"</f>
        <v>#VALUE!</v>
      </c>
      <c r="EZ67" t="e">
        <f>'2.4.Функции'!XX140+"BYw!%4}"</f>
        <v>#VALUE!</v>
      </c>
      <c r="FA67" t="e">
        <f>'2.4.Функции'!XY140+"BYw!%4~"</f>
        <v>#VALUE!</v>
      </c>
      <c r="FB67" t="e">
        <f>'2.4.Функции'!XZ140+"BYw!%5#"</f>
        <v>#VALUE!</v>
      </c>
      <c r="FC67" t="e">
        <f>'2.4.Функции'!YA140+"BYw!%5$"</f>
        <v>#VALUE!</v>
      </c>
      <c r="FD67" t="e">
        <f>'2.4.Функции'!YB140+"BYw!%5%"</f>
        <v>#VALUE!</v>
      </c>
      <c r="FE67" t="e">
        <f>'2.4.Функции'!YC140+"BYw!%5&amp;"</f>
        <v>#VALUE!</v>
      </c>
      <c r="FF67" t="e">
        <f>'2.4.Функции'!YD140+"BYw!%5'"</f>
        <v>#VALUE!</v>
      </c>
      <c r="FG67" t="e">
        <f>'2.4.Функции'!YE140+"BYw!%5("</f>
        <v>#VALUE!</v>
      </c>
      <c r="FH67" t="e">
        <f>'2.4.Функции'!YF140+"BYw!%5)"</f>
        <v>#VALUE!</v>
      </c>
      <c r="FI67" t="e">
        <f>'2.4.Функции'!YG140+"BYw!%5."</f>
        <v>#VALUE!</v>
      </c>
      <c r="FJ67" t="e">
        <f>'2.4.Функции'!YH140+"BYw!%5/"</f>
        <v>#VALUE!</v>
      </c>
      <c r="FK67" t="e">
        <f>'2.4.Функции'!YI140+"BYw!%50"</f>
        <v>#VALUE!</v>
      </c>
      <c r="FL67" t="e">
        <f>'2.4.Функции'!YJ140+"BYw!%51"</f>
        <v>#VALUE!</v>
      </c>
      <c r="FM67" t="e">
        <f>'2.4.Функции'!YK140+"BYw!%52"</f>
        <v>#VALUE!</v>
      </c>
      <c r="FN67" t="e">
        <f>'2.4.Функции'!YL140+"BYw!%53"</f>
        <v>#VALUE!</v>
      </c>
      <c r="FO67" t="e">
        <f>'2.4.Функции'!YM140+"BYw!%54"</f>
        <v>#VALUE!</v>
      </c>
      <c r="FP67" t="e">
        <f>'2.4.Функции'!YN140+"BYw!%55"</f>
        <v>#VALUE!</v>
      </c>
      <c r="FQ67" t="e">
        <f>'2.4.Функции'!YO140+"BYw!%56"</f>
        <v>#VALUE!</v>
      </c>
      <c r="FR67" t="e">
        <f>'2.4.Функции'!YP140+"BYw!%57"</f>
        <v>#VALUE!</v>
      </c>
      <c r="FS67" t="e">
        <f>'2.4.Функции'!YQ140+"BYw!%58"</f>
        <v>#VALUE!</v>
      </c>
      <c r="FT67" t="e">
        <f>'2.4.Функции'!YR140+"BYw!%59"</f>
        <v>#VALUE!</v>
      </c>
      <c r="FU67" t="e">
        <f>'2.4.Функции'!YS140+"BYw!%5:"</f>
        <v>#VALUE!</v>
      </c>
      <c r="FV67" t="e">
        <f>'2.4.Функции'!YT140+"BYw!%5;"</f>
        <v>#VALUE!</v>
      </c>
      <c r="FW67" t="e">
        <f>'2.4.Функции'!YU140+"BYw!%5&lt;"</f>
        <v>#VALUE!</v>
      </c>
      <c r="FX67" t="e">
        <f>'2.4.Функции'!YV140+"BYw!%5="</f>
        <v>#VALUE!</v>
      </c>
      <c r="FY67" t="e">
        <f>'2.4.Функции'!YW140+"BYw!%5&gt;"</f>
        <v>#VALUE!</v>
      </c>
      <c r="FZ67" t="e">
        <f>'2.4.Функции'!YX140+"BYw!%5?"</f>
        <v>#VALUE!</v>
      </c>
      <c r="GA67" t="e">
        <f>'2.4.Функции'!YY140+"BYw!%5@"</f>
        <v>#VALUE!</v>
      </c>
      <c r="GB67" t="e">
        <f>'2.4.Функции'!YZ140+"BYw!%5A"</f>
        <v>#VALUE!</v>
      </c>
      <c r="GC67" t="e">
        <f>'2.4.Функции'!ZA140+"BYw!%5B"</f>
        <v>#VALUE!</v>
      </c>
      <c r="GD67" t="e">
        <f>'2.4.Функции'!ZB140+"BYw!%5C"</f>
        <v>#VALUE!</v>
      </c>
      <c r="GE67" t="e">
        <f>'2.4.Функции'!ZC140+"BYw!%5D"</f>
        <v>#VALUE!</v>
      </c>
      <c r="GF67" t="e">
        <f>'2.4.Функции'!ZD140+"BYw!%5E"</f>
        <v>#VALUE!</v>
      </c>
      <c r="GG67" t="e">
        <f>'2.4.Функции'!ZE140+"BYw!%5F"</f>
        <v>#VALUE!</v>
      </c>
      <c r="GH67" t="e">
        <f>'2.4.Функции'!ZF140+"BYw!%5G"</f>
        <v>#VALUE!</v>
      </c>
      <c r="GI67" t="e">
        <f>'2.4.Функции'!ZG140+"BYw!%5H"</f>
        <v>#VALUE!</v>
      </c>
      <c r="GJ67" t="e">
        <f>'2.4.Функции'!ZH140+"BYw!%5I"</f>
        <v>#VALUE!</v>
      </c>
      <c r="GK67" t="e">
        <f>'2.4.Функции'!ZI140+"BYw!%5J"</f>
        <v>#VALUE!</v>
      </c>
      <c r="GL67" t="e">
        <f>'2.4.Функции'!ZJ140+"BYw!%5K"</f>
        <v>#VALUE!</v>
      </c>
      <c r="GM67" t="e">
        <f>'2.4.Функции'!ZK140+"BYw!%5L"</f>
        <v>#VALUE!</v>
      </c>
      <c r="GN67" t="e">
        <f>'2.4.Функции'!ZL140+"BYw!%5M"</f>
        <v>#VALUE!</v>
      </c>
      <c r="GO67" t="e">
        <f>'2.4.Функции'!ZM140+"BYw!%5N"</f>
        <v>#VALUE!</v>
      </c>
      <c r="GP67" t="e">
        <f>'2.4.Функции'!ZN140+"BYw!%5O"</f>
        <v>#VALUE!</v>
      </c>
      <c r="GQ67" t="e">
        <f>'2.4.Функции'!ZO140+"BYw!%5P"</f>
        <v>#VALUE!</v>
      </c>
      <c r="GR67" t="e">
        <f>'2.4.Функции'!ZP140+"BYw!%5Q"</f>
        <v>#VALUE!</v>
      </c>
      <c r="GS67" t="e">
        <f>'2.4.Функции'!ZQ140+"BYw!%5R"</f>
        <v>#VALUE!</v>
      </c>
      <c r="GT67" t="e">
        <f>'2.4.Функции'!ZR140+"BYw!%5S"</f>
        <v>#VALUE!</v>
      </c>
      <c r="GU67" t="e">
        <f>'2.4.Функции'!ZS140+"BYw!%5T"</f>
        <v>#VALUE!</v>
      </c>
      <c r="GV67" t="e">
        <f>'2.4.Функции'!ZT140+"BYw!%5U"</f>
        <v>#VALUE!</v>
      </c>
      <c r="GW67" t="e">
        <f>'2.4.Функции'!ZU140+"BYw!%5V"</f>
        <v>#VALUE!</v>
      </c>
      <c r="GX67" t="e">
        <f>'2.4.Функции'!ZV140+"BYw!%5W"</f>
        <v>#VALUE!</v>
      </c>
      <c r="GY67" t="e">
        <f>'2.4.Функции'!ZW140+"BYw!%5X"</f>
        <v>#VALUE!</v>
      </c>
      <c r="GZ67" t="e">
        <f>'2.4.Функции'!ZX140+"BYw!%5Y"</f>
        <v>#VALUE!</v>
      </c>
      <c r="HA67" t="e">
        <f>'2.4.Функции'!ZY140+"BYw!%5Z"</f>
        <v>#VALUE!</v>
      </c>
      <c r="HB67" t="e">
        <f>'2.4.Функции'!ZZ140+"BYw!%5["</f>
        <v>#VALUE!</v>
      </c>
      <c r="HC67" t="e">
        <f>'2.4.Функции'!AAA140+"BYw!%5\"</f>
        <v>#VALUE!</v>
      </c>
      <c r="HD67" t="e">
        <f>'2.4.Функции'!AAB140+"BYw!%5]"</f>
        <v>#VALUE!</v>
      </c>
      <c r="HE67" t="e">
        <f>'2.4.Функции'!AAC140+"BYw!%5^"</f>
        <v>#VALUE!</v>
      </c>
      <c r="HF67" t="e">
        <f>'2.4.Функции'!AAD140+"BYw!%5_"</f>
        <v>#VALUE!</v>
      </c>
      <c r="HG67" t="e">
        <f>'2.4.Функции'!AAE140+"BYw!%5`"</f>
        <v>#VALUE!</v>
      </c>
      <c r="HH67" t="e">
        <f>'2.4.Функции'!AAF140+"BYw!%5a"</f>
        <v>#VALUE!</v>
      </c>
      <c r="HI67" t="e">
        <f>'2.4.Функции'!AAG140+"BYw!%5b"</f>
        <v>#VALUE!</v>
      </c>
      <c r="HJ67" t="e">
        <f>'2.4.Функции'!AAH140+"BYw!%5c"</f>
        <v>#VALUE!</v>
      </c>
      <c r="HK67" t="e">
        <f>'2.4.Функции'!AAI140+"BYw!%5d"</f>
        <v>#VALUE!</v>
      </c>
      <c r="HL67" t="e">
        <f>'2.4.Функции'!AAJ140+"BYw!%5e"</f>
        <v>#VALUE!</v>
      </c>
      <c r="HM67" t="e">
        <f>'2.4.Функции'!AAK140+"BYw!%5f"</f>
        <v>#VALUE!</v>
      </c>
      <c r="HN67" t="e">
        <f>'2.4.Функции'!AAL140+"BYw!%5g"</f>
        <v>#VALUE!</v>
      </c>
      <c r="HO67" t="e">
        <f>'2.4.Функции'!AAM140+"BYw!%5h"</f>
        <v>#VALUE!</v>
      </c>
      <c r="HP67" t="e">
        <f>'2.4.Функции'!AAN140+"BYw!%5i"</f>
        <v>#VALUE!</v>
      </c>
      <c r="HQ67" t="e">
        <f>'2.4.Функции'!AAO140+"BYw!%5j"</f>
        <v>#VALUE!</v>
      </c>
      <c r="HR67" t="e">
        <f>'2.4.Функции'!AAP140+"BYw!%5k"</f>
        <v>#VALUE!</v>
      </c>
      <c r="HS67" t="e">
        <f>'2.4.Функции'!AAQ140+"BYw!%5l"</f>
        <v>#VALUE!</v>
      </c>
      <c r="HT67" t="e">
        <f>'2.4.Функции'!AAR140+"BYw!%5m"</f>
        <v>#VALUE!</v>
      </c>
      <c r="HU67" t="e">
        <f>'2.4.Функции'!AAS140+"BYw!%5n"</f>
        <v>#VALUE!</v>
      </c>
      <c r="HV67" t="e">
        <f>'2.4.Функции'!AAT140+"BYw!%5o"</f>
        <v>#VALUE!</v>
      </c>
      <c r="HW67" t="e">
        <f>'2.4.Функции'!AAU140+"BYw!%5p"</f>
        <v>#VALUE!</v>
      </c>
      <c r="HX67" t="e">
        <f>'2.4.Функции'!AAV140+"BYw!%5q"</f>
        <v>#VALUE!</v>
      </c>
      <c r="HY67" t="e">
        <f>'2.4.Функции'!AAW140+"BYw!%5r"</f>
        <v>#VALUE!</v>
      </c>
      <c r="HZ67" t="e">
        <f>'2.4.Функции'!AAX140+"BYw!%5s"</f>
        <v>#VALUE!</v>
      </c>
      <c r="IA67" t="e">
        <f>'2.4.Функции'!AAY140+"BYw!%5t"</f>
        <v>#VALUE!</v>
      </c>
      <c r="IB67" t="e">
        <f>'2.4.Функции'!AAZ140+"BYw!%5u"</f>
        <v>#VALUE!</v>
      </c>
      <c r="IC67" t="e">
        <f>'2.4.Функции'!ABA140+"BYw!%5v"</f>
        <v>#VALUE!</v>
      </c>
      <c r="ID67" t="e">
        <f>'2.4.Функции'!ABB140+"BYw!%5w"</f>
        <v>#VALUE!</v>
      </c>
      <c r="IE67" t="e">
        <f>'2.4.Функции'!ABC140+"BYw!%5x"</f>
        <v>#VALUE!</v>
      </c>
      <c r="IF67" t="e">
        <f>'2.4.Функции'!ABD140+"BYw!%5y"</f>
        <v>#VALUE!</v>
      </c>
      <c r="IG67" t="e">
        <f>'2.4.Функции'!ABE140+"BYw!%5z"</f>
        <v>#VALUE!</v>
      </c>
      <c r="IH67" t="e">
        <f>'2.4.Функции'!ABF140+"BYw!%5{"</f>
        <v>#VALUE!</v>
      </c>
      <c r="II67" t="e">
        <f>'2.4.Функции'!ABG140+"BYw!%5|"</f>
        <v>#VALUE!</v>
      </c>
      <c r="IJ67" t="e">
        <f>'2.4.Функции'!ABH140+"BYw!%5}"</f>
        <v>#VALUE!</v>
      </c>
      <c r="IK67" t="e">
        <f>'2.4.Функции'!ABI140+"BYw!%5~"</f>
        <v>#VALUE!</v>
      </c>
      <c r="IL67" t="e">
        <f>'2.4.Функции'!ABJ140+"BYw!%6#"</f>
        <v>#VALUE!</v>
      </c>
      <c r="IM67" t="e">
        <f>'2.4.Функции'!ABK140+"BYw!%6$"</f>
        <v>#VALUE!</v>
      </c>
      <c r="IN67" t="e">
        <f>'2.4.Функции'!ABL140+"BYw!%6%"</f>
        <v>#VALUE!</v>
      </c>
      <c r="IO67" t="e">
        <f>'2.4.Функции'!ABM140+"BYw!%6&amp;"</f>
        <v>#VALUE!</v>
      </c>
      <c r="IP67" t="e">
        <f>'2.4.Функции'!ABN140+"BYw!%6'"</f>
        <v>#VALUE!</v>
      </c>
      <c r="IQ67" t="e">
        <f>'2.4.Функции'!ABO140+"BYw!%6("</f>
        <v>#VALUE!</v>
      </c>
      <c r="IR67" t="e">
        <f>'2.4.Функции'!ABP140+"BYw!%6)"</f>
        <v>#VALUE!</v>
      </c>
      <c r="IS67" t="e">
        <f>'2.4.Функции'!ABQ140+"BYw!%6."</f>
        <v>#VALUE!</v>
      </c>
      <c r="IT67" t="e">
        <f>'2.4.Функции'!ABR140+"BYw!%6/"</f>
        <v>#VALUE!</v>
      </c>
      <c r="IU67" t="e">
        <f>'2.4.Функции'!ABS140+"BYw!%60"</f>
        <v>#VALUE!</v>
      </c>
      <c r="IV67" t="e">
        <f>'2.4.Функции'!ABT140+"BYw!%61"</f>
        <v>#VALUE!</v>
      </c>
    </row>
    <row r="68" spans="6:256" x14ac:dyDescent="0.2">
      <c r="F68" t="e">
        <f>'2.4.Функции'!ABU140+"BYw!%62"</f>
        <v>#VALUE!</v>
      </c>
      <c r="G68" t="e">
        <f>'2.4.Функции'!ABV140+"BYw!%63"</f>
        <v>#VALUE!</v>
      </c>
      <c r="H68" t="e">
        <f>'2.4.Функции'!ABW140+"BYw!%64"</f>
        <v>#VALUE!</v>
      </c>
      <c r="I68" t="e">
        <f>'2.4.Функции'!ABX140+"BYw!%65"</f>
        <v>#VALUE!</v>
      </c>
      <c r="J68" t="e">
        <f>'2.4.Функции'!ABY140+"BYw!%66"</f>
        <v>#VALUE!</v>
      </c>
      <c r="K68" t="e">
        <f>'2.4.Функции'!ABZ140+"BYw!%67"</f>
        <v>#VALUE!</v>
      </c>
      <c r="L68" t="e">
        <f>'2.4.Функции'!ACA140+"BYw!%68"</f>
        <v>#VALUE!</v>
      </c>
      <c r="M68" t="e">
        <f>'2.4.Функции'!ACB140+"BYw!%69"</f>
        <v>#VALUE!</v>
      </c>
      <c r="N68" t="e">
        <f>'2.4.Функции'!ACC140+"BYw!%6:"</f>
        <v>#VALUE!</v>
      </c>
      <c r="O68" t="e">
        <f>'2.4.Функции'!ACD140+"BYw!%6;"</f>
        <v>#VALUE!</v>
      </c>
      <c r="P68" t="e">
        <f>'2.4.Функции'!ACE140+"BYw!%6&lt;"</f>
        <v>#VALUE!</v>
      </c>
      <c r="Q68" t="e">
        <f>'2.4.Функции'!ACF140+"BYw!%6="</f>
        <v>#VALUE!</v>
      </c>
      <c r="R68" t="e">
        <f>'2.4.Функции'!ACG140+"BYw!%6&gt;"</f>
        <v>#VALUE!</v>
      </c>
      <c r="S68" t="e">
        <f>'2.4.Функции'!ACH140+"BYw!%6?"</f>
        <v>#VALUE!</v>
      </c>
      <c r="T68" t="e">
        <f>'2.4.Функции'!ACI140+"BYw!%6@"</f>
        <v>#VALUE!</v>
      </c>
      <c r="U68" t="e">
        <f>'2.4.Функции'!ACJ140+"BYw!%6A"</f>
        <v>#VALUE!</v>
      </c>
      <c r="V68" t="e">
        <f>'2.4.Функции'!ACK140+"BYw!%6B"</f>
        <v>#VALUE!</v>
      </c>
      <c r="W68" t="e">
        <f>'2.4.Функции'!ACL140+"BYw!%6C"</f>
        <v>#VALUE!</v>
      </c>
      <c r="X68" t="e">
        <f>'2.4.Функции'!ACM140+"BYw!%6D"</f>
        <v>#VALUE!</v>
      </c>
      <c r="Y68" t="e">
        <f>'2.4.Функции'!ACN140+"BYw!%6E"</f>
        <v>#VALUE!</v>
      </c>
      <c r="Z68" t="e">
        <f>'2.4.Функции'!ACO140+"BYw!%6F"</f>
        <v>#VALUE!</v>
      </c>
      <c r="AA68" t="e">
        <f>'2.4.Функции'!ACP140+"BYw!%6G"</f>
        <v>#VALUE!</v>
      </c>
      <c r="AB68" t="e">
        <f>'2.4.Функции'!ACQ140+"BYw!%6H"</f>
        <v>#VALUE!</v>
      </c>
      <c r="AC68" t="e">
        <f>'2.4.Функции'!ACR140+"BYw!%6I"</f>
        <v>#VALUE!</v>
      </c>
      <c r="AD68" t="e">
        <f>'2.4.Функции'!ACS140+"BYw!%6J"</f>
        <v>#VALUE!</v>
      </c>
      <c r="AE68" t="e">
        <f>'2.4.Функции'!ACT140+"BYw!%6K"</f>
        <v>#VALUE!</v>
      </c>
      <c r="AF68" t="e">
        <f>'2.4.Функции'!ACU140+"BYw!%6L"</f>
        <v>#VALUE!</v>
      </c>
      <c r="AG68" t="e">
        <f>'2.4.Функции'!ACV140+"BYw!%6M"</f>
        <v>#VALUE!</v>
      </c>
      <c r="AH68" t="e">
        <f>'2.4.Функции'!ACW140+"BYw!%6N"</f>
        <v>#VALUE!</v>
      </c>
      <c r="AI68" t="e">
        <f>'2.4.Функции'!ACX140+"BYw!%6O"</f>
        <v>#VALUE!</v>
      </c>
      <c r="AJ68" t="e">
        <f>'2.4.Функции'!ACY140+"BYw!%6P"</f>
        <v>#VALUE!</v>
      </c>
      <c r="AK68" t="e">
        <f>'2.4.Функции'!ACZ140+"BYw!%6Q"</f>
        <v>#VALUE!</v>
      </c>
      <c r="AL68" t="e">
        <f>'2.4.Функции'!ADA140+"BYw!%6R"</f>
        <v>#VALUE!</v>
      </c>
      <c r="AM68" t="e">
        <f>'2.4.Функции'!ADB140+"BYw!%6S"</f>
        <v>#VALUE!</v>
      </c>
      <c r="AN68" t="e">
        <f>'2.4.Функции'!ADC140+"BYw!%6T"</f>
        <v>#VALUE!</v>
      </c>
      <c r="AO68" t="e">
        <f>'2.4.Функции'!ADD140+"BYw!%6U"</f>
        <v>#VALUE!</v>
      </c>
      <c r="AP68" t="e">
        <f>'2.4.Функции'!ADE140+"BYw!%6V"</f>
        <v>#VALUE!</v>
      </c>
      <c r="AQ68" t="e">
        <f>'2.4.Функции'!ADF140+"BYw!%6W"</f>
        <v>#VALUE!</v>
      </c>
      <c r="AR68" t="e">
        <f>'2.4.Функции'!ADG140+"BYw!%6X"</f>
        <v>#VALUE!</v>
      </c>
      <c r="AS68" t="e">
        <f>'2.4.Функции'!ADH140+"BYw!%6Y"</f>
        <v>#VALUE!</v>
      </c>
      <c r="AT68" t="e">
        <f>'2.4.Функции'!ADI140+"BYw!%6Z"</f>
        <v>#VALUE!</v>
      </c>
      <c r="AU68" t="e">
        <f>'2.4.Функции'!ADJ140+"BYw!%6["</f>
        <v>#VALUE!</v>
      </c>
      <c r="AV68" t="e">
        <f>'2.4.Функции'!ADK140+"BYw!%6\"</f>
        <v>#VALUE!</v>
      </c>
      <c r="AW68" t="e">
        <f>'2.4.Функции'!ADL140+"BYw!%6]"</f>
        <v>#VALUE!</v>
      </c>
      <c r="AX68" t="e">
        <f>'2.4.Функции'!ADM140+"BYw!%6^"</f>
        <v>#VALUE!</v>
      </c>
      <c r="AY68" t="e">
        <f>'2.4.Функции'!ADN140+"BYw!%6_"</f>
        <v>#VALUE!</v>
      </c>
      <c r="AZ68" t="e">
        <f>'2.4.Функции'!ADO140+"BYw!%6`"</f>
        <v>#VALUE!</v>
      </c>
      <c r="BA68" t="e">
        <f>'2.4.Функции'!ADP140+"BYw!%6a"</f>
        <v>#VALUE!</v>
      </c>
      <c r="BB68" t="e">
        <f>'2.4.Функции'!ADQ140+"BYw!%6b"</f>
        <v>#VALUE!</v>
      </c>
      <c r="BC68" t="e">
        <f>'2.4.Функции'!ADR140+"BYw!%6c"</f>
        <v>#VALUE!</v>
      </c>
      <c r="BD68" t="e">
        <f>'2.4.Функции'!ADS140+"BYw!%6d"</f>
        <v>#VALUE!</v>
      </c>
      <c r="BE68" t="e">
        <f>'2.4.Функции'!ADT140+"BYw!%6e"</f>
        <v>#VALUE!</v>
      </c>
      <c r="BF68" t="e">
        <f>'2.4.Функции'!ADU140+"BYw!%6f"</f>
        <v>#VALUE!</v>
      </c>
      <c r="BG68" t="e">
        <f>'2.4.Функции'!ADV140+"BYw!%6g"</f>
        <v>#VALUE!</v>
      </c>
      <c r="BH68" t="e">
        <f>'2.4.Функции'!ADW140+"BYw!%6h"</f>
        <v>#VALUE!</v>
      </c>
      <c r="BI68" t="e">
        <f>'2.4.Функции'!ADX140+"BYw!%6i"</f>
        <v>#VALUE!</v>
      </c>
      <c r="BJ68" t="e">
        <f>'2.4.Функции'!ADY140+"BYw!%6j"</f>
        <v>#VALUE!</v>
      </c>
      <c r="BK68" t="e">
        <f>'2.4.Функции'!ADZ140+"BYw!%6k"</f>
        <v>#VALUE!</v>
      </c>
      <c r="BL68" t="e">
        <f>'2.4.Функции'!AEA140+"BYw!%6l"</f>
        <v>#VALUE!</v>
      </c>
      <c r="BM68" t="e">
        <f>'2.4.Функции'!AEB140+"BYw!%6m"</f>
        <v>#VALUE!</v>
      </c>
      <c r="BN68" t="e">
        <f>'2.4.Функции'!AEC140+"BYw!%6n"</f>
        <v>#VALUE!</v>
      </c>
      <c r="BO68" t="e">
        <f>'2.4.Функции'!AED140+"BYw!%6o"</f>
        <v>#VALUE!</v>
      </c>
      <c r="BP68" t="e">
        <f>'2.4.Функции'!AEE140+"BYw!%6p"</f>
        <v>#VALUE!</v>
      </c>
      <c r="BQ68" t="e">
        <f>'2.4.Функции'!AEF140+"BYw!%6q"</f>
        <v>#VALUE!</v>
      </c>
      <c r="BR68" t="e">
        <f>'2.4.Функции'!AEG140+"BYw!%6r"</f>
        <v>#VALUE!</v>
      </c>
      <c r="BS68" t="e">
        <f>'2.4.Функции'!AEH140+"BYw!%6s"</f>
        <v>#VALUE!</v>
      </c>
      <c r="BT68" t="e">
        <f>'2.4.Функции'!AEI140+"BYw!%6t"</f>
        <v>#VALUE!</v>
      </c>
      <c r="BU68" t="e">
        <f>'2.4.Функции'!AEJ140+"BYw!%6u"</f>
        <v>#VALUE!</v>
      </c>
      <c r="BV68" t="e">
        <f>'2.4.Функции'!AEK140+"BYw!%6v"</f>
        <v>#VALUE!</v>
      </c>
      <c r="BW68" t="e">
        <f>'2.4.Функции'!AEL140+"BYw!%6w"</f>
        <v>#VALUE!</v>
      </c>
      <c r="BX68" t="e">
        <f>'2.4.Функции'!AEM140+"BYw!%6x"</f>
        <v>#VALUE!</v>
      </c>
      <c r="BY68" t="e">
        <f>'2.4.Функции'!AEN140+"BYw!%6y"</f>
        <v>#VALUE!</v>
      </c>
      <c r="BZ68" t="e">
        <f>'2.4.Функции'!AEO140+"BYw!%6z"</f>
        <v>#VALUE!</v>
      </c>
      <c r="CA68" t="e">
        <f>'2.4.Функции'!AEP140+"BYw!%6{"</f>
        <v>#VALUE!</v>
      </c>
      <c r="CB68" t="e">
        <f>'2.4.Функции'!AEQ140+"BYw!%6|"</f>
        <v>#VALUE!</v>
      </c>
      <c r="CC68" t="e">
        <f>'2.4.Функции'!AER140+"BYw!%6}"</f>
        <v>#VALUE!</v>
      </c>
      <c r="CD68" t="e">
        <f>'2.4.Функции'!AES140+"BYw!%6~"</f>
        <v>#VALUE!</v>
      </c>
      <c r="CE68" t="e">
        <f>'2.4.Функции'!AET140+"BYw!%7#"</f>
        <v>#VALUE!</v>
      </c>
      <c r="CF68" t="e">
        <f>'2.4.Функции'!AEU140+"BYw!%7$"</f>
        <v>#VALUE!</v>
      </c>
      <c r="CG68" t="e">
        <f>'2.4.Функции'!AEV140+"BYw!%7%"</f>
        <v>#VALUE!</v>
      </c>
      <c r="CH68" t="e">
        <f>'2.4.Функции'!AEW140+"BYw!%7&amp;"</f>
        <v>#VALUE!</v>
      </c>
      <c r="CI68" t="e">
        <f>'2.4.Функции'!AEX140+"BYw!%7'"</f>
        <v>#VALUE!</v>
      </c>
      <c r="CJ68" t="e">
        <f>'2.4.Функции'!AEY140+"BYw!%7("</f>
        <v>#VALUE!</v>
      </c>
      <c r="CK68" t="e">
        <f>'2.4.Функции'!AEZ140+"BYw!%7)"</f>
        <v>#VALUE!</v>
      </c>
      <c r="CL68" t="e">
        <f>'2.4.Функции'!AFA140+"BYw!%7."</f>
        <v>#VALUE!</v>
      </c>
      <c r="CM68" t="e">
        <f>'2.4.Функции'!AFB140+"BYw!%7/"</f>
        <v>#VALUE!</v>
      </c>
      <c r="CN68" t="e">
        <f>'2.4.Функции'!AFC140+"BYw!%70"</f>
        <v>#VALUE!</v>
      </c>
      <c r="CO68" t="e">
        <f>'2.4.Функции'!AFD140+"BYw!%71"</f>
        <v>#VALUE!</v>
      </c>
      <c r="CP68" t="e">
        <f>'2.4.Функции'!AFE140+"BYw!%72"</f>
        <v>#VALUE!</v>
      </c>
      <c r="CQ68" t="e">
        <f>'2.4.Функции'!AFF140+"BYw!%73"</f>
        <v>#VALUE!</v>
      </c>
      <c r="CR68" t="e">
        <f>'2.4.Функции'!AFG140+"BYw!%74"</f>
        <v>#VALUE!</v>
      </c>
      <c r="CS68" t="e">
        <f>'2.4.Функции'!AFH140+"BYw!%75"</f>
        <v>#VALUE!</v>
      </c>
      <c r="CT68" t="e">
        <f>'2.4.Функции'!AFI140+"BYw!%76"</f>
        <v>#VALUE!</v>
      </c>
      <c r="CU68" t="e">
        <f>'2.4.Функции'!AFJ140+"BYw!%77"</f>
        <v>#VALUE!</v>
      </c>
      <c r="CV68" t="e">
        <f>'2.4.Функции'!AFK140+"BYw!%78"</f>
        <v>#VALUE!</v>
      </c>
      <c r="CW68" t="e">
        <f>'2.4.Функции'!AFL140+"BYw!%79"</f>
        <v>#VALUE!</v>
      </c>
      <c r="CX68" t="e">
        <f>'2.4.Функции'!AFM140+"BYw!%7:"</f>
        <v>#VALUE!</v>
      </c>
      <c r="CY68" t="e">
        <f>'2.4.Функции'!AFN140+"BYw!%7;"</f>
        <v>#VALUE!</v>
      </c>
      <c r="CZ68" t="e">
        <f>'2.4.Функции'!AFO140+"BYw!%7&lt;"</f>
        <v>#VALUE!</v>
      </c>
      <c r="DA68" t="e">
        <f>'2.4.Функции'!AFP140+"BYw!%7="</f>
        <v>#VALUE!</v>
      </c>
      <c r="DB68" t="e">
        <f>'2.4.Функции'!AFQ140+"BYw!%7&gt;"</f>
        <v>#VALUE!</v>
      </c>
      <c r="DC68" t="e">
        <f>'2.4.Функции'!AFR140+"BYw!%7?"</f>
        <v>#VALUE!</v>
      </c>
      <c r="DD68" t="e">
        <f>'2.4.Функции'!AFS140+"BYw!%7@"</f>
        <v>#VALUE!</v>
      </c>
      <c r="DE68" t="e">
        <f>'2.4.Функции'!AFT140+"BYw!%7A"</f>
        <v>#VALUE!</v>
      </c>
      <c r="DF68" t="e">
        <f>'2.4.Функции'!AFU140+"BYw!%7B"</f>
        <v>#VALUE!</v>
      </c>
      <c r="DG68" t="e">
        <f>'2.4.Функции'!AFV140+"BYw!%7C"</f>
        <v>#VALUE!</v>
      </c>
      <c r="DH68" t="e">
        <f>'2.4.Функции'!AFW140+"BYw!%7D"</f>
        <v>#VALUE!</v>
      </c>
      <c r="DI68" t="e">
        <f>'2.4.Функции'!AFX140+"BYw!%7E"</f>
        <v>#VALUE!</v>
      </c>
      <c r="DJ68" t="e">
        <f>'2.4.Функции'!AFY140+"BYw!%7F"</f>
        <v>#VALUE!</v>
      </c>
      <c r="DK68" t="e">
        <f>'2.4.Функции'!AFZ140+"BYw!%7G"</f>
        <v>#VALUE!</v>
      </c>
      <c r="DL68" t="e">
        <f>'2.4.Функции'!AGA140+"BYw!%7H"</f>
        <v>#VALUE!</v>
      </c>
      <c r="DM68" t="e">
        <f>'2.4.Функции'!AGB140+"BYw!%7I"</f>
        <v>#VALUE!</v>
      </c>
      <c r="DN68" t="e">
        <f>'2.4.Функции'!AGC140+"BYw!%7J"</f>
        <v>#VALUE!</v>
      </c>
      <c r="DO68" t="e">
        <f>'2.4.Функции'!AGD140+"BYw!%7K"</f>
        <v>#VALUE!</v>
      </c>
      <c r="DP68" t="e">
        <f>'2.4.Функции'!AGE140+"BYw!%7L"</f>
        <v>#VALUE!</v>
      </c>
      <c r="DQ68" t="e">
        <f>'2.4.Функции'!AGF140+"BYw!%7M"</f>
        <v>#VALUE!</v>
      </c>
      <c r="DR68" t="e">
        <f>'2.4.Функции'!AGG140+"BYw!%7N"</f>
        <v>#VALUE!</v>
      </c>
      <c r="DS68" t="e">
        <f>'2.4.Функции'!AGH140+"BYw!%7O"</f>
        <v>#VALUE!</v>
      </c>
      <c r="DT68" t="e">
        <f>'2.4.Функции'!AGI140+"BYw!%7P"</f>
        <v>#VALUE!</v>
      </c>
      <c r="DU68" t="e">
        <f>'2.4.Функции'!AGJ140+"BYw!%7Q"</f>
        <v>#VALUE!</v>
      </c>
      <c r="DV68" t="e">
        <f>'2.4.Функции'!AGK140+"BYw!%7R"</f>
        <v>#VALUE!</v>
      </c>
      <c r="DW68" t="e">
        <f>'2.4.Функции'!AGL140+"BYw!%7S"</f>
        <v>#VALUE!</v>
      </c>
      <c r="DX68" t="e">
        <f>'2.4.Функции'!AGM140+"BYw!%7T"</f>
        <v>#VALUE!</v>
      </c>
      <c r="DY68" t="e">
        <f>'2.4.Функции'!AGN140+"BYw!%7U"</f>
        <v>#VALUE!</v>
      </c>
      <c r="DZ68" t="e">
        <f>'2.4.Функции'!AGO140+"BYw!%7V"</f>
        <v>#VALUE!</v>
      </c>
      <c r="EA68" t="e">
        <f>'2.4.Функции'!AGP140+"BYw!%7W"</f>
        <v>#VALUE!</v>
      </c>
      <c r="EB68" t="e">
        <f>'2.4.Функции'!AGQ140+"BYw!%7X"</f>
        <v>#VALUE!</v>
      </c>
      <c r="EC68" t="e">
        <f>'2.4.Функции'!AGR140+"BYw!%7Y"</f>
        <v>#VALUE!</v>
      </c>
      <c r="ED68" t="e">
        <f>'2.4.Функции'!AGS140+"BYw!%7Z"</f>
        <v>#VALUE!</v>
      </c>
      <c r="EE68" t="e">
        <f>'2.4.Функции'!AGT140+"BYw!%7["</f>
        <v>#VALUE!</v>
      </c>
      <c r="EF68" t="e">
        <f>'2.4.Функции'!AGU140+"BYw!%7\"</f>
        <v>#VALUE!</v>
      </c>
      <c r="EG68" t="e">
        <f>'2.4.Функции'!AGV140+"BYw!%7]"</f>
        <v>#VALUE!</v>
      </c>
      <c r="EH68" t="e">
        <f>'2.4.Функции'!AGW140+"BYw!%7^"</f>
        <v>#VALUE!</v>
      </c>
      <c r="EI68" t="e">
        <f>'2.4.Функции'!AGX140+"BYw!%7_"</f>
        <v>#VALUE!</v>
      </c>
      <c r="EJ68" t="e">
        <f>'2.4.Функции'!AGY140+"BYw!%7`"</f>
        <v>#VALUE!</v>
      </c>
      <c r="EK68" t="e">
        <f>'2.4.Функции'!AGZ140+"BYw!%7a"</f>
        <v>#VALUE!</v>
      </c>
      <c r="EL68" t="e">
        <f>'2.4.Функции'!AHA140+"BYw!%7b"</f>
        <v>#VALUE!</v>
      </c>
      <c r="EM68" t="e">
        <f>'2.4.Функции'!AHB140+"BYw!%7c"</f>
        <v>#VALUE!</v>
      </c>
      <c r="EN68" t="e">
        <f>'2.4.Функции'!AHC140+"BYw!%7d"</f>
        <v>#VALUE!</v>
      </c>
      <c r="EO68" t="e">
        <f>'2.4.Функции'!AHD140+"BYw!%7e"</f>
        <v>#VALUE!</v>
      </c>
      <c r="EP68" t="e">
        <f>'2.4.Функции'!AHE140+"BYw!%7f"</f>
        <v>#VALUE!</v>
      </c>
      <c r="EQ68" t="e">
        <f>'2.4.Функции'!AHF140+"BYw!%7g"</f>
        <v>#VALUE!</v>
      </c>
      <c r="ER68" t="e">
        <f>'2.4.Функции'!AHG140+"BYw!%7h"</f>
        <v>#VALUE!</v>
      </c>
      <c r="ES68" t="e">
        <f>'2.4.Функции'!AHH140+"BYw!%7i"</f>
        <v>#VALUE!</v>
      </c>
      <c r="ET68" t="e">
        <f>'2.4.Функции'!AHI140+"BYw!%7j"</f>
        <v>#VALUE!</v>
      </c>
      <c r="EU68" t="e">
        <f>'2.4.Функции'!AHJ140+"BYw!%7k"</f>
        <v>#VALUE!</v>
      </c>
      <c r="EV68" t="e">
        <f>'2.4.Функции'!AHK140+"BYw!%7l"</f>
        <v>#VALUE!</v>
      </c>
      <c r="EW68" t="e">
        <f>'2.4.Функции'!AHL140+"BYw!%7m"</f>
        <v>#VALUE!</v>
      </c>
      <c r="EX68" t="e">
        <f>'2.4.Функции'!AHM140+"BYw!%7n"</f>
        <v>#VALUE!</v>
      </c>
      <c r="EY68" t="e">
        <f>'2.4.Функции'!AHN140+"BYw!%7o"</f>
        <v>#VALUE!</v>
      </c>
      <c r="EZ68" t="e">
        <f>'2.4.Функции'!AHO140+"BYw!%7p"</f>
        <v>#VALUE!</v>
      </c>
      <c r="FA68" t="e">
        <f>'2.4.Функции'!AHP140+"BYw!%7q"</f>
        <v>#VALUE!</v>
      </c>
      <c r="FB68" t="e">
        <f>'2.4.Функции'!AHQ140+"BYw!%7r"</f>
        <v>#VALUE!</v>
      </c>
      <c r="FC68" t="e">
        <f>'2.4.Функции'!AHR140+"BYw!%7s"</f>
        <v>#VALUE!</v>
      </c>
      <c r="FD68" t="e">
        <f>'2.4.Функции'!AHS140+"BYw!%7t"</f>
        <v>#VALUE!</v>
      </c>
      <c r="FE68" t="e">
        <f>'2.4.Функции'!AHT140+"BYw!%7u"</f>
        <v>#VALUE!</v>
      </c>
      <c r="FF68" t="e">
        <f>'2.4.Функции'!AHU140+"BYw!%7v"</f>
        <v>#VALUE!</v>
      </c>
      <c r="FG68" t="e">
        <f>'2.4.Функции'!AHV140+"BYw!%7w"</f>
        <v>#VALUE!</v>
      </c>
      <c r="FH68" t="e">
        <f>'2.4.Функции'!AHW140+"BYw!%7x"</f>
        <v>#VALUE!</v>
      </c>
      <c r="FI68" t="e">
        <f>'2.4.Функции'!AHX140+"BYw!%7y"</f>
        <v>#VALUE!</v>
      </c>
      <c r="FJ68" t="e">
        <f>'2.4.Функции'!AHY140+"BYw!%7z"</f>
        <v>#VALUE!</v>
      </c>
      <c r="FK68" t="e">
        <f>'2.4.Функции'!AHZ140+"BYw!%7{"</f>
        <v>#VALUE!</v>
      </c>
      <c r="FL68" t="e">
        <f>'2.4.Функции'!AIA140+"BYw!%7|"</f>
        <v>#VALUE!</v>
      </c>
      <c r="FM68" t="e">
        <f>'2.4.Функции'!AIB140+"BYw!%7}"</f>
        <v>#VALUE!</v>
      </c>
      <c r="FN68" t="e">
        <f>'2.4.Функции'!AIC140+"BYw!%7~"</f>
        <v>#VALUE!</v>
      </c>
      <c r="FO68" t="e">
        <f>'2.4.Функции'!AID140+"BYw!%8#"</f>
        <v>#VALUE!</v>
      </c>
      <c r="FP68" t="e">
        <f>'2.4.Функции'!AIE140+"BYw!%8$"</f>
        <v>#VALUE!</v>
      </c>
      <c r="FQ68" t="e">
        <f>'2.4.Функции'!AIF140+"BYw!%8%"</f>
        <v>#VALUE!</v>
      </c>
      <c r="FR68" t="e">
        <f>'2.4.Функции'!AIG140+"BYw!%8&amp;"</f>
        <v>#VALUE!</v>
      </c>
      <c r="FS68" t="e">
        <f>'2.4.Функции'!AIH140+"BYw!%8'"</f>
        <v>#VALUE!</v>
      </c>
      <c r="FT68" t="e">
        <f>'2.4.Функции'!A141+"BYw!%8("</f>
        <v>#VALUE!</v>
      </c>
      <c r="FU68" s="116" t="e">
        <f>'2.4.Функции'!B141+"BYw!%8)"</f>
        <v>#VALUE!</v>
      </c>
      <c r="FV68" t="e">
        <f>'2.4.Функции'!C141+"BYw!%8."</f>
        <v>#VALUE!</v>
      </c>
      <c r="FW68" s="119" t="e">
        <f>'2.4.Функции'!D141+"BYw!%8/"</f>
        <v>#VALUE!</v>
      </c>
      <c r="FX68" s="119" t="e">
        <f>'2.4.Функции'!E141+"BYw!%80"</f>
        <v>#VALUE!</v>
      </c>
      <c r="FY68" s="119" t="e">
        <f>'2.4.Функции'!F141+"BYw!%81"</f>
        <v>#VALUE!</v>
      </c>
      <c r="FZ68" s="119" t="e">
        <f>'2.4.Функции'!G141+"BYw!%82"</f>
        <v>#VALUE!</v>
      </c>
      <c r="GA68" s="119" t="e">
        <f>'2.4.Функции'!H141+"BYw!%83"</f>
        <v>#VALUE!</v>
      </c>
      <c r="GB68" s="119" t="e">
        <f>'2.4.Функции'!I141+"BYw!%84"</f>
        <v>#VALUE!</v>
      </c>
      <c r="GC68" s="119" t="e">
        <f>'2.4.Функции'!J141+"BYw!%85"</f>
        <v>#VALUE!</v>
      </c>
      <c r="GD68" s="119" t="e">
        <f>'2.4.Функции'!K141+"BYw!%86"</f>
        <v>#VALUE!</v>
      </c>
      <c r="GE68" t="e">
        <f>'2.4.Функции'!L141+"BYw!%87"</f>
        <v>#VALUE!</v>
      </c>
      <c r="GF68" t="e">
        <f>'2.4.Функции'!M141+"BYw!%88"</f>
        <v>#VALUE!</v>
      </c>
      <c r="GG68" t="e">
        <f>'2.4.Функции'!N141+"BYw!%89"</f>
        <v>#VALUE!</v>
      </c>
      <c r="GH68" t="e">
        <f>'2.4.Функции'!O141+"BYw!%8:"</f>
        <v>#VALUE!</v>
      </c>
      <c r="GI68" t="e">
        <f>'2.4.Функции'!P141+"BYw!%8;"</f>
        <v>#VALUE!</v>
      </c>
      <c r="GJ68" t="e">
        <f>'2.4.Функции'!Q141+"BYw!%8&lt;"</f>
        <v>#VALUE!</v>
      </c>
      <c r="GK68" t="e">
        <f>'2.4.Функции'!R141+"BYw!%8="</f>
        <v>#VALUE!</v>
      </c>
      <c r="GL68" t="e">
        <f>'2.4.Функции'!S141+"BYw!%8&gt;"</f>
        <v>#VALUE!</v>
      </c>
      <c r="GM68" t="e">
        <f>'2.4.Функции'!T141+"BYw!%8?"</f>
        <v>#VALUE!</v>
      </c>
      <c r="GN68" t="e">
        <f>'2.4.Функции'!U141+"BYw!%8@"</f>
        <v>#VALUE!</v>
      </c>
      <c r="GO68" t="e">
        <f>'2.4.Функции'!V141+"BYw!%8A"</f>
        <v>#VALUE!</v>
      </c>
      <c r="GP68" t="e">
        <f>'2.4.Функции'!W141+"BYw!%8B"</f>
        <v>#VALUE!</v>
      </c>
      <c r="GQ68" t="e">
        <f>'2.4.Функции'!X141+"BYw!%8C"</f>
        <v>#VALUE!</v>
      </c>
      <c r="GR68" t="e">
        <f>'2.4.Функции'!Y141+"BYw!%8D"</f>
        <v>#VALUE!</v>
      </c>
      <c r="GS68" t="e">
        <f>'2.4.Функции'!Z141+"BYw!%8E"</f>
        <v>#VALUE!</v>
      </c>
      <c r="GT68" t="e">
        <f>'2.4.Функции'!AA141+"BYw!%8F"</f>
        <v>#VALUE!</v>
      </c>
      <c r="GU68" t="e">
        <f>'2.4.Функции'!AB141+"BYw!%8G"</f>
        <v>#VALUE!</v>
      </c>
      <c r="GV68" t="e">
        <f>'2.4.Функции'!AC141+"BYw!%8H"</f>
        <v>#VALUE!</v>
      </c>
      <c r="GW68" t="e">
        <f>'2.4.Функции'!AD141+"BYw!%8I"</f>
        <v>#VALUE!</v>
      </c>
      <c r="GX68" t="e">
        <f>'2.4.Функции'!AE141+"BYw!%8J"</f>
        <v>#VALUE!</v>
      </c>
      <c r="GY68" t="e">
        <f>'2.4.Функции'!AF141+"BYw!%8K"</f>
        <v>#VALUE!</v>
      </c>
      <c r="GZ68" t="e">
        <f>'2.4.Функции'!AG141+"BYw!%8L"</f>
        <v>#VALUE!</v>
      </c>
      <c r="HA68" t="e">
        <f>'2.4.Функции'!AH141+"BYw!%8M"</f>
        <v>#VALUE!</v>
      </c>
      <c r="HB68" t="e">
        <f>'2.4.Функции'!AI141+"BYw!%8N"</f>
        <v>#VALUE!</v>
      </c>
      <c r="HC68" t="e">
        <f>'2.4.Функции'!AJ141+"BYw!%8O"</f>
        <v>#VALUE!</v>
      </c>
      <c r="HD68" t="e">
        <f>'2.4.Функции'!AK141+"BYw!%8P"</f>
        <v>#VALUE!</v>
      </c>
      <c r="HE68" t="e">
        <f>'2.4.Функции'!AL141+"BYw!%8Q"</f>
        <v>#VALUE!</v>
      </c>
      <c r="HF68" t="e">
        <f>'2.4.Функции'!AM141+"BYw!%8R"</f>
        <v>#VALUE!</v>
      </c>
      <c r="HG68" t="e">
        <f>'2.4.Функции'!AN141+"BYw!%8S"</f>
        <v>#VALUE!</v>
      </c>
      <c r="HH68" t="e">
        <f>'2.4.Функции'!AO141+"BYw!%8T"</f>
        <v>#VALUE!</v>
      </c>
      <c r="HI68" t="e">
        <f>'2.4.Функции'!AP141+"BYw!%8U"</f>
        <v>#VALUE!</v>
      </c>
      <c r="HJ68" t="e">
        <f>'2.4.Функции'!AQ141+"BYw!%8V"</f>
        <v>#VALUE!</v>
      </c>
      <c r="HK68" t="e">
        <f>'2.4.Функции'!AR141+"BYw!%8W"</f>
        <v>#VALUE!</v>
      </c>
      <c r="HL68" t="e">
        <f>'2.4.Функции'!AS141+"BYw!%8X"</f>
        <v>#VALUE!</v>
      </c>
      <c r="HM68" t="e">
        <f>'2.4.Функции'!AT141+"BYw!%8Y"</f>
        <v>#VALUE!</v>
      </c>
      <c r="HN68" t="e">
        <f>'2.4.Функции'!AU141+"BYw!%8Z"</f>
        <v>#VALUE!</v>
      </c>
      <c r="HO68" t="e">
        <f>'2.4.Функции'!AV141+"BYw!%8["</f>
        <v>#VALUE!</v>
      </c>
      <c r="HP68" t="e">
        <f>'2.4.Функции'!AW141+"BYw!%8\"</f>
        <v>#VALUE!</v>
      </c>
      <c r="HQ68" t="e">
        <f>'2.4.Функции'!AX141+"BYw!%8]"</f>
        <v>#VALUE!</v>
      </c>
      <c r="HR68" t="e">
        <f>'2.4.Функции'!AY141+"BYw!%8^"</f>
        <v>#VALUE!</v>
      </c>
      <c r="HS68" t="e">
        <f>'2.4.Функции'!AZ141+"BYw!%8_"</f>
        <v>#VALUE!</v>
      </c>
      <c r="HT68" t="e">
        <f>'2.4.Функции'!BA141+"BYw!%8`"</f>
        <v>#VALUE!</v>
      </c>
      <c r="HU68" t="e">
        <f>'2.4.Функции'!BB141+"BYw!%8a"</f>
        <v>#VALUE!</v>
      </c>
      <c r="HV68" t="e">
        <f>'2.4.Функции'!BC141+"BYw!%8b"</f>
        <v>#VALUE!</v>
      </c>
      <c r="HW68" t="e">
        <f>'2.4.Функции'!BD141+"BYw!%8c"</f>
        <v>#VALUE!</v>
      </c>
      <c r="HX68" t="e">
        <f>'2.4.Функции'!BE141+"BYw!%8d"</f>
        <v>#VALUE!</v>
      </c>
      <c r="HY68" t="e">
        <f>'2.4.Функции'!BF141+"BYw!%8e"</f>
        <v>#VALUE!</v>
      </c>
      <c r="HZ68" t="e">
        <f>'2.4.Функции'!BG141+"BYw!%8f"</f>
        <v>#VALUE!</v>
      </c>
      <c r="IA68" t="e">
        <f>'2.4.Функции'!BH141+"BYw!%8g"</f>
        <v>#VALUE!</v>
      </c>
      <c r="IB68" t="e">
        <f>'2.4.Функции'!BI141+"BYw!%8h"</f>
        <v>#VALUE!</v>
      </c>
      <c r="IC68" t="e">
        <f>'2.4.Функции'!BJ141+"BYw!%8i"</f>
        <v>#VALUE!</v>
      </c>
      <c r="ID68" t="e">
        <f>'2.4.Функции'!BK141+"BYw!%8j"</f>
        <v>#VALUE!</v>
      </c>
      <c r="IE68" t="e">
        <f>'2.4.Функции'!BL141+"BYw!%8k"</f>
        <v>#VALUE!</v>
      </c>
      <c r="IF68" t="e">
        <f>'2.4.Функции'!BM141+"BYw!%8l"</f>
        <v>#VALUE!</v>
      </c>
      <c r="IG68" t="e">
        <f>'2.4.Функции'!BN141+"BYw!%8m"</f>
        <v>#VALUE!</v>
      </c>
      <c r="IH68" t="e">
        <f>'2.4.Функции'!BO141+"BYw!%8n"</f>
        <v>#VALUE!</v>
      </c>
      <c r="II68" t="e">
        <f>'2.4.Функции'!BP141+"BYw!%8o"</f>
        <v>#VALUE!</v>
      </c>
      <c r="IJ68" t="e">
        <f>'2.4.Функции'!BQ141+"BYw!%8p"</f>
        <v>#VALUE!</v>
      </c>
      <c r="IK68" t="e">
        <f>'2.4.Функции'!BR141+"BYw!%8q"</f>
        <v>#VALUE!</v>
      </c>
      <c r="IL68" t="e">
        <f>'2.4.Функции'!BS141+"BYw!%8r"</f>
        <v>#VALUE!</v>
      </c>
      <c r="IM68" t="e">
        <f>'2.4.Функции'!BT141+"BYw!%8s"</f>
        <v>#VALUE!</v>
      </c>
      <c r="IN68" t="e">
        <f>'2.4.Функции'!BU141+"BYw!%8t"</f>
        <v>#VALUE!</v>
      </c>
      <c r="IO68" t="e">
        <f>'2.4.Функции'!BV141+"BYw!%8u"</f>
        <v>#VALUE!</v>
      </c>
      <c r="IP68" t="e">
        <f>'2.4.Функции'!BW141+"BYw!%8v"</f>
        <v>#VALUE!</v>
      </c>
      <c r="IQ68" t="e">
        <f>'2.4.Функции'!BX141+"BYw!%8w"</f>
        <v>#VALUE!</v>
      </c>
      <c r="IR68" t="e">
        <f>'2.4.Функции'!BY141+"BYw!%8x"</f>
        <v>#VALUE!</v>
      </c>
      <c r="IS68" t="e">
        <f>'2.4.Функции'!BZ141+"BYw!%8y"</f>
        <v>#VALUE!</v>
      </c>
      <c r="IT68" t="e">
        <f>'2.4.Функции'!CA141+"BYw!%8z"</f>
        <v>#VALUE!</v>
      </c>
      <c r="IU68" t="e">
        <f>'2.4.Функции'!CB141+"BYw!%8{"</f>
        <v>#VALUE!</v>
      </c>
      <c r="IV68" t="e">
        <f>'2.4.Функции'!CC141+"BYw!%8|"</f>
        <v>#VALUE!</v>
      </c>
    </row>
    <row r="69" spans="6:256" x14ac:dyDescent="0.2">
      <c r="F69" t="e">
        <f>'2.4.Функции'!CD141+"BYw!%8}"</f>
        <v>#VALUE!</v>
      </c>
      <c r="G69" t="e">
        <f>'2.4.Функции'!CE141+"BYw!%8~"</f>
        <v>#VALUE!</v>
      </c>
      <c r="H69" t="e">
        <f>'2.4.Функции'!CF141+"BYw!%9#"</f>
        <v>#VALUE!</v>
      </c>
      <c r="I69" t="e">
        <f>'2.4.Функции'!CG141+"BYw!%9$"</f>
        <v>#VALUE!</v>
      </c>
      <c r="J69" t="e">
        <f>'2.4.Функции'!CH141+"BYw!%9%"</f>
        <v>#VALUE!</v>
      </c>
      <c r="K69" t="e">
        <f>'2.4.Функции'!CI141+"BYw!%9&amp;"</f>
        <v>#VALUE!</v>
      </c>
      <c r="L69" t="e">
        <f>'2.4.Функции'!CJ141+"BYw!%9'"</f>
        <v>#VALUE!</v>
      </c>
      <c r="M69" t="e">
        <f>'2.4.Функции'!CK141+"BYw!%9("</f>
        <v>#VALUE!</v>
      </c>
      <c r="N69" t="e">
        <f>'2.4.Функции'!CL141+"BYw!%9)"</f>
        <v>#VALUE!</v>
      </c>
      <c r="O69" t="e">
        <f>'2.4.Функции'!CM141+"BYw!%9."</f>
        <v>#VALUE!</v>
      </c>
      <c r="P69" t="e">
        <f>'2.4.Функции'!CN141+"BYw!%9/"</f>
        <v>#VALUE!</v>
      </c>
      <c r="Q69" t="e">
        <f>'2.4.Функции'!CO141+"BYw!%90"</f>
        <v>#VALUE!</v>
      </c>
      <c r="R69" t="e">
        <f>'2.4.Функции'!CP141+"BYw!%91"</f>
        <v>#VALUE!</v>
      </c>
      <c r="S69" t="e">
        <f>'2.4.Функции'!CQ141+"BYw!%92"</f>
        <v>#VALUE!</v>
      </c>
      <c r="T69" t="e">
        <f>'2.4.Функции'!CR141+"BYw!%93"</f>
        <v>#VALUE!</v>
      </c>
      <c r="U69" t="e">
        <f>'2.4.Функции'!CS141+"BYw!%94"</f>
        <v>#VALUE!</v>
      </c>
      <c r="V69" t="e">
        <f>'2.4.Функции'!CT141+"BYw!%95"</f>
        <v>#VALUE!</v>
      </c>
      <c r="W69" t="e">
        <f>'2.4.Функции'!CU141+"BYw!%96"</f>
        <v>#VALUE!</v>
      </c>
      <c r="X69" t="e">
        <f>'2.4.Функции'!CV141+"BYw!%97"</f>
        <v>#VALUE!</v>
      </c>
      <c r="Y69" t="e">
        <f>'2.4.Функции'!CW141+"BYw!%98"</f>
        <v>#VALUE!</v>
      </c>
      <c r="Z69" t="e">
        <f>'2.4.Функции'!CX141+"BYw!%99"</f>
        <v>#VALUE!</v>
      </c>
      <c r="AA69" t="e">
        <f>'2.4.Функции'!CY141+"BYw!%9:"</f>
        <v>#VALUE!</v>
      </c>
      <c r="AB69" t="e">
        <f>'2.4.Функции'!CZ141+"BYw!%9;"</f>
        <v>#VALUE!</v>
      </c>
      <c r="AC69" t="e">
        <f>'2.4.Функции'!DA141+"BYw!%9&lt;"</f>
        <v>#VALUE!</v>
      </c>
      <c r="AD69" t="e">
        <f>'2.4.Функции'!DB141+"BYw!%9="</f>
        <v>#VALUE!</v>
      </c>
      <c r="AE69" t="e">
        <f>'2.4.Функции'!DC141+"BYw!%9&gt;"</f>
        <v>#VALUE!</v>
      </c>
      <c r="AF69" t="e">
        <f>'2.4.Функции'!DD141+"BYw!%9?"</f>
        <v>#VALUE!</v>
      </c>
      <c r="AG69" t="e">
        <f>'2.4.Функции'!DE141+"BYw!%9@"</f>
        <v>#VALUE!</v>
      </c>
      <c r="AH69" t="e">
        <f>'2.4.Функции'!DF141+"BYw!%9A"</f>
        <v>#VALUE!</v>
      </c>
      <c r="AI69" t="e">
        <f>'2.4.Функции'!DG141+"BYw!%9B"</f>
        <v>#VALUE!</v>
      </c>
      <c r="AJ69" t="e">
        <f>'2.4.Функции'!DH141+"BYw!%9C"</f>
        <v>#VALUE!</v>
      </c>
      <c r="AK69" t="e">
        <f>'2.4.Функции'!DI141+"BYw!%9D"</f>
        <v>#VALUE!</v>
      </c>
      <c r="AL69" t="e">
        <f>'2.4.Функции'!DJ141+"BYw!%9E"</f>
        <v>#VALUE!</v>
      </c>
      <c r="AM69" t="e">
        <f>'2.4.Функции'!DK141+"BYw!%9F"</f>
        <v>#VALUE!</v>
      </c>
      <c r="AN69" t="e">
        <f>'2.4.Функции'!DL141+"BYw!%9G"</f>
        <v>#VALUE!</v>
      </c>
      <c r="AO69" t="e">
        <f>'2.4.Функции'!DM141+"BYw!%9H"</f>
        <v>#VALUE!</v>
      </c>
      <c r="AP69" t="e">
        <f>'2.4.Функции'!DN141+"BYw!%9I"</f>
        <v>#VALUE!</v>
      </c>
      <c r="AQ69" t="e">
        <f>'2.4.Функции'!DO141+"BYw!%9J"</f>
        <v>#VALUE!</v>
      </c>
      <c r="AR69" t="e">
        <f>'2.4.Функции'!DP141+"BYw!%9K"</f>
        <v>#VALUE!</v>
      </c>
      <c r="AS69" t="e">
        <f>'2.4.Функции'!DQ141+"BYw!%9L"</f>
        <v>#VALUE!</v>
      </c>
      <c r="AT69" t="e">
        <f>'2.4.Функции'!DR141+"BYw!%9M"</f>
        <v>#VALUE!</v>
      </c>
      <c r="AU69" t="e">
        <f>'2.4.Функции'!DS141+"BYw!%9N"</f>
        <v>#VALUE!</v>
      </c>
      <c r="AV69" t="e">
        <f>'2.4.Функции'!DT141+"BYw!%9O"</f>
        <v>#VALUE!</v>
      </c>
      <c r="AW69" t="e">
        <f>'2.4.Функции'!DU141+"BYw!%9P"</f>
        <v>#VALUE!</v>
      </c>
      <c r="AX69" t="e">
        <f>'2.4.Функции'!DV141+"BYw!%9Q"</f>
        <v>#VALUE!</v>
      </c>
      <c r="AY69" t="e">
        <f>'2.4.Функции'!DW141+"BYw!%9R"</f>
        <v>#VALUE!</v>
      </c>
      <c r="AZ69" t="e">
        <f>'2.4.Функции'!DX141+"BYw!%9S"</f>
        <v>#VALUE!</v>
      </c>
      <c r="BA69" t="e">
        <f>'2.4.Функции'!DY141+"BYw!%9T"</f>
        <v>#VALUE!</v>
      </c>
      <c r="BB69" t="e">
        <f>'2.4.Функции'!DZ141+"BYw!%9U"</f>
        <v>#VALUE!</v>
      </c>
      <c r="BC69" t="e">
        <f>'2.4.Функции'!EA141+"BYw!%9V"</f>
        <v>#VALUE!</v>
      </c>
      <c r="BD69" t="e">
        <f>'2.4.Функции'!EB141+"BYw!%9W"</f>
        <v>#VALUE!</v>
      </c>
      <c r="BE69" t="e">
        <f>'2.4.Функции'!EC141+"BYw!%9X"</f>
        <v>#VALUE!</v>
      </c>
      <c r="BF69" t="e">
        <f>'2.4.Функции'!ED141+"BYw!%9Y"</f>
        <v>#VALUE!</v>
      </c>
      <c r="BG69" t="e">
        <f>'2.4.Функции'!EE141+"BYw!%9Z"</f>
        <v>#VALUE!</v>
      </c>
      <c r="BH69" t="e">
        <f>'2.4.Функции'!EF141+"BYw!%9["</f>
        <v>#VALUE!</v>
      </c>
      <c r="BI69" t="e">
        <f>'2.4.Функции'!EG141+"BYw!%9\"</f>
        <v>#VALUE!</v>
      </c>
      <c r="BJ69" t="e">
        <f>'2.4.Функции'!EH141+"BYw!%9]"</f>
        <v>#VALUE!</v>
      </c>
      <c r="BK69" t="e">
        <f>'2.4.Функции'!EI141+"BYw!%9^"</f>
        <v>#VALUE!</v>
      </c>
      <c r="BL69" t="e">
        <f>'2.4.Функции'!EJ141+"BYw!%9_"</f>
        <v>#VALUE!</v>
      </c>
      <c r="BM69" t="e">
        <f>'2.4.Функции'!EK141+"BYw!%9`"</f>
        <v>#VALUE!</v>
      </c>
      <c r="BN69" t="e">
        <f>'2.4.Функции'!EL141+"BYw!%9a"</f>
        <v>#VALUE!</v>
      </c>
      <c r="BO69" t="e">
        <f>'2.4.Функции'!EM141+"BYw!%9b"</f>
        <v>#VALUE!</v>
      </c>
      <c r="BP69" t="e">
        <f>'2.4.Функции'!EN141+"BYw!%9c"</f>
        <v>#VALUE!</v>
      </c>
      <c r="BQ69" t="e">
        <f>'2.4.Функции'!EO141+"BYw!%9d"</f>
        <v>#VALUE!</v>
      </c>
      <c r="BR69" t="e">
        <f>'2.4.Функции'!EP141+"BYw!%9e"</f>
        <v>#VALUE!</v>
      </c>
      <c r="BS69" t="e">
        <f>'2.4.Функции'!EQ141+"BYw!%9f"</f>
        <v>#VALUE!</v>
      </c>
      <c r="BT69" t="e">
        <f>'2.4.Функции'!ER141+"BYw!%9g"</f>
        <v>#VALUE!</v>
      </c>
      <c r="BU69" t="e">
        <f>'2.4.Функции'!ES141+"BYw!%9h"</f>
        <v>#VALUE!</v>
      </c>
      <c r="BV69" t="e">
        <f>'2.4.Функции'!ET141+"BYw!%9i"</f>
        <v>#VALUE!</v>
      </c>
      <c r="BW69" t="e">
        <f>'2.4.Функции'!EU141+"BYw!%9j"</f>
        <v>#VALUE!</v>
      </c>
      <c r="BX69" t="e">
        <f>'2.4.Функции'!EV141+"BYw!%9k"</f>
        <v>#VALUE!</v>
      </c>
      <c r="BY69" t="e">
        <f>'2.4.Функции'!EW141+"BYw!%9l"</f>
        <v>#VALUE!</v>
      </c>
      <c r="BZ69" t="e">
        <f>'2.4.Функции'!EX141+"BYw!%9m"</f>
        <v>#VALUE!</v>
      </c>
      <c r="CA69" t="e">
        <f>'2.4.Функции'!EY141+"BYw!%9n"</f>
        <v>#VALUE!</v>
      </c>
      <c r="CB69" t="e">
        <f>'2.4.Функции'!EZ141+"BYw!%9o"</f>
        <v>#VALUE!</v>
      </c>
      <c r="CC69" t="e">
        <f>'2.4.Функции'!FA141+"BYw!%9p"</f>
        <v>#VALUE!</v>
      </c>
      <c r="CD69" t="e">
        <f>'2.4.Функции'!FB141+"BYw!%9q"</f>
        <v>#VALUE!</v>
      </c>
      <c r="CE69" t="e">
        <f>'2.4.Функции'!FC141+"BYw!%9r"</f>
        <v>#VALUE!</v>
      </c>
      <c r="CF69" t="e">
        <f>'2.4.Функции'!FD141+"BYw!%9s"</f>
        <v>#VALUE!</v>
      </c>
      <c r="CG69" t="e">
        <f>'2.4.Функции'!FE141+"BYw!%9t"</f>
        <v>#VALUE!</v>
      </c>
      <c r="CH69" t="e">
        <f>'2.4.Функции'!FF141+"BYw!%9u"</f>
        <v>#VALUE!</v>
      </c>
      <c r="CI69" t="e">
        <f>'2.4.Функции'!FG141+"BYw!%9v"</f>
        <v>#VALUE!</v>
      </c>
      <c r="CJ69" t="e">
        <f>'2.4.Функции'!FH141+"BYw!%9w"</f>
        <v>#VALUE!</v>
      </c>
      <c r="CK69" t="e">
        <f>'2.4.Функции'!FI141+"BYw!%9x"</f>
        <v>#VALUE!</v>
      </c>
      <c r="CL69" t="e">
        <f>'2.4.Функции'!FJ141+"BYw!%9y"</f>
        <v>#VALUE!</v>
      </c>
      <c r="CM69" t="e">
        <f>'2.4.Функции'!FK141+"BYw!%9z"</f>
        <v>#VALUE!</v>
      </c>
      <c r="CN69" t="e">
        <f>'2.4.Функции'!FL141+"BYw!%9{"</f>
        <v>#VALUE!</v>
      </c>
      <c r="CO69" t="e">
        <f>'2.4.Функции'!FM141+"BYw!%9|"</f>
        <v>#VALUE!</v>
      </c>
      <c r="CP69" t="e">
        <f>'2.4.Функции'!FN141+"BYw!%9}"</f>
        <v>#VALUE!</v>
      </c>
      <c r="CQ69" t="e">
        <f>'2.4.Функции'!FO141+"BYw!%9~"</f>
        <v>#VALUE!</v>
      </c>
      <c r="CR69" t="e">
        <f>'2.4.Функции'!FP141+"BYw!%:#"</f>
        <v>#VALUE!</v>
      </c>
      <c r="CS69" t="e">
        <f>'2.4.Функции'!FQ141+"BYw!%:$"</f>
        <v>#VALUE!</v>
      </c>
      <c r="CT69" t="e">
        <f>'2.4.Функции'!FR141+"BYw!%:%"</f>
        <v>#VALUE!</v>
      </c>
      <c r="CU69" t="e">
        <f>'2.4.Функции'!FS141+"BYw!%:&amp;"</f>
        <v>#VALUE!</v>
      </c>
      <c r="CV69" t="e">
        <f>'2.4.Функции'!FT141+"BYw!%:'"</f>
        <v>#VALUE!</v>
      </c>
      <c r="CW69" t="e">
        <f>'2.4.Функции'!FU141+"BYw!%:("</f>
        <v>#VALUE!</v>
      </c>
      <c r="CX69" t="e">
        <f>'2.4.Функции'!FV141+"BYw!%:)"</f>
        <v>#VALUE!</v>
      </c>
      <c r="CY69" t="e">
        <f>'2.4.Функции'!FW141+"BYw!%:."</f>
        <v>#VALUE!</v>
      </c>
      <c r="CZ69" t="e">
        <f>'2.4.Функции'!FX141+"BYw!%:/"</f>
        <v>#VALUE!</v>
      </c>
      <c r="DA69" t="e">
        <f>'2.4.Функции'!FY141+"BYw!%:0"</f>
        <v>#VALUE!</v>
      </c>
      <c r="DB69" t="e">
        <f>'2.4.Функции'!FZ141+"BYw!%:1"</f>
        <v>#VALUE!</v>
      </c>
      <c r="DC69" t="e">
        <f>'2.4.Функции'!GA141+"BYw!%:2"</f>
        <v>#VALUE!</v>
      </c>
      <c r="DD69" t="e">
        <f>'2.4.Функции'!GB141+"BYw!%:3"</f>
        <v>#VALUE!</v>
      </c>
      <c r="DE69" t="e">
        <f>'2.4.Функции'!GC141+"BYw!%:4"</f>
        <v>#VALUE!</v>
      </c>
      <c r="DF69" t="e">
        <f>'2.4.Функции'!GD141+"BYw!%:5"</f>
        <v>#VALUE!</v>
      </c>
      <c r="DG69" t="e">
        <f>'2.4.Функции'!GE141+"BYw!%:6"</f>
        <v>#VALUE!</v>
      </c>
      <c r="DH69" t="e">
        <f>'2.4.Функции'!GF141+"BYw!%:7"</f>
        <v>#VALUE!</v>
      </c>
      <c r="DI69" t="e">
        <f>'2.4.Функции'!GG141+"BYw!%:8"</f>
        <v>#VALUE!</v>
      </c>
      <c r="DJ69" t="e">
        <f>'2.4.Функции'!GH141+"BYw!%:9"</f>
        <v>#VALUE!</v>
      </c>
      <c r="DK69" t="e">
        <f>'2.4.Функции'!GI141+"BYw!%::"</f>
        <v>#VALUE!</v>
      </c>
      <c r="DL69" t="e">
        <f>'2.4.Функции'!GJ141+"BYw!%:;"</f>
        <v>#VALUE!</v>
      </c>
      <c r="DM69" t="e">
        <f>'2.4.Функции'!GK141+"BYw!%:&lt;"</f>
        <v>#VALUE!</v>
      </c>
      <c r="DN69" t="e">
        <f>'2.4.Функции'!GL141+"BYw!%:="</f>
        <v>#VALUE!</v>
      </c>
      <c r="DO69" t="e">
        <f>'2.4.Функции'!GM141+"BYw!%:&gt;"</f>
        <v>#VALUE!</v>
      </c>
      <c r="DP69" t="e">
        <f>'2.4.Функции'!GN141+"BYw!%:?"</f>
        <v>#VALUE!</v>
      </c>
      <c r="DQ69" t="e">
        <f>'2.4.Функции'!GO141+"BYw!%:@"</f>
        <v>#VALUE!</v>
      </c>
      <c r="DR69" t="e">
        <f>'2.4.Функции'!GP141+"BYw!%:A"</f>
        <v>#VALUE!</v>
      </c>
      <c r="DS69" t="e">
        <f>'2.4.Функции'!GQ141+"BYw!%:B"</f>
        <v>#VALUE!</v>
      </c>
      <c r="DT69" t="e">
        <f>'2.4.Функции'!GR141+"BYw!%:C"</f>
        <v>#VALUE!</v>
      </c>
      <c r="DU69" t="e">
        <f>'2.4.Функции'!GS141+"BYw!%:D"</f>
        <v>#VALUE!</v>
      </c>
      <c r="DV69" t="e">
        <f>'2.4.Функции'!GT141+"BYw!%:E"</f>
        <v>#VALUE!</v>
      </c>
      <c r="DW69" t="e">
        <f>'2.4.Функции'!GU141+"BYw!%:F"</f>
        <v>#VALUE!</v>
      </c>
      <c r="DX69" t="e">
        <f>'2.4.Функции'!GV141+"BYw!%:G"</f>
        <v>#VALUE!</v>
      </c>
      <c r="DY69" t="e">
        <f>'2.4.Функции'!GW141+"BYw!%:H"</f>
        <v>#VALUE!</v>
      </c>
      <c r="DZ69" t="e">
        <f>'2.4.Функции'!GX141+"BYw!%:I"</f>
        <v>#VALUE!</v>
      </c>
      <c r="EA69" t="e">
        <f>'2.4.Функции'!GY141+"BYw!%:J"</f>
        <v>#VALUE!</v>
      </c>
      <c r="EB69" t="e">
        <f>'2.4.Функции'!GZ141+"BYw!%:K"</f>
        <v>#VALUE!</v>
      </c>
      <c r="EC69" t="e">
        <f>'2.4.Функции'!HA141+"BYw!%:L"</f>
        <v>#VALUE!</v>
      </c>
      <c r="ED69" t="e">
        <f>'2.4.Функции'!HB141+"BYw!%:M"</f>
        <v>#VALUE!</v>
      </c>
      <c r="EE69" t="e">
        <f>'2.4.Функции'!HC141+"BYw!%:N"</f>
        <v>#VALUE!</v>
      </c>
      <c r="EF69" t="e">
        <f>'2.4.Функции'!HD141+"BYw!%:O"</f>
        <v>#VALUE!</v>
      </c>
      <c r="EG69" t="e">
        <f>'2.4.Функции'!HE141+"BYw!%:P"</f>
        <v>#VALUE!</v>
      </c>
      <c r="EH69" t="e">
        <f>'2.4.Функции'!HF141+"BYw!%:Q"</f>
        <v>#VALUE!</v>
      </c>
      <c r="EI69" t="e">
        <f>'2.4.Функции'!HG141+"BYw!%:R"</f>
        <v>#VALUE!</v>
      </c>
      <c r="EJ69" t="e">
        <f>'2.4.Функции'!HH141+"BYw!%:S"</f>
        <v>#VALUE!</v>
      </c>
      <c r="EK69" t="e">
        <f>'2.4.Функции'!HI141+"BYw!%:T"</f>
        <v>#VALUE!</v>
      </c>
      <c r="EL69" t="e">
        <f>'2.4.Функции'!HJ141+"BYw!%:U"</f>
        <v>#VALUE!</v>
      </c>
      <c r="EM69" t="e">
        <f>'2.4.Функции'!HK141+"BYw!%:V"</f>
        <v>#VALUE!</v>
      </c>
      <c r="EN69" t="e">
        <f>'2.4.Функции'!HL141+"BYw!%:W"</f>
        <v>#VALUE!</v>
      </c>
      <c r="EO69" t="e">
        <f>'2.4.Функции'!HM141+"BYw!%:X"</f>
        <v>#VALUE!</v>
      </c>
      <c r="EP69" t="e">
        <f>'2.4.Функции'!HN141+"BYw!%:Y"</f>
        <v>#VALUE!</v>
      </c>
      <c r="EQ69" t="e">
        <f>'2.4.Функции'!HO141+"BYw!%:Z"</f>
        <v>#VALUE!</v>
      </c>
      <c r="ER69" t="e">
        <f>'2.4.Функции'!HP141+"BYw!%:["</f>
        <v>#VALUE!</v>
      </c>
      <c r="ES69" t="e">
        <f>'2.4.Функции'!HQ141+"BYw!%:\"</f>
        <v>#VALUE!</v>
      </c>
      <c r="ET69" t="e">
        <f>'2.4.Функции'!HR141+"BYw!%:]"</f>
        <v>#VALUE!</v>
      </c>
      <c r="EU69" t="e">
        <f>'2.4.Функции'!HS141+"BYw!%:^"</f>
        <v>#VALUE!</v>
      </c>
      <c r="EV69" t="e">
        <f>'2.4.Функции'!HT141+"BYw!%:_"</f>
        <v>#VALUE!</v>
      </c>
      <c r="EW69" t="e">
        <f>'2.4.Функции'!HU141+"BYw!%:`"</f>
        <v>#VALUE!</v>
      </c>
      <c r="EX69" t="e">
        <f>'2.4.Функции'!HV141+"BYw!%:a"</f>
        <v>#VALUE!</v>
      </c>
      <c r="EY69" t="e">
        <f>'2.4.Функции'!HW141+"BYw!%:b"</f>
        <v>#VALUE!</v>
      </c>
      <c r="EZ69" t="e">
        <f>'2.4.Функции'!HX141+"BYw!%:c"</f>
        <v>#VALUE!</v>
      </c>
      <c r="FA69" t="e">
        <f>'2.4.Функции'!HY141+"BYw!%:d"</f>
        <v>#VALUE!</v>
      </c>
      <c r="FB69" t="e">
        <f>'2.4.Функции'!HZ141+"BYw!%:e"</f>
        <v>#VALUE!</v>
      </c>
      <c r="FC69" t="e">
        <f>'2.4.Функции'!IA141+"BYw!%:f"</f>
        <v>#VALUE!</v>
      </c>
      <c r="FD69" t="e">
        <f>'2.4.Функции'!IB141+"BYw!%:g"</f>
        <v>#VALUE!</v>
      </c>
      <c r="FE69" t="e">
        <f>'2.4.Функции'!IC141+"BYw!%:h"</f>
        <v>#VALUE!</v>
      </c>
      <c r="FF69" t="e">
        <f>'2.4.Функции'!ID141+"BYw!%:i"</f>
        <v>#VALUE!</v>
      </c>
      <c r="FG69" t="e">
        <f>'2.4.Функции'!IE141+"BYw!%:j"</f>
        <v>#VALUE!</v>
      </c>
      <c r="FH69" t="e">
        <f>'2.4.Функции'!IF141+"BYw!%:k"</f>
        <v>#VALUE!</v>
      </c>
      <c r="FI69" t="e">
        <f>'2.4.Функции'!IG141+"BYw!%:l"</f>
        <v>#VALUE!</v>
      </c>
      <c r="FJ69" t="e">
        <f>'2.4.Функции'!IH141+"BYw!%:m"</f>
        <v>#VALUE!</v>
      </c>
      <c r="FK69" t="e">
        <f>'2.4.Функции'!II141+"BYw!%:n"</f>
        <v>#VALUE!</v>
      </c>
      <c r="FL69" t="e">
        <f>'2.4.Функции'!IJ141+"BYw!%:o"</f>
        <v>#VALUE!</v>
      </c>
      <c r="FM69" t="e">
        <f>'2.4.Функции'!IK141+"BYw!%:p"</f>
        <v>#VALUE!</v>
      </c>
      <c r="FN69" t="e">
        <f>'2.4.Функции'!IL141+"BYw!%:q"</f>
        <v>#VALUE!</v>
      </c>
      <c r="FO69" t="e">
        <f>'2.4.Функции'!IM141+"BYw!%:r"</f>
        <v>#VALUE!</v>
      </c>
      <c r="FP69" t="e">
        <f>'2.4.Функции'!IN141+"BYw!%:s"</f>
        <v>#VALUE!</v>
      </c>
      <c r="FQ69" t="e">
        <f>'2.4.Функции'!IO141+"BYw!%:t"</f>
        <v>#VALUE!</v>
      </c>
      <c r="FR69" t="e">
        <f>'2.4.Функции'!IP141+"BYw!%:u"</f>
        <v>#VALUE!</v>
      </c>
      <c r="FS69" t="e">
        <f>'2.4.Функции'!IQ141+"BYw!%:v"</f>
        <v>#VALUE!</v>
      </c>
      <c r="FT69" t="e">
        <f>'2.4.Функции'!IR141+"BYw!%:w"</f>
        <v>#VALUE!</v>
      </c>
      <c r="FU69" t="e">
        <f>'2.4.Функции'!IS141+"BYw!%:x"</f>
        <v>#VALUE!</v>
      </c>
      <c r="FV69" t="e">
        <f>'2.4.Функции'!IT141+"BYw!%:y"</f>
        <v>#VALUE!</v>
      </c>
      <c r="FW69" t="e">
        <f>'2.4.Функции'!IU141+"BYw!%:z"</f>
        <v>#VALUE!</v>
      </c>
      <c r="FX69" t="e">
        <f>'2.4.Функции'!IV141+"BYw!%:{"</f>
        <v>#VALUE!</v>
      </c>
      <c r="FY69" t="e">
        <f>'2.4.Функции'!IW141+"BYw!%:|"</f>
        <v>#VALUE!</v>
      </c>
      <c r="FZ69" t="e">
        <f>'2.4.Функции'!IX141+"BYw!%:}"</f>
        <v>#VALUE!</v>
      </c>
      <c r="GA69" t="e">
        <f>'2.4.Функции'!IY141+"BYw!%:~"</f>
        <v>#VALUE!</v>
      </c>
      <c r="GB69" t="e">
        <f>'2.4.Функции'!IZ141+"BYw!%;#"</f>
        <v>#VALUE!</v>
      </c>
      <c r="GC69" t="e">
        <f>'2.4.Функции'!JA141+"BYw!%;$"</f>
        <v>#VALUE!</v>
      </c>
      <c r="GD69" t="e">
        <f>'2.4.Функции'!JB141+"BYw!%;%"</f>
        <v>#VALUE!</v>
      </c>
      <c r="GE69" t="e">
        <f>'2.4.Функции'!JC141+"BYw!%;&amp;"</f>
        <v>#VALUE!</v>
      </c>
      <c r="GF69" t="e">
        <f>'2.4.Функции'!JD141+"BYw!%;'"</f>
        <v>#VALUE!</v>
      </c>
      <c r="GG69" t="e">
        <f>'2.4.Функции'!JE141+"BYw!%;("</f>
        <v>#VALUE!</v>
      </c>
      <c r="GH69" t="e">
        <f>'2.4.Функции'!JF141+"BYw!%;)"</f>
        <v>#VALUE!</v>
      </c>
      <c r="GI69" t="e">
        <f>'2.4.Функции'!JG141+"BYw!%;."</f>
        <v>#VALUE!</v>
      </c>
      <c r="GJ69" t="e">
        <f>'2.4.Функции'!JH141+"BYw!%;/"</f>
        <v>#VALUE!</v>
      </c>
      <c r="GK69" t="e">
        <f>'2.4.Функции'!JI141+"BYw!%;0"</f>
        <v>#VALUE!</v>
      </c>
      <c r="GL69" t="e">
        <f>'2.4.Функции'!JJ141+"BYw!%;1"</f>
        <v>#VALUE!</v>
      </c>
      <c r="GM69" t="e">
        <f>'2.4.Функции'!JK141+"BYw!%;2"</f>
        <v>#VALUE!</v>
      </c>
      <c r="GN69" t="e">
        <f>'2.4.Функции'!JL141+"BYw!%;3"</f>
        <v>#VALUE!</v>
      </c>
      <c r="GO69" t="e">
        <f>'2.4.Функции'!JM141+"BYw!%;4"</f>
        <v>#VALUE!</v>
      </c>
      <c r="GP69" t="e">
        <f>'2.4.Функции'!JN141+"BYw!%;5"</f>
        <v>#VALUE!</v>
      </c>
      <c r="GQ69" t="e">
        <f>'2.4.Функции'!JO141+"BYw!%;6"</f>
        <v>#VALUE!</v>
      </c>
      <c r="GR69" t="e">
        <f>'2.4.Функции'!JP141+"BYw!%;7"</f>
        <v>#VALUE!</v>
      </c>
      <c r="GS69" t="e">
        <f>'2.4.Функции'!JQ141+"BYw!%;8"</f>
        <v>#VALUE!</v>
      </c>
      <c r="GT69" t="e">
        <f>'2.4.Функции'!JR141+"BYw!%;9"</f>
        <v>#VALUE!</v>
      </c>
      <c r="GU69" t="e">
        <f>'2.4.Функции'!JS141+"BYw!%;:"</f>
        <v>#VALUE!</v>
      </c>
      <c r="GV69" t="e">
        <f>'2.4.Функции'!JT141+"BYw!%;;"</f>
        <v>#VALUE!</v>
      </c>
      <c r="GW69" t="e">
        <f>'2.4.Функции'!JU141+"BYw!%;&lt;"</f>
        <v>#VALUE!</v>
      </c>
      <c r="GX69" t="e">
        <f>'2.4.Функции'!JV141+"BYw!%;="</f>
        <v>#VALUE!</v>
      </c>
      <c r="GY69" t="e">
        <f>'2.4.Функции'!JW141+"BYw!%;&gt;"</f>
        <v>#VALUE!</v>
      </c>
      <c r="GZ69" t="e">
        <f>'2.4.Функции'!JX141+"BYw!%;?"</f>
        <v>#VALUE!</v>
      </c>
      <c r="HA69" t="e">
        <f>'2.4.Функции'!JY141+"BYw!%;@"</f>
        <v>#VALUE!</v>
      </c>
      <c r="HB69" t="e">
        <f>'2.4.Функции'!JZ141+"BYw!%;A"</f>
        <v>#VALUE!</v>
      </c>
      <c r="HC69" t="e">
        <f>'2.4.Функции'!KA141+"BYw!%;B"</f>
        <v>#VALUE!</v>
      </c>
      <c r="HD69" t="e">
        <f>'2.4.Функции'!KB141+"BYw!%;C"</f>
        <v>#VALUE!</v>
      </c>
      <c r="HE69" t="e">
        <f>'2.4.Функции'!KC141+"BYw!%;D"</f>
        <v>#VALUE!</v>
      </c>
      <c r="HF69" t="e">
        <f>'2.4.Функции'!KD141+"BYw!%;E"</f>
        <v>#VALUE!</v>
      </c>
      <c r="HG69" t="e">
        <f>'2.4.Функции'!KE141+"BYw!%;F"</f>
        <v>#VALUE!</v>
      </c>
      <c r="HH69" t="e">
        <f>'2.4.Функции'!KF141+"BYw!%;G"</f>
        <v>#VALUE!</v>
      </c>
      <c r="HI69" t="e">
        <f>'2.4.Функции'!KG141+"BYw!%;H"</f>
        <v>#VALUE!</v>
      </c>
      <c r="HJ69" t="e">
        <f>'2.4.Функции'!KH141+"BYw!%;I"</f>
        <v>#VALUE!</v>
      </c>
      <c r="HK69" t="e">
        <f>'2.4.Функции'!KI141+"BYw!%;J"</f>
        <v>#VALUE!</v>
      </c>
      <c r="HL69" t="e">
        <f>'2.4.Функции'!KJ141+"BYw!%;K"</f>
        <v>#VALUE!</v>
      </c>
      <c r="HM69" t="e">
        <f>'2.4.Функции'!KK141+"BYw!%;L"</f>
        <v>#VALUE!</v>
      </c>
      <c r="HN69" t="e">
        <f>'2.4.Функции'!KL141+"BYw!%;M"</f>
        <v>#VALUE!</v>
      </c>
      <c r="HO69" t="e">
        <f>'2.4.Функции'!KM141+"BYw!%;N"</f>
        <v>#VALUE!</v>
      </c>
      <c r="HP69" t="e">
        <f>'2.4.Функции'!KN141+"BYw!%;O"</f>
        <v>#VALUE!</v>
      </c>
      <c r="HQ69" t="e">
        <f>'2.4.Функции'!KO141+"BYw!%;P"</f>
        <v>#VALUE!</v>
      </c>
      <c r="HR69" t="e">
        <f>'2.4.Функции'!KP141+"BYw!%;Q"</f>
        <v>#VALUE!</v>
      </c>
      <c r="HS69" t="e">
        <f>'2.4.Функции'!KQ141+"BYw!%;R"</f>
        <v>#VALUE!</v>
      </c>
      <c r="HT69" t="e">
        <f>'2.4.Функции'!KR141+"BYw!%;S"</f>
        <v>#VALUE!</v>
      </c>
      <c r="HU69" t="e">
        <f>'2.4.Функции'!KS141+"BYw!%;T"</f>
        <v>#VALUE!</v>
      </c>
      <c r="HV69" t="e">
        <f>'2.4.Функции'!KT141+"BYw!%;U"</f>
        <v>#VALUE!</v>
      </c>
      <c r="HW69" t="e">
        <f>'2.4.Функции'!KU141+"BYw!%;V"</f>
        <v>#VALUE!</v>
      </c>
      <c r="HX69" t="e">
        <f>'2.4.Функции'!KV141+"BYw!%;W"</f>
        <v>#VALUE!</v>
      </c>
      <c r="HY69" t="e">
        <f>'2.4.Функции'!KW141+"BYw!%;X"</f>
        <v>#VALUE!</v>
      </c>
      <c r="HZ69" t="e">
        <f>'2.4.Функции'!KX141+"BYw!%;Y"</f>
        <v>#VALUE!</v>
      </c>
      <c r="IA69" t="e">
        <f>'2.4.Функции'!KY141+"BYw!%;Z"</f>
        <v>#VALUE!</v>
      </c>
      <c r="IB69" t="e">
        <f>'2.4.Функции'!KZ141+"BYw!%;["</f>
        <v>#VALUE!</v>
      </c>
      <c r="IC69" t="e">
        <f>'2.4.Функции'!LA141+"BYw!%;\"</f>
        <v>#VALUE!</v>
      </c>
      <c r="ID69" t="e">
        <f>'2.4.Функции'!LB141+"BYw!%;]"</f>
        <v>#VALUE!</v>
      </c>
      <c r="IE69" t="e">
        <f>'2.4.Функции'!LC141+"BYw!%;^"</f>
        <v>#VALUE!</v>
      </c>
      <c r="IF69" t="e">
        <f>'2.4.Функции'!LD141+"BYw!%;_"</f>
        <v>#VALUE!</v>
      </c>
      <c r="IG69" t="e">
        <f>'2.4.Функции'!LE141+"BYw!%;`"</f>
        <v>#VALUE!</v>
      </c>
      <c r="IH69" t="e">
        <f>'2.4.Функции'!LF141+"BYw!%;a"</f>
        <v>#VALUE!</v>
      </c>
      <c r="II69" t="e">
        <f>'2.4.Функции'!LG141+"BYw!%;b"</f>
        <v>#VALUE!</v>
      </c>
      <c r="IJ69" t="e">
        <f>'2.4.Функции'!LH141+"BYw!%;c"</f>
        <v>#VALUE!</v>
      </c>
      <c r="IK69" t="e">
        <f>'2.4.Функции'!LI141+"BYw!%;d"</f>
        <v>#VALUE!</v>
      </c>
      <c r="IL69" t="e">
        <f>'2.4.Функции'!LJ141+"BYw!%;e"</f>
        <v>#VALUE!</v>
      </c>
      <c r="IM69" t="e">
        <f>'2.4.Функции'!LK141+"BYw!%;f"</f>
        <v>#VALUE!</v>
      </c>
      <c r="IN69" t="e">
        <f>'2.4.Функции'!LL141+"BYw!%;g"</f>
        <v>#VALUE!</v>
      </c>
      <c r="IO69" t="e">
        <f>'2.4.Функции'!LM141+"BYw!%;h"</f>
        <v>#VALUE!</v>
      </c>
      <c r="IP69" t="e">
        <f>'2.4.Функции'!LN141+"BYw!%;i"</f>
        <v>#VALUE!</v>
      </c>
      <c r="IQ69" t="e">
        <f>'2.4.Функции'!LO141+"BYw!%;j"</f>
        <v>#VALUE!</v>
      </c>
      <c r="IR69" t="e">
        <f>'2.4.Функции'!LP141+"BYw!%;k"</f>
        <v>#VALUE!</v>
      </c>
      <c r="IS69" t="e">
        <f>'2.4.Функции'!LQ141+"BYw!%;l"</f>
        <v>#VALUE!</v>
      </c>
      <c r="IT69" t="e">
        <f>'2.4.Функции'!LR141+"BYw!%;m"</f>
        <v>#VALUE!</v>
      </c>
      <c r="IU69" t="e">
        <f>'2.4.Функции'!LS141+"BYw!%;n"</f>
        <v>#VALUE!</v>
      </c>
      <c r="IV69" t="e">
        <f>'2.4.Функции'!LT141+"BYw!%;o"</f>
        <v>#VALUE!</v>
      </c>
    </row>
    <row r="70" spans="6:256" x14ac:dyDescent="0.2">
      <c r="F70" t="e">
        <f>'2.4.Функции'!LU141+"BYw!%;p"</f>
        <v>#VALUE!</v>
      </c>
      <c r="G70" t="e">
        <f>'2.4.Функции'!LV141+"BYw!%;q"</f>
        <v>#VALUE!</v>
      </c>
      <c r="H70" t="e">
        <f>'2.4.Функции'!LW141+"BYw!%;r"</f>
        <v>#VALUE!</v>
      </c>
      <c r="I70" t="e">
        <f>'2.4.Функции'!LX141+"BYw!%;s"</f>
        <v>#VALUE!</v>
      </c>
      <c r="J70" t="e">
        <f>'2.4.Функции'!LY141+"BYw!%;t"</f>
        <v>#VALUE!</v>
      </c>
      <c r="K70" t="e">
        <f>'2.4.Функции'!LZ141+"BYw!%;u"</f>
        <v>#VALUE!</v>
      </c>
      <c r="L70" t="e">
        <f>'2.4.Функции'!MA141+"BYw!%;v"</f>
        <v>#VALUE!</v>
      </c>
      <c r="M70" t="e">
        <f>'2.4.Функции'!MB141+"BYw!%;w"</f>
        <v>#VALUE!</v>
      </c>
      <c r="N70" t="e">
        <f>'2.4.Функции'!MC141+"BYw!%;x"</f>
        <v>#VALUE!</v>
      </c>
      <c r="O70" t="e">
        <f>'2.4.Функции'!MD141+"BYw!%;y"</f>
        <v>#VALUE!</v>
      </c>
      <c r="P70" t="e">
        <f>'2.4.Функции'!ME141+"BYw!%;z"</f>
        <v>#VALUE!</v>
      </c>
      <c r="Q70" t="e">
        <f>'2.4.Функции'!MF141+"BYw!%;{"</f>
        <v>#VALUE!</v>
      </c>
      <c r="R70" t="e">
        <f>'2.4.Функции'!MG141+"BYw!%;|"</f>
        <v>#VALUE!</v>
      </c>
      <c r="S70" t="e">
        <f>'2.4.Функции'!MH141+"BYw!%;}"</f>
        <v>#VALUE!</v>
      </c>
      <c r="T70" t="e">
        <f>'2.4.Функции'!MI141+"BYw!%;~"</f>
        <v>#VALUE!</v>
      </c>
      <c r="U70" t="e">
        <f>'2.4.Функции'!MJ141+"BYw!%&lt;#"</f>
        <v>#VALUE!</v>
      </c>
      <c r="V70" t="e">
        <f>'2.4.Функции'!MK141+"BYw!%&lt;$"</f>
        <v>#VALUE!</v>
      </c>
      <c r="W70" t="e">
        <f>'2.4.Функции'!ML141+"BYw!%&lt;%"</f>
        <v>#VALUE!</v>
      </c>
      <c r="X70" t="e">
        <f>'2.4.Функции'!MM141+"BYw!%&lt;&amp;"</f>
        <v>#VALUE!</v>
      </c>
      <c r="Y70" t="e">
        <f>'2.4.Функции'!MN141+"BYw!%&lt;'"</f>
        <v>#VALUE!</v>
      </c>
      <c r="Z70" t="e">
        <f>'2.4.Функции'!MO141+"BYw!%&lt;("</f>
        <v>#VALUE!</v>
      </c>
      <c r="AA70" t="e">
        <f>'2.4.Функции'!MP141+"BYw!%&lt;)"</f>
        <v>#VALUE!</v>
      </c>
      <c r="AB70" t="e">
        <f>'2.4.Функции'!MQ141+"BYw!%&lt;."</f>
        <v>#VALUE!</v>
      </c>
      <c r="AC70" t="e">
        <f>'2.4.Функции'!MR141+"BYw!%&lt;/"</f>
        <v>#VALUE!</v>
      </c>
      <c r="AD70" t="e">
        <f>'2.4.Функции'!MS141+"BYw!%&lt;0"</f>
        <v>#VALUE!</v>
      </c>
      <c r="AE70" t="e">
        <f>'2.4.Функции'!MT141+"BYw!%&lt;1"</f>
        <v>#VALUE!</v>
      </c>
      <c r="AF70" t="e">
        <f>'2.4.Функции'!MU141+"BYw!%&lt;2"</f>
        <v>#VALUE!</v>
      </c>
      <c r="AG70" t="e">
        <f>'2.4.Функции'!MV141+"BYw!%&lt;3"</f>
        <v>#VALUE!</v>
      </c>
      <c r="AH70" t="e">
        <f>'2.4.Функции'!MW141+"BYw!%&lt;4"</f>
        <v>#VALUE!</v>
      </c>
      <c r="AI70" t="e">
        <f>'2.4.Функции'!MX141+"BYw!%&lt;5"</f>
        <v>#VALUE!</v>
      </c>
      <c r="AJ70" t="e">
        <f>'2.4.Функции'!MY141+"BYw!%&lt;6"</f>
        <v>#VALUE!</v>
      </c>
      <c r="AK70" t="e">
        <f>'2.4.Функции'!MZ141+"BYw!%&lt;7"</f>
        <v>#VALUE!</v>
      </c>
      <c r="AL70" t="e">
        <f>'2.4.Функции'!NA141+"BYw!%&lt;8"</f>
        <v>#VALUE!</v>
      </c>
      <c r="AM70" t="e">
        <f>'2.4.Функции'!NB141+"BYw!%&lt;9"</f>
        <v>#VALUE!</v>
      </c>
      <c r="AN70" t="e">
        <f>'2.4.Функции'!NC141+"BYw!%&lt;:"</f>
        <v>#VALUE!</v>
      </c>
      <c r="AO70" t="e">
        <f>'2.4.Функции'!ND141+"BYw!%&lt;;"</f>
        <v>#VALUE!</v>
      </c>
      <c r="AP70" t="e">
        <f>'2.4.Функции'!NE141+"BYw!%&lt;&lt;"</f>
        <v>#VALUE!</v>
      </c>
      <c r="AQ70" t="e">
        <f>'2.4.Функции'!NF141+"BYw!%&lt;="</f>
        <v>#VALUE!</v>
      </c>
      <c r="AR70" t="e">
        <f>'2.4.Функции'!NG141+"BYw!%&lt;&gt;"</f>
        <v>#VALUE!</v>
      </c>
      <c r="AS70" t="e">
        <f>'2.4.Функции'!NH141+"BYw!%&lt;?"</f>
        <v>#VALUE!</v>
      </c>
      <c r="AT70" t="e">
        <f>'2.4.Функции'!NI141+"BYw!%&lt;@"</f>
        <v>#VALUE!</v>
      </c>
      <c r="AU70" t="e">
        <f>'2.4.Функции'!NJ141+"BYw!%&lt;A"</f>
        <v>#VALUE!</v>
      </c>
      <c r="AV70" t="e">
        <f>'2.4.Функции'!NK141+"BYw!%&lt;B"</f>
        <v>#VALUE!</v>
      </c>
      <c r="AW70" t="e">
        <f>'2.4.Функции'!NL141+"BYw!%&lt;C"</f>
        <v>#VALUE!</v>
      </c>
      <c r="AX70" t="e">
        <f>'2.4.Функции'!NM141+"BYw!%&lt;D"</f>
        <v>#VALUE!</v>
      </c>
      <c r="AY70" t="e">
        <f>'2.4.Функции'!NN141+"BYw!%&lt;E"</f>
        <v>#VALUE!</v>
      </c>
      <c r="AZ70" t="e">
        <f>'2.4.Функции'!NO141+"BYw!%&lt;F"</f>
        <v>#VALUE!</v>
      </c>
      <c r="BA70" t="e">
        <f>'2.4.Функции'!NP141+"BYw!%&lt;G"</f>
        <v>#VALUE!</v>
      </c>
      <c r="BB70" t="e">
        <f>'2.4.Функции'!NQ141+"BYw!%&lt;H"</f>
        <v>#VALUE!</v>
      </c>
      <c r="BC70" t="e">
        <f>'2.4.Функции'!NR141+"BYw!%&lt;I"</f>
        <v>#VALUE!</v>
      </c>
      <c r="BD70" t="e">
        <f>'2.4.Функции'!NS141+"BYw!%&lt;J"</f>
        <v>#VALUE!</v>
      </c>
      <c r="BE70" t="e">
        <f>'2.4.Функции'!NT141+"BYw!%&lt;K"</f>
        <v>#VALUE!</v>
      </c>
      <c r="BF70" t="e">
        <f>'2.4.Функции'!NU141+"BYw!%&lt;L"</f>
        <v>#VALUE!</v>
      </c>
      <c r="BG70" t="e">
        <f>'2.4.Функции'!NV141+"BYw!%&lt;M"</f>
        <v>#VALUE!</v>
      </c>
      <c r="BH70" t="e">
        <f>'2.4.Функции'!NW141+"BYw!%&lt;N"</f>
        <v>#VALUE!</v>
      </c>
      <c r="BI70" t="e">
        <f>'2.4.Функции'!NX141+"BYw!%&lt;O"</f>
        <v>#VALUE!</v>
      </c>
      <c r="BJ70" t="e">
        <f>'2.4.Функции'!NY141+"BYw!%&lt;P"</f>
        <v>#VALUE!</v>
      </c>
      <c r="BK70" t="e">
        <f>'2.4.Функции'!NZ141+"BYw!%&lt;Q"</f>
        <v>#VALUE!</v>
      </c>
      <c r="BL70" t="e">
        <f>'2.4.Функции'!OA141+"BYw!%&lt;R"</f>
        <v>#VALUE!</v>
      </c>
      <c r="BM70" t="e">
        <f>'2.4.Функции'!OB141+"BYw!%&lt;S"</f>
        <v>#VALUE!</v>
      </c>
      <c r="BN70" t="e">
        <f>'2.4.Функции'!OC141+"BYw!%&lt;T"</f>
        <v>#VALUE!</v>
      </c>
      <c r="BO70" t="e">
        <f>'2.4.Функции'!OD141+"BYw!%&lt;U"</f>
        <v>#VALUE!</v>
      </c>
      <c r="BP70" t="e">
        <f>'2.4.Функции'!OE141+"BYw!%&lt;V"</f>
        <v>#VALUE!</v>
      </c>
      <c r="BQ70" t="e">
        <f>'2.4.Функции'!OF141+"BYw!%&lt;W"</f>
        <v>#VALUE!</v>
      </c>
      <c r="BR70" t="e">
        <f>'2.4.Функции'!OG141+"BYw!%&lt;X"</f>
        <v>#VALUE!</v>
      </c>
      <c r="BS70" t="e">
        <f>'2.4.Функции'!OH141+"BYw!%&lt;Y"</f>
        <v>#VALUE!</v>
      </c>
      <c r="BT70" t="e">
        <f>'2.4.Функции'!OI141+"BYw!%&lt;Z"</f>
        <v>#VALUE!</v>
      </c>
      <c r="BU70" t="e">
        <f>'2.4.Функции'!OJ141+"BYw!%&lt;["</f>
        <v>#VALUE!</v>
      </c>
      <c r="BV70" t="e">
        <f>'2.4.Функции'!OK141+"BYw!%&lt;\"</f>
        <v>#VALUE!</v>
      </c>
      <c r="BW70" t="e">
        <f>'2.4.Функции'!OL141+"BYw!%&lt;]"</f>
        <v>#VALUE!</v>
      </c>
      <c r="BX70" t="e">
        <f>'2.4.Функции'!OM141+"BYw!%&lt;^"</f>
        <v>#VALUE!</v>
      </c>
      <c r="BY70" t="e">
        <f>'2.4.Функции'!ON141+"BYw!%&lt;_"</f>
        <v>#VALUE!</v>
      </c>
      <c r="BZ70" t="e">
        <f>'2.4.Функции'!OO141+"BYw!%&lt;`"</f>
        <v>#VALUE!</v>
      </c>
      <c r="CA70" t="e">
        <f>'2.4.Функции'!OP141+"BYw!%&lt;a"</f>
        <v>#VALUE!</v>
      </c>
      <c r="CB70" t="e">
        <f>'2.4.Функции'!OQ141+"BYw!%&lt;b"</f>
        <v>#VALUE!</v>
      </c>
      <c r="CC70" t="e">
        <f>'2.4.Функции'!OR141+"BYw!%&lt;c"</f>
        <v>#VALUE!</v>
      </c>
      <c r="CD70" t="e">
        <f>'2.4.Функции'!OS141+"BYw!%&lt;d"</f>
        <v>#VALUE!</v>
      </c>
      <c r="CE70" t="e">
        <f>'2.4.Функции'!OT141+"BYw!%&lt;e"</f>
        <v>#VALUE!</v>
      </c>
      <c r="CF70" t="e">
        <f>'2.4.Функции'!OU141+"BYw!%&lt;f"</f>
        <v>#VALUE!</v>
      </c>
      <c r="CG70" t="e">
        <f>'2.4.Функции'!OV141+"BYw!%&lt;g"</f>
        <v>#VALUE!</v>
      </c>
      <c r="CH70" t="e">
        <f>'2.4.Функции'!OW141+"BYw!%&lt;h"</f>
        <v>#VALUE!</v>
      </c>
      <c r="CI70" t="e">
        <f>'2.4.Функции'!OX141+"BYw!%&lt;i"</f>
        <v>#VALUE!</v>
      </c>
      <c r="CJ70" t="e">
        <f>'2.4.Функции'!OY141+"BYw!%&lt;j"</f>
        <v>#VALUE!</v>
      </c>
      <c r="CK70" t="e">
        <f>'2.4.Функции'!OZ141+"BYw!%&lt;k"</f>
        <v>#VALUE!</v>
      </c>
      <c r="CL70" t="e">
        <f>'2.4.Функции'!PA141+"BYw!%&lt;l"</f>
        <v>#VALUE!</v>
      </c>
      <c r="CM70" t="e">
        <f>'2.4.Функции'!PB141+"BYw!%&lt;m"</f>
        <v>#VALUE!</v>
      </c>
      <c r="CN70" t="e">
        <f>'2.4.Функции'!PC141+"BYw!%&lt;n"</f>
        <v>#VALUE!</v>
      </c>
      <c r="CO70" t="e">
        <f>'2.4.Функции'!PD141+"BYw!%&lt;o"</f>
        <v>#VALUE!</v>
      </c>
      <c r="CP70" t="e">
        <f>'2.4.Функции'!PE141+"BYw!%&lt;p"</f>
        <v>#VALUE!</v>
      </c>
      <c r="CQ70" t="e">
        <f>'2.4.Функции'!PF141+"BYw!%&lt;q"</f>
        <v>#VALUE!</v>
      </c>
      <c r="CR70" t="e">
        <f>'2.4.Функции'!PG141+"BYw!%&lt;r"</f>
        <v>#VALUE!</v>
      </c>
      <c r="CS70" t="e">
        <f>'2.4.Функции'!PH141+"BYw!%&lt;s"</f>
        <v>#VALUE!</v>
      </c>
      <c r="CT70" t="e">
        <f>'2.4.Функции'!PI141+"BYw!%&lt;t"</f>
        <v>#VALUE!</v>
      </c>
      <c r="CU70" t="e">
        <f>'2.4.Функции'!PJ141+"BYw!%&lt;u"</f>
        <v>#VALUE!</v>
      </c>
      <c r="CV70" t="e">
        <f>'2.4.Функции'!PK141+"BYw!%&lt;v"</f>
        <v>#VALUE!</v>
      </c>
      <c r="CW70" t="e">
        <f>'2.4.Функции'!PL141+"BYw!%&lt;w"</f>
        <v>#VALUE!</v>
      </c>
      <c r="CX70" t="e">
        <f>'2.4.Функции'!PM141+"BYw!%&lt;x"</f>
        <v>#VALUE!</v>
      </c>
      <c r="CY70" t="e">
        <f>'2.4.Функции'!PN141+"BYw!%&lt;y"</f>
        <v>#VALUE!</v>
      </c>
      <c r="CZ70" t="e">
        <f>'2.4.Функции'!PO141+"BYw!%&lt;z"</f>
        <v>#VALUE!</v>
      </c>
      <c r="DA70" t="e">
        <f>'2.4.Функции'!PP141+"BYw!%&lt;{"</f>
        <v>#VALUE!</v>
      </c>
      <c r="DB70" t="e">
        <f>'2.4.Функции'!PQ141+"BYw!%&lt;|"</f>
        <v>#VALUE!</v>
      </c>
      <c r="DC70" t="e">
        <f>'2.4.Функции'!PR141+"BYw!%&lt;}"</f>
        <v>#VALUE!</v>
      </c>
      <c r="DD70" t="e">
        <f>'2.4.Функции'!PS141+"BYw!%&lt;~"</f>
        <v>#VALUE!</v>
      </c>
      <c r="DE70" t="e">
        <f>'2.4.Функции'!PT141+"BYw!%=#"</f>
        <v>#VALUE!</v>
      </c>
      <c r="DF70" t="e">
        <f>'2.4.Функции'!PU141+"BYw!%=$"</f>
        <v>#VALUE!</v>
      </c>
      <c r="DG70" t="e">
        <f>'2.4.Функции'!PV141+"BYw!%=%"</f>
        <v>#VALUE!</v>
      </c>
      <c r="DH70" t="e">
        <f>'2.4.Функции'!PW141+"BYw!%=&amp;"</f>
        <v>#VALUE!</v>
      </c>
      <c r="DI70" t="e">
        <f>'2.4.Функции'!PX141+"BYw!%='"</f>
        <v>#VALUE!</v>
      </c>
      <c r="DJ70" t="e">
        <f>'2.4.Функции'!PY141+"BYw!%=("</f>
        <v>#VALUE!</v>
      </c>
      <c r="DK70" t="e">
        <f>'2.4.Функции'!PZ141+"BYw!%=)"</f>
        <v>#VALUE!</v>
      </c>
      <c r="DL70" t="e">
        <f>'2.4.Функции'!QA141+"BYw!%=."</f>
        <v>#VALUE!</v>
      </c>
      <c r="DM70" t="e">
        <f>'2.4.Функции'!QB141+"BYw!%=/"</f>
        <v>#VALUE!</v>
      </c>
      <c r="DN70" t="e">
        <f>'2.4.Функции'!QC141+"BYw!%=0"</f>
        <v>#VALUE!</v>
      </c>
      <c r="DO70" t="e">
        <f>'2.4.Функции'!QD141+"BYw!%=1"</f>
        <v>#VALUE!</v>
      </c>
      <c r="DP70" t="e">
        <f>'2.4.Функции'!QE141+"BYw!%=2"</f>
        <v>#VALUE!</v>
      </c>
      <c r="DQ70" t="e">
        <f>'2.4.Функции'!QF141+"BYw!%=3"</f>
        <v>#VALUE!</v>
      </c>
      <c r="DR70" t="e">
        <f>'2.4.Функции'!QG141+"BYw!%=4"</f>
        <v>#VALUE!</v>
      </c>
      <c r="DS70" t="e">
        <f>'2.4.Функции'!QH141+"BYw!%=5"</f>
        <v>#VALUE!</v>
      </c>
      <c r="DT70" t="e">
        <f>'2.4.Функции'!QI141+"BYw!%=6"</f>
        <v>#VALUE!</v>
      </c>
      <c r="DU70" t="e">
        <f>'2.4.Функции'!QJ141+"BYw!%=7"</f>
        <v>#VALUE!</v>
      </c>
      <c r="DV70" t="e">
        <f>'2.4.Функции'!QK141+"BYw!%=8"</f>
        <v>#VALUE!</v>
      </c>
      <c r="DW70" t="e">
        <f>'2.4.Функции'!QL141+"BYw!%=9"</f>
        <v>#VALUE!</v>
      </c>
      <c r="DX70" t="e">
        <f>'2.4.Функции'!QM141+"BYw!%=:"</f>
        <v>#VALUE!</v>
      </c>
      <c r="DY70" t="e">
        <f>'2.4.Функции'!QN141+"BYw!%=;"</f>
        <v>#VALUE!</v>
      </c>
      <c r="DZ70" t="e">
        <f>'2.4.Функции'!QO141+"BYw!%=&lt;"</f>
        <v>#VALUE!</v>
      </c>
      <c r="EA70" t="e">
        <f>'2.4.Функции'!QP141+"BYw!%=="</f>
        <v>#VALUE!</v>
      </c>
      <c r="EB70" t="e">
        <f>'2.4.Функции'!QQ141+"BYw!%=&gt;"</f>
        <v>#VALUE!</v>
      </c>
      <c r="EC70" t="e">
        <f>'2.4.Функции'!QR141+"BYw!%=?"</f>
        <v>#VALUE!</v>
      </c>
      <c r="ED70" t="e">
        <f>'2.4.Функции'!QS141+"BYw!%=@"</f>
        <v>#VALUE!</v>
      </c>
      <c r="EE70" t="e">
        <f>'2.4.Функции'!QT141+"BYw!%=A"</f>
        <v>#VALUE!</v>
      </c>
      <c r="EF70" t="e">
        <f>'2.4.Функции'!QU141+"BYw!%=B"</f>
        <v>#VALUE!</v>
      </c>
      <c r="EG70" t="e">
        <f>'2.4.Функции'!QV141+"BYw!%=C"</f>
        <v>#VALUE!</v>
      </c>
      <c r="EH70" t="e">
        <f>'2.4.Функции'!QW141+"BYw!%=D"</f>
        <v>#VALUE!</v>
      </c>
      <c r="EI70" t="e">
        <f>'2.4.Функции'!QX141+"BYw!%=E"</f>
        <v>#VALUE!</v>
      </c>
      <c r="EJ70" t="e">
        <f>'2.4.Функции'!QY141+"BYw!%=F"</f>
        <v>#VALUE!</v>
      </c>
      <c r="EK70" t="e">
        <f>'2.4.Функции'!QZ141+"BYw!%=G"</f>
        <v>#VALUE!</v>
      </c>
      <c r="EL70" t="e">
        <f>'2.4.Функции'!RA141+"BYw!%=H"</f>
        <v>#VALUE!</v>
      </c>
      <c r="EM70" t="e">
        <f>'2.4.Функции'!RB141+"BYw!%=I"</f>
        <v>#VALUE!</v>
      </c>
      <c r="EN70" t="e">
        <f>'2.4.Функции'!RC141+"BYw!%=J"</f>
        <v>#VALUE!</v>
      </c>
      <c r="EO70" t="e">
        <f>'2.4.Функции'!RD141+"BYw!%=K"</f>
        <v>#VALUE!</v>
      </c>
      <c r="EP70" t="e">
        <f>'2.4.Функции'!RE141+"BYw!%=L"</f>
        <v>#VALUE!</v>
      </c>
      <c r="EQ70" t="e">
        <f>'2.4.Функции'!RF141+"BYw!%=M"</f>
        <v>#VALUE!</v>
      </c>
      <c r="ER70" t="e">
        <f>'2.4.Функции'!RG141+"BYw!%=N"</f>
        <v>#VALUE!</v>
      </c>
      <c r="ES70" t="e">
        <f>'2.4.Функции'!RH141+"BYw!%=O"</f>
        <v>#VALUE!</v>
      </c>
      <c r="ET70" t="e">
        <f>'2.4.Функции'!RI141+"BYw!%=P"</f>
        <v>#VALUE!</v>
      </c>
      <c r="EU70" t="e">
        <f>'2.4.Функции'!RJ141+"BYw!%=Q"</f>
        <v>#VALUE!</v>
      </c>
      <c r="EV70" t="e">
        <f>'2.4.Функции'!RK141+"BYw!%=R"</f>
        <v>#VALUE!</v>
      </c>
      <c r="EW70" t="e">
        <f>'2.4.Функции'!RL141+"BYw!%=S"</f>
        <v>#VALUE!</v>
      </c>
      <c r="EX70" t="e">
        <f>'2.4.Функции'!RM141+"BYw!%=T"</f>
        <v>#VALUE!</v>
      </c>
      <c r="EY70" t="e">
        <f>'2.4.Функции'!RN141+"BYw!%=U"</f>
        <v>#VALUE!</v>
      </c>
      <c r="EZ70" t="e">
        <f>'2.4.Функции'!RO141+"BYw!%=V"</f>
        <v>#VALUE!</v>
      </c>
      <c r="FA70" t="e">
        <f>'2.4.Функции'!RP141+"BYw!%=W"</f>
        <v>#VALUE!</v>
      </c>
      <c r="FB70" t="e">
        <f>'2.4.Функции'!RQ141+"BYw!%=X"</f>
        <v>#VALUE!</v>
      </c>
      <c r="FC70" t="e">
        <f>'2.4.Функции'!RR141+"BYw!%=Y"</f>
        <v>#VALUE!</v>
      </c>
      <c r="FD70" t="e">
        <f>'2.4.Функции'!RS141+"BYw!%=Z"</f>
        <v>#VALUE!</v>
      </c>
      <c r="FE70" t="e">
        <f>'2.4.Функции'!RT141+"BYw!%=["</f>
        <v>#VALUE!</v>
      </c>
      <c r="FF70" t="e">
        <f>'2.4.Функции'!RU141+"BYw!%=\"</f>
        <v>#VALUE!</v>
      </c>
      <c r="FG70" t="e">
        <f>'2.4.Функции'!RV141+"BYw!%=]"</f>
        <v>#VALUE!</v>
      </c>
      <c r="FH70" t="e">
        <f>'2.4.Функции'!RW141+"BYw!%=^"</f>
        <v>#VALUE!</v>
      </c>
      <c r="FI70" t="e">
        <f>'2.4.Функции'!RX141+"BYw!%=_"</f>
        <v>#VALUE!</v>
      </c>
      <c r="FJ70" t="e">
        <f>'2.4.Функции'!RY141+"BYw!%=`"</f>
        <v>#VALUE!</v>
      </c>
      <c r="FK70" t="e">
        <f>'2.4.Функции'!RZ141+"BYw!%=a"</f>
        <v>#VALUE!</v>
      </c>
      <c r="FL70" t="e">
        <f>'2.4.Функции'!SA141+"BYw!%=b"</f>
        <v>#VALUE!</v>
      </c>
      <c r="FM70" t="e">
        <f>'2.4.Функции'!SB141+"BYw!%=c"</f>
        <v>#VALUE!</v>
      </c>
      <c r="FN70" t="e">
        <f>'2.4.Функции'!SC141+"BYw!%=d"</f>
        <v>#VALUE!</v>
      </c>
      <c r="FO70" t="e">
        <f>'2.4.Функции'!SD141+"BYw!%=e"</f>
        <v>#VALUE!</v>
      </c>
      <c r="FP70" t="e">
        <f>'2.4.Функции'!SE141+"BYw!%=f"</f>
        <v>#VALUE!</v>
      </c>
      <c r="FQ70" t="e">
        <f>'2.4.Функции'!SF141+"BYw!%=g"</f>
        <v>#VALUE!</v>
      </c>
      <c r="FR70" t="e">
        <f>'2.4.Функции'!SG141+"BYw!%=h"</f>
        <v>#VALUE!</v>
      </c>
      <c r="FS70" t="e">
        <f>'2.4.Функции'!SH141+"BYw!%=i"</f>
        <v>#VALUE!</v>
      </c>
      <c r="FT70" t="e">
        <f>'2.4.Функции'!SI141+"BYw!%=j"</f>
        <v>#VALUE!</v>
      </c>
      <c r="FU70" t="e">
        <f>'2.4.Функции'!SJ141+"BYw!%=k"</f>
        <v>#VALUE!</v>
      </c>
      <c r="FV70" t="e">
        <f>'2.4.Функции'!SK141+"BYw!%=l"</f>
        <v>#VALUE!</v>
      </c>
      <c r="FW70" t="e">
        <f>'2.4.Функции'!SL141+"BYw!%=m"</f>
        <v>#VALUE!</v>
      </c>
      <c r="FX70" t="e">
        <f>'2.4.Функции'!SM141+"BYw!%=n"</f>
        <v>#VALUE!</v>
      </c>
      <c r="FY70" t="e">
        <f>'2.4.Функции'!SN141+"BYw!%=o"</f>
        <v>#VALUE!</v>
      </c>
      <c r="FZ70" t="e">
        <f>'2.4.Функции'!SO141+"BYw!%=p"</f>
        <v>#VALUE!</v>
      </c>
      <c r="GA70" t="e">
        <f>'2.4.Функции'!SP141+"BYw!%=q"</f>
        <v>#VALUE!</v>
      </c>
      <c r="GB70" t="e">
        <f>'2.4.Функции'!SQ141+"BYw!%=r"</f>
        <v>#VALUE!</v>
      </c>
      <c r="GC70" t="e">
        <f>'2.4.Функции'!SR141+"BYw!%=s"</f>
        <v>#VALUE!</v>
      </c>
      <c r="GD70" t="e">
        <f>'2.4.Функции'!SS141+"BYw!%=t"</f>
        <v>#VALUE!</v>
      </c>
      <c r="GE70" t="e">
        <f>'2.4.Функции'!ST141+"BYw!%=u"</f>
        <v>#VALUE!</v>
      </c>
      <c r="GF70" t="e">
        <f>'2.4.Функции'!SU141+"BYw!%=v"</f>
        <v>#VALUE!</v>
      </c>
      <c r="GG70" t="e">
        <f>'2.4.Функции'!SV141+"BYw!%=w"</f>
        <v>#VALUE!</v>
      </c>
      <c r="GH70" t="e">
        <f>'2.4.Функции'!SW141+"BYw!%=x"</f>
        <v>#VALUE!</v>
      </c>
      <c r="GI70" t="e">
        <f>'2.4.Функции'!SX141+"BYw!%=y"</f>
        <v>#VALUE!</v>
      </c>
      <c r="GJ70" t="e">
        <f>'2.4.Функции'!SY141+"BYw!%=z"</f>
        <v>#VALUE!</v>
      </c>
      <c r="GK70" t="e">
        <f>'2.4.Функции'!SZ141+"BYw!%={"</f>
        <v>#VALUE!</v>
      </c>
      <c r="GL70" t="e">
        <f>'2.4.Функции'!TA141+"BYw!%=|"</f>
        <v>#VALUE!</v>
      </c>
      <c r="GM70" t="e">
        <f>'2.4.Функции'!TB141+"BYw!%=}"</f>
        <v>#VALUE!</v>
      </c>
      <c r="GN70" t="e">
        <f>'2.4.Функции'!TC141+"BYw!%=~"</f>
        <v>#VALUE!</v>
      </c>
      <c r="GO70" t="e">
        <f>'2.4.Функции'!TD141+"BYw!%&gt;#"</f>
        <v>#VALUE!</v>
      </c>
      <c r="GP70" t="e">
        <f>'2.4.Функции'!TE141+"BYw!%&gt;$"</f>
        <v>#VALUE!</v>
      </c>
      <c r="GQ70" t="e">
        <f>'2.4.Функции'!TF141+"BYw!%&gt;%"</f>
        <v>#VALUE!</v>
      </c>
      <c r="GR70" t="e">
        <f>'2.4.Функции'!TG141+"BYw!%&gt;&amp;"</f>
        <v>#VALUE!</v>
      </c>
      <c r="GS70" t="e">
        <f>'2.4.Функции'!TH141+"BYw!%&gt;'"</f>
        <v>#VALUE!</v>
      </c>
      <c r="GT70" t="e">
        <f>'2.4.Функции'!TI141+"BYw!%&gt;("</f>
        <v>#VALUE!</v>
      </c>
      <c r="GU70" t="e">
        <f>'2.4.Функции'!TJ141+"BYw!%&gt;)"</f>
        <v>#VALUE!</v>
      </c>
      <c r="GV70" t="e">
        <f>'2.4.Функции'!TK141+"BYw!%&gt;."</f>
        <v>#VALUE!</v>
      </c>
      <c r="GW70" t="e">
        <f>'2.4.Функции'!TL141+"BYw!%&gt;/"</f>
        <v>#VALUE!</v>
      </c>
      <c r="GX70" t="e">
        <f>'2.4.Функции'!TM141+"BYw!%&gt;0"</f>
        <v>#VALUE!</v>
      </c>
      <c r="GY70" t="e">
        <f>'2.4.Функции'!TN141+"BYw!%&gt;1"</f>
        <v>#VALUE!</v>
      </c>
      <c r="GZ70" t="e">
        <f>'2.4.Функции'!TO141+"BYw!%&gt;2"</f>
        <v>#VALUE!</v>
      </c>
      <c r="HA70" t="e">
        <f>'2.4.Функции'!TP141+"BYw!%&gt;3"</f>
        <v>#VALUE!</v>
      </c>
      <c r="HB70" t="e">
        <f>'2.4.Функции'!TQ141+"BYw!%&gt;4"</f>
        <v>#VALUE!</v>
      </c>
      <c r="HC70" t="e">
        <f>'2.4.Функции'!TR141+"BYw!%&gt;5"</f>
        <v>#VALUE!</v>
      </c>
      <c r="HD70" t="e">
        <f>'2.4.Функции'!TS141+"BYw!%&gt;6"</f>
        <v>#VALUE!</v>
      </c>
      <c r="HE70" t="e">
        <f>'2.4.Функции'!TT141+"BYw!%&gt;7"</f>
        <v>#VALUE!</v>
      </c>
      <c r="HF70" t="e">
        <f>'2.4.Функции'!TU141+"BYw!%&gt;8"</f>
        <v>#VALUE!</v>
      </c>
      <c r="HG70" t="e">
        <f>'2.4.Функции'!TV141+"BYw!%&gt;9"</f>
        <v>#VALUE!</v>
      </c>
      <c r="HH70" t="e">
        <f>'2.4.Функции'!TW141+"BYw!%&gt;:"</f>
        <v>#VALUE!</v>
      </c>
      <c r="HI70" t="e">
        <f>'2.4.Функции'!TX141+"BYw!%&gt;;"</f>
        <v>#VALUE!</v>
      </c>
      <c r="HJ70" t="e">
        <f>'2.4.Функции'!TY141+"BYw!%&gt;&lt;"</f>
        <v>#VALUE!</v>
      </c>
      <c r="HK70" t="e">
        <f>'2.4.Функции'!TZ141+"BYw!%&gt;="</f>
        <v>#VALUE!</v>
      </c>
      <c r="HL70" t="e">
        <f>'2.4.Функции'!UA141+"BYw!%&gt;&gt;"</f>
        <v>#VALUE!</v>
      </c>
      <c r="HM70" t="e">
        <f>'2.4.Функции'!UB141+"BYw!%&gt;?"</f>
        <v>#VALUE!</v>
      </c>
      <c r="HN70" t="e">
        <f>'2.4.Функции'!UC141+"BYw!%&gt;@"</f>
        <v>#VALUE!</v>
      </c>
      <c r="HO70" t="e">
        <f>'2.4.Функции'!UD141+"BYw!%&gt;A"</f>
        <v>#VALUE!</v>
      </c>
      <c r="HP70" t="e">
        <f>'2.4.Функции'!UE141+"BYw!%&gt;B"</f>
        <v>#VALUE!</v>
      </c>
      <c r="HQ70" t="e">
        <f>'2.4.Функции'!UF141+"BYw!%&gt;C"</f>
        <v>#VALUE!</v>
      </c>
      <c r="HR70" t="e">
        <f>'2.4.Функции'!UG141+"BYw!%&gt;D"</f>
        <v>#VALUE!</v>
      </c>
      <c r="HS70" t="e">
        <f>'2.4.Функции'!UH141+"BYw!%&gt;E"</f>
        <v>#VALUE!</v>
      </c>
      <c r="HT70" t="e">
        <f>'2.4.Функции'!UI141+"BYw!%&gt;F"</f>
        <v>#VALUE!</v>
      </c>
      <c r="HU70" t="e">
        <f>'2.4.Функции'!UJ141+"BYw!%&gt;G"</f>
        <v>#VALUE!</v>
      </c>
      <c r="HV70" t="e">
        <f>'2.4.Функции'!UK141+"BYw!%&gt;H"</f>
        <v>#VALUE!</v>
      </c>
      <c r="HW70" t="e">
        <f>'2.4.Функции'!UL141+"BYw!%&gt;I"</f>
        <v>#VALUE!</v>
      </c>
      <c r="HX70" t="e">
        <f>'2.4.Функции'!UM141+"BYw!%&gt;J"</f>
        <v>#VALUE!</v>
      </c>
      <c r="HY70" t="e">
        <f>'2.4.Функции'!UN141+"BYw!%&gt;K"</f>
        <v>#VALUE!</v>
      </c>
      <c r="HZ70" t="e">
        <f>'2.4.Функции'!UO141+"BYw!%&gt;L"</f>
        <v>#VALUE!</v>
      </c>
      <c r="IA70" t="e">
        <f>'2.4.Функции'!UP141+"BYw!%&gt;M"</f>
        <v>#VALUE!</v>
      </c>
      <c r="IB70" t="e">
        <f>'2.4.Функции'!UQ141+"BYw!%&gt;N"</f>
        <v>#VALUE!</v>
      </c>
      <c r="IC70" t="e">
        <f>'2.4.Функции'!UR141+"BYw!%&gt;O"</f>
        <v>#VALUE!</v>
      </c>
      <c r="ID70" t="e">
        <f>'2.4.Функции'!US141+"BYw!%&gt;P"</f>
        <v>#VALUE!</v>
      </c>
      <c r="IE70" t="e">
        <f>'2.4.Функции'!UT141+"BYw!%&gt;Q"</f>
        <v>#VALUE!</v>
      </c>
      <c r="IF70" t="e">
        <f>'2.4.Функции'!UU141+"BYw!%&gt;R"</f>
        <v>#VALUE!</v>
      </c>
      <c r="IG70" t="e">
        <f>'2.4.Функции'!UV141+"BYw!%&gt;S"</f>
        <v>#VALUE!</v>
      </c>
      <c r="IH70" t="e">
        <f>'2.4.Функции'!UW141+"BYw!%&gt;T"</f>
        <v>#VALUE!</v>
      </c>
      <c r="II70" t="e">
        <f>'2.4.Функции'!UX141+"BYw!%&gt;U"</f>
        <v>#VALUE!</v>
      </c>
      <c r="IJ70" t="e">
        <f>'2.4.Функции'!UY141+"BYw!%&gt;V"</f>
        <v>#VALUE!</v>
      </c>
      <c r="IK70" t="e">
        <f>'2.4.Функции'!UZ141+"BYw!%&gt;W"</f>
        <v>#VALUE!</v>
      </c>
      <c r="IL70" t="e">
        <f>'2.4.Функции'!VA141+"BYw!%&gt;X"</f>
        <v>#VALUE!</v>
      </c>
      <c r="IM70" t="e">
        <f>'2.4.Функции'!VB141+"BYw!%&gt;Y"</f>
        <v>#VALUE!</v>
      </c>
      <c r="IN70" t="e">
        <f>'2.4.Функции'!VC141+"BYw!%&gt;Z"</f>
        <v>#VALUE!</v>
      </c>
      <c r="IO70" t="e">
        <f>'2.4.Функции'!VD141+"BYw!%&gt;["</f>
        <v>#VALUE!</v>
      </c>
      <c r="IP70" t="e">
        <f>'2.4.Функции'!VE141+"BYw!%&gt;\"</f>
        <v>#VALUE!</v>
      </c>
      <c r="IQ70" t="e">
        <f>'2.4.Функции'!VF141+"BYw!%&gt;]"</f>
        <v>#VALUE!</v>
      </c>
      <c r="IR70" t="e">
        <f>'2.4.Функции'!VG141+"BYw!%&gt;^"</f>
        <v>#VALUE!</v>
      </c>
      <c r="IS70" t="e">
        <f>'2.4.Функции'!VH141+"BYw!%&gt;_"</f>
        <v>#VALUE!</v>
      </c>
      <c r="IT70" t="e">
        <f>'2.4.Функции'!VI141+"BYw!%&gt;`"</f>
        <v>#VALUE!</v>
      </c>
      <c r="IU70" t="e">
        <f>'2.4.Функции'!VJ141+"BYw!%&gt;a"</f>
        <v>#VALUE!</v>
      </c>
      <c r="IV70" t="e">
        <f>'2.4.Функции'!VK141+"BYw!%&gt;b"</f>
        <v>#VALUE!</v>
      </c>
    </row>
    <row r="71" spans="6:256" x14ac:dyDescent="0.2">
      <c r="F71" t="e">
        <f>'2.4.Функции'!VL141+"BYw!%&gt;c"</f>
        <v>#VALUE!</v>
      </c>
      <c r="G71" t="e">
        <f>'2.4.Функции'!VM141+"BYw!%&gt;d"</f>
        <v>#VALUE!</v>
      </c>
      <c r="H71" t="e">
        <f>'2.4.Функции'!VN141+"BYw!%&gt;e"</f>
        <v>#VALUE!</v>
      </c>
      <c r="I71" t="e">
        <f>'2.4.Функции'!VO141+"BYw!%&gt;f"</f>
        <v>#VALUE!</v>
      </c>
      <c r="J71" t="e">
        <f>'2.4.Функции'!VP141+"BYw!%&gt;g"</f>
        <v>#VALUE!</v>
      </c>
      <c r="K71" t="e">
        <f>'2.4.Функции'!VQ141+"BYw!%&gt;h"</f>
        <v>#VALUE!</v>
      </c>
      <c r="L71" t="e">
        <f>'2.4.Функции'!VR141+"BYw!%&gt;i"</f>
        <v>#VALUE!</v>
      </c>
      <c r="M71" t="e">
        <f>'2.4.Функции'!VS141+"BYw!%&gt;j"</f>
        <v>#VALUE!</v>
      </c>
      <c r="N71" t="e">
        <f>'2.4.Функции'!VT141+"BYw!%&gt;k"</f>
        <v>#VALUE!</v>
      </c>
      <c r="O71" t="e">
        <f>'2.4.Функции'!VU141+"BYw!%&gt;l"</f>
        <v>#VALUE!</v>
      </c>
      <c r="P71" t="e">
        <f>'2.4.Функции'!VV141+"BYw!%&gt;m"</f>
        <v>#VALUE!</v>
      </c>
      <c r="Q71" t="e">
        <f>'2.4.Функции'!VW141+"BYw!%&gt;n"</f>
        <v>#VALUE!</v>
      </c>
      <c r="R71" t="e">
        <f>'2.4.Функции'!VX141+"BYw!%&gt;o"</f>
        <v>#VALUE!</v>
      </c>
      <c r="S71" t="e">
        <f>'2.4.Функции'!VY141+"BYw!%&gt;p"</f>
        <v>#VALUE!</v>
      </c>
      <c r="T71" t="e">
        <f>'2.4.Функции'!VZ141+"BYw!%&gt;q"</f>
        <v>#VALUE!</v>
      </c>
      <c r="U71" t="e">
        <f>'2.4.Функции'!WA141+"BYw!%&gt;r"</f>
        <v>#VALUE!</v>
      </c>
      <c r="V71" t="e">
        <f>'2.4.Функции'!WB141+"BYw!%&gt;s"</f>
        <v>#VALUE!</v>
      </c>
      <c r="W71" t="e">
        <f>'2.4.Функции'!WC141+"BYw!%&gt;t"</f>
        <v>#VALUE!</v>
      </c>
      <c r="X71" t="e">
        <f>'2.4.Функции'!WD141+"BYw!%&gt;u"</f>
        <v>#VALUE!</v>
      </c>
      <c r="Y71" t="e">
        <f>'2.4.Функции'!WE141+"BYw!%&gt;v"</f>
        <v>#VALUE!</v>
      </c>
      <c r="Z71" t="e">
        <f>'2.4.Функции'!WF141+"BYw!%&gt;w"</f>
        <v>#VALUE!</v>
      </c>
      <c r="AA71" t="e">
        <f>'2.4.Функции'!WG141+"BYw!%&gt;x"</f>
        <v>#VALUE!</v>
      </c>
      <c r="AB71" t="e">
        <f>'2.4.Функции'!WH141+"BYw!%&gt;y"</f>
        <v>#VALUE!</v>
      </c>
      <c r="AC71" t="e">
        <f>'2.4.Функции'!WI141+"BYw!%&gt;z"</f>
        <v>#VALUE!</v>
      </c>
      <c r="AD71" t="e">
        <f>'2.4.Функции'!WJ141+"BYw!%&gt;{"</f>
        <v>#VALUE!</v>
      </c>
      <c r="AE71" t="e">
        <f>'2.4.Функции'!WK141+"BYw!%&gt;|"</f>
        <v>#VALUE!</v>
      </c>
      <c r="AF71" t="e">
        <f>'2.4.Функции'!WL141+"BYw!%&gt;}"</f>
        <v>#VALUE!</v>
      </c>
      <c r="AG71" t="e">
        <f>'2.4.Функции'!WM141+"BYw!%&gt;~"</f>
        <v>#VALUE!</v>
      </c>
      <c r="AH71" t="e">
        <f>'2.4.Функции'!WN141+"BYw!%?#"</f>
        <v>#VALUE!</v>
      </c>
      <c r="AI71" t="e">
        <f>'2.4.Функции'!WO141+"BYw!%?$"</f>
        <v>#VALUE!</v>
      </c>
      <c r="AJ71" t="e">
        <f>'2.4.Функции'!WP141+"BYw!%?%"</f>
        <v>#VALUE!</v>
      </c>
      <c r="AK71" t="e">
        <f>'2.4.Функции'!WQ141+"BYw!%?&amp;"</f>
        <v>#VALUE!</v>
      </c>
      <c r="AL71" t="e">
        <f>'2.4.Функции'!WR141+"BYw!%?'"</f>
        <v>#VALUE!</v>
      </c>
      <c r="AM71" t="e">
        <f>'2.4.Функции'!WS141+"BYw!%?("</f>
        <v>#VALUE!</v>
      </c>
      <c r="AN71" t="e">
        <f>'2.4.Функции'!WT141+"BYw!%?)"</f>
        <v>#VALUE!</v>
      </c>
      <c r="AO71" t="e">
        <f>'2.4.Функции'!WU141+"BYw!%?."</f>
        <v>#VALUE!</v>
      </c>
      <c r="AP71" t="e">
        <f>'2.4.Функции'!WV141+"BYw!%?/"</f>
        <v>#VALUE!</v>
      </c>
      <c r="AQ71" t="e">
        <f>'2.4.Функции'!WW141+"BYw!%?0"</f>
        <v>#VALUE!</v>
      </c>
      <c r="AR71" t="e">
        <f>'2.4.Функции'!WX141+"BYw!%?1"</f>
        <v>#VALUE!</v>
      </c>
      <c r="AS71" t="e">
        <f>'2.4.Функции'!WY141+"BYw!%?2"</f>
        <v>#VALUE!</v>
      </c>
      <c r="AT71" t="e">
        <f>'2.4.Функции'!WZ141+"BYw!%?3"</f>
        <v>#VALUE!</v>
      </c>
      <c r="AU71" t="e">
        <f>'2.4.Функции'!XA141+"BYw!%?4"</f>
        <v>#VALUE!</v>
      </c>
      <c r="AV71" t="e">
        <f>'2.4.Функции'!XB141+"BYw!%?5"</f>
        <v>#VALUE!</v>
      </c>
      <c r="AW71" t="e">
        <f>'2.4.Функции'!XC141+"BYw!%?6"</f>
        <v>#VALUE!</v>
      </c>
      <c r="AX71" t="e">
        <f>'2.4.Функции'!XD141+"BYw!%?7"</f>
        <v>#VALUE!</v>
      </c>
      <c r="AY71" t="e">
        <f>'2.4.Функции'!XE141+"BYw!%?8"</f>
        <v>#VALUE!</v>
      </c>
      <c r="AZ71" t="e">
        <f>'2.4.Функции'!XF141+"BYw!%?9"</f>
        <v>#VALUE!</v>
      </c>
      <c r="BA71" t="e">
        <f>'2.4.Функции'!XG141+"BYw!%?:"</f>
        <v>#VALUE!</v>
      </c>
      <c r="BB71" t="e">
        <f>'2.4.Функции'!XH141+"BYw!%?;"</f>
        <v>#VALUE!</v>
      </c>
      <c r="BC71" t="e">
        <f>'2.4.Функции'!XI141+"BYw!%?&lt;"</f>
        <v>#VALUE!</v>
      </c>
      <c r="BD71" t="e">
        <f>'2.4.Функции'!XJ141+"BYw!%?="</f>
        <v>#VALUE!</v>
      </c>
      <c r="BE71" t="e">
        <f>'2.4.Функции'!XK141+"BYw!%?&gt;"</f>
        <v>#VALUE!</v>
      </c>
      <c r="BF71" t="e">
        <f>'2.4.Функции'!XL141+"BYw!%??"</f>
        <v>#VALUE!</v>
      </c>
      <c r="BG71" t="e">
        <f>'2.4.Функции'!XM141+"BYw!%?@"</f>
        <v>#VALUE!</v>
      </c>
      <c r="BH71" t="e">
        <f>'2.4.Функции'!XN141+"BYw!%?A"</f>
        <v>#VALUE!</v>
      </c>
      <c r="BI71" t="e">
        <f>'2.4.Функции'!XO141+"BYw!%?B"</f>
        <v>#VALUE!</v>
      </c>
      <c r="BJ71" t="e">
        <f>'2.4.Функции'!XP141+"BYw!%?C"</f>
        <v>#VALUE!</v>
      </c>
      <c r="BK71" t="e">
        <f>'2.4.Функции'!XQ141+"BYw!%?D"</f>
        <v>#VALUE!</v>
      </c>
      <c r="BL71" t="e">
        <f>'2.4.Функции'!XR141+"BYw!%?E"</f>
        <v>#VALUE!</v>
      </c>
      <c r="BM71" t="e">
        <f>'2.4.Функции'!XS141+"BYw!%?F"</f>
        <v>#VALUE!</v>
      </c>
      <c r="BN71" t="e">
        <f>'2.4.Функции'!XT141+"BYw!%?G"</f>
        <v>#VALUE!</v>
      </c>
      <c r="BO71" t="e">
        <f>'2.4.Функции'!XU141+"BYw!%?H"</f>
        <v>#VALUE!</v>
      </c>
      <c r="BP71" t="e">
        <f>'2.4.Функции'!XV141+"BYw!%?I"</f>
        <v>#VALUE!</v>
      </c>
      <c r="BQ71" t="e">
        <f>'2.4.Функции'!XW141+"BYw!%?J"</f>
        <v>#VALUE!</v>
      </c>
      <c r="BR71" t="e">
        <f>'2.4.Функции'!XX141+"BYw!%?K"</f>
        <v>#VALUE!</v>
      </c>
      <c r="BS71" t="e">
        <f>'2.4.Функции'!XY141+"BYw!%?L"</f>
        <v>#VALUE!</v>
      </c>
      <c r="BT71" t="e">
        <f>'2.4.Функции'!XZ141+"BYw!%?M"</f>
        <v>#VALUE!</v>
      </c>
      <c r="BU71" t="e">
        <f>'2.4.Функции'!YA141+"BYw!%?N"</f>
        <v>#VALUE!</v>
      </c>
      <c r="BV71" t="e">
        <f>'2.4.Функции'!YB141+"BYw!%?O"</f>
        <v>#VALUE!</v>
      </c>
      <c r="BW71" t="e">
        <f>'2.4.Функции'!YC141+"BYw!%?P"</f>
        <v>#VALUE!</v>
      </c>
      <c r="BX71" t="e">
        <f>'2.4.Функции'!YD141+"BYw!%?Q"</f>
        <v>#VALUE!</v>
      </c>
      <c r="BY71" t="e">
        <f>'2.4.Функции'!YE141+"BYw!%?R"</f>
        <v>#VALUE!</v>
      </c>
      <c r="BZ71" t="e">
        <f>'2.4.Функции'!YF141+"BYw!%?S"</f>
        <v>#VALUE!</v>
      </c>
      <c r="CA71" t="e">
        <f>'2.4.Функции'!YG141+"BYw!%?T"</f>
        <v>#VALUE!</v>
      </c>
      <c r="CB71" t="e">
        <f>'2.4.Функции'!YH141+"BYw!%?U"</f>
        <v>#VALUE!</v>
      </c>
      <c r="CC71" t="e">
        <f>'2.4.Функции'!YI141+"BYw!%?V"</f>
        <v>#VALUE!</v>
      </c>
      <c r="CD71" t="e">
        <f>'2.4.Функции'!YJ141+"BYw!%?W"</f>
        <v>#VALUE!</v>
      </c>
      <c r="CE71" t="e">
        <f>'2.4.Функции'!YK141+"BYw!%?X"</f>
        <v>#VALUE!</v>
      </c>
      <c r="CF71" t="e">
        <f>'2.4.Функции'!YL141+"BYw!%?Y"</f>
        <v>#VALUE!</v>
      </c>
      <c r="CG71" t="e">
        <f>'2.4.Функции'!YM141+"BYw!%?Z"</f>
        <v>#VALUE!</v>
      </c>
      <c r="CH71" t="e">
        <f>'2.4.Функции'!YN141+"BYw!%?["</f>
        <v>#VALUE!</v>
      </c>
      <c r="CI71" t="e">
        <f>'2.4.Функции'!YO141+"BYw!%?\"</f>
        <v>#VALUE!</v>
      </c>
      <c r="CJ71" t="e">
        <f>'2.4.Функции'!YP141+"BYw!%?]"</f>
        <v>#VALUE!</v>
      </c>
      <c r="CK71" t="e">
        <f>'2.4.Функции'!YQ141+"BYw!%?^"</f>
        <v>#VALUE!</v>
      </c>
      <c r="CL71" t="e">
        <f>'2.4.Функции'!YR141+"BYw!%?_"</f>
        <v>#VALUE!</v>
      </c>
      <c r="CM71" t="e">
        <f>'2.4.Функции'!YS141+"BYw!%?`"</f>
        <v>#VALUE!</v>
      </c>
      <c r="CN71" t="e">
        <f>'2.4.Функции'!YT141+"BYw!%?a"</f>
        <v>#VALUE!</v>
      </c>
      <c r="CO71" t="e">
        <f>'2.4.Функции'!YU141+"BYw!%?b"</f>
        <v>#VALUE!</v>
      </c>
      <c r="CP71" t="e">
        <f>'2.4.Функции'!YV141+"BYw!%?c"</f>
        <v>#VALUE!</v>
      </c>
      <c r="CQ71" t="e">
        <f>'2.4.Функции'!YW141+"BYw!%?d"</f>
        <v>#VALUE!</v>
      </c>
      <c r="CR71" t="e">
        <f>'2.4.Функции'!YX141+"BYw!%?e"</f>
        <v>#VALUE!</v>
      </c>
      <c r="CS71" t="e">
        <f>'2.4.Функции'!YY141+"BYw!%?f"</f>
        <v>#VALUE!</v>
      </c>
      <c r="CT71" t="e">
        <f>'2.4.Функции'!YZ141+"BYw!%?g"</f>
        <v>#VALUE!</v>
      </c>
      <c r="CU71" t="e">
        <f>'2.4.Функции'!ZA141+"BYw!%?h"</f>
        <v>#VALUE!</v>
      </c>
      <c r="CV71" t="e">
        <f>'2.4.Функции'!ZB141+"BYw!%?i"</f>
        <v>#VALUE!</v>
      </c>
      <c r="CW71" t="e">
        <f>'2.4.Функции'!ZC141+"BYw!%?j"</f>
        <v>#VALUE!</v>
      </c>
      <c r="CX71" t="e">
        <f>'2.4.Функции'!ZD141+"BYw!%?k"</f>
        <v>#VALUE!</v>
      </c>
      <c r="CY71" t="e">
        <f>'2.4.Функции'!ZE141+"BYw!%?l"</f>
        <v>#VALUE!</v>
      </c>
      <c r="CZ71" t="e">
        <f>'2.4.Функции'!ZF141+"BYw!%?m"</f>
        <v>#VALUE!</v>
      </c>
      <c r="DA71" t="e">
        <f>'2.4.Функции'!ZG141+"BYw!%?n"</f>
        <v>#VALUE!</v>
      </c>
      <c r="DB71" t="e">
        <f>'2.4.Функции'!ZH141+"BYw!%?o"</f>
        <v>#VALUE!</v>
      </c>
      <c r="DC71" t="e">
        <f>'2.4.Функции'!ZI141+"BYw!%?p"</f>
        <v>#VALUE!</v>
      </c>
      <c r="DD71" t="e">
        <f>'2.4.Функции'!ZJ141+"BYw!%?q"</f>
        <v>#VALUE!</v>
      </c>
      <c r="DE71" t="e">
        <f>'2.4.Функции'!ZK141+"BYw!%?r"</f>
        <v>#VALUE!</v>
      </c>
      <c r="DF71" t="e">
        <f>'2.4.Функции'!ZL141+"BYw!%?s"</f>
        <v>#VALUE!</v>
      </c>
      <c r="DG71" t="e">
        <f>'2.4.Функции'!ZM141+"BYw!%?t"</f>
        <v>#VALUE!</v>
      </c>
      <c r="DH71" t="e">
        <f>'2.4.Функции'!ZN141+"BYw!%?u"</f>
        <v>#VALUE!</v>
      </c>
      <c r="DI71" t="e">
        <f>'2.4.Функции'!ZO141+"BYw!%?v"</f>
        <v>#VALUE!</v>
      </c>
      <c r="DJ71" t="e">
        <f>'2.4.Функции'!ZP141+"BYw!%?w"</f>
        <v>#VALUE!</v>
      </c>
      <c r="DK71" t="e">
        <f>'2.4.Функции'!ZQ141+"BYw!%?x"</f>
        <v>#VALUE!</v>
      </c>
      <c r="DL71" t="e">
        <f>'2.4.Функции'!ZR141+"BYw!%?y"</f>
        <v>#VALUE!</v>
      </c>
      <c r="DM71" t="e">
        <f>'2.4.Функции'!ZS141+"BYw!%?z"</f>
        <v>#VALUE!</v>
      </c>
      <c r="DN71" t="e">
        <f>'2.4.Функции'!ZT141+"BYw!%?{"</f>
        <v>#VALUE!</v>
      </c>
      <c r="DO71" t="e">
        <f>'2.4.Функции'!ZU141+"BYw!%?|"</f>
        <v>#VALUE!</v>
      </c>
      <c r="DP71" t="e">
        <f>'2.4.Функции'!ZV141+"BYw!%?}"</f>
        <v>#VALUE!</v>
      </c>
      <c r="DQ71" t="e">
        <f>'2.4.Функции'!ZW141+"BYw!%?~"</f>
        <v>#VALUE!</v>
      </c>
      <c r="DR71" t="e">
        <f>'2.4.Функции'!ZX141+"BYw!%@#"</f>
        <v>#VALUE!</v>
      </c>
      <c r="DS71" t="e">
        <f>'2.4.Функции'!ZY141+"BYw!%@$"</f>
        <v>#VALUE!</v>
      </c>
      <c r="DT71" t="e">
        <f>'2.4.Функции'!ZZ141+"BYw!%@%"</f>
        <v>#VALUE!</v>
      </c>
      <c r="DU71" t="e">
        <f>'2.4.Функции'!AAA141+"BYw!%@&amp;"</f>
        <v>#VALUE!</v>
      </c>
      <c r="DV71" t="e">
        <f>'2.4.Функции'!AAB141+"BYw!%@'"</f>
        <v>#VALUE!</v>
      </c>
      <c r="DW71" t="e">
        <f>'2.4.Функции'!AAC141+"BYw!%@("</f>
        <v>#VALUE!</v>
      </c>
      <c r="DX71" t="e">
        <f>'2.4.Функции'!AAD141+"BYw!%@)"</f>
        <v>#VALUE!</v>
      </c>
      <c r="DY71" t="e">
        <f>'2.4.Функции'!AAE141+"BYw!%@."</f>
        <v>#VALUE!</v>
      </c>
      <c r="DZ71" t="e">
        <f>'2.4.Функции'!AAF141+"BYw!%@/"</f>
        <v>#VALUE!</v>
      </c>
      <c r="EA71" t="e">
        <f>'2.4.Функции'!AAG141+"BYw!%@0"</f>
        <v>#VALUE!</v>
      </c>
      <c r="EB71" t="e">
        <f>'2.4.Функции'!AAH141+"BYw!%@1"</f>
        <v>#VALUE!</v>
      </c>
      <c r="EC71" t="e">
        <f>'2.4.Функции'!AAI141+"BYw!%@2"</f>
        <v>#VALUE!</v>
      </c>
      <c r="ED71" t="e">
        <f>'2.4.Функции'!AAJ141+"BYw!%@3"</f>
        <v>#VALUE!</v>
      </c>
      <c r="EE71" t="e">
        <f>'2.4.Функции'!AAK141+"BYw!%@4"</f>
        <v>#VALUE!</v>
      </c>
      <c r="EF71" t="e">
        <f>'2.4.Функции'!AAL141+"BYw!%@5"</f>
        <v>#VALUE!</v>
      </c>
      <c r="EG71" t="e">
        <f>'2.4.Функции'!AAM141+"BYw!%@6"</f>
        <v>#VALUE!</v>
      </c>
      <c r="EH71" t="e">
        <f>'2.4.Функции'!AAN141+"BYw!%@7"</f>
        <v>#VALUE!</v>
      </c>
      <c r="EI71" t="e">
        <f>'2.4.Функции'!AAO141+"BYw!%@8"</f>
        <v>#VALUE!</v>
      </c>
      <c r="EJ71" t="e">
        <f>'2.4.Функции'!AAP141+"BYw!%@9"</f>
        <v>#VALUE!</v>
      </c>
      <c r="EK71" t="e">
        <f>'2.4.Функции'!AAQ141+"BYw!%@:"</f>
        <v>#VALUE!</v>
      </c>
      <c r="EL71" t="e">
        <f>'2.4.Функции'!AAR141+"BYw!%@;"</f>
        <v>#VALUE!</v>
      </c>
      <c r="EM71" t="e">
        <f>'2.4.Функции'!AAS141+"BYw!%@&lt;"</f>
        <v>#VALUE!</v>
      </c>
      <c r="EN71" t="e">
        <f>'2.4.Функции'!AAT141+"BYw!%@="</f>
        <v>#VALUE!</v>
      </c>
      <c r="EO71" t="e">
        <f>'2.4.Функции'!AAU141+"BYw!%@&gt;"</f>
        <v>#VALUE!</v>
      </c>
      <c r="EP71" t="e">
        <f>'2.4.Функции'!AAV141+"BYw!%@?"</f>
        <v>#VALUE!</v>
      </c>
      <c r="EQ71" t="e">
        <f>'2.4.Функции'!AAW141+"BYw!%@@"</f>
        <v>#VALUE!</v>
      </c>
      <c r="ER71" t="e">
        <f>'2.4.Функции'!AAX141+"BYw!%@A"</f>
        <v>#VALUE!</v>
      </c>
      <c r="ES71" t="e">
        <f>'2.4.Функции'!AAY141+"BYw!%@B"</f>
        <v>#VALUE!</v>
      </c>
      <c r="ET71" t="e">
        <f>'2.4.Функции'!AAZ141+"BYw!%@C"</f>
        <v>#VALUE!</v>
      </c>
      <c r="EU71" t="e">
        <f>'2.4.Функции'!ABA141+"BYw!%@D"</f>
        <v>#VALUE!</v>
      </c>
      <c r="EV71" t="e">
        <f>'2.4.Функции'!ABB141+"BYw!%@E"</f>
        <v>#VALUE!</v>
      </c>
      <c r="EW71" t="e">
        <f>'2.4.Функции'!ABC141+"BYw!%@F"</f>
        <v>#VALUE!</v>
      </c>
      <c r="EX71" t="e">
        <f>'2.4.Функции'!ABD141+"BYw!%@G"</f>
        <v>#VALUE!</v>
      </c>
      <c r="EY71" t="e">
        <f>'2.4.Функции'!ABE141+"BYw!%@H"</f>
        <v>#VALUE!</v>
      </c>
      <c r="EZ71" t="e">
        <f>'2.4.Функции'!ABF141+"BYw!%@I"</f>
        <v>#VALUE!</v>
      </c>
      <c r="FA71" t="e">
        <f>'2.4.Функции'!ABG141+"BYw!%@J"</f>
        <v>#VALUE!</v>
      </c>
      <c r="FB71" t="e">
        <f>'2.4.Функции'!ABH141+"BYw!%@K"</f>
        <v>#VALUE!</v>
      </c>
      <c r="FC71" t="e">
        <f>'2.4.Функции'!ABI141+"BYw!%@L"</f>
        <v>#VALUE!</v>
      </c>
      <c r="FD71" t="e">
        <f>'2.4.Функции'!ABJ141+"BYw!%@M"</f>
        <v>#VALUE!</v>
      </c>
      <c r="FE71" t="e">
        <f>'2.4.Функции'!ABK141+"BYw!%@N"</f>
        <v>#VALUE!</v>
      </c>
      <c r="FF71" t="e">
        <f>'2.4.Функции'!ABL141+"BYw!%@O"</f>
        <v>#VALUE!</v>
      </c>
      <c r="FG71" t="e">
        <f>'2.4.Функции'!ABM141+"BYw!%@P"</f>
        <v>#VALUE!</v>
      </c>
      <c r="FH71" t="e">
        <f>'2.4.Функции'!ABN141+"BYw!%@Q"</f>
        <v>#VALUE!</v>
      </c>
      <c r="FI71" t="e">
        <f>'2.4.Функции'!ABO141+"BYw!%@R"</f>
        <v>#VALUE!</v>
      </c>
      <c r="FJ71" t="e">
        <f>'2.4.Функции'!ABP141+"BYw!%@S"</f>
        <v>#VALUE!</v>
      </c>
      <c r="FK71" t="e">
        <f>'2.4.Функции'!ABQ141+"BYw!%@T"</f>
        <v>#VALUE!</v>
      </c>
      <c r="FL71" t="e">
        <f>'2.4.Функции'!ABR141+"BYw!%@U"</f>
        <v>#VALUE!</v>
      </c>
      <c r="FM71" t="e">
        <f>'2.4.Функции'!ABS141+"BYw!%@V"</f>
        <v>#VALUE!</v>
      </c>
      <c r="FN71" t="e">
        <f>'2.4.Функции'!ABT141+"BYw!%@W"</f>
        <v>#VALUE!</v>
      </c>
      <c r="FO71" t="e">
        <f>'2.4.Функции'!ABU141+"BYw!%@X"</f>
        <v>#VALUE!</v>
      </c>
      <c r="FP71" t="e">
        <f>'2.4.Функции'!ABV141+"BYw!%@Y"</f>
        <v>#VALUE!</v>
      </c>
      <c r="FQ71" t="e">
        <f>'2.4.Функции'!ABW141+"BYw!%@Z"</f>
        <v>#VALUE!</v>
      </c>
      <c r="FR71" t="e">
        <f>'2.4.Функции'!ABX141+"BYw!%@["</f>
        <v>#VALUE!</v>
      </c>
      <c r="FS71" t="e">
        <f>'2.4.Функции'!ABY141+"BYw!%@\"</f>
        <v>#VALUE!</v>
      </c>
      <c r="FT71" t="e">
        <f>'2.4.Функции'!ABZ141+"BYw!%@]"</f>
        <v>#VALUE!</v>
      </c>
      <c r="FU71" t="e">
        <f>'2.4.Функции'!ACA141+"BYw!%@^"</f>
        <v>#VALUE!</v>
      </c>
      <c r="FV71" t="e">
        <f>'2.4.Функции'!ACB141+"BYw!%@_"</f>
        <v>#VALUE!</v>
      </c>
      <c r="FW71" t="e">
        <f>'2.4.Функции'!ACC141+"BYw!%@`"</f>
        <v>#VALUE!</v>
      </c>
      <c r="FX71" t="e">
        <f>'2.4.Функции'!ACD141+"BYw!%@a"</f>
        <v>#VALUE!</v>
      </c>
      <c r="FY71" t="e">
        <f>'2.4.Функции'!ACE141+"BYw!%@b"</f>
        <v>#VALUE!</v>
      </c>
      <c r="FZ71" t="e">
        <f>'2.4.Функции'!ACF141+"BYw!%@c"</f>
        <v>#VALUE!</v>
      </c>
      <c r="GA71" t="e">
        <f>'2.4.Функции'!ACG141+"BYw!%@d"</f>
        <v>#VALUE!</v>
      </c>
      <c r="GB71" t="e">
        <f>'2.4.Функции'!ACH141+"BYw!%@e"</f>
        <v>#VALUE!</v>
      </c>
      <c r="GC71" t="e">
        <f>'2.4.Функции'!ACI141+"BYw!%@f"</f>
        <v>#VALUE!</v>
      </c>
      <c r="GD71" t="e">
        <f>'2.4.Функции'!ACJ141+"BYw!%@g"</f>
        <v>#VALUE!</v>
      </c>
      <c r="GE71" t="e">
        <f>'2.4.Функции'!ACK141+"BYw!%@h"</f>
        <v>#VALUE!</v>
      </c>
      <c r="GF71" t="e">
        <f>'2.4.Функции'!ACL141+"BYw!%@i"</f>
        <v>#VALUE!</v>
      </c>
      <c r="GG71" t="e">
        <f>'2.4.Функции'!ACM141+"BYw!%@j"</f>
        <v>#VALUE!</v>
      </c>
      <c r="GH71" t="e">
        <f>'2.4.Функции'!ACN141+"BYw!%@k"</f>
        <v>#VALUE!</v>
      </c>
      <c r="GI71" t="e">
        <f>'2.4.Функции'!ACO141+"BYw!%@l"</f>
        <v>#VALUE!</v>
      </c>
      <c r="GJ71" t="e">
        <f>'2.4.Функции'!ACP141+"BYw!%@m"</f>
        <v>#VALUE!</v>
      </c>
      <c r="GK71" t="e">
        <f>'2.4.Функции'!ACQ141+"BYw!%@n"</f>
        <v>#VALUE!</v>
      </c>
      <c r="GL71" t="e">
        <f>'2.4.Функции'!ACR141+"BYw!%@o"</f>
        <v>#VALUE!</v>
      </c>
      <c r="GM71" t="e">
        <f>'2.4.Функции'!ACS141+"BYw!%@p"</f>
        <v>#VALUE!</v>
      </c>
      <c r="GN71" t="e">
        <f>'2.4.Функции'!ACT141+"BYw!%@q"</f>
        <v>#VALUE!</v>
      </c>
      <c r="GO71" t="e">
        <f>'2.4.Функции'!ACU141+"BYw!%@r"</f>
        <v>#VALUE!</v>
      </c>
      <c r="GP71" t="e">
        <f>'2.4.Функции'!ACV141+"BYw!%@s"</f>
        <v>#VALUE!</v>
      </c>
      <c r="GQ71" t="e">
        <f>'2.4.Функции'!ACW141+"BYw!%@t"</f>
        <v>#VALUE!</v>
      </c>
      <c r="GR71" t="e">
        <f>'2.4.Функции'!ACX141+"BYw!%@u"</f>
        <v>#VALUE!</v>
      </c>
      <c r="GS71" t="e">
        <f>'2.4.Функции'!ACY141+"BYw!%@v"</f>
        <v>#VALUE!</v>
      </c>
      <c r="GT71" t="e">
        <f>'2.4.Функции'!ACZ141+"BYw!%@w"</f>
        <v>#VALUE!</v>
      </c>
      <c r="GU71" t="e">
        <f>'2.4.Функции'!ADA141+"BYw!%@x"</f>
        <v>#VALUE!</v>
      </c>
      <c r="GV71" t="e">
        <f>'2.4.Функции'!ADB141+"BYw!%@y"</f>
        <v>#VALUE!</v>
      </c>
      <c r="GW71" t="e">
        <f>'2.4.Функции'!ADC141+"BYw!%@z"</f>
        <v>#VALUE!</v>
      </c>
      <c r="GX71" t="e">
        <f>'2.4.Функции'!ADD141+"BYw!%@{"</f>
        <v>#VALUE!</v>
      </c>
      <c r="GY71" t="e">
        <f>'2.4.Функции'!ADE141+"BYw!%@|"</f>
        <v>#VALUE!</v>
      </c>
      <c r="GZ71" t="e">
        <f>'2.4.Функции'!ADF141+"BYw!%@}"</f>
        <v>#VALUE!</v>
      </c>
      <c r="HA71" t="e">
        <f>'2.4.Функции'!ADG141+"BYw!%@~"</f>
        <v>#VALUE!</v>
      </c>
      <c r="HB71" t="e">
        <f>'2.4.Функции'!ADH141+"BYw!%A#"</f>
        <v>#VALUE!</v>
      </c>
      <c r="HC71" t="e">
        <f>'2.4.Функции'!ADI141+"BYw!%A$"</f>
        <v>#VALUE!</v>
      </c>
      <c r="HD71" t="e">
        <f>'2.4.Функции'!ADJ141+"BYw!%A%"</f>
        <v>#VALUE!</v>
      </c>
      <c r="HE71" t="e">
        <f>'2.4.Функции'!ADK141+"BYw!%A&amp;"</f>
        <v>#VALUE!</v>
      </c>
      <c r="HF71" t="e">
        <f>'2.4.Функции'!ADL141+"BYw!%A'"</f>
        <v>#VALUE!</v>
      </c>
      <c r="HG71" t="e">
        <f>'2.4.Функции'!ADM141+"BYw!%A("</f>
        <v>#VALUE!</v>
      </c>
      <c r="HH71" t="e">
        <f>'2.4.Функции'!ADN141+"BYw!%A)"</f>
        <v>#VALUE!</v>
      </c>
      <c r="HI71" t="e">
        <f>'2.4.Функции'!ADO141+"BYw!%A."</f>
        <v>#VALUE!</v>
      </c>
      <c r="HJ71" t="e">
        <f>'2.4.Функции'!ADP141+"BYw!%A/"</f>
        <v>#VALUE!</v>
      </c>
      <c r="HK71" t="e">
        <f>'2.4.Функции'!ADQ141+"BYw!%A0"</f>
        <v>#VALUE!</v>
      </c>
      <c r="HL71" t="e">
        <f>'2.4.Функции'!ADR141+"BYw!%A1"</f>
        <v>#VALUE!</v>
      </c>
      <c r="HM71" t="e">
        <f>'2.4.Функции'!ADS141+"BYw!%A2"</f>
        <v>#VALUE!</v>
      </c>
      <c r="HN71" t="e">
        <f>'2.4.Функции'!ADT141+"BYw!%A3"</f>
        <v>#VALUE!</v>
      </c>
      <c r="HO71" t="e">
        <f>'2.4.Функции'!ADU141+"BYw!%A4"</f>
        <v>#VALUE!</v>
      </c>
      <c r="HP71" t="e">
        <f>'2.4.Функции'!ADV141+"BYw!%A5"</f>
        <v>#VALUE!</v>
      </c>
      <c r="HQ71" t="e">
        <f>'2.4.Функции'!ADW141+"BYw!%A6"</f>
        <v>#VALUE!</v>
      </c>
      <c r="HR71" t="e">
        <f>'2.4.Функции'!ADX141+"BYw!%A7"</f>
        <v>#VALUE!</v>
      </c>
      <c r="HS71" t="e">
        <f>'2.4.Функции'!ADY141+"BYw!%A8"</f>
        <v>#VALUE!</v>
      </c>
      <c r="HT71" t="e">
        <f>'2.4.Функции'!ADZ141+"BYw!%A9"</f>
        <v>#VALUE!</v>
      </c>
      <c r="HU71" t="e">
        <f>'2.4.Функции'!AEA141+"BYw!%A:"</f>
        <v>#VALUE!</v>
      </c>
      <c r="HV71" t="e">
        <f>'2.4.Функции'!AEB141+"BYw!%A;"</f>
        <v>#VALUE!</v>
      </c>
      <c r="HW71" t="e">
        <f>'2.4.Функции'!AEC141+"BYw!%A&lt;"</f>
        <v>#VALUE!</v>
      </c>
      <c r="HX71" t="e">
        <f>'2.4.Функции'!AED141+"BYw!%A="</f>
        <v>#VALUE!</v>
      </c>
      <c r="HY71" t="e">
        <f>'2.4.Функции'!AEE141+"BYw!%A&gt;"</f>
        <v>#VALUE!</v>
      </c>
      <c r="HZ71" t="e">
        <f>'2.4.Функции'!AEF141+"BYw!%A?"</f>
        <v>#VALUE!</v>
      </c>
      <c r="IA71" t="e">
        <f>'2.4.Функции'!AEG141+"BYw!%A@"</f>
        <v>#VALUE!</v>
      </c>
      <c r="IB71" t="e">
        <f>'2.4.Функции'!AEH141+"BYw!%AA"</f>
        <v>#VALUE!</v>
      </c>
      <c r="IC71" t="e">
        <f>'2.4.Функции'!AEI141+"BYw!%AB"</f>
        <v>#VALUE!</v>
      </c>
      <c r="ID71" t="e">
        <f>'2.4.Функции'!AEJ141+"BYw!%AC"</f>
        <v>#VALUE!</v>
      </c>
      <c r="IE71" t="e">
        <f>'2.4.Функции'!AEK141+"BYw!%AD"</f>
        <v>#VALUE!</v>
      </c>
      <c r="IF71" t="e">
        <f>'2.4.Функции'!AEL141+"BYw!%AE"</f>
        <v>#VALUE!</v>
      </c>
      <c r="IG71" t="e">
        <f>'2.4.Функции'!AEM141+"BYw!%AF"</f>
        <v>#VALUE!</v>
      </c>
      <c r="IH71" t="e">
        <f>'2.4.Функции'!AEN141+"BYw!%AG"</f>
        <v>#VALUE!</v>
      </c>
      <c r="II71" t="e">
        <f>'2.4.Функции'!AEO141+"BYw!%AH"</f>
        <v>#VALUE!</v>
      </c>
      <c r="IJ71" t="e">
        <f>'2.4.Функции'!AEP141+"BYw!%AI"</f>
        <v>#VALUE!</v>
      </c>
      <c r="IK71" t="e">
        <f>'2.4.Функции'!AEQ141+"BYw!%AJ"</f>
        <v>#VALUE!</v>
      </c>
      <c r="IL71" t="e">
        <f>'2.4.Функции'!AER141+"BYw!%AK"</f>
        <v>#VALUE!</v>
      </c>
      <c r="IM71" t="e">
        <f>'2.4.Функции'!AES141+"BYw!%AL"</f>
        <v>#VALUE!</v>
      </c>
      <c r="IN71" t="e">
        <f>'2.4.Функции'!AET141+"BYw!%AM"</f>
        <v>#VALUE!</v>
      </c>
      <c r="IO71" t="e">
        <f>'2.4.Функции'!AEU141+"BYw!%AN"</f>
        <v>#VALUE!</v>
      </c>
      <c r="IP71" t="e">
        <f>'2.4.Функции'!AEV141+"BYw!%AO"</f>
        <v>#VALUE!</v>
      </c>
      <c r="IQ71" t="e">
        <f>'2.4.Функции'!AEW141+"BYw!%AP"</f>
        <v>#VALUE!</v>
      </c>
      <c r="IR71" t="e">
        <f>'2.4.Функции'!AEX141+"BYw!%AQ"</f>
        <v>#VALUE!</v>
      </c>
      <c r="IS71" t="e">
        <f>'2.4.Функции'!AEY141+"BYw!%AR"</f>
        <v>#VALUE!</v>
      </c>
      <c r="IT71" t="e">
        <f>'2.4.Функции'!AEZ141+"BYw!%AS"</f>
        <v>#VALUE!</v>
      </c>
      <c r="IU71" t="e">
        <f>'2.4.Функции'!AFA141+"BYw!%AT"</f>
        <v>#VALUE!</v>
      </c>
      <c r="IV71" t="e">
        <f>'2.4.Функции'!AFB141+"BYw!%AU"</f>
        <v>#VALUE!</v>
      </c>
    </row>
    <row r="72" spans="6:256" x14ac:dyDescent="0.2">
      <c r="F72" t="e">
        <f>'2.4.Функции'!AFC141+"BYw!%AV"</f>
        <v>#VALUE!</v>
      </c>
      <c r="G72" t="e">
        <f>'2.4.Функции'!AFD141+"BYw!%AW"</f>
        <v>#VALUE!</v>
      </c>
      <c r="H72" t="e">
        <f>'2.4.Функции'!AFE141+"BYw!%AX"</f>
        <v>#VALUE!</v>
      </c>
      <c r="I72" t="e">
        <f>'2.4.Функции'!AFF141+"BYw!%AY"</f>
        <v>#VALUE!</v>
      </c>
      <c r="J72" t="e">
        <f>'2.4.Функции'!AFG141+"BYw!%AZ"</f>
        <v>#VALUE!</v>
      </c>
      <c r="K72" t="e">
        <f>'2.4.Функции'!AFH141+"BYw!%A["</f>
        <v>#VALUE!</v>
      </c>
      <c r="L72" t="e">
        <f>'2.4.Функции'!AFI141+"BYw!%A\"</f>
        <v>#VALUE!</v>
      </c>
      <c r="M72" t="e">
        <f>'2.4.Функции'!AFJ141+"BYw!%A]"</f>
        <v>#VALUE!</v>
      </c>
      <c r="N72" t="e">
        <f>'2.4.Функции'!AFK141+"BYw!%A^"</f>
        <v>#VALUE!</v>
      </c>
      <c r="O72" t="e">
        <f>'2.4.Функции'!AFL141+"BYw!%A_"</f>
        <v>#VALUE!</v>
      </c>
      <c r="P72" t="e">
        <f>'2.4.Функции'!AFM141+"BYw!%A`"</f>
        <v>#VALUE!</v>
      </c>
      <c r="Q72" t="e">
        <f>'2.4.Функции'!AFN141+"BYw!%Aa"</f>
        <v>#VALUE!</v>
      </c>
      <c r="R72" t="e">
        <f>'2.4.Функции'!AFO141+"BYw!%Ab"</f>
        <v>#VALUE!</v>
      </c>
      <c r="S72" t="e">
        <f>'2.4.Функции'!AFP141+"BYw!%Ac"</f>
        <v>#VALUE!</v>
      </c>
      <c r="T72" t="e">
        <f>'2.4.Функции'!AFQ141+"BYw!%Ad"</f>
        <v>#VALUE!</v>
      </c>
      <c r="U72" t="e">
        <f>'2.4.Функции'!AFR141+"BYw!%Ae"</f>
        <v>#VALUE!</v>
      </c>
      <c r="V72" t="e">
        <f>'2.4.Функции'!AFS141+"BYw!%Af"</f>
        <v>#VALUE!</v>
      </c>
      <c r="W72" t="e">
        <f>'2.4.Функции'!AFT141+"BYw!%Ag"</f>
        <v>#VALUE!</v>
      </c>
      <c r="X72" t="e">
        <f>'2.4.Функции'!AFU141+"BYw!%Ah"</f>
        <v>#VALUE!</v>
      </c>
      <c r="Y72" t="e">
        <f>'2.4.Функции'!AFV141+"BYw!%Ai"</f>
        <v>#VALUE!</v>
      </c>
      <c r="Z72" t="e">
        <f>'2.4.Функции'!AFW141+"BYw!%Aj"</f>
        <v>#VALUE!</v>
      </c>
      <c r="AA72" t="e">
        <f>'2.4.Функции'!AFX141+"BYw!%Ak"</f>
        <v>#VALUE!</v>
      </c>
      <c r="AB72" t="e">
        <f>'2.4.Функции'!AFY141+"BYw!%Al"</f>
        <v>#VALUE!</v>
      </c>
      <c r="AC72" t="e">
        <f>'2.4.Функции'!AFZ141+"BYw!%Am"</f>
        <v>#VALUE!</v>
      </c>
      <c r="AD72" t="e">
        <f>'2.4.Функции'!AGA141+"BYw!%An"</f>
        <v>#VALUE!</v>
      </c>
      <c r="AE72" t="e">
        <f>'2.4.Функции'!AGB141+"BYw!%Ao"</f>
        <v>#VALUE!</v>
      </c>
      <c r="AF72" t="e">
        <f>'2.4.Функции'!AGC141+"BYw!%Ap"</f>
        <v>#VALUE!</v>
      </c>
      <c r="AG72" t="e">
        <f>'2.4.Функции'!AGD141+"BYw!%Aq"</f>
        <v>#VALUE!</v>
      </c>
      <c r="AH72" t="e">
        <f>'2.4.Функции'!AGE141+"BYw!%Ar"</f>
        <v>#VALUE!</v>
      </c>
      <c r="AI72" t="e">
        <f>'2.4.Функции'!AGF141+"BYw!%As"</f>
        <v>#VALUE!</v>
      </c>
      <c r="AJ72" t="e">
        <f>'2.4.Функции'!AGG141+"BYw!%At"</f>
        <v>#VALUE!</v>
      </c>
      <c r="AK72" t="e">
        <f>'2.4.Функции'!AGH141+"BYw!%Au"</f>
        <v>#VALUE!</v>
      </c>
      <c r="AL72" t="e">
        <f>'2.4.Функции'!AGI141+"BYw!%Av"</f>
        <v>#VALUE!</v>
      </c>
      <c r="AM72" t="e">
        <f>'2.4.Функции'!AGJ141+"BYw!%Aw"</f>
        <v>#VALUE!</v>
      </c>
      <c r="AN72" t="e">
        <f>'2.4.Функции'!AGK141+"BYw!%Ax"</f>
        <v>#VALUE!</v>
      </c>
      <c r="AO72" t="e">
        <f>'2.4.Функции'!AGL141+"BYw!%Ay"</f>
        <v>#VALUE!</v>
      </c>
      <c r="AP72" t="e">
        <f>'2.4.Функции'!AGM141+"BYw!%Az"</f>
        <v>#VALUE!</v>
      </c>
      <c r="AQ72" t="e">
        <f>'2.4.Функции'!AGN141+"BYw!%A{"</f>
        <v>#VALUE!</v>
      </c>
      <c r="AR72" t="e">
        <f>'2.4.Функции'!AGO141+"BYw!%A|"</f>
        <v>#VALUE!</v>
      </c>
      <c r="AS72" t="e">
        <f>'2.4.Функции'!AGP141+"BYw!%A}"</f>
        <v>#VALUE!</v>
      </c>
      <c r="AT72" t="e">
        <f>'2.4.Функции'!AGQ141+"BYw!%A~"</f>
        <v>#VALUE!</v>
      </c>
      <c r="AU72" t="e">
        <f>'2.4.Функции'!AGR141+"BYw!%B#"</f>
        <v>#VALUE!</v>
      </c>
      <c r="AV72" t="e">
        <f>'2.4.Функции'!AGS141+"BYw!%B$"</f>
        <v>#VALUE!</v>
      </c>
      <c r="AW72" t="e">
        <f>'2.4.Функции'!AGT141+"BYw!%B%"</f>
        <v>#VALUE!</v>
      </c>
      <c r="AX72" t="e">
        <f>'2.4.Функции'!AGU141+"BYw!%B&amp;"</f>
        <v>#VALUE!</v>
      </c>
      <c r="AY72" t="e">
        <f>'2.4.Функции'!AGV141+"BYw!%B'"</f>
        <v>#VALUE!</v>
      </c>
      <c r="AZ72" t="e">
        <f>'2.4.Функции'!AGW141+"BYw!%B("</f>
        <v>#VALUE!</v>
      </c>
      <c r="BA72" t="e">
        <f>'2.4.Функции'!AGX141+"BYw!%B)"</f>
        <v>#VALUE!</v>
      </c>
      <c r="BB72" t="e">
        <f>'2.4.Функции'!AGY141+"BYw!%B."</f>
        <v>#VALUE!</v>
      </c>
      <c r="BC72" t="e">
        <f>'2.4.Функции'!AGZ141+"BYw!%B/"</f>
        <v>#VALUE!</v>
      </c>
      <c r="BD72" t="e">
        <f>'2.4.Функции'!AHA141+"BYw!%B0"</f>
        <v>#VALUE!</v>
      </c>
      <c r="BE72" t="e">
        <f>'2.4.Функции'!AHB141+"BYw!%B1"</f>
        <v>#VALUE!</v>
      </c>
      <c r="BF72" t="e">
        <f>'2.4.Функции'!AHC141+"BYw!%B2"</f>
        <v>#VALUE!</v>
      </c>
      <c r="BG72" t="e">
        <f>'2.4.Функции'!AHD141+"BYw!%B3"</f>
        <v>#VALUE!</v>
      </c>
      <c r="BH72" t="e">
        <f>'2.4.Функции'!AHE141+"BYw!%B4"</f>
        <v>#VALUE!</v>
      </c>
      <c r="BI72" t="e">
        <f>'2.4.Функции'!AHF141+"BYw!%B5"</f>
        <v>#VALUE!</v>
      </c>
      <c r="BJ72" t="e">
        <f>'2.4.Функции'!AHG141+"BYw!%B6"</f>
        <v>#VALUE!</v>
      </c>
      <c r="BK72" t="e">
        <f>'2.4.Функции'!AHH141+"BYw!%B7"</f>
        <v>#VALUE!</v>
      </c>
      <c r="BL72" t="e">
        <f>'2.4.Функции'!AHI141+"BYw!%B8"</f>
        <v>#VALUE!</v>
      </c>
      <c r="BM72" t="e">
        <f>'2.4.Функции'!AHJ141+"BYw!%B9"</f>
        <v>#VALUE!</v>
      </c>
      <c r="BN72" t="e">
        <f>'2.4.Функции'!AHK141+"BYw!%B:"</f>
        <v>#VALUE!</v>
      </c>
      <c r="BO72" t="e">
        <f>'2.4.Функции'!AHL141+"BYw!%B;"</f>
        <v>#VALUE!</v>
      </c>
      <c r="BP72" t="e">
        <f>'2.4.Функции'!AHM141+"BYw!%B&lt;"</f>
        <v>#VALUE!</v>
      </c>
      <c r="BQ72" t="e">
        <f>'2.4.Функции'!AHN141+"BYw!%B="</f>
        <v>#VALUE!</v>
      </c>
      <c r="BR72" t="e">
        <f>'2.4.Функции'!AHO141+"BYw!%B&gt;"</f>
        <v>#VALUE!</v>
      </c>
      <c r="BS72" t="e">
        <f>'2.4.Функции'!AHP141+"BYw!%B?"</f>
        <v>#VALUE!</v>
      </c>
      <c r="BT72" t="e">
        <f>'2.4.Функции'!AHQ141+"BYw!%B@"</f>
        <v>#VALUE!</v>
      </c>
      <c r="BU72" t="e">
        <f>'2.4.Функции'!AHR141+"BYw!%BA"</f>
        <v>#VALUE!</v>
      </c>
      <c r="BV72" t="e">
        <f>'2.4.Функции'!AHS141+"BYw!%BB"</f>
        <v>#VALUE!</v>
      </c>
      <c r="BW72" t="e">
        <f>'2.4.Функции'!AHT141+"BYw!%BC"</f>
        <v>#VALUE!</v>
      </c>
      <c r="BX72" t="e">
        <f>'2.4.Функции'!AHU141+"BYw!%BD"</f>
        <v>#VALUE!</v>
      </c>
      <c r="BY72" t="e">
        <f>'2.4.Функции'!AHV141+"BYw!%BE"</f>
        <v>#VALUE!</v>
      </c>
      <c r="BZ72" t="e">
        <f>'2.4.Функции'!AHW141+"BYw!%BF"</f>
        <v>#VALUE!</v>
      </c>
      <c r="CA72" t="e">
        <f>'2.4.Функции'!AHX141+"BYw!%BG"</f>
        <v>#VALUE!</v>
      </c>
      <c r="CB72" t="e">
        <f>'2.4.Функции'!AHY141+"BYw!%BH"</f>
        <v>#VALUE!</v>
      </c>
      <c r="CC72" t="e">
        <f>'2.4.Функции'!AHZ141+"BYw!%BI"</f>
        <v>#VALUE!</v>
      </c>
      <c r="CD72" t="e">
        <f>'2.4.Функции'!AIA141+"BYw!%BJ"</f>
        <v>#VALUE!</v>
      </c>
      <c r="CE72" t="e">
        <f>'2.4.Функции'!AIB141+"BYw!%BK"</f>
        <v>#VALUE!</v>
      </c>
      <c r="CF72" t="e">
        <f>'2.4.Функции'!AIC141+"BYw!%BL"</f>
        <v>#VALUE!</v>
      </c>
      <c r="CG72" t="e">
        <f>'2.4.Функции'!AID141+"BYw!%BM"</f>
        <v>#VALUE!</v>
      </c>
      <c r="CH72" t="e">
        <f>'2.4.Функции'!AIE141+"BYw!%BN"</f>
        <v>#VALUE!</v>
      </c>
      <c r="CI72" t="e">
        <f>'2.4.Функции'!AIF141+"BYw!%BO"</f>
        <v>#VALUE!</v>
      </c>
      <c r="CJ72" t="e">
        <f>'2.4.Функции'!AIG141+"BYw!%BP"</f>
        <v>#VALUE!</v>
      </c>
      <c r="CK72" t="e">
        <f>'2.4.Функции'!AIH141+"BYw!%BQ"</f>
        <v>#VALUE!</v>
      </c>
      <c r="CL72" t="e">
        <f>'2.4.Функции'!A142+"BYw!%BR"</f>
        <v>#VALUE!</v>
      </c>
      <c r="CM72" s="116" t="e">
        <f>'2.4.Функции'!B142+"BYw!%BS"</f>
        <v>#VALUE!</v>
      </c>
      <c r="CN72" t="e">
        <f>'2.4.Функции'!C142+"BYw!%BT"</f>
        <v>#VALUE!</v>
      </c>
      <c r="CO72" s="119" t="e">
        <f>'2.4.Функции'!D142+"BYw!%BU"</f>
        <v>#VALUE!</v>
      </c>
      <c r="CP72" s="119" t="e">
        <f>'2.4.Функции'!E142+"BYw!%BV"</f>
        <v>#VALUE!</v>
      </c>
      <c r="CQ72" s="119" t="e">
        <f>'2.4.Функции'!F142+"BYw!%BW"</f>
        <v>#VALUE!</v>
      </c>
      <c r="CR72" s="119" t="e">
        <f>'2.4.Функции'!G142+"BYw!%BX"</f>
        <v>#VALUE!</v>
      </c>
      <c r="CS72" s="119" t="e">
        <f>'2.4.Функции'!H142+"BYw!%BY"</f>
        <v>#VALUE!</v>
      </c>
      <c r="CT72" s="119" t="e">
        <f>'2.4.Функции'!I142+"BYw!%BZ"</f>
        <v>#VALUE!</v>
      </c>
      <c r="CU72" s="119" t="e">
        <f>'2.4.Функции'!J142+"BYw!%B["</f>
        <v>#VALUE!</v>
      </c>
      <c r="CV72" t="e">
        <f>'2.4.Функции'!K142+"BYw!%B\"</f>
        <v>#VALUE!</v>
      </c>
      <c r="CW72" t="e">
        <f>'2.4.Функции'!L142+"BYw!%B]"</f>
        <v>#VALUE!</v>
      </c>
      <c r="CX72" t="e">
        <f>'2.4.Функции'!M142+"BYw!%B^"</f>
        <v>#VALUE!</v>
      </c>
      <c r="CY72" t="e">
        <f>'2.4.Функции'!N142+"BYw!%B_"</f>
        <v>#VALUE!</v>
      </c>
      <c r="CZ72" t="e">
        <f>'2.4.Функции'!O142+"BYw!%B`"</f>
        <v>#VALUE!</v>
      </c>
      <c r="DA72" t="e">
        <f>'2.4.Функции'!P142+"BYw!%Ba"</f>
        <v>#VALUE!</v>
      </c>
      <c r="DB72" t="e">
        <f>'2.4.Функции'!Q142+"BYw!%Bb"</f>
        <v>#VALUE!</v>
      </c>
      <c r="DC72" t="e">
        <f>'2.4.Функции'!R142+"BYw!%Bc"</f>
        <v>#VALUE!</v>
      </c>
      <c r="DD72" t="e">
        <f>'2.4.Функции'!S142+"BYw!%Bd"</f>
        <v>#VALUE!</v>
      </c>
      <c r="DE72" t="e">
        <f>'2.4.Функции'!T142+"BYw!%Be"</f>
        <v>#VALUE!</v>
      </c>
      <c r="DF72" t="e">
        <f>'2.4.Функции'!U142+"BYw!%Bf"</f>
        <v>#VALUE!</v>
      </c>
      <c r="DG72" t="e">
        <f>'2.4.Функции'!V142+"BYw!%Bg"</f>
        <v>#VALUE!</v>
      </c>
      <c r="DH72" t="e">
        <f>'2.4.Функции'!W142+"BYw!%Bh"</f>
        <v>#VALUE!</v>
      </c>
      <c r="DI72" t="e">
        <f>'2.4.Функции'!X142+"BYw!%Bi"</f>
        <v>#VALUE!</v>
      </c>
      <c r="DJ72" t="e">
        <f>'2.4.Функции'!Y142+"BYw!%Bj"</f>
        <v>#VALUE!</v>
      </c>
      <c r="DK72" t="e">
        <f>'2.4.Функции'!Z142+"BYw!%Bk"</f>
        <v>#VALUE!</v>
      </c>
      <c r="DL72" t="e">
        <f>'2.4.Функции'!AA142+"BYw!%Bl"</f>
        <v>#VALUE!</v>
      </c>
      <c r="DM72" t="e">
        <f>'2.4.Функции'!AB142+"BYw!%Bm"</f>
        <v>#VALUE!</v>
      </c>
      <c r="DN72" t="e">
        <f>'2.4.Функции'!AC142+"BYw!%Bn"</f>
        <v>#VALUE!</v>
      </c>
      <c r="DO72" t="e">
        <f>'2.4.Функции'!AD142+"BYw!%Bo"</f>
        <v>#VALUE!</v>
      </c>
      <c r="DP72" t="e">
        <f>'2.4.Функции'!AE142+"BYw!%Bp"</f>
        <v>#VALUE!</v>
      </c>
      <c r="DQ72" t="e">
        <f>'2.4.Функции'!AF142+"BYw!%Bq"</f>
        <v>#VALUE!</v>
      </c>
      <c r="DR72" t="e">
        <f>'2.4.Функции'!AG142+"BYw!%Br"</f>
        <v>#VALUE!</v>
      </c>
      <c r="DS72" t="e">
        <f>'2.4.Функции'!AH142+"BYw!%Bs"</f>
        <v>#VALUE!</v>
      </c>
      <c r="DT72" t="e">
        <f>'2.4.Функции'!AI142+"BYw!%Bt"</f>
        <v>#VALUE!</v>
      </c>
      <c r="DU72" t="e">
        <f>'2.4.Функции'!AJ142+"BYw!%Bu"</f>
        <v>#VALUE!</v>
      </c>
      <c r="DV72" t="e">
        <f>'2.4.Функции'!AK142+"BYw!%Bv"</f>
        <v>#VALUE!</v>
      </c>
      <c r="DW72" t="e">
        <f>'2.4.Функции'!AL142+"BYw!%Bw"</f>
        <v>#VALUE!</v>
      </c>
      <c r="DX72" t="e">
        <f>'2.4.Функции'!AM142+"BYw!%Bx"</f>
        <v>#VALUE!</v>
      </c>
      <c r="DY72" t="e">
        <f>'2.4.Функции'!AN142+"BYw!%By"</f>
        <v>#VALUE!</v>
      </c>
      <c r="DZ72" t="e">
        <f>'2.4.Функции'!AO142+"BYw!%Bz"</f>
        <v>#VALUE!</v>
      </c>
      <c r="EA72" t="e">
        <f>'2.4.Функции'!AP142+"BYw!%B{"</f>
        <v>#VALUE!</v>
      </c>
      <c r="EB72" t="e">
        <f>'2.4.Функции'!AQ142+"BYw!%B|"</f>
        <v>#VALUE!</v>
      </c>
      <c r="EC72" t="e">
        <f>'2.4.Функции'!AR142+"BYw!%B}"</f>
        <v>#VALUE!</v>
      </c>
      <c r="ED72" t="e">
        <f>'2.4.Функции'!AS142+"BYw!%B~"</f>
        <v>#VALUE!</v>
      </c>
      <c r="EE72" t="e">
        <f>'2.4.Функции'!AT142+"BYw!%C#"</f>
        <v>#VALUE!</v>
      </c>
      <c r="EF72" t="e">
        <f>'2.4.Функции'!AU142+"BYw!%C$"</f>
        <v>#VALUE!</v>
      </c>
      <c r="EG72" t="e">
        <f>'2.4.Функции'!AV142+"BYw!%C%"</f>
        <v>#VALUE!</v>
      </c>
      <c r="EH72" t="e">
        <f>'2.4.Функции'!AW142+"BYw!%C&amp;"</f>
        <v>#VALUE!</v>
      </c>
      <c r="EI72" t="e">
        <f>'2.4.Функции'!AX142+"BYw!%C'"</f>
        <v>#VALUE!</v>
      </c>
      <c r="EJ72" t="e">
        <f>'2.4.Функции'!AY142+"BYw!%C("</f>
        <v>#VALUE!</v>
      </c>
      <c r="EK72" t="e">
        <f>'2.4.Функции'!AZ142+"BYw!%C)"</f>
        <v>#VALUE!</v>
      </c>
      <c r="EL72" t="e">
        <f>'2.4.Функции'!BA142+"BYw!%C."</f>
        <v>#VALUE!</v>
      </c>
      <c r="EM72" t="e">
        <f>'2.4.Функции'!BB142+"BYw!%C/"</f>
        <v>#VALUE!</v>
      </c>
      <c r="EN72" t="e">
        <f>'2.4.Функции'!BC142+"BYw!%C0"</f>
        <v>#VALUE!</v>
      </c>
      <c r="EO72" t="e">
        <f>'2.4.Функции'!BD142+"BYw!%C1"</f>
        <v>#VALUE!</v>
      </c>
      <c r="EP72" t="e">
        <f>'2.4.Функции'!BE142+"BYw!%C2"</f>
        <v>#VALUE!</v>
      </c>
      <c r="EQ72" t="e">
        <f>'2.4.Функции'!BF142+"BYw!%C3"</f>
        <v>#VALUE!</v>
      </c>
      <c r="ER72" t="e">
        <f>'2.4.Функции'!BG142+"BYw!%C4"</f>
        <v>#VALUE!</v>
      </c>
      <c r="ES72" t="e">
        <f>'2.4.Функции'!BH142+"BYw!%C5"</f>
        <v>#VALUE!</v>
      </c>
      <c r="ET72" t="e">
        <f>'2.4.Функции'!BI142+"BYw!%C6"</f>
        <v>#VALUE!</v>
      </c>
      <c r="EU72" t="e">
        <f>'2.4.Функции'!BJ142+"BYw!%C7"</f>
        <v>#VALUE!</v>
      </c>
      <c r="EV72" t="e">
        <f>'2.4.Функции'!BK142+"BYw!%C8"</f>
        <v>#VALUE!</v>
      </c>
      <c r="EW72" t="e">
        <f>'2.4.Функции'!BL142+"BYw!%C9"</f>
        <v>#VALUE!</v>
      </c>
      <c r="EX72" t="e">
        <f>'2.4.Функции'!BM142+"BYw!%C:"</f>
        <v>#VALUE!</v>
      </c>
      <c r="EY72" t="e">
        <f>'2.4.Функции'!BN142+"BYw!%C;"</f>
        <v>#VALUE!</v>
      </c>
      <c r="EZ72" t="e">
        <f>'2.4.Функции'!BO142+"BYw!%C&lt;"</f>
        <v>#VALUE!</v>
      </c>
      <c r="FA72" t="e">
        <f>'2.4.Функции'!BP142+"BYw!%C="</f>
        <v>#VALUE!</v>
      </c>
      <c r="FB72" t="e">
        <f>'2.4.Функции'!BQ142+"BYw!%C&gt;"</f>
        <v>#VALUE!</v>
      </c>
      <c r="FC72" t="e">
        <f>'2.4.Функции'!BR142+"BYw!%C?"</f>
        <v>#VALUE!</v>
      </c>
      <c r="FD72" t="e">
        <f>'2.4.Функции'!BS142+"BYw!%C@"</f>
        <v>#VALUE!</v>
      </c>
      <c r="FE72" t="e">
        <f>'2.4.Функции'!BT142+"BYw!%CA"</f>
        <v>#VALUE!</v>
      </c>
      <c r="FF72" t="e">
        <f>'2.4.Функции'!BU142+"BYw!%CB"</f>
        <v>#VALUE!</v>
      </c>
      <c r="FG72" t="e">
        <f>'2.4.Функции'!BV142+"BYw!%CC"</f>
        <v>#VALUE!</v>
      </c>
      <c r="FH72" t="e">
        <f>'2.4.Функции'!BW142+"BYw!%CD"</f>
        <v>#VALUE!</v>
      </c>
      <c r="FI72" t="e">
        <f>'2.4.Функции'!BX142+"BYw!%CE"</f>
        <v>#VALUE!</v>
      </c>
      <c r="FJ72" t="e">
        <f>'2.4.Функции'!BY142+"BYw!%CF"</f>
        <v>#VALUE!</v>
      </c>
      <c r="FK72" t="e">
        <f>'2.4.Функции'!BZ142+"BYw!%CG"</f>
        <v>#VALUE!</v>
      </c>
      <c r="FL72" t="e">
        <f>'2.4.Функции'!CA142+"BYw!%CH"</f>
        <v>#VALUE!</v>
      </c>
      <c r="FM72" t="e">
        <f>'2.4.Функции'!CB142+"BYw!%CI"</f>
        <v>#VALUE!</v>
      </c>
      <c r="FN72" t="e">
        <f>'2.4.Функции'!CC142+"BYw!%CJ"</f>
        <v>#VALUE!</v>
      </c>
      <c r="FO72" t="e">
        <f>'2.4.Функции'!CD142+"BYw!%CK"</f>
        <v>#VALUE!</v>
      </c>
      <c r="FP72" t="e">
        <f>'2.4.Функции'!CE142+"BYw!%CL"</f>
        <v>#VALUE!</v>
      </c>
      <c r="FQ72" t="e">
        <f>'2.4.Функции'!CF142+"BYw!%CM"</f>
        <v>#VALUE!</v>
      </c>
      <c r="FR72" t="e">
        <f>'2.4.Функции'!CG142+"BYw!%CN"</f>
        <v>#VALUE!</v>
      </c>
      <c r="FS72" t="e">
        <f>'2.4.Функции'!CH142+"BYw!%CO"</f>
        <v>#VALUE!</v>
      </c>
      <c r="FT72" t="e">
        <f>'2.4.Функции'!CI142+"BYw!%CP"</f>
        <v>#VALUE!</v>
      </c>
      <c r="FU72" t="e">
        <f>'2.4.Функции'!CJ142+"BYw!%CQ"</f>
        <v>#VALUE!</v>
      </c>
      <c r="FV72" t="e">
        <f>'2.4.Функции'!CK142+"BYw!%CR"</f>
        <v>#VALUE!</v>
      </c>
      <c r="FW72" t="e">
        <f>'2.4.Функции'!CL142+"BYw!%CS"</f>
        <v>#VALUE!</v>
      </c>
      <c r="FX72" t="e">
        <f>'2.4.Функции'!CM142+"BYw!%CT"</f>
        <v>#VALUE!</v>
      </c>
      <c r="FY72" t="e">
        <f>'2.4.Функции'!CN142+"BYw!%CU"</f>
        <v>#VALUE!</v>
      </c>
      <c r="FZ72" t="e">
        <f>'2.4.Функции'!CO142+"BYw!%CV"</f>
        <v>#VALUE!</v>
      </c>
      <c r="GA72" t="e">
        <f>'2.4.Функции'!CP142+"BYw!%CW"</f>
        <v>#VALUE!</v>
      </c>
      <c r="GB72" t="e">
        <f>'2.4.Функции'!CQ142+"BYw!%CX"</f>
        <v>#VALUE!</v>
      </c>
      <c r="GC72" t="e">
        <f>'2.4.Функции'!CR142+"BYw!%CY"</f>
        <v>#VALUE!</v>
      </c>
      <c r="GD72" t="e">
        <f>'2.4.Функции'!CS142+"BYw!%CZ"</f>
        <v>#VALUE!</v>
      </c>
      <c r="GE72" t="e">
        <f>'2.4.Функции'!CT142+"BYw!%C["</f>
        <v>#VALUE!</v>
      </c>
      <c r="GF72" t="e">
        <f>'2.4.Функции'!CU142+"BYw!%C\"</f>
        <v>#VALUE!</v>
      </c>
      <c r="GG72" t="e">
        <f>'2.4.Функции'!CV142+"BYw!%C]"</f>
        <v>#VALUE!</v>
      </c>
      <c r="GH72" t="e">
        <f>'2.4.Функции'!CW142+"BYw!%C^"</f>
        <v>#VALUE!</v>
      </c>
      <c r="GI72" t="e">
        <f>'2.4.Функции'!CX142+"BYw!%C_"</f>
        <v>#VALUE!</v>
      </c>
      <c r="GJ72" t="e">
        <f>'2.4.Функции'!CY142+"BYw!%C`"</f>
        <v>#VALUE!</v>
      </c>
      <c r="GK72" t="e">
        <f>'2.4.Функции'!CZ142+"BYw!%Ca"</f>
        <v>#VALUE!</v>
      </c>
      <c r="GL72" t="e">
        <f>'2.4.Функции'!DA142+"BYw!%Cb"</f>
        <v>#VALUE!</v>
      </c>
      <c r="GM72" t="e">
        <f>'2.4.Функции'!DB142+"BYw!%Cc"</f>
        <v>#VALUE!</v>
      </c>
      <c r="GN72" t="e">
        <f>'2.4.Функции'!DC142+"BYw!%Cd"</f>
        <v>#VALUE!</v>
      </c>
      <c r="GO72" t="e">
        <f>'2.4.Функции'!DD142+"BYw!%Ce"</f>
        <v>#VALUE!</v>
      </c>
      <c r="GP72" t="e">
        <f>'2.4.Функции'!DE142+"BYw!%Cf"</f>
        <v>#VALUE!</v>
      </c>
      <c r="GQ72" t="e">
        <f>'2.4.Функции'!DF142+"BYw!%Cg"</f>
        <v>#VALUE!</v>
      </c>
      <c r="GR72" t="e">
        <f>'2.4.Функции'!DG142+"BYw!%Ch"</f>
        <v>#VALUE!</v>
      </c>
      <c r="GS72" t="e">
        <f>'2.4.Функции'!DH142+"BYw!%Ci"</f>
        <v>#VALUE!</v>
      </c>
      <c r="GT72" t="e">
        <f>'2.4.Функции'!DI142+"BYw!%Cj"</f>
        <v>#VALUE!</v>
      </c>
      <c r="GU72" t="e">
        <f>'2.4.Функции'!DJ142+"BYw!%Ck"</f>
        <v>#VALUE!</v>
      </c>
      <c r="GV72" t="e">
        <f>'2.4.Функции'!DK142+"BYw!%Cl"</f>
        <v>#VALUE!</v>
      </c>
      <c r="GW72" t="e">
        <f>'2.4.Функции'!DL142+"BYw!%Cm"</f>
        <v>#VALUE!</v>
      </c>
      <c r="GX72" t="e">
        <f>'2.4.Функции'!DM142+"BYw!%Cn"</f>
        <v>#VALUE!</v>
      </c>
      <c r="GY72" t="e">
        <f>'2.4.Функции'!DN142+"BYw!%Co"</f>
        <v>#VALUE!</v>
      </c>
      <c r="GZ72" t="e">
        <f>'2.4.Функции'!DO142+"BYw!%Cp"</f>
        <v>#VALUE!</v>
      </c>
      <c r="HA72" t="e">
        <f>'2.4.Функции'!DP142+"BYw!%Cq"</f>
        <v>#VALUE!</v>
      </c>
      <c r="HB72" t="e">
        <f>'2.4.Функции'!DQ142+"BYw!%Cr"</f>
        <v>#VALUE!</v>
      </c>
      <c r="HC72" t="e">
        <f>'2.4.Функции'!DR142+"BYw!%Cs"</f>
        <v>#VALUE!</v>
      </c>
      <c r="HD72" t="e">
        <f>'2.4.Функции'!DS142+"BYw!%Ct"</f>
        <v>#VALUE!</v>
      </c>
      <c r="HE72" t="e">
        <f>'2.4.Функции'!DT142+"BYw!%Cu"</f>
        <v>#VALUE!</v>
      </c>
      <c r="HF72" t="e">
        <f>'2.4.Функции'!DU142+"BYw!%Cv"</f>
        <v>#VALUE!</v>
      </c>
      <c r="HG72" t="e">
        <f>'2.4.Функции'!DV142+"BYw!%Cw"</f>
        <v>#VALUE!</v>
      </c>
      <c r="HH72" t="e">
        <f>'2.4.Функции'!DW142+"BYw!%Cx"</f>
        <v>#VALUE!</v>
      </c>
      <c r="HI72" t="e">
        <f>'2.4.Функции'!DX142+"BYw!%Cy"</f>
        <v>#VALUE!</v>
      </c>
      <c r="HJ72" t="e">
        <f>'2.4.Функции'!DY142+"BYw!%Cz"</f>
        <v>#VALUE!</v>
      </c>
      <c r="HK72" t="e">
        <f>'2.4.Функции'!DZ142+"BYw!%C{"</f>
        <v>#VALUE!</v>
      </c>
      <c r="HL72" t="e">
        <f>'2.4.Функции'!EA142+"BYw!%C|"</f>
        <v>#VALUE!</v>
      </c>
      <c r="HM72" t="e">
        <f>'2.4.Функции'!EB142+"BYw!%C}"</f>
        <v>#VALUE!</v>
      </c>
      <c r="HN72" t="e">
        <f>'2.4.Функции'!EC142+"BYw!%C~"</f>
        <v>#VALUE!</v>
      </c>
      <c r="HO72" t="e">
        <f>'2.4.Функции'!ED142+"BYw!%D#"</f>
        <v>#VALUE!</v>
      </c>
      <c r="HP72" t="e">
        <f>'2.4.Функции'!EE142+"BYw!%D$"</f>
        <v>#VALUE!</v>
      </c>
      <c r="HQ72" t="e">
        <f>'2.4.Функции'!EF142+"BYw!%D%"</f>
        <v>#VALUE!</v>
      </c>
      <c r="HR72" t="e">
        <f>'2.4.Функции'!EG142+"BYw!%D&amp;"</f>
        <v>#VALUE!</v>
      </c>
      <c r="HS72" t="e">
        <f>'2.4.Функции'!EH142+"BYw!%D'"</f>
        <v>#VALUE!</v>
      </c>
      <c r="HT72" t="e">
        <f>'2.4.Функции'!EI142+"BYw!%D("</f>
        <v>#VALUE!</v>
      </c>
      <c r="HU72" t="e">
        <f>'2.4.Функции'!EJ142+"BYw!%D)"</f>
        <v>#VALUE!</v>
      </c>
      <c r="HV72" t="e">
        <f>'2.4.Функции'!EK142+"BYw!%D."</f>
        <v>#VALUE!</v>
      </c>
      <c r="HW72" t="e">
        <f>'2.4.Функции'!EL142+"BYw!%D/"</f>
        <v>#VALUE!</v>
      </c>
      <c r="HX72" t="e">
        <f>'2.4.Функции'!EM142+"BYw!%D0"</f>
        <v>#VALUE!</v>
      </c>
      <c r="HY72" t="e">
        <f>'2.4.Функции'!EN142+"BYw!%D1"</f>
        <v>#VALUE!</v>
      </c>
      <c r="HZ72" t="e">
        <f>'2.4.Функции'!EO142+"BYw!%D2"</f>
        <v>#VALUE!</v>
      </c>
      <c r="IA72" t="e">
        <f>'2.4.Функции'!EP142+"BYw!%D3"</f>
        <v>#VALUE!</v>
      </c>
      <c r="IB72" t="e">
        <f>'2.4.Функции'!EQ142+"BYw!%D4"</f>
        <v>#VALUE!</v>
      </c>
      <c r="IC72" t="e">
        <f>'2.4.Функции'!ER142+"BYw!%D5"</f>
        <v>#VALUE!</v>
      </c>
      <c r="ID72" t="e">
        <f>'2.4.Функции'!ES142+"BYw!%D6"</f>
        <v>#VALUE!</v>
      </c>
      <c r="IE72" t="e">
        <f>'2.4.Функции'!ET142+"BYw!%D7"</f>
        <v>#VALUE!</v>
      </c>
      <c r="IF72" t="e">
        <f>'2.4.Функции'!EU142+"BYw!%D8"</f>
        <v>#VALUE!</v>
      </c>
      <c r="IG72" t="e">
        <f>'2.4.Функции'!EV142+"BYw!%D9"</f>
        <v>#VALUE!</v>
      </c>
      <c r="IH72" t="e">
        <f>'2.4.Функции'!EW142+"BYw!%D:"</f>
        <v>#VALUE!</v>
      </c>
      <c r="II72" t="e">
        <f>'2.4.Функции'!EX142+"BYw!%D;"</f>
        <v>#VALUE!</v>
      </c>
      <c r="IJ72" t="e">
        <f>'2.4.Функции'!EY142+"BYw!%D&lt;"</f>
        <v>#VALUE!</v>
      </c>
      <c r="IK72" t="e">
        <f>'2.4.Функции'!EZ142+"BYw!%D="</f>
        <v>#VALUE!</v>
      </c>
      <c r="IL72" t="e">
        <f>'2.4.Функции'!FA142+"BYw!%D&gt;"</f>
        <v>#VALUE!</v>
      </c>
      <c r="IM72" t="e">
        <f>'2.4.Функции'!FB142+"BYw!%D?"</f>
        <v>#VALUE!</v>
      </c>
      <c r="IN72" t="e">
        <f>'2.4.Функции'!FC142+"BYw!%D@"</f>
        <v>#VALUE!</v>
      </c>
      <c r="IO72" t="e">
        <f>'2.4.Функции'!FD142+"BYw!%DA"</f>
        <v>#VALUE!</v>
      </c>
      <c r="IP72" t="e">
        <f>'2.4.Функции'!FE142+"BYw!%DB"</f>
        <v>#VALUE!</v>
      </c>
      <c r="IQ72" t="e">
        <f>'2.4.Функции'!FF142+"BYw!%DC"</f>
        <v>#VALUE!</v>
      </c>
      <c r="IR72" t="e">
        <f>'2.4.Функции'!FG142+"BYw!%DD"</f>
        <v>#VALUE!</v>
      </c>
      <c r="IS72" t="e">
        <f>'2.4.Функции'!FH142+"BYw!%DE"</f>
        <v>#VALUE!</v>
      </c>
      <c r="IT72" t="e">
        <f>'2.4.Функции'!FI142+"BYw!%DF"</f>
        <v>#VALUE!</v>
      </c>
      <c r="IU72" t="e">
        <f>'2.4.Функции'!FJ142+"BYw!%DG"</f>
        <v>#VALUE!</v>
      </c>
      <c r="IV72" t="e">
        <f>'2.4.Функции'!FK142+"BYw!%DH"</f>
        <v>#VALUE!</v>
      </c>
    </row>
    <row r="73" spans="6:256" x14ac:dyDescent="0.2">
      <c r="F73" t="e">
        <f>'2.4.Функции'!FL142+"BYw!%DI"</f>
        <v>#VALUE!</v>
      </c>
      <c r="G73" t="e">
        <f>'2.4.Функции'!FM142+"BYw!%DJ"</f>
        <v>#VALUE!</v>
      </c>
      <c r="H73" t="e">
        <f>'2.4.Функции'!FN142+"BYw!%DK"</f>
        <v>#VALUE!</v>
      </c>
      <c r="I73" t="e">
        <f>'2.4.Функции'!FO142+"BYw!%DL"</f>
        <v>#VALUE!</v>
      </c>
      <c r="J73" t="e">
        <f>'2.4.Функции'!FP142+"BYw!%DM"</f>
        <v>#VALUE!</v>
      </c>
      <c r="K73" t="e">
        <f>'2.4.Функции'!FQ142+"BYw!%DN"</f>
        <v>#VALUE!</v>
      </c>
      <c r="L73" t="e">
        <f>'2.4.Функции'!FR142+"BYw!%DO"</f>
        <v>#VALUE!</v>
      </c>
      <c r="M73" t="e">
        <f>'2.4.Функции'!FS142+"BYw!%DP"</f>
        <v>#VALUE!</v>
      </c>
      <c r="N73" t="e">
        <f>'2.4.Функции'!FT142+"BYw!%DQ"</f>
        <v>#VALUE!</v>
      </c>
      <c r="O73" t="e">
        <f>'2.4.Функции'!FU142+"BYw!%DR"</f>
        <v>#VALUE!</v>
      </c>
      <c r="P73" t="e">
        <f>'2.4.Функции'!FV142+"BYw!%DS"</f>
        <v>#VALUE!</v>
      </c>
      <c r="Q73" t="e">
        <f>'2.4.Функции'!FW142+"BYw!%DT"</f>
        <v>#VALUE!</v>
      </c>
      <c r="R73" t="e">
        <f>'2.4.Функции'!FX142+"BYw!%DU"</f>
        <v>#VALUE!</v>
      </c>
      <c r="S73" t="e">
        <f>'2.4.Функции'!FY142+"BYw!%DV"</f>
        <v>#VALUE!</v>
      </c>
      <c r="T73" t="e">
        <f>'2.4.Функции'!FZ142+"BYw!%DW"</f>
        <v>#VALUE!</v>
      </c>
      <c r="U73" t="e">
        <f>'2.4.Функции'!GA142+"BYw!%DX"</f>
        <v>#VALUE!</v>
      </c>
      <c r="V73" t="e">
        <f>'2.4.Функции'!GB142+"BYw!%DY"</f>
        <v>#VALUE!</v>
      </c>
      <c r="W73" t="e">
        <f>'2.4.Функции'!GC142+"BYw!%DZ"</f>
        <v>#VALUE!</v>
      </c>
      <c r="X73" t="e">
        <f>'2.4.Функции'!GD142+"BYw!%D["</f>
        <v>#VALUE!</v>
      </c>
      <c r="Y73" t="e">
        <f>'2.4.Функции'!GE142+"BYw!%D\"</f>
        <v>#VALUE!</v>
      </c>
      <c r="Z73" t="e">
        <f>'2.4.Функции'!GF142+"BYw!%D]"</f>
        <v>#VALUE!</v>
      </c>
      <c r="AA73" t="e">
        <f>'2.4.Функции'!GG142+"BYw!%D^"</f>
        <v>#VALUE!</v>
      </c>
      <c r="AB73" t="e">
        <f>'2.4.Функции'!GH142+"BYw!%D_"</f>
        <v>#VALUE!</v>
      </c>
      <c r="AC73" t="e">
        <f>'2.4.Функции'!GI142+"BYw!%D`"</f>
        <v>#VALUE!</v>
      </c>
      <c r="AD73" t="e">
        <f>'2.4.Функции'!GJ142+"BYw!%Da"</f>
        <v>#VALUE!</v>
      </c>
      <c r="AE73" t="e">
        <f>'2.4.Функции'!GK142+"BYw!%Db"</f>
        <v>#VALUE!</v>
      </c>
      <c r="AF73" t="e">
        <f>'2.4.Функции'!GL142+"BYw!%Dc"</f>
        <v>#VALUE!</v>
      </c>
      <c r="AG73" t="e">
        <f>'2.4.Функции'!GM142+"BYw!%Dd"</f>
        <v>#VALUE!</v>
      </c>
      <c r="AH73" t="e">
        <f>'2.4.Функции'!GN142+"BYw!%De"</f>
        <v>#VALUE!</v>
      </c>
      <c r="AI73" t="e">
        <f>'2.4.Функции'!GO142+"BYw!%Df"</f>
        <v>#VALUE!</v>
      </c>
      <c r="AJ73" t="e">
        <f>'2.4.Функции'!GP142+"BYw!%Dg"</f>
        <v>#VALUE!</v>
      </c>
      <c r="AK73" t="e">
        <f>'2.4.Функции'!GQ142+"BYw!%Dh"</f>
        <v>#VALUE!</v>
      </c>
      <c r="AL73" t="e">
        <f>'2.4.Функции'!GR142+"BYw!%Di"</f>
        <v>#VALUE!</v>
      </c>
      <c r="AM73" t="e">
        <f>'2.4.Функции'!GS142+"BYw!%Dj"</f>
        <v>#VALUE!</v>
      </c>
      <c r="AN73" t="e">
        <f>'2.4.Функции'!GT142+"BYw!%Dk"</f>
        <v>#VALUE!</v>
      </c>
      <c r="AO73" t="e">
        <f>'2.4.Функции'!GU142+"BYw!%Dl"</f>
        <v>#VALUE!</v>
      </c>
      <c r="AP73" t="e">
        <f>'2.4.Функции'!GV142+"BYw!%Dm"</f>
        <v>#VALUE!</v>
      </c>
      <c r="AQ73" t="e">
        <f>'2.4.Функции'!GW142+"BYw!%Dn"</f>
        <v>#VALUE!</v>
      </c>
      <c r="AR73" t="e">
        <f>'2.4.Функции'!GX142+"BYw!%Do"</f>
        <v>#VALUE!</v>
      </c>
      <c r="AS73" t="e">
        <f>'2.4.Функции'!GY142+"BYw!%Dp"</f>
        <v>#VALUE!</v>
      </c>
      <c r="AT73" t="e">
        <f>'2.4.Функции'!GZ142+"BYw!%Dq"</f>
        <v>#VALUE!</v>
      </c>
      <c r="AU73" t="e">
        <f>'2.4.Функции'!HA142+"BYw!%Dr"</f>
        <v>#VALUE!</v>
      </c>
      <c r="AV73" t="e">
        <f>'2.4.Функции'!HB142+"BYw!%Ds"</f>
        <v>#VALUE!</v>
      </c>
      <c r="AW73" t="e">
        <f>'2.4.Функции'!HC142+"BYw!%Dt"</f>
        <v>#VALUE!</v>
      </c>
      <c r="AX73" t="e">
        <f>'2.4.Функции'!HD142+"BYw!%Du"</f>
        <v>#VALUE!</v>
      </c>
      <c r="AY73" t="e">
        <f>'2.4.Функции'!HE142+"BYw!%Dv"</f>
        <v>#VALUE!</v>
      </c>
      <c r="AZ73" t="e">
        <f>'2.4.Функции'!HF142+"BYw!%Dw"</f>
        <v>#VALUE!</v>
      </c>
      <c r="BA73" t="e">
        <f>'2.4.Функции'!HG142+"BYw!%Dx"</f>
        <v>#VALUE!</v>
      </c>
      <c r="BB73" t="e">
        <f>'2.4.Функции'!HH142+"BYw!%Dy"</f>
        <v>#VALUE!</v>
      </c>
      <c r="BC73" t="e">
        <f>'2.4.Функции'!HI142+"BYw!%Dz"</f>
        <v>#VALUE!</v>
      </c>
      <c r="BD73" t="e">
        <f>'2.4.Функции'!HJ142+"BYw!%D{"</f>
        <v>#VALUE!</v>
      </c>
      <c r="BE73" t="e">
        <f>'2.4.Функции'!HK142+"BYw!%D|"</f>
        <v>#VALUE!</v>
      </c>
      <c r="BF73" t="e">
        <f>'2.4.Функции'!HL142+"BYw!%D}"</f>
        <v>#VALUE!</v>
      </c>
      <c r="BG73" t="e">
        <f>'2.4.Функции'!HM142+"BYw!%D~"</f>
        <v>#VALUE!</v>
      </c>
      <c r="BH73" t="e">
        <f>'2.4.Функции'!HN142+"BYw!%E#"</f>
        <v>#VALUE!</v>
      </c>
      <c r="BI73" t="e">
        <f>'2.4.Функции'!HO142+"BYw!%E$"</f>
        <v>#VALUE!</v>
      </c>
      <c r="BJ73" t="e">
        <f>'2.4.Функции'!HP142+"BYw!%E%"</f>
        <v>#VALUE!</v>
      </c>
      <c r="BK73" t="e">
        <f>'2.4.Функции'!HQ142+"BYw!%E&amp;"</f>
        <v>#VALUE!</v>
      </c>
      <c r="BL73" t="e">
        <f>'2.4.Функции'!HR142+"BYw!%E'"</f>
        <v>#VALUE!</v>
      </c>
      <c r="BM73" t="e">
        <f>'2.4.Функции'!HS142+"BYw!%E("</f>
        <v>#VALUE!</v>
      </c>
      <c r="BN73" t="e">
        <f>'2.4.Функции'!HT142+"BYw!%E)"</f>
        <v>#VALUE!</v>
      </c>
      <c r="BO73" t="e">
        <f>'2.4.Функции'!HU142+"BYw!%E."</f>
        <v>#VALUE!</v>
      </c>
      <c r="BP73" t="e">
        <f>'2.4.Функции'!HV142+"BYw!%E/"</f>
        <v>#VALUE!</v>
      </c>
      <c r="BQ73" t="e">
        <f>'2.4.Функции'!HW142+"BYw!%E0"</f>
        <v>#VALUE!</v>
      </c>
      <c r="BR73" t="e">
        <f>'2.4.Функции'!HX142+"BYw!%E1"</f>
        <v>#VALUE!</v>
      </c>
      <c r="BS73" t="e">
        <f>'2.4.Функции'!HY142+"BYw!%E2"</f>
        <v>#VALUE!</v>
      </c>
      <c r="BT73" t="e">
        <f>'2.4.Функции'!HZ142+"BYw!%E3"</f>
        <v>#VALUE!</v>
      </c>
      <c r="BU73" t="e">
        <f>'2.4.Функции'!IA142+"BYw!%E4"</f>
        <v>#VALUE!</v>
      </c>
      <c r="BV73" t="e">
        <f>'2.4.Функции'!IB142+"BYw!%E5"</f>
        <v>#VALUE!</v>
      </c>
      <c r="BW73" t="e">
        <f>'2.4.Функции'!IC142+"BYw!%E6"</f>
        <v>#VALUE!</v>
      </c>
      <c r="BX73" t="e">
        <f>'2.4.Функции'!ID142+"BYw!%E7"</f>
        <v>#VALUE!</v>
      </c>
      <c r="BY73" t="e">
        <f>'2.4.Функции'!IE142+"BYw!%E8"</f>
        <v>#VALUE!</v>
      </c>
      <c r="BZ73" t="e">
        <f>'2.4.Функции'!IF142+"BYw!%E9"</f>
        <v>#VALUE!</v>
      </c>
      <c r="CA73" t="e">
        <f>'2.4.Функции'!IG142+"BYw!%E:"</f>
        <v>#VALUE!</v>
      </c>
      <c r="CB73" t="e">
        <f>'2.4.Функции'!IH142+"BYw!%E;"</f>
        <v>#VALUE!</v>
      </c>
      <c r="CC73" t="e">
        <f>'2.4.Функции'!II142+"BYw!%E&lt;"</f>
        <v>#VALUE!</v>
      </c>
      <c r="CD73" t="e">
        <f>'2.4.Функции'!IJ142+"BYw!%E="</f>
        <v>#VALUE!</v>
      </c>
      <c r="CE73" t="e">
        <f>'2.4.Функции'!IK142+"BYw!%E&gt;"</f>
        <v>#VALUE!</v>
      </c>
      <c r="CF73" t="e">
        <f>'2.4.Функции'!IL142+"BYw!%E?"</f>
        <v>#VALUE!</v>
      </c>
      <c r="CG73" t="e">
        <f>'2.4.Функции'!IM142+"BYw!%E@"</f>
        <v>#VALUE!</v>
      </c>
      <c r="CH73" t="e">
        <f>'2.4.Функции'!IN142+"BYw!%EA"</f>
        <v>#VALUE!</v>
      </c>
      <c r="CI73" t="e">
        <f>'2.4.Функции'!IO142+"BYw!%EB"</f>
        <v>#VALUE!</v>
      </c>
      <c r="CJ73" t="e">
        <f>'2.4.Функции'!IP142+"BYw!%EC"</f>
        <v>#VALUE!</v>
      </c>
      <c r="CK73" t="e">
        <f>'2.4.Функции'!IQ142+"BYw!%ED"</f>
        <v>#VALUE!</v>
      </c>
      <c r="CL73" t="e">
        <f>'2.4.Функции'!IR142+"BYw!%EE"</f>
        <v>#VALUE!</v>
      </c>
      <c r="CM73" t="e">
        <f>'2.4.Функции'!IS142+"BYw!%EF"</f>
        <v>#VALUE!</v>
      </c>
      <c r="CN73" t="e">
        <f>'2.4.Функции'!IT142+"BYw!%EG"</f>
        <v>#VALUE!</v>
      </c>
      <c r="CO73" t="e">
        <f>'2.4.Функции'!IU142+"BYw!%EH"</f>
        <v>#VALUE!</v>
      </c>
      <c r="CP73" t="e">
        <f>'2.4.Функции'!IV142+"BYw!%EI"</f>
        <v>#VALUE!</v>
      </c>
      <c r="CQ73" t="e">
        <f>'2.4.Функции'!IW142+"BYw!%EJ"</f>
        <v>#VALUE!</v>
      </c>
      <c r="CR73" t="e">
        <f>'2.4.Функции'!IX142+"BYw!%EK"</f>
        <v>#VALUE!</v>
      </c>
      <c r="CS73" t="e">
        <f>'2.4.Функции'!IY142+"BYw!%EL"</f>
        <v>#VALUE!</v>
      </c>
      <c r="CT73" t="e">
        <f>'2.4.Функции'!IZ142+"BYw!%EM"</f>
        <v>#VALUE!</v>
      </c>
      <c r="CU73" t="e">
        <f>'2.4.Функции'!JA142+"BYw!%EN"</f>
        <v>#VALUE!</v>
      </c>
      <c r="CV73" t="e">
        <f>'2.4.Функции'!JB142+"BYw!%EO"</f>
        <v>#VALUE!</v>
      </c>
      <c r="CW73" t="e">
        <f>'2.4.Функции'!JC142+"BYw!%EP"</f>
        <v>#VALUE!</v>
      </c>
      <c r="CX73" t="e">
        <f>'2.4.Функции'!JD142+"BYw!%EQ"</f>
        <v>#VALUE!</v>
      </c>
      <c r="CY73" t="e">
        <f>'2.4.Функции'!JE142+"BYw!%ER"</f>
        <v>#VALUE!</v>
      </c>
      <c r="CZ73" t="e">
        <f>'2.4.Функции'!JF142+"BYw!%ES"</f>
        <v>#VALUE!</v>
      </c>
      <c r="DA73" t="e">
        <f>'2.4.Функции'!JG142+"BYw!%ET"</f>
        <v>#VALUE!</v>
      </c>
      <c r="DB73" t="e">
        <f>'2.4.Функции'!JH142+"BYw!%EU"</f>
        <v>#VALUE!</v>
      </c>
      <c r="DC73" t="e">
        <f>'2.4.Функции'!JI142+"BYw!%EV"</f>
        <v>#VALUE!</v>
      </c>
      <c r="DD73" t="e">
        <f>'2.4.Функции'!JJ142+"BYw!%EW"</f>
        <v>#VALUE!</v>
      </c>
      <c r="DE73" t="e">
        <f>'2.4.Функции'!JK142+"BYw!%EX"</f>
        <v>#VALUE!</v>
      </c>
      <c r="DF73" t="e">
        <f>'2.4.Функции'!JL142+"BYw!%EY"</f>
        <v>#VALUE!</v>
      </c>
      <c r="DG73" t="e">
        <f>'2.4.Функции'!JM142+"BYw!%EZ"</f>
        <v>#VALUE!</v>
      </c>
      <c r="DH73" t="e">
        <f>'2.4.Функции'!JN142+"BYw!%E["</f>
        <v>#VALUE!</v>
      </c>
      <c r="DI73" t="e">
        <f>'2.4.Функции'!JO142+"BYw!%E\"</f>
        <v>#VALUE!</v>
      </c>
      <c r="DJ73" t="e">
        <f>'2.4.Функции'!JP142+"BYw!%E]"</f>
        <v>#VALUE!</v>
      </c>
      <c r="DK73" t="e">
        <f>'2.4.Функции'!JQ142+"BYw!%E^"</f>
        <v>#VALUE!</v>
      </c>
      <c r="DL73" t="e">
        <f>'2.4.Функции'!JR142+"BYw!%E_"</f>
        <v>#VALUE!</v>
      </c>
      <c r="DM73" t="e">
        <f>'2.4.Функции'!JS142+"BYw!%E`"</f>
        <v>#VALUE!</v>
      </c>
      <c r="DN73" t="e">
        <f>'2.4.Функции'!JT142+"BYw!%Ea"</f>
        <v>#VALUE!</v>
      </c>
      <c r="DO73" t="e">
        <f>'2.4.Функции'!JU142+"BYw!%Eb"</f>
        <v>#VALUE!</v>
      </c>
      <c r="DP73" t="e">
        <f>'2.4.Функции'!JV142+"BYw!%Ec"</f>
        <v>#VALUE!</v>
      </c>
      <c r="DQ73" t="e">
        <f>'2.4.Функции'!JW142+"BYw!%Ed"</f>
        <v>#VALUE!</v>
      </c>
      <c r="DR73" t="e">
        <f>'2.4.Функции'!JX142+"BYw!%Ee"</f>
        <v>#VALUE!</v>
      </c>
      <c r="DS73" t="e">
        <f>'2.4.Функции'!JY142+"BYw!%Ef"</f>
        <v>#VALUE!</v>
      </c>
      <c r="DT73" t="e">
        <f>'2.4.Функции'!JZ142+"BYw!%Eg"</f>
        <v>#VALUE!</v>
      </c>
      <c r="DU73" t="e">
        <f>'2.4.Функции'!KA142+"BYw!%Eh"</f>
        <v>#VALUE!</v>
      </c>
      <c r="DV73" t="e">
        <f>'2.4.Функции'!KB142+"BYw!%Ei"</f>
        <v>#VALUE!</v>
      </c>
      <c r="DW73" t="e">
        <f>'2.4.Функции'!KC142+"BYw!%Ej"</f>
        <v>#VALUE!</v>
      </c>
      <c r="DX73" t="e">
        <f>'2.4.Функции'!KD142+"BYw!%Ek"</f>
        <v>#VALUE!</v>
      </c>
      <c r="DY73" t="e">
        <f>'2.4.Функции'!KE142+"BYw!%El"</f>
        <v>#VALUE!</v>
      </c>
      <c r="DZ73" t="e">
        <f>'2.4.Функции'!KF142+"BYw!%Em"</f>
        <v>#VALUE!</v>
      </c>
      <c r="EA73" t="e">
        <f>'2.4.Функции'!KG142+"BYw!%En"</f>
        <v>#VALUE!</v>
      </c>
      <c r="EB73" t="e">
        <f>'2.4.Функции'!KH142+"BYw!%Eo"</f>
        <v>#VALUE!</v>
      </c>
      <c r="EC73" t="e">
        <f>'2.4.Функции'!KI142+"BYw!%Ep"</f>
        <v>#VALUE!</v>
      </c>
      <c r="ED73" t="e">
        <f>'2.4.Функции'!KJ142+"BYw!%Eq"</f>
        <v>#VALUE!</v>
      </c>
      <c r="EE73" t="e">
        <f>'2.4.Функции'!KK142+"BYw!%Er"</f>
        <v>#VALUE!</v>
      </c>
      <c r="EF73" t="e">
        <f>'2.4.Функции'!KL142+"BYw!%Es"</f>
        <v>#VALUE!</v>
      </c>
      <c r="EG73" t="e">
        <f>'2.4.Функции'!KM142+"BYw!%Et"</f>
        <v>#VALUE!</v>
      </c>
      <c r="EH73" t="e">
        <f>'2.4.Функции'!KN142+"BYw!%Eu"</f>
        <v>#VALUE!</v>
      </c>
      <c r="EI73" t="e">
        <f>'2.4.Функции'!KO142+"BYw!%Ev"</f>
        <v>#VALUE!</v>
      </c>
      <c r="EJ73" t="e">
        <f>'2.4.Функции'!KP142+"BYw!%Ew"</f>
        <v>#VALUE!</v>
      </c>
      <c r="EK73" t="e">
        <f>'2.4.Функции'!KQ142+"BYw!%Ex"</f>
        <v>#VALUE!</v>
      </c>
      <c r="EL73" t="e">
        <f>'2.4.Функции'!KR142+"BYw!%Ey"</f>
        <v>#VALUE!</v>
      </c>
      <c r="EM73" t="e">
        <f>'2.4.Функции'!KS142+"BYw!%Ez"</f>
        <v>#VALUE!</v>
      </c>
      <c r="EN73" t="e">
        <f>'2.4.Функции'!KT142+"BYw!%E{"</f>
        <v>#VALUE!</v>
      </c>
      <c r="EO73" t="e">
        <f>'2.4.Функции'!KU142+"BYw!%E|"</f>
        <v>#VALUE!</v>
      </c>
      <c r="EP73" t="e">
        <f>'2.4.Функции'!KV142+"BYw!%E}"</f>
        <v>#VALUE!</v>
      </c>
      <c r="EQ73" t="e">
        <f>'2.4.Функции'!KW142+"BYw!%E~"</f>
        <v>#VALUE!</v>
      </c>
      <c r="ER73" t="e">
        <f>'2.4.Функции'!KX142+"BYw!%F#"</f>
        <v>#VALUE!</v>
      </c>
      <c r="ES73" t="e">
        <f>'2.4.Функции'!KY142+"BYw!%F$"</f>
        <v>#VALUE!</v>
      </c>
      <c r="ET73" t="e">
        <f>'2.4.Функции'!KZ142+"BYw!%F%"</f>
        <v>#VALUE!</v>
      </c>
      <c r="EU73" t="e">
        <f>'2.4.Функции'!LA142+"BYw!%F&amp;"</f>
        <v>#VALUE!</v>
      </c>
      <c r="EV73" t="e">
        <f>'2.4.Функции'!LB142+"BYw!%F'"</f>
        <v>#VALUE!</v>
      </c>
      <c r="EW73" t="e">
        <f>'2.4.Функции'!LC142+"BYw!%F("</f>
        <v>#VALUE!</v>
      </c>
      <c r="EX73" t="e">
        <f>'2.4.Функции'!LD142+"BYw!%F)"</f>
        <v>#VALUE!</v>
      </c>
      <c r="EY73" t="e">
        <f>'2.4.Функции'!LE142+"BYw!%F."</f>
        <v>#VALUE!</v>
      </c>
      <c r="EZ73" t="e">
        <f>'2.4.Функции'!LF142+"BYw!%F/"</f>
        <v>#VALUE!</v>
      </c>
      <c r="FA73" t="e">
        <f>'2.4.Функции'!LG142+"BYw!%F0"</f>
        <v>#VALUE!</v>
      </c>
      <c r="FB73" t="e">
        <f>'2.4.Функции'!LH142+"BYw!%F1"</f>
        <v>#VALUE!</v>
      </c>
      <c r="FC73" t="e">
        <f>'2.4.Функции'!LI142+"BYw!%F2"</f>
        <v>#VALUE!</v>
      </c>
      <c r="FD73" t="e">
        <f>'2.4.Функции'!LJ142+"BYw!%F3"</f>
        <v>#VALUE!</v>
      </c>
      <c r="FE73" t="e">
        <f>'2.4.Функции'!LK142+"BYw!%F4"</f>
        <v>#VALUE!</v>
      </c>
      <c r="FF73" t="e">
        <f>'2.4.Функции'!LL142+"BYw!%F5"</f>
        <v>#VALUE!</v>
      </c>
      <c r="FG73" t="e">
        <f>'2.4.Функции'!LM142+"BYw!%F6"</f>
        <v>#VALUE!</v>
      </c>
      <c r="FH73" t="e">
        <f>'2.4.Функции'!LN142+"BYw!%F7"</f>
        <v>#VALUE!</v>
      </c>
      <c r="FI73" t="e">
        <f>'2.4.Функции'!LO142+"BYw!%F8"</f>
        <v>#VALUE!</v>
      </c>
      <c r="FJ73" t="e">
        <f>'2.4.Функции'!LP142+"BYw!%F9"</f>
        <v>#VALUE!</v>
      </c>
      <c r="FK73" t="e">
        <f>'2.4.Функции'!LQ142+"BYw!%F:"</f>
        <v>#VALUE!</v>
      </c>
      <c r="FL73" t="e">
        <f>'2.4.Функции'!LR142+"BYw!%F;"</f>
        <v>#VALUE!</v>
      </c>
      <c r="FM73" t="e">
        <f>'2.4.Функции'!LS142+"BYw!%F&lt;"</f>
        <v>#VALUE!</v>
      </c>
      <c r="FN73" t="e">
        <f>'2.4.Функции'!LT142+"BYw!%F="</f>
        <v>#VALUE!</v>
      </c>
      <c r="FO73" t="e">
        <f>'2.4.Функции'!LU142+"BYw!%F&gt;"</f>
        <v>#VALUE!</v>
      </c>
      <c r="FP73" t="e">
        <f>'2.4.Функции'!LV142+"BYw!%F?"</f>
        <v>#VALUE!</v>
      </c>
      <c r="FQ73" t="e">
        <f>'2.4.Функции'!LW142+"BYw!%F@"</f>
        <v>#VALUE!</v>
      </c>
      <c r="FR73" t="e">
        <f>'2.4.Функции'!LX142+"BYw!%FA"</f>
        <v>#VALUE!</v>
      </c>
      <c r="FS73" t="e">
        <f>'2.4.Функции'!LY142+"BYw!%FB"</f>
        <v>#VALUE!</v>
      </c>
      <c r="FT73" t="e">
        <f>'2.4.Функции'!LZ142+"BYw!%FC"</f>
        <v>#VALUE!</v>
      </c>
      <c r="FU73" t="e">
        <f>'2.4.Функции'!MA142+"BYw!%FD"</f>
        <v>#VALUE!</v>
      </c>
      <c r="FV73" t="e">
        <f>'2.4.Функции'!MB142+"BYw!%FE"</f>
        <v>#VALUE!</v>
      </c>
      <c r="FW73" t="e">
        <f>'2.4.Функции'!MC142+"BYw!%FF"</f>
        <v>#VALUE!</v>
      </c>
      <c r="FX73" t="e">
        <f>'2.4.Функции'!MD142+"BYw!%FG"</f>
        <v>#VALUE!</v>
      </c>
      <c r="FY73" t="e">
        <f>'2.4.Функции'!ME142+"BYw!%FH"</f>
        <v>#VALUE!</v>
      </c>
      <c r="FZ73" t="e">
        <f>'2.4.Функции'!MF142+"BYw!%FI"</f>
        <v>#VALUE!</v>
      </c>
      <c r="GA73" t="e">
        <f>'2.4.Функции'!MG142+"BYw!%FJ"</f>
        <v>#VALUE!</v>
      </c>
      <c r="GB73" t="e">
        <f>'2.4.Функции'!MH142+"BYw!%FK"</f>
        <v>#VALUE!</v>
      </c>
      <c r="GC73" t="e">
        <f>'2.4.Функции'!MI142+"BYw!%FL"</f>
        <v>#VALUE!</v>
      </c>
      <c r="GD73" t="e">
        <f>'2.4.Функции'!MJ142+"BYw!%FM"</f>
        <v>#VALUE!</v>
      </c>
      <c r="GE73" t="e">
        <f>'2.4.Функции'!MK142+"BYw!%FN"</f>
        <v>#VALUE!</v>
      </c>
      <c r="GF73" t="e">
        <f>'2.4.Функции'!ML142+"BYw!%FO"</f>
        <v>#VALUE!</v>
      </c>
      <c r="GG73" t="e">
        <f>'2.4.Функции'!MM142+"BYw!%FP"</f>
        <v>#VALUE!</v>
      </c>
      <c r="GH73" t="e">
        <f>'2.4.Функции'!MN142+"BYw!%FQ"</f>
        <v>#VALUE!</v>
      </c>
      <c r="GI73" t="e">
        <f>'2.4.Функции'!MO142+"BYw!%FR"</f>
        <v>#VALUE!</v>
      </c>
      <c r="GJ73" t="e">
        <f>'2.4.Функции'!MP142+"BYw!%FS"</f>
        <v>#VALUE!</v>
      </c>
      <c r="GK73" t="e">
        <f>'2.4.Функции'!MQ142+"BYw!%FT"</f>
        <v>#VALUE!</v>
      </c>
      <c r="GL73" t="e">
        <f>'2.4.Функции'!MR142+"BYw!%FU"</f>
        <v>#VALUE!</v>
      </c>
      <c r="GM73" t="e">
        <f>'2.4.Функции'!MS142+"BYw!%FV"</f>
        <v>#VALUE!</v>
      </c>
      <c r="GN73" t="e">
        <f>'2.4.Функции'!MT142+"BYw!%FW"</f>
        <v>#VALUE!</v>
      </c>
      <c r="GO73" t="e">
        <f>'2.4.Функции'!MU142+"BYw!%FX"</f>
        <v>#VALUE!</v>
      </c>
      <c r="GP73" t="e">
        <f>'2.4.Функции'!MV142+"BYw!%FY"</f>
        <v>#VALUE!</v>
      </c>
      <c r="GQ73" t="e">
        <f>'2.4.Функции'!MW142+"BYw!%FZ"</f>
        <v>#VALUE!</v>
      </c>
      <c r="GR73" t="e">
        <f>'2.4.Функции'!MX142+"BYw!%F["</f>
        <v>#VALUE!</v>
      </c>
      <c r="GS73" t="e">
        <f>'2.4.Функции'!MY142+"BYw!%F\"</f>
        <v>#VALUE!</v>
      </c>
      <c r="GT73" t="e">
        <f>'2.4.Функции'!MZ142+"BYw!%F]"</f>
        <v>#VALUE!</v>
      </c>
      <c r="GU73" t="e">
        <f>'2.4.Функции'!NA142+"BYw!%F^"</f>
        <v>#VALUE!</v>
      </c>
      <c r="GV73" t="e">
        <f>'2.4.Функции'!NB142+"BYw!%F_"</f>
        <v>#VALUE!</v>
      </c>
      <c r="GW73" t="e">
        <f>'2.4.Функции'!NC142+"BYw!%F`"</f>
        <v>#VALUE!</v>
      </c>
      <c r="GX73" t="e">
        <f>'2.4.Функции'!ND142+"BYw!%Fa"</f>
        <v>#VALUE!</v>
      </c>
      <c r="GY73" t="e">
        <f>'2.4.Функции'!NE142+"BYw!%Fb"</f>
        <v>#VALUE!</v>
      </c>
      <c r="GZ73" t="e">
        <f>'2.4.Функции'!NF142+"BYw!%Fc"</f>
        <v>#VALUE!</v>
      </c>
      <c r="HA73" t="e">
        <f>'2.4.Функции'!NG142+"BYw!%Fd"</f>
        <v>#VALUE!</v>
      </c>
      <c r="HB73" t="e">
        <f>'2.4.Функции'!NH142+"BYw!%Fe"</f>
        <v>#VALUE!</v>
      </c>
      <c r="HC73" t="e">
        <f>'2.4.Функции'!NI142+"BYw!%Ff"</f>
        <v>#VALUE!</v>
      </c>
      <c r="HD73" t="e">
        <f>'2.4.Функции'!NJ142+"BYw!%Fg"</f>
        <v>#VALUE!</v>
      </c>
      <c r="HE73" t="e">
        <f>'2.4.Функции'!NK142+"BYw!%Fh"</f>
        <v>#VALUE!</v>
      </c>
      <c r="HF73" t="e">
        <f>'2.4.Функции'!NL142+"BYw!%Fi"</f>
        <v>#VALUE!</v>
      </c>
      <c r="HG73" t="e">
        <f>'2.4.Функции'!NM142+"BYw!%Fj"</f>
        <v>#VALUE!</v>
      </c>
      <c r="HH73" t="e">
        <f>'2.4.Функции'!NN142+"BYw!%Fk"</f>
        <v>#VALUE!</v>
      </c>
      <c r="HI73" t="e">
        <f>'2.4.Функции'!NO142+"BYw!%Fl"</f>
        <v>#VALUE!</v>
      </c>
      <c r="HJ73" t="e">
        <f>'2.4.Функции'!NP142+"BYw!%Fm"</f>
        <v>#VALUE!</v>
      </c>
      <c r="HK73" t="e">
        <f>'2.4.Функции'!NQ142+"BYw!%Fn"</f>
        <v>#VALUE!</v>
      </c>
      <c r="HL73" t="e">
        <f>'2.4.Функции'!NR142+"BYw!%Fo"</f>
        <v>#VALUE!</v>
      </c>
      <c r="HM73" t="e">
        <f>'2.4.Функции'!NS142+"BYw!%Fp"</f>
        <v>#VALUE!</v>
      </c>
      <c r="HN73" t="e">
        <f>'2.4.Функции'!NT142+"BYw!%Fq"</f>
        <v>#VALUE!</v>
      </c>
      <c r="HO73" t="e">
        <f>'2.4.Функции'!NU142+"BYw!%Fr"</f>
        <v>#VALUE!</v>
      </c>
      <c r="HP73" t="e">
        <f>'2.4.Функции'!NV142+"BYw!%Fs"</f>
        <v>#VALUE!</v>
      </c>
      <c r="HQ73" t="e">
        <f>'2.4.Функции'!NW142+"BYw!%Ft"</f>
        <v>#VALUE!</v>
      </c>
      <c r="HR73" t="e">
        <f>'2.4.Функции'!NX142+"BYw!%Fu"</f>
        <v>#VALUE!</v>
      </c>
      <c r="HS73" t="e">
        <f>'2.4.Функции'!NY142+"BYw!%Fv"</f>
        <v>#VALUE!</v>
      </c>
      <c r="HT73" t="e">
        <f>'2.4.Функции'!NZ142+"BYw!%Fw"</f>
        <v>#VALUE!</v>
      </c>
      <c r="HU73" t="e">
        <f>'2.4.Функции'!OA142+"BYw!%Fx"</f>
        <v>#VALUE!</v>
      </c>
      <c r="HV73" t="e">
        <f>'2.4.Функции'!OB142+"BYw!%Fy"</f>
        <v>#VALUE!</v>
      </c>
      <c r="HW73" t="e">
        <f>'2.4.Функции'!OC142+"BYw!%Fz"</f>
        <v>#VALUE!</v>
      </c>
      <c r="HX73" t="e">
        <f>'2.4.Функции'!OD142+"BYw!%F{"</f>
        <v>#VALUE!</v>
      </c>
      <c r="HY73" t="e">
        <f>'2.4.Функции'!OE142+"BYw!%F|"</f>
        <v>#VALUE!</v>
      </c>
      <c r="HZ73" t="e">
        <f>'2.4.Функции'!OF142+"BYw!%F}"</f>
        <v>#VALUE!</v>
      </c>
      <c r="IA73" t="e">
        <f>'2.4.Функции'!OG142+"BYw!%F~"</f>
        <v>#VALUE!</v>
      </c>
      <c r="IB73" t="e">
        <f>'2.4.Функции'!OH142+"BYw!%G#"</f>
        <v>#VALUE!</v>
      </c>
      <c r="IC73" t="e">
        <f>'2.4.Функции'!OI142+"BYw!%G$"</f>
        <v>#VALUE!</v>
      </c>
      <c r="ID73" t="e">
        <f>'2.4.Функции'!OJ142+"BYw!%G%"</f>
        <v>#VALUE!</v>
      </c>
      <c r="IE73" t="e">
        <f>'2.4.Функции'!OK142+"BYw!%G&amp;"</f>
        <v>#VALUE!</v>
      </c>
      <c r="IF73" t="e">
        <f>'2.4.Функции'!OL142+"BYw!%G'"</f>
        <v>#VALUE!</v>
      </c>
      <c r="IG73" t="e">
        <f>'2.4.Функции'!OM142+"BYw!%G("</f>
        <v>#VALUE!</v>
      </c>
      <c r="IH73" t="e">
        <f>'2.4.Функции'!ON142+"BYw!%G)"</f>
        <v>#VALUE!</v>
      </c>
      <c r="II73" t="e">
        <f>'2.4.Функции'!OO142+"BYw!%G."</f>
        <v>#VALUE!</v>
      </c>
      <c r="IJ73" t="e">
        <f>'2.4.Функции'!OP142+"BYw!%G/"</f>
        <v>#VALUE!</v>
      </c>
      <c r="IK73" t="e">
        <f>'2.4.Функции'!OQ142+"BYw!%G0"</f>
        <v>#VALUE!</v>
      </c>
      <c r="IL73" t="e">
        <f>'2.4.Функции'!OR142+"BYw!%G1"</f>
        <v>#VALUE!</v>
      </c>
      <c r="IM73" t="e">
        <f>'2.4.Функции'!OS142+"BYw!%G2"</f>
        <v>#VALUE!</v>
      </c>
      <c r="IN73" t="e">
        <f>'2.4.Функции'!OT142+"BYw!%G3"</f>
        <v>#VALUE!</v>
      </c>
      <c r="IO73" t="e">
        <f>'2.4.Функции'!OU142+"BYw!%G4"</f>
        <v>#VALUE!</v>
      </c>
      <c r="IP73" t="e">
        <f>'2.4.Функции'!OV142+"BYw!%G5"</f>
        <v>#VALUE!</v>
      </c>
      <c r="IQ73" t="e">
        <f>'2.4.Функции'!OW142+"BYw!%G6"</f>
        <v>#VALUE!</v>
      </c>
      <c r="IR73" t="e">
        <f>'2.4.Функции'!OX142+"BYw!%G7"</f>
        <v>#VALUE!</v>
      </c>
      <c r="IS73" t="e">
        <f>'2.4.Функции'!OY142+"BYw!%G8"</f>
        <v>#VALUE!</v>
      </c>
      <c r="IT73" t="e">
        <f>'2.4.Функции'!OZ142+"BYw!%G9"</f>
        <v>#VALUE!</v>
      </c>
      <c r="IU73" t="e">
        <f>'2.4.Функции'!PA142+"BYw!%G:"</f>
        <v>#VALUE!</v>
      </c>
      <c r="IV73" t="e">
        <f>'2.4.Функции'!PB142+"BYw!%G;"</f>
        <v>#VALUE!</v>
      </c>
    </row>
    <row r="74" spans="6:256" x14ac:dyDescent="0.2">
      <c r="F74" t="e">
        <f>'2.4.Функции'!PC142+"BYw!%G&lt;"</f>
        <v>#VALUE!</v>
      </c>
      <c r="G74" t="e">
        <f>'2.4.Функции'!PD142+"BYw!%G="</f>
        <v>#VALUE!</v>
      </c>
      <c r="H74" t="e">
        <f>'2.4.Функции'!PE142+"BYw!%G&gt;"</f>
        <v>#VALUE!</v>
      </c>
      <c r="I74" t="e">
        <f>'2.4.Функции'!PF142+"BYw!%G?"</f>
        <v>#VALUE!</v>
      </c>
      <c r="J74" t="e">
        <f>'2.4.Функции'!PG142+"BYw!%G@"</f>
        <v>#VALUE!</v>
      </c>
      <c r="K74" t="e">
        <f>'2.4.Функции'!PH142+"BYw!%GA"</f>
        <v>#VALUE!</v>
      </c>
      <c r="L74" t="e">
        <f>'2.4.Функции'!PI142+"BYw!%GB"</f>
        <v>#VALUE!</v>
      </c>
      <c r="M74" t="e">
        <f>'2.4.Функции'!PJ142+"BYw!%GC"</f>
        <v>#VALUE!</v>
      </c>
      <c r="N74" t="e">
        <f>'2.4.Функции'!PK142+"BYw!%GD"</f>
        <v>#VALUE!</v>
      </c>
      <c r="O74" t="e">
        <f>'2.4.Функции'!PL142+"BYw!%GE"</f>
        <v>#VALUE!</v>
      </c>
      <c r="P74" t="e">
        <f>'2.4.Функции'!PM142+"BYw!%GF"</f>
        <v>#VALUE!</v>
      </c>
      <c r="Q74" t="e">
        <f>'2.4.Функции'!PN142+"BYw!%GG"</f>
        <v>#VALUE!</v>
      </c>
      <c r="R74" t="e">
        <f>'2.4.Функции'!PO142+"BYw!%GH"</f>
        <v>#VALUE!</v>
      </c>
      <c r="S74" t="e">
        <f>'2.4.Функции'!PP142+"BYw!%GI"</f>
        <v>#VALUE!</v>
      </c>
      <c r="T74" t="e">
        <f>'2.4.Функции'!PQ142+"BYw!%GJ"</f>
        <v>#VALUE!</v>
      </c>
      <c r="U74" t="e">
        <f>'2.4.Функции'!PR142+"BYw!%GK"</f>
        <v>#VALUE!</v>
      </c>
      <c r="V74" t="e">
        <f>'2.4.Функции'!PS142+"BYw!%GL"</f>
        <v>#VALUE!</v>
      </c>
      <c r="W74" t="e">
        <f>'2.4.Функции'!PT142+"BYw!%GM"</f>
        <v>#VALUE!</v>
      </c>
      <c r="X74" t="e">
        <f>'2.4.Функции'!PU142+"BYw!%GN"</f>
        <v>#VALUE!</v>
      </c>
      <c r="Y74" t="e">
        <f>'2.4.Функции'!PV142+"BYw!%GO"</f>
        <v>#VALUE!</v>
      </c>
      <c r="Z74" t="e">
        <f>'2.4.Функции'!PW142+"BYw!%GP"</f>
        <v>#VALUE!</v>
      </c>
      <c r="AA74" t="e">
        <f>'2.4.Функции'!PX142+"BYw!%GQ"</f>
        <v>#VALUE!</v>
      </c>
      <c r="AB74" t="e">
        <f>'2.4.Функции'!PY142+"BYw!%GR"</f>
        <v>#VALUE!</v>
      </c>
      <c r="AC74" t="e">
        <f>'2.4.Функции'!PZ142+"BYw!%GS"</f>
        <v>#VALUE!</v>
      </c>
      <c r="AD74" t="e">
        <f>'2.4.Функции'!QA142+"BYw!%GT"</f>
        <v>#VALUE!</v>
      </c>
      <c r="AE74" t="e">
        <f>'2.4.Функции'!QB142+"BYw!%GU"</f>
        <v>#VALUE!</v>
      </c>
      <c r="AF74" t="e">
        <f>'2.4.Функции'!QC142+"BYw!%GV"</f>
        <v>#VALUE!</v>
      </c>
      <c r="AG74" t="e">
        <f>'2.4.Функции'!QD142+"BYw!%GW"</f>
        <v>#VALUE!</v>
      </c>
      <c r="AH74" t="e">
        <f>'2.4.Функции'!QE142+"BYw!%GX"</f>
        <v>#VALUE!</v>
      </c>
      <c r="AI74" t="e">
        <f>'2.4.Функции'!QF142+"BYw!%GY"</f>
        <v>#VALUE!</v>
      </c>
      <c r="AJ74" t="e">
        <f>'2.4.Функции'!QG142+"BYw!%GZ"</f>
        <v>#VALUE!</v>
      </c>
      <c r="AK74" t="e">
        <f>'2.4.Функции'!QH142+"BYw!%G["</f>
        <v>#VALUE!</v>
      </c>
      <c r="AL74" t="e">
        <f>'2.4.Функции'!QI142+"BYw!%G\"</f>
        <v>#VALUE!</v>
      </c>
      <c r="AM74" t="e">
        <f>'2.4.Функции'!QJ142+"BYw!%G]"</f>
        <v>#VALUE!</v>
      </c>
      <c r="AN74" t="e">
        <f>'2.4.Функции'!QK142+"BYw!%G^"</f>
        <v>#VALUE!</v>
      </c>
      <c r="AO74" t="e">
        <f>'2.4.Функции'!QL142+"BYw!%G_"</f>
        <v>#VALUE!</v>
      </c>
      <c r="AP74" t="e">
        <f>'2.4.Функции'!QM142+"BYw!%G`"</f>
        <v>#VALUE!</v>
      </c>
      <c r="AQ74" t="e">
        <f>'2.4.Функции'!QN142+"BYw!%Ga"</f>
        <v>#VALUE!</v>
      </c>
      <c r="AR74" t="e">
        <f>'2.4.Функции'!QO142+"BYw!%Gb"</f>
        <v>#VALUE!</v>
      </c>
      <c r="AS74" t="e">
        <f>'2.4.Функции'!QP142+"BYw!%Gc"</f>
        <v>#VALUE!</v>
      </c>
      <c r="AT74" t="e">
        <f>'2.4.Функции'!QQ142+"BYw!%Gd"</f>
        <v>#VALUE!</v>
      </c>
      <c r="AU74" t="e">
        <f>'2.4.Функции'!QR142+"BYw!%Ge"</f>
        <v>#VALUE!</v>
      </c>
      <c r="AV74" t="e">
        <f>'2.4.Функции'!QS142+"BYw!%Gf"</f>
        <v>#VALUE!</v>
      </c>
      <c r="AW74" t="e">
        <f>'2.4.Функции'!QT142+"BYw!%Gg"</f>
        <v>#VALUE!</v>
      </c>
      <c r="AX74" t="e">
        <f>'2.4.Функции'!QU142+"BYw!%Gh"</f>
        <v>#VALUE!</v>
      </c>
      <c r="AY74" t="e">
        <f>'2.4.Функции'!QV142+"BYw!%Gi"</f>
        <v>#VALUE!</v>
      </c>
      <c r="AZ74" t="e">
        <f>'2.4.Функции'!QW142+"BYw!%Gj"</f>
        <v>#VALUE!</v>
      </c>
      <c r="BA74" t="e">
        <f>'2.4.Функции'!QX142+"BYw!%Gk"</f>
        <v>#VALUE!</v>
      </c>
      <c r="BB74" t="e">
        <f>'2.4.Функции'!QY142+"BYw!%Gl"</f>
        <v>#VALUE!</v>
      </c>
      <c r="BC74" t="e">
        <f>'2.4.Функции'!QZ142+"BYw!%Gm"</f>
        <v>#VALUE!</v>
      </c>
      <c r="BD74" t="e">
        <f>'2.4.Функции'!RA142+"BYw!%Gn"</f>
        <v>#VALUE!</v>
      </c>
      <c r="BE74" t="e">
        <f>'2.4.Функции'!RB142+"BYw!%Go"</f>
        <v>#VALUE!</v>
      </c>
      <c r="BF74" t="e">
        <f>'2.4.Функции'!RC142+"BYw!%Gp"</f>
        <v>#VALUE!</v>
      </c>
      <c r="BG74" t="e">
        <f>'2.4.Функции'!RD142+"BYw!%Gq"</f>
        <v>#VALUE!</v>
      </c>
      <c r="BH74" t="e">
        <f>'2.4.Функции'!RE142+"BYw!%Gr"</f>
        <v>#VALUE!</v>
      </c>
      <c r="BI74" t="e">
        <f>'2.4.Функции'!RF142+"BYw!%Gs"</f>
        <v>#VALUE!</v>
      </c>
      <c r="BJ74" t="e">
        <f>'2.4.Функции'!RG142+"BYw!%Gt"</f>
        <v>#VALUE!</v>
      </c>
      <c r="BK74" t="e">
        <f>'2.4.Функции'!RH142+"BYw!%Gu"</f>
        <v>#VALUE!</v>
      </c>
      <c r="BL74" t="e">
        <f>'2.4.Функции'!RI142+"BYw!%Gv"</f>
        <v>#VALUE!</v>
      </c>
      <c r="BM74" t="e">
        <f>'2.4.Функции'!RJ142+"BYw!%Gw"</f>
        <v>#VALUE!</v>
      </c>
      <c r="BN74" t="e">
        <f>'2.4.Функции'!RK142+"BYw!%Gx"</f>
        <v>#VALUE!</v>
      </c>
      <c r="BO74" t="e">
        <f>'2.4.Функции'!RL142+"BYw!%Gy"</f>
        <v>#VALUE!</v>
      </c>
      <c r="BP74" t="e">
        <f>'2.4.Функции'!RM142+"BYw!%Gz"</f>
        <v>#VALUE!</v>
      </c>
      <c r="BQ74" t="e">
        <f>'2.4.Функции'!RN142+"BYw!%G{"</f>
        <v>#VALUE!</v>
      </c>
      <c r="BR74" t="e">
        <f>'2.4.Функции'!RO142+"BYw!%G|"</f>
        <v>#VALUE!</v>
      </c>
      <c r="BS74" t="e">
        <f>'2.4.Функции'!RP142+"BYw!%G}"</f>
        <v>#VALUE!</v>
      </c>
      <c r="BT74" t="e">
        <f>'2.4.Функции'!RQ142+"BYw!%G~"</f>
        <v>#VALUE!</v>
      </c>
      <c r="BU74" t="e">
        <f>'2.4.Функции'!RR142+"BYw!%H#"</f>
        <v>#VALUE!</v>
      </c>
      <c r="BV74" t="e">
        <f>'2.4.Функции'!RS142+"BYw!%H$"</f>
        <v>#VALUE!</v>
      </c>
      <c r="BW74" t="e">
        <f>'2.4.Функции'!RT142+"BYw!%H%"</f>
        <v>#VALUE!</v>
      </c>
      <c r="BX74" t="e">
        <f>'2.4.Функции'!RU142+"BYw!%H&amp;"</f>
        <v>#VALUE!</v>
      </c>
      <c r="BY74" t="e">
        <f>'2.4.Функции'!RV142+"BYw!%H'"</f>
        <v>#VALUE!</v>
      </c>
      <c r="BZ74" t="e">
        <f>'2.4.Функции'!RW142+"BYw!%H("</f>
        <v>#VALUE!</v>
      </c>
      <c r="CA74" t="e">
        <f>'2.4.Функции'!RX142+"BYw!%H)"</f>
        <v>#VALUE!</v>
      </c>
      <c r="CB74" t="e">
        <f>'2.4.Функции'!RY142+"BYw!%H."</f>
        <v>#VALUE!</v>
      </c>
      <c r="CC74" t="e">
        <f>'2.4.Функции'!RZ142+"BYw!%H/"</f>
        <v>#VALUE!</v>
      </c>
      <c r="CD74" t="e">
        <f>'2.4.Функции'!SA142+"BYw!%H0"</f>
        <v>#VALUE!</v>
      </c>
      <c r="CE74" t="e">
        <f>'2.4.Функции'!SB142+"BYw!%H1"</f>
        <v>#VALUE!</v>
      </c>
      <c r="CF74" t="e">
        <f>'2.4.Функции'!SC142+"BYw!%H2"</f>
        <v>#VALUE!</v>
      </c>
      <c r="CG74" t="e">
        <f>'2.4.Функции'!SD142+"BYw!%H3"</f>
        <v>#VALUE!</v>
      </c>
      <c r="CH74" t="e">
        <f>'2.4.Функции'!SE142+"BYw!%H4"</f>
        <v>#VALUE!</v>
      </c>
      <c r="CI74" t="e">
        <f>'2.4.Функции'!SF142+"BYw!%H5"</f>
        <v>#VALUE!</v>
      </c>
      <c r="CJ74" t="e">
        <f>'2.4.Функции'!SG142+"BYw!%H6"</f>
        <v>#VALUE!</v>
      </c>
      <c r="CK74" t="e">
        <f>'2.4.Функции'!SH142+"BYw!%H7"</f>
        <v>#VALUE!</v>
      </c>
      <c r="CL74" t="e">
        <f>'2.4.Функции'!SI142+"BYw!%H8"</f>
        <v>#VALUE!</v>
      </c>
      <c r="CM74" t="e">
        <f>'2.4.Функции'!SJ142+"BYw!%H9"</f>
        <v>#VALUE!</v>
      </c>
      <c r="CN74" t="e">
        <f>'2.4.Функции'!SK142+"BYw!%H:"</f>
        <v>#VALUE!</v>
      </c>
      <c r="CO74" t="e">
        <f>'2.4.Функции'!SL142+"BYw!%H;"</f>
        <v>#VALUE!</v>
      </c>
      <c r="CP74" t="e">
        <f>'2.4.Функции'!SM142+"BYw!%H&lt;"</f>
        <v>#VALUE!</v>
      </c>
      <c r="CQ74" t="e">
        <f>'2.4.Функции'!SN142+"BYw!%H="</f>
        <v>#VALUE!</v>
      </c>
      <c r="CR74" t="e">
        <f>'2.4.Функции'!SO142+"BYw!%H&gt;"</f>
        <v>#VALUE!</v>
      </c>
      <c r="CS74" t="e">
        <f>'2.4.Функции'!SP142+"BYw!%H?"</f>
        <v>#VALUE!</v>
      </c>
      <c r="CT74" t="e">
        <f>'2.4.Функции'!SQ142+"BYw!%H@"</f>
        <v>#VALUE!</v>
      </c>
      <c r="CU74" t="e">
        <f>'2.4.Функции'!SR142+"BYw!%HA"</f>
        <v>#VALUE!</v>
      </c>
      <c r="CV74" t="e">
        <f>'2.4.Функции'!SS142+"BYw!%HB"</f>
        <v>#VALUE!</v>
      </c>
      <c r="CW74" t="e">
        <f>'2.4.Функции'!ST142+"BYw!%HC"</f>
        <v>#VALUE!</v>
      </c>
      <c r="CX74" t="e">
        <f>'2.4.Функции'!SU142+"BYw!%HD"</f>
        <v>#VALUE!</v>
      </c>
      <c r="CY74" t="e">
        <f>'2.4.Функции'!SV142+"BYw!%HE"</f>
        <v>#VALUE!</v>
      </c>
      <c r="CZ74" t="e">
        <f>'2.4.Функции'!SW142+"BYw!%HF"</f>
        <v>#VALUE!</v>
      </c>
      <c r="DA74" t="e">
        <f>'2.4.Функции'!SX142+"BYw!%HG"</f>
        <v>#VALUE!</v>
      </c>
      <c r="DB74" t="e">
        <f>'2.4.Функции'!SY142+"BYw!%HH"</f>
        <v>#VALUE!</v>
      </c>
      <c r="DC74" t="e">
        <f>'2.4.Функции'!SZ142+"BYw!%HI"</f>
        <v>#VALUE!</v>
      </c>
      <c r="DD74" t="e">
        <f>'2.4.Функции'!TA142+"BYw!%HJ"</f>
        <v>#VALUE!</v>
      </c>
      <c r="DE74" t="e">
        <f>'2.4.Функции'!TB142+"BYw!%HK"</f>
        <v>#VALUE!</v>
      </c>
      <c r="DF74" t="e">
        <f>'2.4.Функции'!TC142+"BYw!%HL"</f>
        <v>#VALUE!</v>
      </c>
      <c r="DG74" t="e">
        <f>'2.4.Функции'!TD142+"BYw!%HM"</f>
        <v>#VALUE!</v>
      </c>
      <c r="DH74" t="e">
        <f>'2.4.Функции'!TE142+"BYw!%HN"</f>
        <v>#VALUE!</v>
      </c>
      <c r="DI74" t="e">
        <f>'2.4.Функции'!TF142+"BYw!%HO"</f>
        <v>#VALUE!</v>
      </c>
      <c r="DJ74" t="e">
        <f>'2.4.Функции'!TG142+"BYw!%HP"</f>
        <v>#VALUE!</v>
      </c>
      <c r="DK74" t="e">
        <f>'2.4.Функции'!TH142+"BYw!%HQ"</f>
        <v>#VALUE!</v>
      </c>
      <c r="DL74" t="e">
        <f>'2.4.Функции'!TI142+"BYw!%HR"</f>
        <v>#VALUE!</v>
      </c>
      <c r="DM74" t="e">
        <f>'2.4.Функции'!TJ142+"BYw!%HS"</f>
        <v>#VALUE!</v>
      </c>
      <c r="DN74" t="e">
        <f>'2.4.Функции'!TK142+"BYw!%HT"</f>
        <v>#VALUE!</v>
      </c>
      <c r="DO74" t="e">
        <f>'2.4.Функции'!TL142+"BYw!%HU"</f>
        <v>#VALUE!</v>
      </c>
      <c r="DP74" t="e">
        <f>'2.4.Функции'!TM142+"BYw!%HV"</f>
        <v>#VALUE!</v>
      </c>
      <c r="DQ74" t="e">
        <f>'2.4.Функции'!TN142+"BYw!%HW"</f>
        <v>#VALUE!</v>
      </c>
      <c r="DR74" t="e">
        <f>'2.4.Функции'!TO142+"BYw!%HX"</f>
        <v>#VALUE!</v>
      </c>
      <c r="DS74" t="e">
        <f>'2.4.Функции'!TP142+"BYw!%HY"</f>
        <v>#VALUE!</v>
      </c>
      <c r="DT74" t="e">
        <f>'2.4.Функции'!TQ142+"BYw!%HZ"</f>
        <v>#VALUE!</v>
      </c>
      <c r="DU74" t="e">
        <f>'2.4.Функции'!TR142+"BYw!%H["</f>
        <v>#VALUE!</v>
      </c>
      <c r="DV74" t="e">
        <f>'2.4.Функции'!TS142+"BYw!%H\"</f>
        <v>#VALUE!</v>
      </c>
      <c r="DW74" t="e">
        <f>'2.4.Функции'!TT142+"BYw!%H]"</f>
        <v>#VALUE!</v>
      </c>
      <c r="DX74" t="e">
        <f>'2.4.Функции'!TU142+"BYw!%H^"</f>
        <v>#VALUE!</v>
      </c>
      <c r="DY74" t="e">
        <f>'2.4.Функции'!TV142+"BYw!%H_"</f>
        <v>#VALUE!</v>
      </c>
      <c r="DZ74" t="e">
        <f>'2.4.Функции'!TW142+"BYw!%H`"</f>
        <v>#VALUE!</v>
      </c>
      <c r="EA74" t="e">
        <f>'2.4.Функции'!TX142+"BYw!%Ha"</f>
        <v>#VALUE!</v>
      </c>
      <c r="EB74" t="e">
        <f>'2.4.Функции'!TY142+"BYw!%Hb"</f>
        <v>#VALUE!</v>
      </c>
      <c r="EC74" t="e">
        <f>'2.4.Функции'!TZ142+"BYw!%Hc"</f>
        <v>#VALUE!</v>
      </c>
      <c r="ED74" t="e">
        <f>'2.4.Функции'!UA142+"BYw!%Hd"</f>
        <v>#VALUE!</v>
      </c>
      <c r="EE74" t="e">
        <f>'2.4.Функции'!UB142+"BYw!%He"</f>
        <v>#VALUE!</v>
      </c>
      <c r="EF74" t="e">
        <f>'2.4.Функции'!UC142+"BYw!%Hf"</f>
        <v>#VALUE!</v>
      </c>
      <c r="EG74" t="e">
        <f>'2.4.Функции'!UD142+"BYw!%Hg"</f>
        <v>#VALUE!</v>
      </c>
      <c r="EH74" t="e">
        <f>'2.4.Функции'!UE142+"BYw!%Hh"</f>
        <v>#VALUE!</v>
      </c>
      <c r="EI74" t="e">
        <f>'2.4.Функции'!UF142+"BYw!%Hi"</f>
        <v>#VALUE!</v>
      </c>
      <c r="EJ74" t="e">
        <f>'2.4.Функции'!UG142+"BYw!%Hj"</f>
        <v>#VALUE!</v>
      </c>
      <c r="EK74" t="e">
        <f>'2.4.Функции'!UH142+"BYw!%Hk"</f>
        <v>#VALUE!</v>
      </c>
      <c r="EL74" t="e">
        <f>'2.4.Функции'!UI142+"BYw!%Hl"</f>
        <v>#VALUE!</v>
      </c>
      <c r="EM74" t="e">
        <f>'2.4.Функции'!UJ142+"BYw!%Hm"</f>
        <v>#VALUE!</v>
      </c>
      <c r="EN74" t="e">
        <f>'2.4.Функции'!UK142+"BYw!%Hn"</f>
        <v>#VALUE!</v>
      </c>
      <c r="EO74" t="e">
        <f>'2.4.Функции'!UL142+"BYw!%Ho"</f>
        <v>#VALUE!</v>
      </c>
      <c r="EP74" t="e">
        <f>'2.4.Функции'!UM142+"BYw!%Hp"</f>
        <v>#VALUE!</v>
      </c>
      <c r="EQ74" t="e">
        <f>'2.4.Функции'!UN142+"BYw!%Hq"</f>
        <v>#VALUE!</v>
      </c>
      <c r="ER74" t="e">
        <f>'2.4.Функции'!UO142+"BYw!%Hr"</f>
        <v>#VALUE!</v>
      </c>
      <c r="ES74" t="e">
        <f>'2.4.Функции'!UP142+"BYw!%Hs"</f>
        <v>#VALUE!</v>
      </c>
      <c r="ET74" t="e">
        <f>'2.4.Функции'!UQ142+"BYw!%Ht"</f>
        <v>#VALUE!</v>
      </c>
      <c r="EU74" t="e">
        <f>'2.4.Функции'!UR142+"BYw!%Hu"</f>
        <v>#VALUE!</v>
      </c>
      <c r="EV74" t="e">
        <f>'2.4.Функции'!US142+"BYw!%Hv"</f>
        <v>#VALUE!</v>
      </c>
      <c r="EW74" t="e">
        <f>'2.4.Функции'!UT142+"BYw!%Hw"</f>
        <v>#VALUE!</v>
      </c>
      <c r="EX74" t="e">
        <f>'2.4.Функции'!UU142+"BYw!%Hx"</f>
        <v>#VALUE!</v>
      </c>
      <c r="EY74" t="e">
        <f>'2.4.Функции'!UV142+"BYw!%Hy"</f>
        <v>#VALUE!</v>
      </c>
      <c r="EZ74" t="e">
        <f>'2.4.Функции'!UW142+"BYw!%Hz"</f>
        <v>#VALUE!</v>
      </c>
      <c r="FA74" t="e">
        <f>'2.4.Функции'!UX142+"BYw!%H{"</f>
        <v>#VALUE!</v>
      </c>
      <c r="FB74" t="e">
        <f>'2.4.Функции'!UY142+"BYw!%H|"</f>
        <v>#VALUE!</v>
      </c>
      <c r="FC74" t="e">
        <f>'2.4.Функции'!UZ142+"BYw!%H}"</f>
        <v>#VALUE!</v>
      </c>
      <c r="FD74" t="e">
        <f>'2.4.Функции'!VA142+"BYw!%H~"</f>
        <v>#VALUE!</v>
      </c>
      <c r="FE74" t="e">
        <f>'2.4.Функции'!VB142+"BYw!%I#"</f>
        <v>#VALUE!</v>
      </c>
      <c r="FF74" t="e">
        <f>'2.4.Функции'!VC142+"BYw!%I$"</f>
        <v>#VALUE!</v>
      </c>
      <c r="FG74" t="e">
        <f>'2.4.Функции'!VD142+"BYw!%I%"</f>
        <v>#VALUE!</v>
      </c>
      <c r="FH74" t="e">
        <f>'2.4.Функции'!VE142+"BYw!%I&amp;"</f>
        <v>#VALUE!</v>
      </c>
      <c r="FI74" t="e">
        <f>'2.4.Функции'!VF142+"BYw!%I'"</f>
        <v>#VALUE!</v>
      </c>
      <c r="FJ74" t="e">
        <f>'2.4.Функции'!VG142+"BYw!%I("</f>
        <v>#VALUE!</v>
      </c>
      <c r="FK74" t="e">
        <f>'2.4.Функции'!VH142+"BYw!%I)"</f>
        <v>#VALUE!</v>
      </c>
      <c r="FL74" t="e">
        <f>'2.4.Функции'!VI142+"BYw!%I."</f>
        <v>#VALUE!</v>
      </c>
      <c r="FM74" t="e">
        <f>'2.4.Функции'!VJ142+"BYw!%I/"</f>
        <v>#VALUE!</v>
      </c>
      <c r="FN74" t="e">
        <f>'2.4.Функции'!VK142+"BYw!%I0"</f>
        <v>#VALUE!</v>
      </c>
      <c r="FO74" t="e">
        <f>'2.4.Функции'!VL142+"BYw!%I1"</f>
        <v>#VALUE!</v>
      </c>
      <c r="FP74" t="e">
        <f>'2.4.Функции'!VM142+"BYw!%I2"</f>
        <v>#VALUE!</v>
      </c>
      <c r="FQ74" t="e">
        <f>'2.4.Функции'!VN142+"BYw!%I3"</f>
        <v>#VALUE!</v>
      </c>
      <c r="FR74" t="e">
        <f>'2.4.Функции'!VO142+"BYw!%I4"</f>
        <v>#VALUE!</v>
      </c>
      <c r="FS74" t="e">
        <f>'2.4.Функции'!VP142+"BYw!%I5"</f>
        <v>#VALUE!</v>
      </c>
      <c r="FT74" t="e">
        <f>'2.4.Функции'!VQ142+"BYw!%I6"</f>
        <v>#VALUE!</v>
      </c>
      <c r="FU74" t="e">
        <f>'2.4.Функции'!VR142+"BYw!%I7"</f>
        <v>#VALUE!</v>
      </c>
      <c r="FV74" t="e">
        <f>'2.4.Функции'!VS142+"BYw!%I8"</f>
        <v>#VALUE!</v>
      </c>
      <c r="FW74" t="e">
        <f>'2.4.Функции'!VT142+"BYw!%I9"</f>
        <v>#VALUE!</v>
      </c>
      <c r="FX74" t="e">
        <f>'2.4.Функции'!VU142+"BYw!%I:"</f>
        <v>#VALUE!</v>
      </c>
      <c r="FY74" t="e">
        <f>'2.4.Функции'!VV142+"BYw!%I;"</f>
        <v>#VALUE!</v>
      </c>
      <c r="FZ74" t="e">
        <f>'2.4.Функции'!VW142+"BYw!%I&lt;"</f>
        <v>#VALUE!</v>
      </c>
      <c r="GA74" t="e">
        <f>'2.4.Функции'!VX142+"BYw!%I="</f>
        <v>#VALUE!</v>
      </c>
      <c r="GB74" t="e">
        <f>'2.4.Функции'!VY142+"BYw!%I&gt;"</f>
        <v>#VALUE!</v>
      </c>
      <c r="GC74" t="e">
        <f>'2.4.Функции'!VZ142+"BYw!%I?"</f>
        <v>#VALUE!</v>
      </c>
      <c r="GD74" t="e">
        <f>'2.4.Функции'!WA142+"BYw!%I@"</f>
        <v>#VALUE!</v>
      </c>
      <c r="GE74" t="e">
        <f>'2.4.Функции'!WB142+"BYw!%IA"</f>
        <v>#VALUE!</v>
      </c>
      <c r="GF74" t="e">
        <f>'2.4.Функции'!WC142+"BYw!%IB"</f>
        <v>#VALUE!</v>
      </c>
      <c r="GG74" t="e">
        <f>'2.4.Функции'!WD142+"BYw!%IC"</f>
        <v>#VALUE!</v>
      </c>
      <c r="GH74" t="e">
        <f>'2.4.Функции'!WE142+"BYw!%ID"</f>
        <v>#VALUE!</v>
      </c>
      <c r="GI74" t="e">
        <f>'2.4.Функции'!WF142+"BYw!%IE"</f>
        <v>#VALUE!</v>
      </c>
      <c r="GJ74" t="e">
        <f>'2.4.Функции'!WG142+"BYw!%IF"</f>
        <v>#VALUE!</v>
      </c>
      <c r="GK74" t="e">
        <f>'2.4.Функции'!WH142+"BYw!%IG"</f>
        <v>#VALUE!</v>
      </c>
      <c r="GL74" t="e">
        <f>'2.4.Функции'!WI142+"BYw!%IH"</f>
        <v>#VALUE!</v>
      </c>
      <c r="GM74" t="e">
        <f>'2.4.Функции'!WJ142+"BYw!%II"</f>
        <v>#VALUE!</v>
      </c>
      <c r="GN74" t="e">
        <f>'2.4.Функции'!WK142+"BYw!%IJ"</f>
        <v>#VALUE!</v>
      </c>
      <c r="GO74" t="e">
        <f>'2.4.Функции'!WL142+"BYw!%IK"</f>
        <v>#VALUE!</v>
      </c>
      <c r="GP74" t="e">
        <f>'2.4.Функции'!WM142+"BYw!%IL"</f>
        <v>#VALUE!</v>
      </c>
      <c r="GQ74" t="e">
        <f>'2.4.Функции'!WN142+"BYw!%IM"</f>
        <v>#VALUE!</v>
      </c>
      <c r="GR74" t="e">
        <f>'2.4.Функции'!WO142+"BYw!%IN"</f>
        <v>#VALUE!</v>
      </c>
      <c r="GS74" t="e">
        <f>'2.4.Функции'!WP142+"BYw!%IO"</f>
        <v>#VALUE!</v>
      </c>
      <c r="GT74" t="e">
        <f>'2.4.Функции'!WQ142+"BYw!%IP"</f>
        <v>#VALUE!</v>
      </c>
      <c r="GU74" t="e">
        <f>'2.4.Функции'!WR142+"BYw!%IQ"</f>
        <v>#VALUE!</v>
      </c>
      <c r="GV74" t="e">
        <f>'2.4.Функции'!WS142+"BYw!%IR"</f>
        <v>#VALUE!</v>
      </c>
      <c r="GW74" t="e">
        <f>'2.4.Функции'!WT142+"BYw!%IS"</f>
        <v>#VALUE!</v>
      </c>
      <c r="GX74" t="e">
        <f>'2.4.Функции'!WU142+"BYw!%IT"</f>
        <v>#VALUE!</v>
      </c>
      <c r="GY74" t="e">
        <f>'2.4.Функции'!WV142+"BYw!%IU"</f>
        <v>#VALUE!</v>
      </c>
      <c r="GZ74" t="e">
        <f>'2.4.Функции'!WW142+"BYw!%IV"</f>
        <v>#VALUE!</v>
      </c>
      <c r="HA74" t="e">
        <f>'2.4.Функции'!WX142+"BYw!%IW"</f>
        <v>#VALUE!</v>
      </c>
      <c r="HB74" t="e">
        <f>'2.4.Функции'!WY142+"BYw!%IX"</f>
        <v>#VALUE!</v>
      </c>
      <c r="HC74" t="e">
        <f>'2.4.Функции'!WZ142+"BYw!%IY"</f>
        <v>#VALUE!</v>
      </c>
      <c r="HD74" t="e">
        <f>'2.4.Функции'!XA142+"BYw!%IZ"</f>
        <v>#VALUE!</v>
      </c>
      <c r="HE74" t="e">
        <f>'2.4.Функции'!XB142+"BYw!%I["</f>
        <v>#VALUE!</v>
      </c>
      <c r="HF74" t="e">
        <f>'2.4.Функции'!XC142+"BYw!%I\"</f>
        <v>#VALUE!</v>
      </c>
      <c r="HG74" t="e">
        <f>'2.4.Функции'!XD142+"BYw!%I]"</f>
        <v>#VALUE!</v>
      </c>
      <c r="HH74" t="e">
        <f>'2.4.Функции'!XE142+"BYw!%I^"</f>
        <v>#VALUE!</v>
      </c>
      <c r="HI74" t="e">
        <f>'2.4.Функции'!XF142+"BYw!%I_"</f>
        <v>#VALUE!</v>
      </c>
      <c r="HJ74" t="e">
        <f>'2.4.Функции'!XG142+"BYw!%I`"</f>
        <v>#VALUE!</v>
      </c>
      <c r="HK74" t="e">
        <f>'2.4.Функции'!XH142+"BYw!%Ia"</f>
        <v>#VALUE!</v>
      </c>
      <c r="HL74" t="e">
        <f>'2.4.Функции'!XI142+"BYw!%Ib"</f>
        <v>#VALUE!</v>
      </c>
      <c r="HM74" t="e">
        <f>'2.4.Функции'!XJ142+"BYw!%Ic"</f>
        <v>#VALUE!</v>
      </c>
      <c r="HN74" t="e">
        <f>'2.4.Функции'!XK142+"BYw!%Id"</f>
        <v>#VALUE!</v>
      </c>
      <c r="HO74" t="e">
        <f>'2.4.Функции'!XL142+"BYw!%Ie"</f>
        <v>#VALUE!</v>
      </c>
      <c r="HP74" t="e">
        <f>'2.4.Функции'!XM142+"BYw!%If"</f>
        <v>#VALUE!</v>
      </c>
      <c r="HQ74" t="e">
        <f>'2.4.Функции'!XN142+"BYw!%Ig"</f>
        <v>#VALUE!</v>
      </c>
      <c r="HR74" t="e">
        <f>'2.4.Функции'!XO142+"BYw!%Ih"</f>
        <v>#VALUE!</v>
      </c>
      <c r="HS74" t="e">
        <f>'2.4.Функции'!XP142+"BYw!%Ii"</f>
        <v>#VALUE!</v>
      </c>
      <c r="HT74" t="e">
        <f>'2.4.Функции'!XQ142+"BYw!%Ij"</f>
        <v>#VALUE!</v>
      </c>
      <c r="HU74" t="e">
        <f>'2.4.Функции'!XR142+"BYw!%Ik"</f>
        <v>#VALUE!</v>
      </c>
      <c r="HV74" t="e">
        <f>'2.4.Функции'!XS142+"BYw!%Il"</f>
        <v>#VALUE!</v>
      </c>
      <c r="HW74" t="e">
        <f>'2.4.Функции'!XT142+"BYw!%Im"</f>
        <v>#VALUE!</v>
      </c>
      <c r="HX74" t="e">
        <f>'2.4.Функции'!XU142+"BYw!%In"</f>
        <v>#VALUE!</v>
      </c>
      <c r="HY74" t="e">
        <f>'2.4.Функции'!XV142+"BYw!%Io"</f>
        <v>#VALUE!</v>
      </c>
      <c r="HZ74" t="e">
        <f>'2.4.Функции'!XW142+"BYw!%Ip"</f>
        <v>#VALUE!</v>
      </c>
      <c r="IA74" t="e">
        <f>'2.4.Функции'!XX142+"BYw!%Iq"</f>
        <v>#VALUE!</v>
      </c>
      <c r="IB74" t="e">
        <f>'2.4.Функции'!XY142+"BYw!%Ir"</f>
        <v>#VALUE!</v>
      </c>
      <c r="IC74" t="e">
        <f>'2.4.Функции'!XZ142+"BYw!%Is"</f>
        <v>#VALUE!</v>
      </c>
      <c r="ID74" t="e">
        <f>'2.4.Функции'!YA142+"BYw!%It"</f>
        <v>#VALUE!</v>
      </c>
      <c r="IE74" t="e">
        <f>'2.4.Функции'!YB142+"BYw!%Iu"</f>
        <v>#VALUE!</v>
      </c>
      <c r="IF74" t="e">
        <f>'2.4.Функции'!YC142+"BYw!%Iv"</f>
        <v>#VALUE!</v>
      </c>
      <c r="IG74" t="e">
        <f>'2.4.Функции'!YD142+"BYw!%Iw"</f>
        <v>#VALUE!</v>
      </c>
      <c r="IH74" t="e">
        <f>'2.4.Функции'!YE142+"BYw!%Ix"</f>
        <v>#VALUE!</v>
      </c>
      <c r="II74" t="e">
        <f>'2.4.Функции'!YF142+"BYw!%Iy"</f>
        <v>#VALUE!</v>
      </c>
      <c r="IJ74" t="e">
        <f>'2.4.Функции'!YG142+"BYw!%Iz"</f>
        <v>#VALUE!</v>
      </c>
      <c r="IK74" t="e">
        <f>'2.4.Функции'!YH142+"BYw!%I{"</f>
        <v>#VALUE!</v>
      </c>
      <c r="IL74" t="e">
        <f>'2.4.Функции'!YI142+"BYw!%I|"</f>
        <v>#VALUE!</v>
      </c>
      <c r="IM74" t="e">
        <f>'2.4.Функции'!YJ142+"BYw!%I}"</f>
        <v>#VALUE!</v>
      </c>
      <c r="IN74" t="e">
        <f>'2.4.Функции'!YK142+"BYw!%I~"</f>
        <v>#VALUE!</v>
      </c>
      <c r="IO74" t="e">
        <f>'2.4.Функции'!YL142+"BYw!%J#"</f>
        <v>#VALUE!</v>
      </c>
      <c r="IP74" t="e">
        <f>'2.4.Функции'!YM142+"BYw!%J$"</f>
        <v>#VALUE!</v>
      </c>
      <c r="IQ74" t="e">
        <f>'2.4.Функции'!YN142+"BYw!%J%"</f>
        <v>#VALUE!</v>
      </c>
      <c r="IR74" t="e">
        <f>'2.4.Функции'!YO142+"BYw!%J&amp;"</f>
        <v>#VALUE!</v>
      </c>
      <c r="IS74" t="e">
        <f>'2.4.Функции'!YP142+"BYw!%J'"</f>
        <v>#VALUE!</v>
      </c>
      <c r="IT74" t="e">
        <f>'2.4.Функции'!YQ142+"BYw!%J("</f>
        <v>#VALUE!</v>
      </c>
      <c r="IU74" t="e">
        <f>'2.4.Функции'!YR142+"BYw!%J)"</f>
        <v>#VALUE!</v>
      </c>
      <c r="IV74" t="e">
        <f>'2.4.Функции'!YS142+"BYw!%J."</f>
        <v>#VALUE!</v>
      </c>
    </row>
    <row r="75" spans="6:256" x14ac:dyDescent="0.2">
      <c r="F75" t="e">
        <f>'2.4.Функции'!YT142+"BYw!%J/"</f>
        <v>#VALUE!</v>
      </c>
      <c r="G75" t="e">
        <f>'2.4.Функции'!YU142+"BYw!%J0"</f>
        <v>#VALUE!</v>
      </c>
      <c r="H75" t="e">
        <f>'2.4.Функции'!YV142+"BYw!%J1"</f>
        <v>#VALUE!</v>
      </c>
      <c r="I75" t="e">
        <f>'2.4.Функции'!YW142+"BYw!%J2"</f>
        <v>#VALUE!</v>
      </c>
      <c r="J75" t="e">
        <f>'2.4.Функции'!YX142+"BYw!%J3"</f>
        <v>#VALUE!</v>
      </c>
      <c r="K75" t="e">
        <f>'2.4.Функции'!YY142+"BYw!%J4"</f>
        <v>#VALUE!</v>
      </c>
      <c r="L75" t="e">
        <f>'2.4.Функции'!YZ142+"BYw!%J5"</f>
        <v>#VALUE!</v>
      </c>
      <c r="M75" t="e">
        <f>'2.4.Функции'!ZA142+"BYw!%J6"</f>
        <v>#VALUE!</v>
      </c>
      <c r="N75" t="e">
        <f>'2.4.Функции'!ZB142+"BYw!%J7"</f>
        <v>#VALUE!</v>
      </c>
      <c r="O75" t="e">
        <f>'2.4.Функции'!ZC142+"BYw!%J8"</f>
        <v>#VALUE!</v>
      </c>
      <c r="P75" t="e">
        <f>'2.4.Функции'!ZD142+"BYw!%J9"</f>
        <v>#VALUE!</v>
      </c>
      <c r="Q75" t="e">
        <f>'2.4.Функции'!ZE142+"BYw!%J:"</f>
        <v>#VALUE!</v>
      </c>
      <c r="R75" t="e">
        <f>'2.4.Функции'!ZF142+"BYw!%J;"</f>
        <v>#VALUE!</v>
      </c>
      <c r="S75" t="e">
        <f>'2.4.Функции'!ZG142+"BYw!%J&lt;"</f>
        <v>#VALUE!</v>
      </c>
      <c r="T75" t="e">
        <f>'2.4.Функции'!ZH142+"BYw!%J="</f>
        <v>#VALUE!</v>
      </c>
      <c r="U75" t="e">
        <f>'2.4.Функции'!ZI142+"BYw!%J&gt;"</f>
        <v>#VALUE!</v>
      </c>
      <c r="V75" t="e">
        <f>'2.4.Функции'!ZJ142+"BYw!%J?"</f>
        <v>#VALUE!</v>
      </c>
      <c r="W75" t="e">
        <f>'2.4.Функции'!ZK142+"BYw!%J@"</f>
        <v>#VALUE!</v>
      </c>
      <c r="X75" t="e">
        <f>'2.4.Функции'!ZL142+"BYw!%JA"</f>
        <v>#VALUE!</v>
      </c>
      <c r="Y75" t="e">
        <f>'2.4.Функции'!ZM142+"BYw!%JB"</f>
        <v>#VALUE!</v>
      </c>
      <c r="Z75" t="e">
        <f>'2.4.Функции'!ZN142+"BYw!%JC"</f>
        <v>#VALUE!</v>
      </c>
      <c r="AA75" t="e">
        <f>'2.4.Функции'!ZO142+"BYw!%JD"</f>
        <v>#VALUE!</v>
      </c>
      <c r="AB75" t="e">
        <f>'2.4.Функции'!ZP142+"BYw!%JE"</f>
        <v>#VALUE!</v>
      </c>
      <c r="AC75" t="e">
        <f>'2.4.Функции'!ZQ142+"BYw!%JF"</f>
        <v>#VALUE!</v>
      </c>
      <c r="AD75" t="e">
        <f>'2.4.Функции'!ZR142+"BYw!%JG"</f>
        <v>#VALUE!</v>
      </c>
      <c r="AE75" t="e">
        <f>'2.4.Функции'!ZS142+"BYw!%JH"</f>
        <v>#VALUE!</v>
      </c>
      <c r="AF75" t="e">
        <f>'2.4.Функции'!ZT142+"BYw!%JI"</f>
        <v>#VALUE!</v>
      </c>
      <c r="AG75" t="e">
        <f>'2.4.Функции'!ZU142+"BYw!%JJ"</f>
        <v>#VALUE!</v>
      </c>
      <c r="AH75" t="e">
        <f>'2.4.Функции'!ZV142+"BYw!%JK"</f>
        <v>#VALUE!</v>
      </c>
      <c r="AI75" t="e">
        <f>'2.4.Функции'!ZW142+"BYw!%JL"</f>
        <v>#VALUE!</v>
      </c>
      <c r="AJ75" t="e">
        <f>'2.4.Функции'!ZX142+"BYw!%JM"</f>
        <v>#VALUE!</v>
      </c>
      <c r="AK75" t="e">
        <f>'2.4.Функции'!ZY142+"BYw!%JN"</f>
        <v>#VALUE!</v>
      </c>
      <c r="AL75" t="e">
        <f>'2.4.Функции'!ZZ142+"BYw!%JO"</f>
        <v>#VALUE!</v>
      </c>
      <c r="AM75" t="e">
        <f>'2.4.Функции'!AAA142+"BYw!%JP"</f>
        <v>#VALUE!</v>
      </c>
      <c r="AN75" t="e">
        <f>'2.4.Функции'!AAB142+"BYw!%JQ"</f>
        <v>#VALUE!</v>
      </c>
      <c r="AO75" t="e">
        <f>'2.4.Функции'!AAC142+"BYw!%JR"</f>
        <v>#VALUE!</v>
      </c>
      <c r="AP75" t="e">
        <f>'2.4.Функции'!AAD142+"BYw!%JS"</f>
        <v>#VALUE!</v>
      </c>
      <c r="AQ75" t="e">
        <f>'2.4.Функции'!AAE142+"BYw!%JT"</f>
        <v>#VALUE!</v>
      </c>
      <c r="AR75" t="e">
        <f>'2.4.Функции'!AAF142+"BYw!%JU"</f>
        <v>#VALUE!</v>
      </c>
      <c r="AS75" t="e">
        <f>'2.4.Функции'!AAG142+"BYw!%JV"</f>
        <v>#VALUE!</v>
      </c>
      <c r="AT75" t="e">
        <f>'2.4.Функции'!AAH142+"BYw!%JW"</f>
        <v>#VALUE!</v>
      </c>
      <c r="AU75" t="e">
        <f>'2.4.Функции'!AAI142+"BYw!%JX"</f>
        <v>#VALUE!</v>
      </c>
      <c r="AV75" t="e">
        <f>'2.4.Функции'!AAJ142+"BYw!%JY"</f>
        <v>#VALUE!</v>
      </c>
      <c r="AW75" t="e">
        <f>'2.4.Функции'!AAK142+"BYw!%JZ"</f>
        <v>#VALUE!</v>
      </c>
      <c r="AX75" t="e">
        <f>'2.4.Функции'!AAL142+"BYw!%J["</f>
        <v>#VALUE!</v>
      </c>
      <c r="AY75" t="e">
        <f>'2.4.Функции'!AAM142+"BYw!%J\"</f>
        <v>#VALUE!</v>
      </c>
      <c r="AZ75" t="e">
        <f>'2.4.Функции'!AAN142+"BYw!%J]"</f>
        <v>#VALUE!</v>
      </c>
      <c r="BA75" t="e">
        <f>'2.4.Функции'!AAO142+"BYw!%J^"</f>
        <v>#VALUE!</v>
      </c>
      <c r="BB75" t="e">
        <f>'2.4.Функции'!AAP142+"BYw!%J_"</f>
        <v>#VALUE!</v>
      </c>
      <c r="BC75" t="e">
        <f>'2.4.Функции'!AAQ142+"BYw!%J`"</f>
        <v>#VALUE!</v>
      </c>
      <c r="BD75" t="e">
        <f>'2.4.Функции'!AAR142+"BYw!%Ja"</f>
        <v>#VALUE!</v>
      </c>
      <c r="BE75" t="e">
        <f>'2.4.Функции'!AAS142+"BYw!%Jb"</f>
        <v>#VALUE!</v>
      </c>
      <c r="BF75" t="e">
        <f>'2.4.Функции'!AAT142+"BYw!%Jc"</f>
        <v>#VALUE!</v>
      </c>
      <c r="BG75" t="e">
        <f>'2.4.Функции'!AAU142+"BYw!%Jd"</f>
        <v>#VALUE!</v>
      </c>
      <c r="BH75" t="e">
        <f>'2.4.Функции'!AAV142+"BYw!%Je"</f>
        <v>#VALUE!</v>
      </c>
      <c r="BI75" t="e">
        <f>'2.4.Функции'!AAW142+"BYw!%Jf"</f>
        <v>#VALUE!</v>
      </c>
      <c r="BJ75" t="e">
        <f>'2.4.Функции'!AAX142+"BYw!%Jg"</f>
        <v>#VALUE!</v>
      </c>
      <c r="BK75" t="e">
        <f>'2.4.Функции'!AAY142+"BYw!%Jh"</f>
        <v>#VALUE!</v>
      </c>
      <c r="BL75" t="e">
        <f>'2.4.Функции'!AAZ142+"BYw!%Ji"</f>
        <v>#VALUE!</v>
      </c>
      <c r="BM75" t="e">
        <f>'2.4.Функции'!ABA142+"BYw!%Jj"</f>
        <v>#VALUE!</v>
      </c>
      <c r="BN75" t="e">
        <f>'2.4.Функции'!ABB142+"BYw!%Jk"</f>
        <v>#VALUE!</v>
      </c>
      <c r="BO75" t="e">
        <f>'2.4.Функции'!ABC142+"BYw!%Jl"</f>
        <v>#VALUE!</v>
      </c>
      <c r="BP75" t="e">
        <f>'2.4.Функции'!ABD142+"BYw!%Jm"</f>
        <v>#VALUE!</v>
      </c>
      <c r="BQ75" t="e">
        <f>'2.4.Функции'!ABE142+"BYw!%Jn"</f>
        <v>#VALUE!</v>
      </c>
      <c r="BR75" t="e">
        <f>'2.4.Функции'!ABF142+"BYw!%Jo"</f>
        <v>#VALUE!</v>
      </c>
      <c r="BS75" t="e">
        <f>'2.4.Функции'!ABG142+"BYw!%Jp"</f>
        <v>#VALUE!</v>
      </c>
      <c r="BT75" t="e">
        <f>'2.4.Функции'!ABH142+"BYw!%Jq"</f>
        <v>#VALUE!</v>
      </c>
      <c r="BU75" t="e">
        <f>'2.4.Функции'!ABI142+"BYw!%Jr"</f>
        <v>#VALUE!</v>
      </c>
      <c r="BV75" t="e">
        <f>'2.4.Функции'!ABJ142+"BYw!%Js"</f>
        <v>#VALUE!</v>
      </c>
      <c r="BW75" t="e">
        <f>'2.4.Функции'!ABK142+"BYw!%Jt"</f>
        <v>#VALUE!</v>
      </c>
      <c r="BX75" t="e">
        <f>'2.4.Функции'!ABL142+"BYw!%Ju"</f>
        <v>#VALUE!</v>
      </c>
      <c r="BY75" t="e">
        <f>'2.4.Функции'!ABM142+"BYw!%Jv"</f>
        <v>#VALUE!</v>
      </c>
      <c r="BZ75" t="e">
        <f>'2.4.Функции'!ABN142+"BYw!%Jw"</f>
        <v>#VALUE!</v>
      </c>
      <c r="CA75" t="e">
        <f>'2.4.Функции'!ABO142+"BYw!%Jx"</f>
        <v>#VALUE!</v>
      </c>
      <c r="CB75" t="e">
        <f>'2.4.Функции'!ABP142+"BYw!%Jy"</f>
        <v>#VALUE!</v>
      </c>
      <c r="CC75" t="e">
        <f>'2.4.Функции'!ABQ142+"BYw!%Jz"</f>
        <v>#VALUE!</v>
      </c>
      <c r="CD75" t="e">
        <f>'2.4.Функции'!ABR142+"BYw!%J{"</f>
        <v>#VALUE!</v>
      </c>
      <c r="CE75" t="e">
        <f>'2.4.Функции'!ABS142+"BYw!%J|"</f>
        <v>#VALUE!</v>
      </c>
      <c r="CF75" t="e">
        <f>'2.4.Функции'!ABT142+"BYw!%J}"</f>
        <v>#VALUE!</v>
      </c>
      <c r="CG75" t="e">
        <f>'2.4.Функции'!ABU142+"BYw!%J~"</f>
        <v>#VALUE!</v>
      </c>
      <c r="CH75" t="e">
        <f>'2.4.Функции'!ABV142+"BYw!%K#"</f>
        <v>#VALUE!</v>
      </c>
      <c r="CI75" t="e">
        <f>'2.4.Функции'!ABW142+"BYw!%K$"</f>
        <v>#VALUE!</v>
      </c>
      <c r="CJ75" t="e">
        <f>'2.4.Функции'!ABX142+"BYw!%K%"</f>
        <v>#VALUE!</v>
      </c>
      <c r="CK75" t="e">
        <f>'2.4.Функции'!ABY142+"BYw!%K&amp;"</f>
        <v>#VALUE!</v>
      </c>
      <c r="CL75" t="e">
        <f>'2.4.Функции'!ABZ142+"BYw!%K'"</f>
        <v>#VALUE!</v>
      </c>
      <c r="CM75" t="e">
        <f>'2.4.Функции'!ACA142+"BYw!%K("</f>
        <v>#VALUE!</v>
      </c>
      <c r="CN75" t="e">
        <f>'2.4.Функции'!ACB142+"BYw!%K)"</f>
        <v>#VALUE!</v>
      </c>
      <c r="CO75" t="e">
        <f>'2.4.Функции'!ACC142+"BYw!%K."</f>
        <v>#VALUE!</v>
      </c>
      <c r="CP75" t="e">
        <f>'2.4.Функции'!ACD142+"BYw!%K/"</f>
        <v>#VALUE!</v>
      </c>
      <c r="CQ75" t="e">
        <f>'2.4.Функции'!ACE142+"BYw!%K0"</f>
        <v>#VALUE!</v>
      </c>
      <c r="CR75" t="e">
        <f>'2.4.Функции'!ACF142+"BYw!%K1"</f>
        <v>#VALUE!</v>
      </c>
      <c r="CS75" t="e">
        <f>'2.4.Функции'!ACG142+"BYw!%K2"</f>
        <v>#VALUE!</v>
      </c>
      <c r="CT75" t="e">
        <f>'2.4.Функции'!ACH142+"BYw!%K3"</f>
        <v>#VALUE!</v>
      </c>
      <c r="CU75" t="e">
        <f>'2.4.Функции'!ACI142+"BYw!%K4"</f>
        <v>#VALUE!</v>
      </c>
      <c r="CV75" t="e">
        <f>'2.4.Функции'!ACJ142+"BYw!%K5"</f>
        <v>#VALUE!</v>
      </c>
      <c r="CW75" t="e">
        <f>'2.4.Функции'!ACK142+"BYw!%K6"</f>
        <v>#VALUE!</v>
      </c>
      <c r="CX75" t="e">
        <f>'2.4.Функции'!ACL142+"BYw!%K7"</f>
        <v>#VALUE!</v>
      </c>
      <c r="CY75" t="e">
        <f>'2.4.Функции'!ACM142+"BYw!%K8"</f>
        <v>#VALUE!</v>
      </c>
      <c r="CZ75" t="e">
        <f>'2.4.Функции'!ACN142+"BYw!%K9"</f>
        <v>#VALUE!</v>
      </c>
      <c r="DA75" t="e">
        <f>'2.4.Функции'!ACO142+"BYw!%K:"</f>
        <v>#VALUE!</v>
      </c>
      <c r="DB75" t="e">
        <f>'2.4.Функции'!ACP142+"BYw!%K;"</f>
        <v>#VALUE!</v>
      </c>
      <c r="DC75" t="e">
        <f>'2.4.Функции'!ACQ142+"BYw!%K&lt;"</f>
        <v>#VALUE!</v>
      </c>
      <c r="DD75" t="e">
        <f>'2.4.Функции'!ACR142+"BYw!%K="</f>
        <v>#VALUE!</v>
      </c>
      <c r="DE75" t="e">
        <f>'2.4.Функции'!ACS142+"BYw!%K&gt;"</f>
        <v>#VALUE!</v>
      </c>
      <c r="DF75" t="e">
        <f>'2.4.Функции'!ACT142+"BYw!%K?"</f>
        <v>#VALUE!</v>
      </c>
      <c r="DG75" t="e">
        <f>'2.4.Функции'!ACU142+"BYw!%K@"</f>
        <v>#VALUE!</v>
      </c>
      <c r="DH75" t="e">
        <f>'2.4.Функции'!ACV142+"BYw!%KA"</f>
        <v>#VALUE!</v>
      </c>
      <c r="DI75" t="e">
        <f>'2.4.Функции'!ACW142+"BYw!%KB"</f>
        <v>#VALUE!</v>
      </c>
      <c r="DJ75" t="e">
        <f>'2.4.Функции'!ACX142+"BYw!%KC"</f>
        <v>#VALUE!</v>
      </c>
      <c r="DK75" t="e">
        <f>'2.4.Функции'!ACY142+"BYw!%KD"</f>
        <v>#VALUE!</v>
      </c>
      <c r="DL75" t="e">
        <f>'2.4.Функции'!ACZ142+"BYw!%KE"</f>
        <v>#VALUE!</v>
      </c>
      <c r="DM75" t="e">
        <f>'2.4.Функции'!ADA142+"BYw!%KF"</f>
        <v>#VALUE!</v>
      </c>
      <c r="DN75" t="e">
        <f>'2.4.Функции'!ADB142+"BYw!%KG"</f>
        <v>#VALUE!</v>
      </c>
      <c r="DO75" t="e">
        <f>'2.4.Функции'!ADC142+"BYw!%KH"</f>
        <v>#VALUE!</v>
      </c>
      <c r="DP75" t="e">
        <f>'2.4.Функции'!ADD142+"BYw!%KI"</f>
        <v>#VALUE!</v>
      </c>
      <c r="DQ75" t="e">
        <f>'2.4.Функции'!ADE142+"BYw!%KJ"</f>
        <v>#VALUE!</v>
      </c>
      <c r="DR75" t="e">
        <f>'2.4.Функции'!ADF142+"BYw!%KK"</f>
        <v>#VALUE!</v>
      </c>
      <c r="DS75" t="e">
        <f>'2.4.Функции'!ADG142+"BYw!%KL"</f>
        <v>#VALUE!</v>
      </c>
      <c r="DT75" t="e">
        <f>'2.4.Функции'!ADH142+"BYw!%KM"</f>
        <v>#VALUE!</v>
      </c>
      <c r="DU75" t="e">
        <f>'2.4.Функции'!ADI142+"BYw!%KN"</f>
        <v>#VALUE!</v>
      </c>
      <c r="DV75" t="e">
        <f>'2.4.Функции'!ADJ142+"BYw!%KO"</f>
        <v>#VALUE!</v>
      </c>
      <c r="DW75" t="e">
        <f>'2.4.Функции'!ADK142+"BYw!%KP"</f>
        <v>#VALUE!</v>
      </c>
      <c r="DX75" t="e">
        <f>'2.4.Функции'!ADL142+"BYw!%KQ"</f>
        <v>#VALUE!</v>
      </c>
      <c r="DY75" t="e">
        <f>'2.4.Функции'!ADM142+"BYw!%KR"</f>
        <v>#VALUE!</v>
      </c>
      <c r="DZ75" t="e">
        <f>'2.4.Функции'!ADN142+"BYw!%KS"</f>
        <v>#VALUE!</v>
      </c>
      <c r="EA75" t="e">
        <f>'2.4.Функции'!ADO142+"BYw!%KT"</f>
        <v>#VALUE!</v>
      </c>
      <c r="EB75" t="e">
        <f>'2.4.Функции'!ADP142+"BYw!%KU"</f>
        <v>#VALUE!</v>
      </c>
      <c r="EC75" t="e">
        <f>'2.4.Функции'!ADQ142+"BYw!%KV"</f>
        <v>#VALUE!</v>
      </c>
      <c r="ED75" t="e">
        <f>'2.4.Функции'!ADR142+"BYw!%KW"</f>
        <v>#VALUE!</v>
      </c>
      <c r="EE75" t="e">
        <f>'2.4.Функции'!ADS142+"BYw!%KX"</f>
        <v>#VALUE!</v>
      </c>
      <c r="EF75" t="e">
        <f>'2.4.Функции'!ADT142+"BYw!%KY"</f>
        <v>#VALUE!</v>
      </c>
      <c r="EG75" t="e">
        <f>'2.4.Функции'!ADU142+"BYw!%KZ"</f>
        <v>#VALUE!</v>
      </c>
      <c r="EH75" t="e">
        <f>'2.4.Функции'!ADV142+"BYw!%K["</f>
        <v>#VALUE!</v>
      </c>
      <c r="EI75" t="e">
        <f>'2.4.Функции'!ADW142+"BYw!%K\"</f>
        <v>#VALUE!</v>
      </c>
      <c r="EJ75" t="e">
        <f>'2.4.Функции'!ADX142+"BYw!%K]"</f>
        <v>#VALUE!</v>
      </c>
      <c r="EK75" t="e">
        <f>'2.4.Функции'!ADY142+"BYw!%K^"</f>
        <v>#VALUE!</v>
      </c>
      <c r="EL75" t="e">
        <f>'2.4.Функции'!ADZ142+"BYw!%K_"</f>
        <v>#VALUE!</v>
      </c>
      <c r="EM75" t="e">
        <f>'2.4.Функции'!AEA142+"BYw!%K`"</f>
        <v>#VALUE!</v>
      </c>
      <c r="EN75" t="e">
        <f>'2.4.Функции'!AEB142+"BYw!%Ka"</f>
        <v>#VALUE!</v>
      </c>
      <c r="EO75" t="e">
        <f>'2.4.Функции'!AEC142+"BYw!%Kb"</f>
        <v>#VALUE!</v>
      </c>
      <c r="EP75" t="e">
        <f>'2.4.Функции'!AED142+"BYw!%Kc"</f>
        <v>#VALUE!</v>
      </c>
      <c r="EQ75" t="e">
        <f>'2.4.Функции'!AEE142+"BYw!%Kd"</f>
        <v>#VALUE!</v>
      </c>
      <c r="ER75" t="e">
        <f>'2.4.Функции'!AEF142+"BYw!%Ke"</f>
        <v>#VALUE!</v>
      </c>
      <c r="ES75" t="e">
        <f>'2.4.Функции'!AEG142+"BYw!%Kf"</f>
        <v>#VALUE!</v>
      </c>
      <c r="ET75" t="e">
        <f>'2.4.Функции'!AEH142+"BYw!%Kg"</f>
        <v>#VALUE!</v>
      </c>
      <c r="EU75" t="e">
        <f>'2.4.Функции'!AEI142+"BYw!%Kh"</f>
        <v>#VALUE!</v>
      </c>
      <c r="EV75" t="e">
        <f>'2.4.Функции'!AEJ142+"BYw!%Ki"</f>
        <v>#VALUE!</v>
      </c>
      <c r="EW75" t="e">
        <f>'2.4.Функции'!AEK142+"BYw!%Kj"</f>
        <v>#VALUE!</v>
      </c>
      <c r="EX75" t="e">
        <f>'2.4.Функции'!AEL142+"BYw!%Kk"</f>
        <v>#VALUE!</v>
      </c>
      <c r="EY75" t="e">
        <f>'2.4.Функции'!AEM142+"BYw!%Kl"</f>
        <v>#VALUE!</v>
      </c>
      <c r="EZ75" t="e">
        <f>'2.4.Функции'!AEN142+"BYw!%Km"</f>
        <v>#VALUE!</v>
      </c>
      <c r="FA75" t="e">
        <f>'2.4.Функции'!AEO142+"BYw!%Kn"</f>
        <v>#VALUE!</v>
      </c>
      <c r="FB75" t="e">
        <f>'2.4.Функции'!AEP142+"BYw!%Ko"</f>
        <v>#VALUE!</v>
      </c>
      <c r="FC75" t="e">
        <f>'2.4.Функции'!AEQ142+"BYw!%Kp"</f>
        <v>#VALUE!</v>
      </c>
      <c r="FD75" t="e">
        <f>'2.4.Функции'!AER142+"BYw!%Kq"</f>
        <v>#VALUE!</v>
      </c>
      <c r="FE75" t="e">
        <f>'2.4.Функции'!AES142+"BYw!%Kr"</f>
        <v>#VALUE!</v>
      </c>
      <c r="FF75" t="e">
        <f>'2.4.Функции'!AET142+"BYw!%Ks"</f>
        <v>#VALUE!</v>
      </c>
      <c r="FG75" t="e">
        <f>'2.4.Функции'!AEU142+"BYw!%Kt"</f>
        <v>#VALUE!</v>
      </c>
      <c r="FH75" t="e">
        <f>'2.4.Функции'!AEV142+"BYw!%Ku"</f>
        <v>#VALUE!</v>
      </c>
      <c r="FI75" t="e">
        <f>'2.4.Функции'!AEW142+"BYw!%Kv"</f>
        <v>#VALUE!</v>
      </c>
      <c r="FJ75" t="e">
        <f>'2.4.Функции'!AEX142+"BYw!%Kw"</f>
        <v>#VALUE!</v>
      </c>
      <c r="FK75" t="e">
        <f>'2.4.Функции'!AEY142+"BYw!%Kx"</f>
        <v>#VALUE!</v>
      </c>
      <c r="FL75" t="e">
        <f>'2.4.Функции'!AEZ142+"BYw!%Ky"</f>
        <v>#VALUE!</v>
      </c>
      <c r="FM75" t="e">
        <f>'2.4.Функции'!AFA142+"BYw!%Kz"</f>
        <v>#VALUE!</v>
      </c>
      <c r="FN75" t="e">
        <f>'2.4.Функции'!AFB142+"BYw!%K{"</f>
        <v>#VALUE!</v>
      </c>
      <c r="FO75" t="e">
        <f>'2.4.Функции'!AFC142+"BYw!%K|"</f>
        <v>#VALUE!</v>
      </c>
      <c r="FP75" t="e">
        <f>'2.4.Функции'!AFD142+"BYw!%K}"</f>
        <v>#VALUE!</v>
      </c>
      <c r="FQ75" t="e">
        <f>'2.4.Функции'!AFE142+"BYw!%K~"</f>
        <v>#VALUE!</v>
      </c>
      <c r="FR75" t="e">
        <f>'2.4.Функции'!AFF142+"BYw!%L#"</f>
        <v>#VALUE!</v>
      </c>
      <c r="FS75" t="e">
        <f>'2.4.Функции'!AFG142+"BYw!%L$"</f>
        <v>#VALUE!</v>
      </c>
      <c r="FT75" t="e">
        <f>'2.4.Функции'!AFH142+"BYw!%L%"</f>
        <v>#VALUE!</v>
      </c>
      <c r="FU75" t="e">
        <f>'2.4.Функции'!AFI142+"BYw!%L&amp;"</f>
        <v>#VALUE!</v>
      </c>
      <c r="FV75" t="e">
        <f>'2.4.Функции'!AFJ142+"BYw!%L'"</f>
        <v>#VALUE!</v>
      </c>
      <c r="FW75" t="e">
        <f>'2.4.Функции'!AFK142+"BYw!%L("</f>
        <v>#VALUE!</v>
      </c>
      <c r="FX75" t="e">
        <f>'2.4.Функции'!AFL142+"BYw!%L)"</f>
        <v>#VALUE!</v>
      </c>
      <c r="FY75" t="e">
        <f>'2.4.Функции'!AFM142+"BYw!%L."</f>
        <v>#VALUE!</v>
      </c>
      <c r="FZ75" t="e">
        <f>'2.4.Функции'!AFN142+"BYw!%L/"</f>
        <v>#VALUE!</v>
      </c>
      <c r="GA75" t="e">
        <f>'2.4.Функции'!AFO142+"BYw!%L0"</f>
        <v>#VALUE!</v>
      </c>
      <c r="GB75" t="e">
        <f>'2.4.Функции'!AFP142+"BYw!%L1"</f>
        <v>#VALUE!</v>
      </c>
      <c r="GC75" t="e">
        <f>'2.4.Функции'!AFQ142+"BYw!%L2"</f>
        <v>#VALUE!</v>
      </c>
      <c r="GD75" t="e">
        <f>'2.4.Функции'!AFR142+"BYw!%L3"</f>
        <v>#VALUE!</v>
      </c>
      <c r="GE75" t="e">
        <f>'2.4.Функции'!AFS142+"BYw!%L4"</f>
        <v>#VALUE!</v>
      </c>
      <c r="GF75" t="e">
        <f>'2.4.Функции'!AFT142+"BYw!%L5"</f>
        <v>#VALUE!</v>
      </c>
      <c r="GG75" t="e">
        <f>'2.4.Функции'!AFU142+"BYw!%L6"</f>
        <v>#VALUE!</v>
      </c>
      <c r="GH75" t="e">
        <f>'2.4.Функции'!AFV142+"BYw!%L7"</f>
        <v>#VALUE!</v>
      </c>
      <c r="GI75" t="e">
        <f>'2.4.Функции'!AFW142+"BYw!%L8"</f>
        <v>#VALUE!</v>
      </c>
      <c r="GJ75" t="e">
        <f>'2.4.Функции'!AFX142+"BYw!%L9"</f>
        <v>#VALUE!</v>
      </c>
      <c r="GK75" t="e">
        <f>'2.4.Функции'!AFY142+"BYw!%L:"</f>
        <v>#VALUE!</v>
      </c>
      <c r="GL75" t="e">
        <f>'2.4.Функции'!AFZ142+"BYw!%L;"</f>
        <v>#VALUE!</v>
      </c>
      <c r="GM75" t="e">
        <f>'2.4.Функции'!AGA142+"BYw!%L&lt;"</f>
        <v>#VALUE!</v>
      </c>
      <c r="GN75" t="e">
        <f>'2.4.Функции'!AGB142+"BYw!%L="</f>
        <v>#VALUE!</v>
      </c>
      <c r="GO75" t="e">
        <f>'2.4.Функции'!AGC142+"BYw!%L&gt;"</f>
        <v>#VALUE!</v>
      </c>
      <c r="GP75" t="e">
        <f>'2.4.Функции'!AGD142+"BYw!%L?"</f>
        <v>#VALUE!</v>
      </c>
      <c r="GQ75" t="e">
        <f>'2.4.Функции'!AGE142+"BYw!%L@"</f>
        <v>#VALUE!</v>
      </c>
      <c r="GR75" t="e">
        <f>'2.4.Функции'!AGF142+"BYw!%LA"</f>
        <v>#VALUE!</v>
      </c>
      <c r="GS75" t="e">
        <f>'2.4.Функции'!AGG142+"BYw!%LB"</f>
        <v>#VALUE!</v>
      </c>
      <c r="GT75" t="e">
        <f>'2.4.Функции'!AGH142+"BYw!%LC"</f>
        <v>#VALUE!</v>
      </c>
      <c r="GU75" t="e">
        <f>'2.4.Функции'!AGI142+"BYw!%LD"</f>
        <v>#VALUE!</v>
      </c>
      <c r="GV75" t="e">
        <f>'2.4.Функции'!AGJ142+"BYw!%LE"</f>
        <v>#VALUE!</v>
      </c>
      <c r="GW75" t="e">
        <f>'2.4.Функции'!AGK142+"BYw!%LF"</f>
        <v>#VALUE!</v>
      </c>
      <c r="GX75" t="e">
        <f>'2.4.Функции'!AGL142+"BYw!%LG"</f>
        <v>#VALUE!</v>
      </c>
      <c r="GY75" t="e">
        <f>'2.4.Функции'!AGM142+"BYw!%LH"</f>
        <v>#VALUE!</v>
      </c>
      <c r="GZ75" t="e">
        <f>'2.4.Функции'!AGN142+"BYw!%LI"</f>
        <v>#VALUE!</v>
      </c>
      <c r="HA75" t="e">
        <f>'2.4.Функции'!AGO142+"BYw!%LJ"</f>
        <v>#VALUE!</v>
      </c>
      <c r="HB75" t="e">
        <f>'2.4.Функции'!AGP142+"BYw!%LK"</f>
        <v>#VALUE!</v>
      </c>
      <c r="HC75" t="e">
        <f>'2.4.Функции'!AGQ142+"BYw!%LL"</f>
        <v>#VALUE!</v>
      </c>
      <c r="HD75" t="e">
        <f>'2.4.Функции'!AGR142+"BYw!%LM"</f>
        <v>#VALUE!</v>
      </c>
      <c r="HE75" t="e">
        <f>'2.4.Функции'!AGS142+"BYw!%LN"</f>
        <v>#VALUE!</v>
      </c>
      <c r="HF75" t="e">
        <f>'2.4.Функции'!AGT142+"BYw!%LO"</f>
        <v>#VALUE!</v>
      </c>
      <c r="HG75" t="e">
        <f>'2.4.Функции'!AGU142+"BYw!%LP"</f>
        <v>#VALUE!</v>
      </c>
      <c r="HH75" t="e">
        <f>'2.4.Функции'!AGV142+"BYw!%LQ"</f>
        <v>#VALUE!</v>
      </c>
      <c r="HI75" t="e">
        <f>'2.4.Функции'!AGW142+"BYw!%LR"</f>
        <v>#VALUE!</v>
      </c>
      <c r="HJ75" t="e">
        <f>'2.4.Функции'!AGX142+"BYw!%LS"</f>
        <v>#VALUE!</v>
      </c>
      <c r="HK75" t="e">
        <f>'2.4.Функции'!AGY142+"BYw!%LT"</f>
        <v>#VALUE!</v>
      </c>
      <c r="HL75" t="e">
        <f>'2.4.Функции'!AGZ142+"BYw!%LU"</f>
        <v>#VALUE!</v>
      </c>
      <c r="HM75" t="e">
        <f>'2.4.Функции'!AHA142+"BYw!%LV"</f>
        <v>#VALUE!</v>
      </c>
      <c r="HN75" t="e">
        <f>'2.4.Функции'!AHB142+"BYw!%LW"</f>
        <v>#VALUE!</v>
      </c>
      <c r="HO75" t="e">
        <f>'2.4.Функции'!AHC142+"BYw!%LX"</f>
        <v>#VALUE!</v>
      </c>
      <c r="HP75" t="e">
        <f>'2.4.Функции'!AHD142+"BYw!%LY"</f>
        <v>#VALUE!</v>
      </c>
      <c r="HQ75" t="e">
        <f>'2.4.Функции'!AHE142+"BYw!%LZ"</f>
        <v>#VALUE!</v>
      </c>
      <c r="HR75" t="e">
        <f>'2.4.Функции'!AHF142+"BYw!%L["</f>
        <v>#VALUE!</v>
      </c>
      <c r="HS75" t="e">
        <f>'2.4.Функции'!AHG142+"BYw!%L\"</f>
        <v>#VALUE!</v>
      </c>
      <c r="HT75" t="e">
        <f>'2.4.Функции'!AHH142+"BYw!%L]"</f>
        <v>#VALUE!</v>
      </c>
      <c r="HU75" t="e">
        <f>'2.4.Функции'!AHI142+"BYw!%L^"</f>
        <v>#VALUE!</v>
      </c>
      <c r="HV75" t="e">
        <f>'2.4.Функции'!AHJ142+"BYw!%L_"</f>
        <v>#VALUE!</v>
      </c>
      <c r="HW75" t="e">
        <f>'2.4.Функции'!AHK142+"BYw!%L`"</f>
        <v>#VALUE!</v>
      </c>
      <c r="HX75" t="e">
        <f>'2.4.Функции'!AHL142+"BYw!%La"</f>
        <v>#VALUE!</v>
      </c>
      <c r="HY75" t="e">
        <f>'2.4.Функции'!AHM142+"BYw!%Lb"</f>
        <v>#VALUE!</v>
      </c>
      <c r="HZ75" t="e">
        <f>'2.4.Функции'!AHN142+"BYw!%Lc"</f>
        <v>#VALUE!</v>
      </c>
      <c r="IA75" t="e">
        <f>'2.4.Функции'!AHO142+"BYw!%Ld"</f>
        <v>#VALUE!</v>
      </c>
      <c r="IB75" t="e">
        <f>'2.4.Функции'!AHP142+"BYw!%Le"</f>
        <v>#VALUE!</v>
      </c>
      <c r="IC75" t="e">
        <f>'2.4.Функции'!AHQ142+"BYw!%Lf"</f>
        <v>#VALUE!</v>
      </c>
      <c r="ID75" t="e">
        <f>'2.4.Функции'!AHR142+"BYw!%Lg"</f>
        <v>#VALUE!</v>
      </c>
      <c r="IE75" t="e">
        <f>'2.4.Функции'!AHS142+"BYw!%Lh"</f>
        <v>#VALUE!</v>
      </c>
      <c r="IF75" t="e">
        <f>'2.4.Функции'!AHT142+"BYw!%Li"</f>
        <v>#VALUE!</v>
      </c>
      <c r="IG75" t="e">
        <f>'2.4.Функции'!AHU142+"BYw!%Lj"</f>
        <v>#VALUE!</v>
      </c>
      <c r="IH75" t="e">
        <f>'2.4.Функции'!AHV142+"BYw!%Lk"</f>
        <v>#VALUE!</v>
      </c>
      <c r="II75" t="e">
        <f>'2.4.Функции'!AHW142+"BYw!%Ll"</f>
        <v>#VALUE!</v>
      </c>
      <c r="IJ75" t="e">
        <f>'2.4.Функции'!AHX142+"BYw!%Lm"</f>
        <v>#VALUE!</v>
      </c>
      <c r="IK75" t="e">
        <f>'2.4.Функции'!AHY142+"BYw!%Ln"</f>
        <v>#VALUE!</v>
      </c>
      <c r="IL75" t="e">
        <f>'2.4.Функции'!AHZ142+"BYw!%Lo"</f>
        <v>#VALUE!</v>
      </c>
      <c r="IM75" t="e">
        <f>'2.4.Функции'!AIA142+"BYw!%Lp"</f>
        <v>#VALUE!</v>
      </c>
      <c r="IN75" t="e">
        <f>'2.4.Функции'!AIB142+"BYw!%Lq"</f>
        <v>#VALUE!</v>
      </c>
      <c r="IO75" t="e">
        <f>'2.4.Функции'!AIC142+"BYw!%Lr"</f>
        <v>#VALUE!</v>
      </c>
      <c r="IP75" t="e">
        <f>'2.4.Функции'!AID142+"BYw!%Ls"</f>
        <v>#VALUE!</v>
      </c>
      <c r="IQ75" t="e">
        <f>'2.4.Функции'!AIE142+"BYw!%Lt"</f>
        <v>#VALUE!</v>
      </c>
      <c r="IR75" t="e">
        <f>'2.4.Функции'!AIF142+"BYw!%Lu"</f>
        <v>#VALUE!</v>
      </c>
      <c r="IS75" t="e">
        <f>'2.4.Функции'!AIG142+"BYw!%Lv"</f>
        <v>#VALUE!</v>
      </c>
      <c r="IT75" t="e">
        <f>'2.4.Функции'!AIH142+"BYw!%Lw"</f>
        <v>#VALUE!</v>
      </c>
      <c r="IU75" t="e">
        <f>'2.4.Функции'!A143+"BYw!%Lx"</f>
        <v>#VALUE!</v>
      </c>
      <c r="IV75" s="116" t="e">
        <f>'2.4.Функции'!B143+"BYw!%Ly"</f>
        <v>#VALUE!</v>
      </c>
    </row>
    <row r="76" spans="6:256" x14ac:dyDescent="0.2">
      <c r="F76" t="e">
        <f>'2.4.Функции'!C143+"BYw!%Lz"</f>
        <v>#VALUE!</v>
      </c>
      <c r="G76" s="119" t="e">
        <f>'2.4.Функции'!D143+"BYw!%L{"</f>
        <v>#VALUE!</v>
      </c>
      <c r="H76" s="119" t="e">
        <f>'2.4.Функции'!E143+"BYw!%L|"</f>
        <v>#VALUE!</v>
      </c>
      <c r="I76" s="119" t="e">
        <f>'2.4.Функции'!F143+"BYw!%L}"</f>
        <v>#VALUE!</v>
      </c>
      <c r="J76" s="119" t="e">
        <f>'2.4.Функции'!G143+"BYw!%L~"</f>
        <v>#VALUE!</v>
      </c>
      <c r="K76" s="119" t="e">
        <f>'2.4.Функции'!H143+"BYw!%M#"</f>
        <v>#VALUE!</v>
      </c>
      <c r="L76" s="119" t="e">
        <f>'2.4.Функции'!I143+"BYw!%M$"</f>
        <v>#VALUE!</v>
      </c>
      <c r="M76" s="119" t="e">
        <f>'2.4.Функции'!J143+"BYw!%M%"</f>
        <v>#VALUE!</v>
      </c>
      <c r="N76" t="e">
        <f>'2.4.Функции'!K143+"BYw!%M&amp;"</f>
        <v>#VALUE!</v>
      </c>
      <c r="O76" t="e">
        <f>'2.4.Функции'!A144+"BYw!%M'"</f>
        <v>#VALUE!</v>
      </c>
      <c r="P76" s="116" t="e">
        <f>'2.4.Функции'!B144+"BYw!%M("</f>
        <v>#VALUE!</v>
      </c>
      <c r="Q76" t="e">
        <f>'2.4.Функции'!C144+"BYw!%M)"</f>
        <v>#VALUE!</v>
      </c>
      <c r="R76" s="119" t="e">
        <f>'2.4.Функции'!D144+"BYw!%M."</f>
        <v>#VALUE!</v>
      </c>
      <c r="S76" s="119" t="e">
        <f>'2.4.Функции'!E144+"BYw!%M/"</f>
        <v>#VALUE!</v>
      </c>
      <c r="T76" s="119" t="e">
        <f>'2.4.Функции'!F144+"BYw!%M0"</f>
        <v>#VALUE!</v>
      </c>
      <c r="U76" s="119" t="e">
        <f>'2.4.Функции'!G144+"BYw!%M1"</f>
        <v>#VALUE!</v>
      </c>
      <c r="V76" s="119" t="e">
        <f>'2.4.Функции'!H144+"BYw!%M2"</f>
        <v>#VALUE!</v>
      </c>
      <c r="W76" s="119" t="e">
        <f>'2.4.Функции'!I144+"BYw!%M3"</f>
        <v>#VALUE!</v>
      </c>
      <c r="X76" s="119" t="e">
        <f>'2.4.Функции'!J144+"BYw!%M4"</f>
        <v>#VALUE!</v>
      </c>
      <c r="Y76" t="e">
        <f>'2.4.Функции'!K144+"BYw!%M5"</f>
        <v>#VALUE!</v>
      </c>
      <c r="Z76" t="e">
        <f>'2.4.Функции'!A145+"BYw!%M6"</f>
        <v>#VALUE!</v>
      </c>
      <c r="AA76" s="116" t="e">
        <f>'2.4.Функции'!B145+"BYw!%M7"</f>
        <v>#VALUE!</v>
      </c>
      <c r="AB76" t="e">
        <f>'2.4.Функции'!C145+"BYw!%M8"</f>
        <v>#VALUE!</v>
      </c>
      <c r="AC76" s="119" t="e">
        <f>'2.4.Функции'!D145+"BYw!%M9"</f>
        <v>#VALUE!</v>
      </c>
      <c r="AD76" s="119" t="e">
        <f>'2.4.Функции'!E145+"BYw!%M:"</f>
        <v>#VALUE!</v>
      </c>
      <c r="AE76" s="119" t="e">
        <f>'2.4.Функции'!F145+"BYw!%M;"</f>
        <v>#VALUE!</v>
      </c>
      <c r="AF76" s="119" t="e">
        <f>'2.4.Функции'!G145+"BYw!%M&lt;"</f>
        <v>#VALUE!</v>
      </c>
      <c r="AG76" s="119" t="e">
        <f>'2.4.Функции'!H145+"BYw!%M="</f>
        <v>#VALUE!</v>
      </c>
      <c r="AH76" s="119" t="e">
        <f>'2.4.Функции'!I145+"BYw!%M&gt;"</f>
        <v>#VALUE!</v>
      </c>
      <c r="AI76" s="119" t="e">
        <f>'2.4.Функции'!J145+"BYw!%M?"</f>
        <v>#VALUE!</v>
      </c>
      <c r="AJ76" t="e">
        <f>'2.4.Функции'!K145+"BYw!%M@"</f>
        <v>#VALUE!</v>
      </c>
      <c r="AK76" t="e">
        <f>'2.4.Функции'!A146+"BYw!%MA"</f>
        <v>#VALUE!</v>
      </c>
      <c r="AL76" s="116" t="e">
        <f>'2.4.Функции'!B146+"BYw!%MB"</f>
        <v>#VALUE!</v>
      </c>
      <c r="AM76" t="e">
        <f>'2.4.Функции'!C146+"BYw!%MC"</f>
        <v>#VALUE!</v>
      </c>
      <c r="AN76" t="e">
        <f>'2.4.Функции'!D146+"BYw!%MD"</f>
        <v>#VALUE!</v>
      </c>
      <c r="AO76" t="e">
        <f>'2.4.Функции'!E146+"BYw!%ME"</f>
        <v>#VALUE!</v>
      </c>
      <c r="AP76" t="e">
        <f>'2.4.Функции'!F146+"BYw!%MF"</f>
        <v>#VALUE!</v>
      </c>
      <c r="AQ76" t="e">
        <f>'2.4.Функции'!G146+"BYw!%MG"</f>
        <v>#VALUE!</v>
      </c>
      <c r="AR76" t="e">
        <f>'2.4.Функции'!H146+"BYw!%MH"</f>
        <v>#VALUE!</v>
      </c>
      <c r="AS76" s="119" t="e">
        <f>'2.4.Функции'!I146+"BYw!%MI"</f>
        <v>#VALUE!</v>
      </c>
      <c r="AT76" t="e">
        <f>'2.4.Функции'!J146+"BYw!%MJ"</f>
        <v>#VALUE!</v>
      </c>
      <c r="AU76" s="119" t="e">
        <f>'2.4.Функции'!K146+"BYw!%MK"</f>
        <v>#VALUE!</v>
      </c>
      <c r="AV76" t="e">
        <f>'2.4.Функции'!A147+"BYw!%ML"</f>
        <v>#VALUE!</v>
      </c>
      <c r="AW76" s="116" t="e">
        <f>'2.4.Функции'!B147+"BYw!%MM"</f>
        <v>#VALUE!</v>
      </c>
      <c r="AX76" t="e">
        <f>'2.4.Функции'!C147+"BYw!%MN"</f>
        <v>#VALUE!</v>
      </c>
      <c r="AY76" t="e">
        <f>'2.4.Функции'!D147+"BYw!%MO"</f>
        <v>#VALUE!</v>
      </c>
      <c r="AZ76" t="e">
        <f>'2.4.Функции'!E147+"BYw!%MP"</f>
        <v>#VALUE!</v>
      </c>
      <c r="BA76" t="e">
        <f>'2.4.Функции'!F147+"BYw!%MQ"</f>
        <v>#VALUE!</v>
      </c>
      <c r="BB76" t="e">
        <f>'2.4.Функции'!G147+"BYw!%MR"</f>
        <v>#VALUE!</v>
      </c>
      <c r="BC76" t="e">
        <f>'2.4.Функции'!H147+"BYw!%MS"</f>
        <v>#VALUE!</v>
      </c>
      <c r="BD76" s="119" t="e">
        <f>'2.4.Функции'!I147+"BYw!%MT"</f>
        <v>#VALUE!</v>
      </c>
      <c r="BE76" t="e">
        <f>'2.4.Функции'!J147+"BYw!%MU"</f>
        <v>#VALUE!</v>
      </c>
      <c r="BF76" s="119" t="e">
        <f>'2.4.Функции'!K147+"BYw!%MV"</f>
        <v>#VALUE!</v>
      </c>
      <c r="BG76" t="e">
        <f>'2.4.Функции'!L147+"BYw!%MW"</f>
        <v>#VALUE!</v>
      </c>
      <c r="BH76" t="e">
        <f>'2.4.Функции'!M147+"BYw!%MX"</f>
        <v>#VALUE!</v>
      </c>
      <c r="BI76" t="e">
        <f>'2.4.Функции'!N147+"BYw!%MY"</f>
        <v>#VALUE!</v>
      </c>
      <c r="BJ76" t="e">
        <f>'2.4.Функции'!O147+"BYw!%MZ"</f>
        <v>#VALUE!</v>
      </c>
      <c r="BK76" t="e">
        <f>'2.4.Функции'!P147+"BYw!%M["</f>
        <v>#VALUE!</v>
      </c>
      <c r="BL76" t="e">
        <f>'2.4.Функции'!Q147+"BYw!%M\"</f>
        <v>#VALUE!</v>
      </c>
      <c r="BM76" t="e">
        <f>'2.4.Функции'!R147+"BYw!%M]"</f>
        <v>#VALUE!</v>
      </c>
      <c r="BN76" t="e">
        <f>'2.4.Функции'!S147+"BYw!%M^"</f>
        <v>#VALUE!</v>
      </c>
      <c r="BO76" t="e">
        <f>'2.4.Функции'!T147+"BYw!%M_"</f>
        <v>#VALUE!</v>
      </c>
      <c r="BP76" t="e">
        <f>'2.4.Функции'!U147+"BYw!%M`"</f>
        <v>#VALUE!</v>
      </c>
      <c r="BQ76" t="e">
        <f>'2.4.Функции'!V147+"BYw!%Ma"</f>
        <v>#VALUE!</v>
      </c>
      <c r="BR76" t="e">
        <f>'2.4.Функции'!W147+"BYw!%Mb"</f>
        <v>#VALUE!</v>
      </c>
      <c r="BS76" t="e">
        <f>'2.4.Функции'!X147+"BYw!%Mc"</f>
        <v>#VALUE!</v>
      </c>
      <c r="BT76" t="e">
        <f>'2.4.Функции'!Y147+"BYw!%Md"</f>
        <v>#VALUE!</v>
      </c>
      <c r="BU76" t="e">
        <f>'2.4.Функции'!Z147+"BYw!%Me"</f>
        <v>#VALUE!</v>
      </c>
      <c r="BV76" t="e">
        <f>'2.4.Функции'!AA147+"BYw!%Mf"</f>
        <v>#VALUE!</v>
      </c>
      <c r="BW76" t="e">
        <f>'2.4.Функции'!AB147+"BYw!%Mg"</f>
        <v>#VALUE!</v>
      </c>
      <c r="BX76" t="e">
        <f>'2.4.Функции'!AC147+"BYw!%Mh"</f>
        <v>#VALUE!</v>
      </c>
      <c r="BY76" t="e">
        <f>'2.4.Функции'!B148+"BYw!%Mi"</f>
        <v>#VALUE!</v>
      </c>
      <c r="BZ76" t="e">
        <f>'2.4.Функции'!C148+"BYw!%Mj"</f>
        <v>#VALUE!</v>
      </c>
      <c r="CA76" s="118" t="e">
        <f>'2.4.Функции'!D148+"BYw!%Mk"</f>
        <v>#VALUE!</v>
      </c>
      <c r="CB76" s="118" t="e">
        <f>'2.4.Функции'!E148+"BYw!%Ml"</f>
        <v>#VALUE!</v>
      </c>
      <c r="CC76" s="118" t="e">
        <f>'2.4.Функции'!F148+"BYw!%Mm"</f>
        <v>#VALUE!</v>
      </c>
      <c r="CD76" s="118" t="e">
        <f>'2.4.Функции'!G148+"BYw!%Mn"</f>
        <v>#VALUE!</v>
      </c>
      <c r="CE76" s="118" t="e">
        <f>'2.4.Функции'!H148+"BYw!%Mo"</f>
        <v>#VALUE!</v>
      </c>
      <c r="CF76" s="118" t="e">
        <f>'2.4.Функции'!I148+"BYw!%Mp"</f>
        <v>#VALUE!</v>
      </c>
      <c r="CG76" s="118" t="e">
        <f>'2.4.Функции'!J148+"BYw!%Mq"</f>
        <v>#VALUE!</v>
      </c>
      <c r="CH76" s="118" t="e">
        <f>'2.4.Функции'!K148+"BYw!%Mr"</f>
        <v>#VALUE!</v>
      </c>
      <c r="CI76" t="e">
        <f>'2.4.Функции'!L148+"BYw!%Ms"</f>
        <v>#VALUE!</v>
      </c>
      <c r="CJ76" t="e">
        <f>'2.4.Функции'!M148+"BYw!%Mt"</f>
        <v>#VALUE!</v>
      </c>
      <c r="CK76" t="e">
        <f>'2.4.Функции'!N148+"BYw!%Mu"</f>
        <v>#VALUE!</v>
      </c>
      <c r="CL76" t="e">
        <f>'2.4.Функции'!O148+"BYw!%Mv"</f>
        <v>#VALUE!</v>
      </c>
      <c r="CM76" t="e">
        <f>'2.4.Функции'!P148+"BYw!%Mw"</f>
        <v>#VALUE!</v>
      </c>
      <c r="CN76" t="e">
        <f>'2.4.Функции'!Q148+"BYw!%Mx"</f>
        <v>#VALUE!</v>
      </c>
      <c r="CO76" t="e">
        <f>'2.4.Функции'!R148+"BYw!%My"</f>
        <v>#VALUE!</v>
      </c>
      <c r="CP76" t="e">
        <f>'2.4.Функции'!S148+"BYw!%Mz"</f>
        <v>#VALUE!</v>
      </c>
      <c r="CQ76" t="e">
        <f>'2.4.Функции'!T148+"BYw!%M{"</f>
        <v>#VALUE!</v>
      </c>
      <c r="CR76" t="e">
        <f>'2.4.Функции'!U148+"BYw!%M|"</f>
        <v>#VALUE!</v>
      </c>
      <c r="CS76" t="e">
        <f>'2.4.Функции'!V148+"BYw!%M}"</f>
        <v>#VALUE!</v>
      </c>
      <c r="CT76" t="e">
        <f>'2.4.Функции'!W148+"BYw!%M~"</f>
        <v>#VALUE!</v>
      </c>
      <c r="CU76" t="e">
        <f>'2.4.Функции'!X148+"BYw!%N#"</f>
        <v>#VALUE!</v>
      </c>
      <c r="CV76" t="e">
        <f>'2.4.Функции'!Y148+"BYw!%N$"</f>
        <v>#VALUE!</v>
      </c>
      <c r="CW76" t="e">
        <f>'2.4.Функции'!Z148+"BYw!%N%"</f>
        <v>#VALUE!</v>
      </c>
      <c r="CX76" t="e">
        <f>'2.4.Функции'!AA148+"BYw!%N&amp;"</f>
        <v>#VALUE!</v>
      </c>
      <c r="CY76" t="e">
        <f>'2.4.Функции'!AB148+"BYw!%N'"</f>
        <v>#VALUE!</v>
      </c>
      <c r="CZ76" t="e">
        <f>'2.4.Функции'!AC148+"BYw!%N("</f>
        <v>#VALUE!</v>
      </c>
      <c r="DA76" t="e">
        <f>'2.4.Функции'!B149+"BYw!%N)"</f>
        <v>#VALUE!</v>
      </c>
      <c r="DB76" t="e">
        <f>'2.4.Функции'!C149+"BYw!%N."</f>
        <v>#VALUE!</v>
      </c>
      <c r="DC76" s="118" t="e">
        <f>'2.4.Функции'!D149+"BYw!%N/"</f>
        <v>#VALUE!</v>
      </c>
      <c r="DD76" s="118" t="e">
        <f>'2.4.Функции'!E149+"BYw!%N0"</f>
        <v>#VALUE!</v>
      </c>
      <c r="DE76" s="118" t="e">
        <f>'2.4.Функции'!F149+"BYw!%N1"</f>
        <v>#VALUE!</v>
      </c>
      <c r="DF76" s="118" t="e">
        <f>'2.4.Функции'!G149+"BYw!%N2"</f>
        <v>#VALUE!</v>
      </c>
      <c r="DG76" s="118" t="e">
        <f>'2.4.Функции'!H149+"BYw!%N3"</f>
        <v>#VALUE!</v>
      </c>
      <c r="DH76" s="118" t="e">
        <f>'2.4.Функции'!I149+"BYw!%N4"</f>
        <v>#VALUE!</v>
      </c>
      <c r="DI76" s="118" t="e">
        <f>'2.4.Функции'!J149+"BYw!%N5"</f>
        <v>#VALUE!</v>
      </c>
      <c r="DJ76" s="118" t="e">
        <f>'2.4.Функции'!K149+"BYw!%N6"</f>
        <v>#VALUE!</v>
      </c>
      <c r="DK76" t="e">
        <f>'2.4.Функции'!L149+"BYw!%N7"</f>
        <v>#VALUE!</v>
      </c>
      <c r="DL76" t="e">
        <f>'2.4.Функции'!M149+"BYw!%N8"</f>
        <v>#VALUE!</v>
      </c>
      <c r="DM76" t="e">
        <f>'2.4.Функции'!N149+"BYw!%N9"</f>
        <v>#VALUE!</v>
      </c>
      <c r="DN76" t="e">
        <f>'2.4.Функции'!O149+"BYw!%N:"</f>
        <v>#VALUE!</v>
      </c>
      <c r="DO76" t="e">
        <f>'2.4.Функции'!P149+"BYw!%N;"</f>
        <v>#VALUE!</v>
      </c>
      <c r="DP76" t="e">
        <f>'2.4.Функции'!Q149+"BYw!%N&lt;"</f>
        <v>#VALUE!</v>
      </c>
      <c r="DQ76" t="e">
        <f>'2.4.Функции'!R149+"BYw!%N="</f>
        <v>#VALUE!</v>
      </c>
      <c r="DR76" t="e">
        <f>'2.4.Функции'!S149+"BYw!%N&gt;"</f>
        <v>#VALUE!</v>
      </c>
      <c r="DS76" t="e">
        <f>'2.4.Функции'!T149+"BYw!%N?"</f>
        <v>#VALUE!</v>
      </c>
      <c r="DT76" t="e">
        <f>'2.4.Функции'!U149+"BYw!%N@"</f>
        <v>#VALUE!</v>
      </c>
      <c r="DU76" t="e">
        <f>'2.4.Функции'!V149+"BYw!%NA"</f>
        <v>#VALUE!</v>
      </c>
      <c r="DV76" t="e">
        <f>'2.4.Функции'!W149+"BYw!%NB"</f>
        <v>#VALUE!</v>
      </c>
      <c r="DW76" t="e">
        <f>'2.4.Функции'!X149+"BYw!%NC"</f>
        <v>#VALUE!</v>
      </c>
      <c r="DX76" t="e">
        <f>'2.4.Функции'!Y149+"BYw!%ND"</f>
        <v>#VALUE!</v>
      </c>
      <c r="DY76" t="e">
        <f>'2.4.Функции'!Z149+"BYw!%NE"</f>
        <v>#VALUE!</v>
      </c>
      <c r="DZ76" t="e">
        <f>'2.4.Функции'!AA149+"BYw!%NF"</f>
        <v>#VALUE!</v>
      </c>
      <c r="EA76" t="e">
        <f>'2.4.Функции'!AB149+"BYw!%NG"</f>
        <v>#VALUE!</v>
      </c>
      <c r="EB76" t="e">
        <f>'2.4.Функции'!AC149+"BYw!%NH"</f>
        <v>#VALUE!</v>
      </c>
      <c r="EC76" t="e">
        <f>'2.4.Функции'!A150+"BYw!%NI"</f>
        <v>#VALUE!</v>
      </c>
      <c r="ED76" s="116" t="e">
        <f>'2.4.Функции'!B150+"BYw!%NJ"</f>
        <v>#VALUE!</v>
      </c>
      <c r="EE76" t="e">
        <f>'2.4.Функции'!C150+"BYw!%NK"</f>
        <v>#VALUE!</v>
      </c>
      <c r="EF76" s="116" t="e">
        <f>'2.4.Функции'!D150+"BYw!%NL"</f>
        <v>#VALUE!</v>
      </c>
      <c r="EG76" t="e">
        <f>'2.4.Функции'!E150+"BYw!%NM"</f>
        <v>#VALUE!</v>
      </c>
      <c r="EH76" s="116" t="e">
        <f>'2.4.Функции'!F150+"BYw!%NN"</f>
        <v>#VALUE!</v>
      </c>
      <c r="EI76" t="e">
        <f>'2.4.Функции'!G150+"BYw!%NO"</f>
        <v>#VALUE!</v>
      </c>
      <c r="EJ76" s="116" t="e">
        <f>'2.4.Функции'!H150+"BYw!%NP"</f>
        <v>#VALUE!</v>
      </c>
      <c r="EK76" t="e">
        <f>'2.4.Функции'!I150+"BYw!%NQ"</f>
        <v>#VALUE!</v>
      </c>
      <c r="EL76" s="116" t="e">
        <f>'2.4.Функции'!J150+"BYw!%NR"</f>
        <v>#VALUE!</v>
      </c>
      <c r="EM76" s="119" t="e">
        <f>'2.4.Функции'!K150+"BYw!%NS"</f>
        <v>#VALUE!</v>
      </c>
      <c r="EN76" t="e">
        <f>'2.4.Функции'!L150+"BYw!%NT"</f>
        <v>#VALUE!</v>
      </c>
      <c r="EO76" t="e">
        <f>'2.4.Функции'!M150+"BYw!%NU"</f>
        <v>#VALUE!</v>
      </c>
      <c r="EP76" t="e">
        <f>'2.4.Функции'!N150+"BYw!%NV"</f>
        <v>#VALUE!</v>
      </c>
      <c r="EQ76" t="e">
        <f>'2.4.Функции'!O150+"BYw!%NW"</f>
        <v>#VALUE!</v>
      </c>
      <c r="ER76" t="e">
        <f>'2.4.Функции'!P150+"BYw!%NX"</f>
        <v>#VALUE!</v>
      </c>
      <c r="ES76" t="e">
        <f>'2.4.Функции'!Q150+"BYw!%NY"</f>
        <v>#VALUE!</v>
      </c>
      <c r="ET76" t="e">
        <f>'2.4.Функции'!R150+"BYw!%NZ"</f>
        <v>#VALUE!</v>
      </c>
      <c r="EU76" t="e">
        <f>'2.4.Функции'!S150+"BYw!%N["</f>
        <v>#VALUE!</v>
      </c>
      <c r="EV76" t="e">
        <f>'2.4.Функции'!T150+"BYw!%N\"</f>
        <v>#VALUE!</v>
      </c>
      <c r="EW76" t="e">
        <f>'2.4.Функции'!U150+"BYw!%N]"</f>
        <v>#VALUE!</v>
      </c>
      <c r="EX76" t="e">
        <f>'2.4.Функции'!V150+"BYw!%N^"</f>
        <v>#VALUE!</v>
      </c>
      <c r="EY76" t="e">
        <f>'2.4.Функции'!W150+"BYw!%N_"</f>
        <v>#VALUE!</v>
      </c>
      <c r="EZ76" t="e">
        <f>'2.4.Функции'!X150+"BYw!%N`"</f>
        <v>#VALUE!</v>
      </c>
      <c r="FA76" t="e">
        <f>'2.4.Функции'!Y150+"BYw!%Na"</f>
        <v>#VALUE!</v>
      </c>
      <c r="FB76" t="e">
        <f>'2.4.Функции'!Z150+"BYw!%Nb"</f>
        <v>#VALUE!</v>
      </c>
      <c r="FC76" t="e">
        <f>'2.4.Функции'!AA150+"BYw!%Nc"</f>
        <v>#VALUE!</v>
      </c>
      <c r="FD76" t="e">
        <f>'2.4.Функции'!AB150+"BYw!%Nd"</f>
        <v>#VALUE!</v>
      </c>
      <c r="FE76" t="e">
        <f>'2.4.Функции'!AC150+"BYw!%Ne"</f>
        <v>#VALUE!</v>
      </c>
      <c r="FF76" t="e">
        <f>'2.4.Функции'!AD150+"BYw!%Nf"</f>
        <v>#VALUE!</v>
      </c>
      <c r="FG76" t="e">
        <f>'2.4.Функции'!AE150+"BYw!%Ng"</f>
        <v>#VALUE!</v>
      </c>
      <c r="FH76" t="e">
        <f>'2.4.Функции'!AF150+"BYw!%Nh"</f>
        <v>#VALUE!</v>
      </c>
      <c r="FI76" t="e">
        <f>'2.4.Функции'!AG150+"BYw!%Ni"</f>
        <v>#VALUE!</v>
      </c>
      <c r="FJ76" t="e">
        <f>'2.4.Функции'!AH150+"BYw!%Nj"</f>
        <v>#VALUE!</v>
      </c>
      <c r="FK76" t="e">
        <f>'2.4.Функции'!AI150+"BYw!%Nk"</f>
        <v>#VALUE!</v>
      </c>
      <c r="FL76" t="e">
        <f>'2.4.Функции'!AJ150+"BYw!%Nl"</f>
        <v>#VALUE!</v>
      </c>
      <c r="FM76" t="e">
        <f>'2.4.Функции'!AK150+"BYw!%Nm"</f>
        <v>#VALUE!</v>
      </c>
      <c r="FN76" t="e">
        <f>'2.4.Функции'!AL150+"BYw!%Nn"</f>
        <v>#VALUE!</v>
      </c>
      <c r="FO76" t="e">
        <f>'2.4.Функции'!AM150+"BYw!%No"</f>
        <v>#VALUE!</v>
      </c>
      <c r="FP76" t="e">
        <f>'2.4.Функции'!AN150+"BYw!%Np"</f>
        <v>#VALUE!</v>
      </c>
      <c r="FQ76" t="e">
        <f>'2.4.Функции'!AO150+"BYw!%Nq"</f>
        <v>#VALUE!</v>
      </c>
      <c r="FR76" t="e">
        <f>'2.4.Функции'!AP150+"BYw!%Nr"</f>
        <v>#VALUE!</v>
      </c>
      <c r="FS76" t="e">
        <f>'2.4.Функции'!AQ150+"BYw!%Ns"</f>
        <v>#VALUE!</v>
      </c>
      <c r="FT76" t="e">
        <f>'2.4.Функции'!AR150+"BYw!%Nt"</f>
        <v>#VALUE!</v>
      </c>
      <c r="FU76" t="e">
        <f>'2.4.Функции'!AS150+"BYw!%Nu"</f>
        <v>#VALUE!</v>
      </c>
      <c r="FV76" t="e">
        <f>'2.4.Функции'!AT150+"BYw!%Nv"</f>
        <v>#VALUE!</v>
      </c>
      <c r="FW76" t="e">
        <f>'2.4.Функции'!AU150+"BYw!%Nw"</f>
        <v>#VALUE!</v>
      </c>
      <c r="FX76" t="e">
        <f>'2.4.Функции'!AV150+"BYw!%Nx"</f>
        <v>#VALUE!</v>
      </c>
      <c r="FY76" t="e">
        <f>'2.4.Функции'!AW150+"BYw!%Ny"</f>
        <v>#VALUE!</v>
      </c>
      <c r="FZ76" t="e">
        <f>'2.4.Функции'!AX150+"BYw!%Nz"</f>
        <v>#VALUE!</v>
      </c>
      <c r="GA76" t="e">
        <f>'2.4.Функции'!AY150+"BYw!%N{"</f>
        <v>#VALUE!</v>
      </c>
      <c r="GB76" t="e">
        <f>'2.4.Функции'!AZ150+"BYw!%N|"</f>
        <v>#VALUE!</v>
      </c>
      <c r="GC76" t="e">
        <f>'2.4.Функции'!BA150+"BYw!%N}"</f>
        <v>#VALUE!</v>
      </c>
      <c r="GD76" t="e">
        <f>'2.4.Функции'!BB150+"BYw!%N~"</f>
        <v>#VALUE!</v>
      </c>
      <c r="GE76" t="e">
        <f>'2.4.Функции'!BC150+"BYw!%O#"</f>
        <v>#VALUE!</v>
      </c>
      <c r="GF76" t="e">
        <f>'2.4.Функции'!BD150+"BYw!%O$"</f>
        <v>#VALUE!</v>
      </c>
      <c r="GG76" t="e">
        <f>'2.4.Функции'!BE150+"BYw!%O%"</f>
        <v>#VALUE!</v>
      </c>
      <c r="GH76" t="e">
        <f>'2.4.Функции'!BF150+"BYw!%O&amp;"</f>
        <v>#VALUE!</v>
      </c>
      <c r="GI76" t="e">
        <f>'2.4.Функции'!BG150+"BYw!%O'"</f>
        <v>#VALUE!</v>
      </c>
      <c r="GJ76" t="e">
        <f>'2.4.Функции'!BH150+"BYw!%O("</f>
        <v>#VALUE!</v>
      </c>
      <c r="GK76" t="e">
        <f>'2.4.Функции'!BI150+"BYw!%O)"</f>
        <v>#VALUE!</v>
      </c>
      <c r="GL76" t="e">
        <f>'2.4.Функции'!BJ150+"BYw!%O."</f>
        <v>#VALUE!</v>
      </c>
      <c r="GM76" t="e">
        <f>'2.4.Функции'!BK150+"BYw!%O/"</f>
        <v>#VALUE!</v>
      </c>
      <c r="GN76" t="e">
        <f>'2.4.Функции'!BL150+"BYw!%O0"</f>
        <v>#VALUE!</v>
      </c>
      <c r="GO76" t="e">
        <f>'2.4.Функции'!BM150+"BYw!%O1"</f>
        <v>#VALUE!</v>
      </c>
      <c r="GP76" t="e">
        <f>'2.4.Функции'!BN150+"BYw!%O2"</f>
        <v>#VALUE!</v>
      </c>
      <c r="GQ76" t="e">
        <f>'2.4.Функции'!BO150+"BYw!%O3"</f>
        <v>#VALUE!</v>
      </c>
      <c r="GR76" t="e">
        <f>'2.4.Функции'!BP150+"BYw!%O4"</f>
        <v>#VALUE!</v>
      </c>
      <c r="GS76" t="e">
        <f>'2.4.Функции'!BQ150+"BYw!%O5"</f>
        <v>#VALUE!</v>
      </c>
      <c r="GT76" t="e">
        <f>'2.4.Функции'!BR150+"BYw!%O6"</f>
        <v>#VALUE!</v>
      </c>
      <c r="GU76" t="e">
        <f>'2.4.Функции'!BS150+"BYw!%O7"</f>
        <v>#VALUE!</v>
      </c>
      <c r="GV76" t="e">
        <f>'2.4.Функции'!BT150+"BYw!%O8"</f>
        <v>#VALUE!</v>
      </c>
      <c r="GW76" t="e">
        <f>'2.4.Функции'!BU150+"BYw!%O9"</f>
        <v>#VALUE!</v>
      </c>
      <c r="GX76" t="e">
        <f>'2.4.Функции'!BV150+"BYw!%O:"</f>
        <v>#VALUE!</v>
      </c>
      <c r="GY76" t="e">
        <f>'2.4.Функции'!BW150+"BYw!%O;"</f>
        <v>#VALUE!</v>
      </c>
      <c r="GZ76" t="e">
        <f>'2.4.Функции'!BX150+"BYw!%O&lt;"</f>
        <v>#VALUE!</v>
      </c>
      <c r="HA76" t="e">
        <f>'2.4.Функции'!BY150+"BYw!%O="</f>
        <v>#VALUE!</v>
      </c>
      <c r="HB76" t="e">
        <f>'2.4.Функции'!BZ150+"BYw!%O&gt;"</f>
        <v>#VALUE!</v>
      </c>
      <c r="HC76" t="e">
        <f>'2.4.Функции'!CA150+"BYw!%O?"</f>
        <v>#VALUE!</v>
      </c>
      <c r="HD76" t="e">
        <f>'2.4.Функции'!CB150+"BYw!%O@"</f>
        <v>#VALUE!</v>
      </c>
      <c r="HE76" t="e">
        <f>'2.4.Функции'!CC150+"BYw!%OA"</f>
        <v>#VALUE!</v>
      </c>
      <c r="HF76" t="e">
        <f>'2.4.Функции'!CD150+"BYw!%OB"</f>
        <v>#VALUE!</v>
      </c>
      <c r="HG76" t="e">
        <f>'2.4.Функции'!CE150+"BYw!%OC"</f>
        <v>#VALUE!</v>
      </c>
      <c r="HH76" t="e">
        <f>'2.4.Функции'!CF150+"BYw!%OD"</f>
        <v>#VALUE!</v>
      </c>
      <c r="HI76" t="e">
        <f>'2.4.Функции'!CG150+"BYw!%OE"</f>
        <v>#VALUE!</v>
      </c>
      <c r="HJ76" t="e">
        <f>'2.4.Функции'!CH150+"BYw!%OF"</f>
        <v>#VALUE!</v>
      </c>
      <c r="HK76" t="e">
        <f>'2.4.Функции'!CI150+"BYw!%OG"</f>
        <v>#VALUE!</v>
      </c>
      <c r="HL76" t="e">
        <f>'2.4.Функции'!CJ150+"BYw!%OH"</f>
        <v>#VALUE!</v>
      </c>
      <c r="HM76" t="e">
        <f>'2.4.Функции'!CK150+"BYw!%OI"</f>
        <v>#VALUE!</v>
      </c>
      <c r="HN76" t="e">
        <f>'2.4.Функции'!CL150+"BYw!%OJ"</f>
        <v>#VALUE!</v>
      </c>
      <c r="HO76" t="e">
        <f>'2.4.Функции'!CM150+"BYw!%OK"</f>
        <v>#VALUE!</v>
      </c>
      <c r="HP76" t="e">
        <f>'2.4.Функции'!CN150+"BYw!%OL"</f>
        <v>#VALUE!</v>
      </c>
      <c r="HQ76" t="e">
        <f>'2.4.Функции'!CO150+"BYw!%OM"</f>
        <v>#VALUE!</v>
      </c>
      <c r="HR76" t="e">
        <f>'2.4.Функции'!CP150+"BYw!%ON"</f>
        <v>#VALUE!</v>
      </c>
      <c r="HS76" t="e">
        <f>'2.4.Функции'!CQ150+"BYw!%OO"</f>
        <v>#VALUE!</v>
      </c>
      <c r="HT76" t="e">
        <f>'2.4.Функции'!CR150+"BYw!%OP"</f>
        <v>#VALUE!</v>
      </c>
      <c r="HU76" t="e">
        <f>'2.4.Функции'!CS150+"BYw!%OQ"</f>
        <v>#VALUE!</v>
      </c>
      <c r="HV76" t="e">
        <f>'2.4.Функции'!CT150+"BYw!%OR"</f>
        <v>#VALUE!</v>
      </c>
      <c r="HW76" t="e">
        <f>'2.4.Функции'!CU150+"BYw!%OS"</f>
        <v>#VALUE!</v>
      </c>
      <c r="HX76" t="e">
        <f>'2.4.Функции'!CV150+"BYw!%OT"</f>
        <v>#VALUE!</v>
      </c>
      <c r="HY76" t="e">
        <f>'2.4.Функции'!CW150+"BYw!%OU"</f>
        <v>#VALUE!</v>
      </c>
      <c r="HZ76" t="e">
        <f>'2.4.Функции'!CX150+"BYw!%OV"</f>
        <v>#VALUE!</v>
      </c>
      <c r="IA76" t="e">
        <f>'2.4.Функции'!CY150+"BYw!%OW"</f>
        <v>#VALUE!</v>
      </c>
      <c r="IB76" t="e">
        <f>'2.4.Функции'!CZ150+"BYw!%OX"</f>
        <v>#VALUE!</v>
      </c>
      <c r="IC76" t="e">
        <f>'2.4.Функции'!DA150+"BYw!%OY"</f>
        <v>#VALUE!</v>
      </c>
      <c r="ID76" t="e">
        <f>'2.4.Функции'!DB150+"BYw!%OZ"</f>
        <v>#VALUE!</v>
      </c>
      <c r="IE76" t="e">
        <f>'2.4.Функции'!DC150+"BYw!%O["</f>
        <v>#VALUE!</v>
      </c>
      <c r="IF76" t="e">
        <f>'2.4.Функции'!DD150+"BYw!%O\"</f>
        <v>#VALUE!</v>
      </c>
      <c r="IG76" t="e">
        <f>'2.4.Функции'!DE150+"BYw!%O]"</f>
        <v>#VALUE!</v>
      </c>
      <c r="IH76" t="e">
        <f>'2.4.Функции'!DF150+"BYw!%O^"</f>
        <v>#VALUE!</v>
      </c>
      <c r="II76" t="e">
        <f>'2.4.Функции'!DG150+"BYw!%O_"</f>
        <v>#VALUE!</v>
      </c>
      <c r="IJ76" t="e">
        <f>'2.4.Функции'!DH150+"BYw!%O`"</f>
        <v>#VALUE!</v>
      </c>
      <c r="IK76" t="e">
        <f>'2.4.Функции'!DI150+"BYw!%Oa"</f>
        <v>#VALUE!</v>
      </c>
      <c r="IL76" t="e">
        <f>'2.4.Функции'!DJ150+"BYw!%Ob"</f>
        <v>#VALUE!</v>
      </c>
      <c r="IM76" t="e">
        <f>'2.4.Функции'!DK150+"BYw!%Oc"</f>
        <v>#VALUE!</v>
      </c>
      <c r="IN76" t="e">
        <f>'2.4.Функции'!DL150+"BYw!%Od"</f>
        <v>#VALUE!</v>
      </c>
      <c r="IO76" t="e">
        <f>'2.4.Функции'!A151+"BYw!%Oe"</f>
        <v>#VALUE!</v>
      </c>
      <c r="IP76" s="116" t="e">
        <f>'2.4.Функции'!B151+"BYw!%Of"</f>
        <v>#VALUE!</v>
      </c>
      <c r="IQ76" t="e">
        <f>'2.4.Функции'!C151+"BYw!%Og"</f>
        <v>#VALUE!</v>
      </c>
      <c r="IR76" s="116" t="e">
        <f>'2.4.Функции'!D151+"BYw!%Oh"</f>
        <v>#VALUE!</v>
      </c>
      <c r="IS76" t="e">
        <f>'2.4.Функции'!E151+"BYw!%Oi"</f>
        <v>#VALUE!</v>
      </c>
      <c r="IT76" s="116" t="e">
        <f>'2.4.Функции'!F151+"BYw!%Oj"</f>
        <v>#VALUE!</v>
      </c>
      <c r="IU76" t="e">
        <f>'2.4.Функции'!G151+"BYw!%Ok"</f>
        <v>#VALUE!</v>
      </c>
      <c r="IV76" s="116" t="e">
        <f>'2.4.Функции'!H151+"BYw!%Ol"</f>
        <v>#VALUE!</v>
      </c>
    </row>
    <row r="77" spans="6:256" x14ac:dyDescent="0.2">
      <c r="F77" t="e">
        <f>'2.4.Функции'!I151+"BYw!%Om"</f>
        <v>#VALUE!</v>
      </c>
      <c r="G77" s="116" t="e">
        <f>'2.4.Функции'!J151+"BYw!%On"</f>
        <v>#VALUE!</v>
      </c>
      <c r="H77" s="119" t="e">
        <f>'2.4.Функции'!K151+"BYw!%Oo"</f>
        <v>#VALUE!</v>
      </c>
      <c r="I77" t="e">
        <f>'2.4.Функции'!A152+"BYw!%Op"</f>
        <v>#VALUE!</v>
      </c>
      <c r="J77" s="116" t="e">
        <f>'2.4.Функции'!B152+"BYw!%Oq"</f>
        <v>#VALUE!</v>
      </c>
      <c r="K77" t="e">
        <f>'2.4.Функции'!C152+"BYw!%Or"</f>
        <v>#VALUE!</v>
      </c>
      <c r="L77" s="119" t="e">
        <f>'2.4.Функции'!D152+"BYw!%Os"</f>
        <v>#VALUE!</v>
      </c>
      <c r="M77" s="119" t="e">
        <f>'2.4.Функции'!E152+"BYw!%Ot"</f>
        <v>#VALUE!</v>
      </c>
      <c r="N77" s="119" t="e">
        <f>'2.4.Функции'!F152+"BYw!%Ou"</f>
        <v>#VALUE!</v>
      </c>
      <c r="O77" s="119" t="e">
        <f>'2.4.Функции'!G152+"BYw!%Ov"</f>
        <v>#VALUE!</v>
      </c>
      <c r="P77" s="119" t="e">
        <f>'2.4.Функции'!H152+"BYw!%Ow"</f>
        <v>#VALUE!</v>
      </c>
      <c r="Q77" s="119" t="e">
        <f>'2.4.Функции'!I152+"BYw!%Ox"</f>
        <v>#VALUE!</v>
      </c>
      <c r="R77" s="119" t="e">
        <f>'2.4.Функции'!J152+"BYw!%Oy"</f>
        <v>#VALUE!</v>
      </c>
      <c r="S77" s="119" t="e">
        <f>'2.4.Функции'!K152+"BYw!%Oz"</f>
        <v>#VALUE!</v>
      </c>
      <c r="T77" t="e">
        <f>'2.4.Функции'!A153+"BYw!%O{"</f>
        <v>#VALUE!</v>
      </c>
      <c r="U77" s="116" t="e">
        <f>'2.4.Функции'!B153+"BYw!%O|"</f>
        <v>#VALUE!</v>
      </c>
      <c r="V77" t="e">
        <f>'2.4.Функции'!C153+"BYw!%O}"</f>
        <v>#VALUE!</v>
      </c>
      <c r="W77" s="119" t="e">
        <f>'2.4.Функции'!D153+"BYw!%O~"</f>
        <v>#VALUE!</v>
      </c>
      <c r="X77" s="119" t="e">
        <f>'2.4.Функции'!E153+"BYw!%P#"</f>
        <v>#VALUE!</v>
      </c>
      <c r="Y77" t="e">
        <f>'2.4.Функции'!F153+"BYw!%P$"</f>
        <v>#VALUE!</v>
      </c>
      <c r="Z77" t="e">
        <f>'2.4.Функции'!G153+"BYw!%P%"</f>
        <v>#VALUE!</v>
      </c>
      <c r="AA77" t="e">
        <f>'2.4.Функции'!H153+"BYw!%P&amp;"</f>
        <v>#VALUE!</v>
      </c>
      <c r="AB77" t="e">
        <f>'2.4.Функции'!I153+"BYw!%P'"</f>
        <v>#VALUE!</v>
      </c>
      <c r="AC77" t="e">
        <f>'2.4.Функции'!J153+"BYw!%P("</f>
        <v>#VALUE!</v>
      </c>
      <c r="AD77" s="119" t="e">
        <f>'2.4.Функции'!K153+"BYw!%P)"</f>
        <v>#VALUE!</v>
      </c>
      <c r="AE77" t="e">
        <f>'2.4.Функции'!L153+"BYw!%P."</f>
        <v>#VALUE!</v>
      </c>
      <c r="AF77" t="e">
        <f>'2.4.Функции'!M153+"BYw!%P/"</f>
        <v>#VALUE!</v>
      </c>
      <c r="AG77" t="e">
        <f>'2.4.Функции'!N153+"BYw!%P0"</f>
        <v>#VALUE!</v>
      </c>
      <c r="AH77" t="e">
        <f>'2.4.Функции'!O153+"BYw!%P1"</f>
        <v>#VALUE!</v>
      </c>
      <c r="AI77" t="e">
        <f>'2.4.Функции'!P153+"BYw!%P2"</f>
        <v>#VALUE!</v>
      </c>
      <c r="AJ77" t="e">
        <f>'2.4.Функции'!Q153+"BYw!%P3"</f>
        <v>#VALUE!</v>
      </c>
      <c r="AK77" t="e">
        <f>'2.4.Функции'!R153+"BYw!%P4"</f>
        <v>#VALUE!</v>
      </c>
      <c r="AL77" t="e">
        <f>'2.4.Функции'!S153+"BYw!%P5"</f>
        <v>#VALUE!</v>
      </c>
      <c r="AM77" t="e">
        <f>'2.4.Функции'!T153+"BYw!%P6"</f>
        <v>#VALUE!</v>
      </c>
      <c r="AN77" t="e">
        <f>'2.4.Функции'!U153+"BYw!%P7"</f>
        <v>#VALUE!</v>
      </c>
      <c r="AO77" t="e">
        <f>'2.4.Функции'!V153+"BYw!%P8"</f>
        <v>#VALUE!</v>
      </c>
      <c r="AP77" t="e">
        <f>'2.4.Функции'!W153+"BYw!%P9"</f>
        <v>#VALUE!</v>
      </c>
      <c r="AQ77" t="e">
        <f>'2.4.Функции'!X153+"BYw!%P:"</f>
        <v>#VALUE!</v>
      </c>
      <c r="AR77" t="e">
        <f>'2.4.Функции'!Y153+"BYw!%P;"</f>
        <v>#VALUE!</v>
      </c>
      <c r="AS77" t="e">
        <f>'2.4.Функции'!Z153+"BYw!%P&lt;"</f>
        <v>#VALUE!</v>
      </c>
      <c r="AT77" t="e">
        <f>'2.4.Функции'!AA153+"BYw!%P="</f>
        <v>#VALUE!</v>
      </c>
      <c r="AU77" t="e">
        <f>'2.4.Функции'!AB153+"BYw!%P&gt;"</f>
        <v>#VALUE!</v>
      </c>
      <c r="AV77" t="e">
        <f>'2.4.Функции'!AC153+"BYw!%P?"</f>
        <v>#VALUE!</v>
      </c>
      <c r="AW77" t="e">
        <f>'2.4.Функции'!A154+"BYw!%P@"</f>
        <v>#VALUE!</v>
      </c>
      <c r="AX77" s="116" t="e">
        <f>'2.4.Функции'!B154+"BYw!%PA"</f>
        <v>#VALUE!</v>
      </c>
      <c r="AY77" t="e">
        <f>'2.4.Функции'!C154+"BYw!%PB"</f>
        <v>#VALUE!</v>
      </c>
      <c r="AZ77" s="119" t="e">
        <f>'2.4.Функции'!D154+"BYw!%PC"</f>
        <v>#VALUE!</v>
      </c>
      <c r="BA77" s="119" t="e">
        <f>'2.4.Функции'!E154+"BYw!%PD"</f>
        <v>#VALUE!</v>
      </c>
      <c r="BB77" s="119" t="e">
        <f>'2.4.Функции'!F154+"BYw!%PE"</f>
        <v>#VALUE!</v>
      </c>
      <c r="BC77" s="119" t="e">
        <f>'2.4.Функции'!G154+"BYw!%PF"</f>
        <v>#VALUE!</v>
      </c>
      <c r="BD77" s="119" t="e">
        <f>'2.4.Функции'!H154+"BYw!%PG"</f>
        <v>#VALUE!</v>
      </c>
      <c r="BE77" s="119" t="e">
        <f>'2.4.Функции'!I154+"BYw!%PH"</f>
        <v>#VALUE!</v>
      </c>
      <c r="BF77" s="119" t="e">
        <f>'2.4.Функции'!J154+"BYw!%PI"</f>
        <v>#VALUE!</v>
      </c>
      <c r="BG77" s="119" t="e">
        <f>'2.4.Функции'!K154+"BYw!%PJ"</f>
        <v>#VALUE!</v>
      </c>
      <c r="BH77" t="e">
        <f>'2.4.Функции'!L154+"BYw!%PK"</f>
        <v>#VALUE!</v>
      </c>
      <c r="BI77" t="e">
        <f>'2.4.Функции'!M154+"BYw!%PL"</f>
        <v>#VALUE!</v>
      </c>
      <c r="BJ77" t="e">
        <f>'2.4.Функции'!N154+"BYw!%PM"</f>
        <v>#VALUE!</v>
      </c>
      <c r="BK77" t="e">
        <f>'2.4.Функции'!O154+"BYw!%PN"</f>
        <v>#VALUE!</v>
      </c>
      <c r="BL77" t="e">
        <f>'2.4.Функции'!P154+"BYw!%PO"</f>
        <v>#VALUE!</v>
      </c>
      <c r="BM77" t="e">
        <f>'2.4.Функции'!Q154+"BYw!%PP"</f>
        <v>#VALUE!</v>
      </c>
      <c r="BN77" t="e">
        <f>'2.4.Функции'!R154+"BYw!%PQ"</f>
        <v>#VALUE!</v>
      </c>
      <c r="BO77" t="e">
        <f>'2.4.Функции'!S154+"BYw!%PR"</f>
        <v>#VALUE!</v>
      </c>
      <c r="BP77" t="e">
        <f>'2.4.Функции'!T154+"BYw!%PS"</f>
        <v>#VALUE!</v>
      </c>
      <c r="BQ77" t="e">
        <f>'2.4.Функции'!U154+"BYw!%PT"</f>
        <v>#VALUE!</v>
      </c>
      <c r="BR77" t="e">
        <f>'2.4.Функции'!V154+"BYw!%PU"</f>
        <v>#VALUE!</v>
      </c>
      <c r="BS77" t="e">
        <f>'2.4.Функции'!W154+"BYw!%PV"</f>
        <v>#VALUE!</v>
      </c>
      <c r="BT77" t="e">
        <f>'2.4.Функции'!X154+"BYw!%PW"</f>
        <v>#VALUE!</v>
      </c>
      <c r="BU77" t="e">
        <f>'2.4.Функции'!Y154+"BYw!%PX"</f>
        <v>#VALUE!</v>
      </c>
      <c r="BV77" t="e">
        <f>'2.4.Функции'!Z154+"BYw!%PY"</f>
        <v>#VALUE!</v>
      </c>
      <c r="BW77" t="e">
        <f>'2.4.Функции'!AA154+"BYw!%PZ"</f>
        <v>#VALUE!</v>
      </c>
      <c r="BX77" t="e">
        <f>'2.4.Функции'!AB154+"BYw!%P["</f>
        <v>#VALUE!</v>
      </c>
      <c r="BY77" t="e">
        <f>'2.4.Функции'!AC154+"BYw!%P\"</f>
        <v>#VALUE!</v>
      </c>
      <c r="BZ77" t="e">
        <f>'2.4.Функции'!AD154+"BYw!%P]"</f>
        <v>#VALUE!</v>
      </c>
      <c r="CA77" t="e">
        <f>'2.4.Функции'!AE154+"BYw!%P^"</f>
        <v>#VALUE!</v>
      </c>
      <c r="CB77" t="e">
        <f>'2.4.Функции'!AF154+"BYw!%P_"</f>
        <v>#VALUE!</v>
      </c>
      <c r="CC77" t="e">
        <f>'2.4.Функции'!AG154+"BYw!%P`"</f>
        <v>#VALUE!</v>
      </c>
      <c r="CD77" t="e">
        <f>'2.4.Функции'!AH154+"BYw!%Pa"</f>
        <v>#VALUE!</v>
      </c>
      <c r="CE77" t="e">
        <f>'2.4.Функции'!AI154+"BYw!%Pb"</f>
        <v>#VALUE!</v>
      </c>
      <c r="CF77" t="e">
        <f>'2.4.Функции'!AJ154+"BYw!%Pc"</f>
        <v>#VALUE!</v>
      </c>
      <c r="CG77" t="e">
        <f>'2.4.Функции'!AK154+"BYw!%Pd"</f>
        <v>#VALUE!</v>
      </c>
      <c r="CH77" t="e">
        <f>'2.4.Функции'!AL154+"BYw!%Pe"</f>
        <v>#VALUE!</v>
      </c>
      <c r="CI77" t="e">
        <f>'2.4.Функции'!AM154+"BYw!%Pf"</f>
        <v>#VALUE!</v>
      </c>
      <c r="CJ77" t="e">
        <f>'2.4.Функции'!AN154+"BYw!%Pg"</f>
        <v>#VALUE!</v>
      </c>
      <c r="CK77" t="e">
        <f>'2.4.Функции'!AO154+"BYw!%Ph"</f>
        <v>#VALUE!</v>
      </c>
      <c r="CL77" t="e">
        <f>'2.4.Функции'!AP154+"BYw!%Pi"</f>
        <v>#VALUE!</v>
      </c>
      <c r="CM77" t="e">
        <f>'2.4.Функции'!AQ154+"BYw!%Pj"</f>
        <v>#VALUE!</v>
      </c>
      <c r="CN77" t="e">
        <f>'2.4.Функции'!AR154+"BYw!%Pk"</f>
        <v>#VALUE!</v>
      </c>
      <c r="CO77" t="e">
        <f>'2.4.Функции'!AS154+"BYw!%Pl"</f>
        <v>#VALUE!</v>
      </c>
      <c r="CP77" t="e">
        <f>'2.4.Функции'!AT154+"BYw!%Pm"</f>
        <v>#VALUE!</v>
      </c>
      <c r="CQ77" t="e">
        <f>'2.4.Функции'!AU154+"BYw!%Pn"</f>
        <v>#VALUE!</v>
      </c>
      <c r="CR77" t="e">
        <f>'2.4.Функции'!AV154+"BYw!%Po"</f>
        <v>#VALUE!</v>
      </c>
      <c r="CS77" t="e">
        <f>'2.4.Функции'!AW154+"BYw!%Pp"</f>
        <v>#VALUE!</v>
      </c>
      <c r="CT77" t="e">
        <f>'2.4.Функции'!AX154+"BYw!%Pq"</f>
        <v>#VALUE!</v>
      </c>
      <c r="CU77" t="e">
        <f>'2.4.Функции'!AY154+"BYw!%Pr"</f>
        <v>#VALUE!</v>
      </c>
      <c r="CV77" t="e">
        <f>'2.4.Функции'!AZ154+"BYw!%Ps"</f>
        <v>#VALUE!</v>
      </c>
      <c r="CW77" t="e">
        <f>'2.4.Функции'!BA154+"BYw!%Pt"</f>
        <v>#VALUE!</v>
      </c>
      <c r="CX77" t="e">
        <f>'2.4.Функции'!BB154+"BYw!%Pu"</f>
        <v>#VALUE!</v>
      </c>
      <c r="CY77" t="e">
        <f>'2.4.Функции'!BC154+"BYw!%Pv"</f>
        <v>#VALUE!</v>
      </c>
      <c r="CZ77" t="e">
        <f>'2.4.Функции'!BD154+"BYw!%Pw"</f>
        <v>#VALUE!</v>
      </c>
      <c r="DA77" t="e">
        <f>'2.4.Функции'!BE154+"BYw!%Px"</f>
        <v>#VALUE!</v>
      </c>
      <c r="DB77" t="e">
        <f>'2.4.Функции'!BF154+"BYw!%Py"</f>
        <v>#VALUE!</v>
      </c>
      <c r="DC77" t="e">
        <f>'2.4.Функции'!BG154+"BYw!%Pz"</f>
        <v>#VALUE!</v>
      </c>
      <c r="DD77" t="e">
        <f>'2.4.Функции'!BH154+"BYw!%P{"</f>
        <v>#VALUE!</v>
      </c>
      <c r="DE77" t="e">
        <f>'2.4.Функции'!BI154+"BYw!%P|"</f>
        <v>#VALUE!</v>
      </c>
      <c r="DF77" t="e">
        <f>'2.4.Функции'!BJ154+"BYw!%P}"</f>
        <v>#VALUE!</v>
      </c>
      <c r="DG77" t="e">
        <f>'2.4.Функции'!BK154+"BYw!%P~"</f>
        <v>#VALUE!</v>
      </c>
      <c r="DH77" t="e">
        <f>'2.4.Функции'!BL154+"BYw!%Q#"</f>
        <v>#VALUE!</v>
      </c>
      <c r="DI77" t="e">
        <f>'2.4.Функции'!BM154+"BYw!%Q$"</f>
        <v>#VALUE!</v>
      </c>
      <c r="DJ77" t="e">
        <f>'2.4.Функции'!BN154+"BYw!%Q%"</f>
        <v>#VALUE!</v>
      </c>
      <c r="DK77" t="e">
        <f>'2.4.Функции'!BO154+"BYw!%Q&amp;"</f>
        <v>#VALUE!</v>
      </c>
      <c r="DL77" t="e">
        <f>'2.4.Функции'!BP154+"BYw!%Q'"</f>
        <v>#VALUE!</v>
      </c>
      <c r="DM77" t="e">
        <f>'2.4.Функции'!BQ154+"BYw!%Q("</f>
        <v>#VALUE!</v>
      </c>
      <c r="DN77" t="e">
        <f>'2.4.Функции'!BR154+"BYw!%Q)"</f>
        <v>#VALUE!</v>
      </c>
      <c r="DO77" t="e">
        <f>'2.4.Функции'!BS154+"BYw!%Q."</f>
        <v>#VALUE!</v>
      </c>
      <c r="DP77" t="e">
        <f>'2.4.Функции'!BT154+"BYw!%Q/"</f>
        <v>#VALUE!</v>
      </c>
      <c r="DQ77" t="e">
        <f>'2.4.Функции'!BU154+"BYw!%Q0"</f>
        <v>#VALUE!</v>
      </c>
      <c r="DR77" t="e">
        <f>'2.4.Функции'!BV154+"BYw!%Q1"</f>
        <v>#VALUE!</v>
      </c>
      <c r="DS77" t="e">
        <f>'2.4.Функции'!BW154+"BYw!%Q2"</f>
        <v>#VALUE!</v>
      </c>
      <c r="DT77" t="e">
        <f>'2.4.Функции'!BX154+"BYw!%Q3"</f>
        <v>#VALUE!</v>
      </c>
      <c r="DU77" t="e">
        <f>'2.4.Функции'!BY154+"BYw!%Q4"</f>
        <v>#VALUE!</v>
      </c>
      <c r="DV77" t="e">
        <f>'2.4.Функции'!BZ154+"BYw!%Q5"</f>
        <v>#VALUE!</v>
      </c>
      <c r="DW77" t="e">
        <f>'2.4.Функции'!CA154+"BYw!%Q6"</f>
        <v>#VALUE!</v>
      </c>
      <c r="DX77" t="e">
        <f>'2.4.Функции'!CB154+"BYw!%Q7"</f>
        <v>#VALUE!</v>
      </c>
      <c r="DY77" t="e">
        <f>'2.4.Функции'!CC154+"BYw!%Q8"</f>
        <v>#VALUE!</v>
      </c>
      <c r="DZ77" t="e">
        <f>'2.4.Функции'!CD154+"BYw!%Q9"</f>
        <v>#VALUE!</v>
      </c>
      <c r="EA77" t="e">
        <f>'2.4.Функции'!CE154+"BYw!%Q:"</f>
        <v>#VALUE!</v>
      </c>
      <c r="EB77" t="e">
        <f>'2.4.Функции'!CF154+"BYw!%Q;"</f>
        <v>#VALUE!</v>
      </c>
      <c r="EC77" t="e">
        <f>'2.4.Функции'!CG154+"BYw!%Q&lt;"</f>
        <v>#VALUE!</v>
      </c>
      <c r="ED77" t="e">
        <f>'2.4.Функции'!CH154+"BYw!%Q="</f>
        <v>#VALUE!</v>
      </c>
      <c r="EE77" t="e">
        <f>'2.4.Функции'!CI154+"BYw!%Q&gt;"</f>
        <v>#VALUE!</v>
      </c>
      <c r="EF77" t="e">
        <f>'2.4.Функции'!CJ154+"BYw!%Q?"</f>
        <v>#VALUE!</v>
      </c>
      <c r="EG77" t="e">
        <f>'2.4.Функции'!CK154+"BYw!%Q@"</f>
        <v>#VALUE!</v>
      </c>
      <c r="EH77" t="e">
        <f>'2.4.Функции'!CL154+"BYw!%QA"</f>
        <v>#VALUE!</v>
      </c>
      <c r="EI77" t="e">
        <f>'2.4.Функции'!CM154+"BYw!%QB"</f>
        <v>#VALUE!</v>
      </c>
      <c r="EJ77" t="e">
        <f>'2.4.Функции'!CN154+"BYw!%QC"</f>
        <v>#VALUE!</v>
      </c>
      <c r="EK77" t="e">
        <f>'2.4.Функции'!CO154+"BYw!%QD"</f>
        <v>#VALUE!</v>
      </c>
      <c r="EL77" t="e">
        <f>'2.4.Функции'!CP154+"BYw!%QE"</f>
        <v>#VALUE!</v>
      </c>
      <c r="EM77" t="e">
        <f>'2.4.Функции'!CQ154+"BYw!%QF"</f>
        <v>#VALUE!</v>
      </c>
      <c r="EN77" t="e">
        <f>'2.4.Функции'!CR154+"BYw!%QG"</f>
        <v>#VALUE!</v>
      </c>
      <c r="EO77" t="e">
        <f>'2.4.Функции'!CS154+"BYw!%QH"</f>
        <v>#VALUE!</v>
      </c>
      <c r="EP77" t="e">
        <f>'2.4.Функции'!CT154+"BYw!%QI"</f>
        <v>#VALUE!</v>
      </c>
      <c r="EQ77" t="e">
        <f>'2.4.Функции'!CU154+"BYw!%QJ"</f>
        <v>#VALUE!</v>
      </c>
      <c r="ER77" t="e">
        <f>'2.4.Функции'!CV154+"BYw!%QK"</f>
        <v>#VALUE!</v>
      </c>
      <c r="ES77" t="e">
        <f>'2.4.Функции'!CW154+"BYw!%QL"</f>
        <v>#VALUE!</v>
      </c>
      <c r="ET77" t="e">
        <f>'2.4.Функции'!CX154+"BYw!%QM"</f>
        <v>#VALUE!</v>
      </c>
      <c r="EU77" t="e">
        <f>'2.4.Функции'!CY154+"BYw!%QN"</f>
        <v>#VALUE!</v>
      </c>
      <c r="EV77" t="e">
        <f>'2.4.Функции'!CZ154+"BYw!%QO"</f>
        <v>#VALUE!</v>
      </c>
      <c r="EW77" t="e">
        <f>'2.4.Функции'!DA154+"BYw!%QP"</f>
        <v>#VALUE!</v>
      </c>
      <c r="EX77" t="e">
        <f>'2.4.Функции'!DB154+"BYw!%QQ"</f>
        <v>#VALUE!</v>
      </c>
      <c r="EY77" t="e">
        <f>'2.4.Функции'!DC154+"BYw!%QR"</f>
        <v>#VALUE!</v>
      </c>
      <c r="EZ77" t="e">
        <f>'2.4.Функции'!DD154+"BYw!%QS"</f>
        <v>#VALUE!</v>
      </c>
      <c r="FA77" t="e">
        <f>'2.4.Функции'!DE154+"BYw!%QT"</f>
        <v>#VALUE!</v>
      </c>
      <c r="FB77" t="e">
        <f>'2.4.Функции'!DF154+"BYw!%QU"</f>
        <v>#VALUE!</v>
      </c>
      <c r="FC77" t="e">
        <f>'2.4.Функции'!DG154+"BYw!%QV"</f>
        <v>#VALUE!</v>
      </c>
      <c r="FD77" t="e">
        <f>'2.4.Функции'!DH154+"BYw!%QW"</f>
        <v>#VALUE!</v>
      </c>
      <c r="FE77" t="e">
        <f>'2.4.Функции'!DI154+"BYw!%QX"</f>
        <v>#VALUE!</v>
      </c>
      <c r="FF77" t="e">
        <f>'2.4.Функции'!DJ154+"BYw!%QY"</f>
        <v>#VALUE!</v>
      </c>
      <c r="FG77" t="e">
        <f>'2.4.Функции'!DK154+"BYw!%QZ"</f>
        <v>#VALUE!</v>
      </c>
      <c r="FH77" t="e">
        <f>'2.4.Функции'!DL154+"BYw!%Q["</f>
        <v>#VALUE!</v>
      </c>
      <c r="FI77" t="e">
        <f>'2.4.Функции'!A155+"BYw!%Q\"</f>
        <v>#VALUE!</v>
      </c>
      <c r="FJ77" s="116" t="e">
        <f>'2.4.Функции'!B155+"BYw!%Q]"</f>
        <v>#VALUE!</v>
      </c>
      <c r="FK77" t="e">
        <f>'2.4.Функции'!C155+"BYw!%Q^"</f>
        <v>#VALUE!</v>
      </c>
      <c r="FL77" s="119" t="e">
        <f>'2.4.Функции'!D155+"BYw!%Q_"</f>
        <v>#VALUE!</v>
      </c>
      <c r="FM77" s="119" t="e">
        <f>'2.4.Функции'!E155+"BYw!%Q`"</f>
        <v>#VALUE!</v>
      </c>
      <c r="FN77" s="119" t="e">
        <f>'2.4.Функции'!F155+"BYw!%Qa"</f>
        <v>#VALUE!</v>
      </c>
      <c r="FO77" s="119" t="e">
        <f>'2.4.Функции'!G155+"BYw!%Qb"</f>
        <v>#VALUE!</v>
      </c>
      <c r="FP77" s="119" t="e">
        <f>'2.4.Функции'!H155+"BYw!%Qc"</f>
        <v>#VALUE!</v>
      </c>
      <c r="FQ77" s="119" t="e">
        <f>'2.4.Функции'!I155+"BYw!%Qd"</f>
        <v>#VALUE!</v>
      </c>
      <c r="FR77" s="119" t="e">
        <f>'2.4.Функции'!J155+"BYw!%Qe"</f>
        <v>#VALUE!</v>
      </c>
      <c r="FS77" s="119" t="e">
        <f>'2.4.Функции'!K155+"BYw!%Qf"</f>
        <v>#VALUE!</v>
      </c>
      <c r="FT77" t="e">
        <f>'2.4.Функции'!A156+"BYw!%Qg"</f>
        <v>#VALUE!</v>
      </c>
      <c r="FU77" s="116" t="e">
        <f>'2.4.Функции'!B156+"BYw!%Qh"</f>
        <v>#VALUE!</v>
      </c>
      <c r="FV77" t="e">
        <f>'2.4.Функции'!C156+"BYw!%Qi"</f>
        <v>#VALUE!</v>
      </c>
      <c r="FW77" s="119" t="e">
        <f>'2.4.Функции'!D156+"BYw!%Qj"</f>
        <v>#VALUE!</v>
      </c>
      <c r="FX77" s="119" t="e">
        <f>'2.4.Функции'!E156+"BYw!%Qk"</f>
        <v>#VALUE!</v>
      </c>
      <c r="FY77" s="119" t="e">
        <f>'2.4.Функции'!F156+"BYw!%Ql"</f>
        <v>#VALUE!</v>
      </c>
      <c r="FZ77" s="119" t="e">
        <f>'2.4.Функции'!G156+"BYw!%Qm"</f>
        <v>#VALUE!</v>
      </c>
      <c r="GA77" s="119" t="e">
        <f>'2.4.Функции'!H156+"BYw!%Qn"</f>
        <v>#VALUE!</v>
      </c>
      <c r="GB77" s="119" t="e">
        <f>'2.4.Функции'!I156+"BYw!%Qo"</f>
        <v>#VALUE!</v>
      </c>
      <c r="GC77" s="119" t="e">
        <f>'2.4.Функции'!J156+"BYw!%Qp"</f>
        <v>#VALUE!</v>
      </c>
      <c r="GD77" t="e">
        <f>'2.4.Функции'!K156+"BYw!%Qq"</f>
        <v>#VALUE!</v>
      </c>
      <c r="GE77" t="e">
        <f>'2.4.Функции'!A157+"BYw!%Qr"</f>
        <v>#VALUE!</v>
      </c>
      <c r="GF77" s="116" t="e">
        <f>'2.4.Функции'!B157+"BYw!%Qs"</f>
        <v>#VALUE!</v>
      </c>
      <c r="GG77" t="e">
        <f>'2.4.Функции'!C157+"BYw!%Qt"</f>
        <v>#VALUE!</v>
      </c>
      <c r="GH77" s="119" t="e">
        <f>'2.4.Функции'!D157+"BYw!%Qu"</f>
        <v>#VALUE!</v>
      </c>
      <c r="GI77" s="119" t="e">
        <f>'2.4.Функции'!E157+"BYw!%Qv"</f>
        <v>#VALUE!</v>
      </c>
      <c r="GJ77" s="119" t="e">
        <f>'2.4.Функции'!F157+"BYw!%Qw"</f>
        <v>#VALUE!</v>
      </c>
      <c r="GK77" s="119" t="e">
        <f>'2.4.Функции'!G157+"BYw!%Qx"</f>
        <v>#VALUE!</v>
      </c>
      <c r="GL77" s="119" t="e">
        <f>'2.4.Функции'!H157+"BYw!%Qy"</f>
        <v>#VALUE!</v>
      </c>
      <c r="GM77" s="119" t="e">
        <f>'2.4.Функции'!I157+"BYw!%Qz"</f>
        <v>#VALUE!</v>
      </c>
      <c r="GN77" s="119" t="e">
        <f>'2.4.Функции'!J157+"BYw!%Q{"</f>
        <v>#VALUE!</v>
      </c>
      <c r="GO77" t="e">
        <f>'2.4.Функции'!K157+"BYw!%Q|"</f>
        <v>#VALUE!</v>
      </c>
      <c r="GP77" t="e">
        <f>'2.4.Функции'!A158+"BYw!%Q}"</f>
        <v>#VALUE!</v>
      </c>
      <c r="GQ77" s="116" t="e">
        <f>'2.4.Функции'!B158+"BYw!%Q~"</f>
        <v>#VALUE!</v>
      </c>
      <c r="GR77" t="e">
        <f>'2.4.Функции'!C158+"BYw!%R#"</f>
        <v>#VALUE!</v>
      </c>
      <c r="GS77" t="e">
        <f>'2.4.Функции'!D158+"BYw!%R$"</f>
        <v>#VALUE!</v>
      </c>
      <c r="GT77" t="e">
        <f>'2.4.Функции'!E158+"BYw!%R%"</f>
        <v>#VALUE!</v>
      </c>
      <c r="GU77" t="e">
        <f>'2.4.Функции'!F158+"BYw!%R&amp;"</f>
        <v>#VALUE!</v>
      </c>
      <c r="GV77" t="e">
        <f>'2.4.Функции'!G158+"BYw!%R'"</f>
        <v>#VALUE!</v>
      </c>
      <c r="GW77" t="e">
        <f>'2.4.Функции'!H158+"BYw!%R("</f>
        <v>#VALUE!</v>
      </c>
      <c r="GX77" t="e">
        <f>'2.4.Функции'!I158+"BYw!%R)"</f>
        <v>#VALUE!</v>
      </c>
      <c r="GY77" t="e">
        <f>'2.4.Функции'!J158+"BYw!%R."</f>
        <v>#VALUE!</v>
      </c>
      <c r="GZ77" t="e">
        <f>'2.4.Функции'!K158+"BYw!%R/"</f>
        <v>#VALUE!</v>
      </c>
      <c r="HA77" t="e">
        <f>'2.4.Функции'!L158+"BYw!%R0"</f>
        <v>#VALUE!</v>
      </c>
      <c r="HB77" t="e">
        <f>'2.4.Функции'!M158+"BYw!%R1"</f>
        <v>#VALUE!</v>
      </c>
      <c r="HC77" t="e">
        <f>'2.4.Функции'!N158+"BYw!%R2"</f>
        <v>#VALUE!</v>
      </c>
      <c r="HD77" t="e">
        <f>'2.4.Функции'!O158+"BYw!%R3"</f>
        <v>#VALUE!</v>
      </c>
      <c r="HE77" t="e">
        <f>'2.4.Функции'!P158+"BYw!%R4"</f>
        <v>#VALUE!</v>
      </c>
      <c r="HF77" t="e">
        <f>'2.4.Функции'!Q158+"BYw!%R5"</f>
        <v>#VALUE!</v>
      </c>
      <c r="HG77" t="e">
        <f>'2.4.Функции'!R158+"BYw!%R6"</f>
        <v>#VALUE!</v>
      </c>
      <c r="HH77" t="e">
        <f>'2.4.Функции'!S158+"BYw!%R7"</f>
        <v>#VALUE!</v>
      </c>
      <c r="HI77" t="e">
        <f>'2.4.Функции'!T158+"BYw!%R8"</f>
        <v>#VALUE!</v>
      </c>
      <c r="HJ77" t="e">
        <f>'2.4.Функции'!U158+"BYw!%R9"</f>
        <v>#VALUE!</v>
      </c>
      <c r="HK77" t="e">
        <f>'2.4.Функции'!V158+"BYw!%R:"</f>
        <v>#VALUE!</v>
      </c>
      <c r="HL77" t="e">
        <f>'2.4.Функции'!W158+"BYw!%R;"</f>
        <v>#VALUE!</v>
      </c>
      <c r="HM77" t="e">
        <f>'2.4.Функции'!X158+"BYw!%R&lt;"</f>
        <v>#VALUE!</v>
      </c>
      <c r="HN77" t="e">
        <f>'2.4.Функции'!Y158+"BYw!%R="</f>
        <v>#VALUE!</v>
      </c>
      <c r="HO77" t="e">
        <f>'2.4.Функции'!Z158+"BYw!%R&gt;"</f>
        <v>#VALUE!</v>
      </c>
      <c r="HP77" t="e">
        <f>'2.4.Функции'!AA158+"BYw!%R?"</f>
        <v>#VALUE!</v>
      </c>
      <c r="HQ77" t="e">
        <f>'2.4.Функции'!AB158+"BYw!%R@"</f>
        <v>#VALUE!</v>
      </c>
      <c r="HR77" t="e">
        <f>'2.4.Функции'!AC158+"BYw!%RA"</f>
        <v>#VALUE!</v>
      </c>
      <c r="HS77" t="e">
        <f>'2.4.Функции'!AD158+"BYw!%RB"</f>
        <v>#VALUE!</v>
      </c>
      <c r="HT77" t="e">
        <f>'2.4.Функции'!AE158+"BYw!%RC"</f>
        <v>#VALUE!</v>
      </c>
      <c r="HU77" t="e">
        <f>'2.4.Функции'!AF158+"BYw!%RD"</f>
        <v>#VALUE!</v>
      </c>
      <c r="HV77" t="e">
        <f>'2.4.Функции'!AG158+"BYw!%RE"</f>
        <v>#VALUE!</v>
      </c>
      <c r="HW77" t="e">
        <f>'2.4.Функции'!AH158+"BYw!%RF"</f>
        <v>#VALUE!</v>
      </c>
      <c r="HX77" t="e">
        <f>'2.4.Функции'!AI158+"BYw!%RG"</f>
        <v>#VALUE!</v>
      </c>
      <c r="HY77" t="e">
        <f>'2.4.Функции'!AJ158+"BYw!%RH"</f>
        <v>#VALUE!</v>
      </c>
      <c r="HZ77" t="e">
        <f>'2.4.Функции'!AK158+"BYw!%RI"</f>
        <v>#VALUE!</v>
      </c>
      <c r="IA77" t="e">
        <f>'2.4.Функции'!AL158+"BYw!%RJ"</f>
        <v>#VALUE!</v>
      </c>
      <c r="IB77" t="e">
        <f>'2.4.Функции'!AM158+"BYw!%RK"</f>
        <v>#VALUE!</v>
      </c>
      <c r="IC77" t="e">
        <f>'2.4.Функции'!AN158+"BYw!%RL"</f>
        <v>#VALUE!</v>
      </c>
      <c r="ID77" t="e">
        <f>'2.4.Функции'!AO158+"BYw!%RM"</f>
        <v>#VALUE!</v>
      </c>
      <c r="IE77" t="e">
        <f>'2.4.Функции'!AP158+"BYw!%RN"</f>
        <v>#VALUE!</v>
      </c>
      <c r="IF77" t="e">
        <f>'2.4.Функции'!AQ158+"BYw!%RO"</f>
        <v>#VALUE!</v>
      </c>
      <c r="IG77" t="e">
        <f>'2.4.Функции'!AR158+"BYw!%RP"</f>
        <v>#VALUE!</v>
      </c>
      <c r="IH77" t="e">
        <f>'2.4.Функции'!AS158+"BYw!%RQ"</f>
        <v>#VALUE!</v>
      </c>
      <c r="II77" t="e">
        <f>'2.4.Функции'!AT158+"BYw!%RR"</f>
        <v>#VALUE!</v>
      </c>
      <c r="IJ77" t="e">
        <f>'2.4.Функции'!AU158+"BYw!%RS"</f>
        <v>#VALUE!</v>
      </c>
      <c r="IK77" t="e">
        <f>'2.4.Функции'!AV158+"BYw!%RT"</f>
        <v>#VALUE!</v>
      </c>
      <c r="IL77" t="e">
        <f>'2.4.Функции'!AW158+"BYw!%RU"</f>
        <v>#VALUE!</v>
      </c>
      <c r="IM77" t="e">
        <f>'2.4.Функции'!AX158+"BYw!%RV"</f>
        <v>#VALUE!</v>
      </c>
      <c r="IN77" t="e">
        <f>'2.4.Функции'!AY158+"BYw!%RW"</f>
        <v>#VALUE!</v>
      </c>
      <c r="IO77" t="e">
        <f>'2.4.Функции'!AZ158+"BYw!%RX"</f>
        <v>#VALUE!</v>
      </c>
      <c r="IP77" t="e">
        <f>'2.4.Функции'!BA158+"BYw!%RY"</f>
        <v>#VALUE!</v>
      </c>
      <c r="IQ77" t="e">
        <f>'2.4.Функции'!BB158+"BYw!%RZ"</f>
        <v>#VALUE!</v>
      </c>
      <c r="IR77" t="e">
        <f>'2.4.Функции'!BC158+"BYw!%R["</f>
        <v>#VALUE!</v>
      </c>
      <c r="IS77" t="e">
        <f>'2.4.Функции'!BD158+"BYw!%R\"</f>
        <v>#VALUE!</v>
      </c>
      <c r="IT77" t="e">
        <f>'2.4.Функции'!BE158+"BYw!%R]"</f>
        <v>#VALUE!</v>
      </c>
      <c r="IU77" t="e">
        <f>'2.4.Функции'!BF158+"BYw!%R^"</f>
        <v>#VALUE!</v>
      </c>
      <c r="IV77" t="e">
        <f>'2.4.Функции'!BG158+"BYw!%R_"</f>
        <v>#VALUE!</v>
      </c>
    </row>
    <row r="78" spans="6:256" x14ac:dyDescent="0.2">
      <c r="F78" t="e">
        <f>'2.4.Функции'!BH158+"BYw!%R`"</f>
        <v>#VALUE!</v>
      </c>
      <c r="G78" t="e">
        <f>'2.4.Функции'!BI158+"BYw!%Ra"</f>
        <v>#VALUE!</v>
      </c>
      <c r="H78" t="e">
        <f>'2.4.Функции'!BJ158+"BYw!%Rb"</f>
        <v>#VALUE!</v>
      </c>
      <c r="I78" t="e">
        <f>'2.4.Функции'!BK158+"BYw!%Rc"</f>
        <v>#VALUE!</v>
      </c>
      <c r="J78" t="e">
        <f>'2.4.Функции'!BL158+"BYw!%Rd"</f>
        <v>#VALUE!</v>
      </c>
      <c r="K78" t="e">
        <f>'2.4.Функции'!BM158+"BYw!%Re"</f>
        <v>#VALUE!</v>
      </c>
      <c r="L78" t="e">
        <f>'2.4.Функции'!BN158+"BYw!%Rf"</f>
        <v>#VALUE!</v>
      </c>
      <c r="M78" t="e">
        <f>'2.4.Функции'!BO158+"BYw!%Rg"</f>
        <v>#VALUE!</v>
      </c>
      <c r="N78" t="e">
        <f>'2.4.Функции'!BP158+"BYw!%Rh"</f>
        <v>#VALUE!</v>
      </c>
      <c r="O78" t="e">
        <f>'2.4.Функции'!BQ158+"BYw!%Ri"</f>
        <v>#VALUE!</v>
      </c>
      <c r="P78" t="e">
        <f>'2.4.Функции'!BR158+"BYw!%Rj"</f>
        <v>#VALUE!</v>
      </c>
      <c r="Q78" t="e">
        <f>'2.4.Функции'!BS158+"BYw!%Rk"</f>
        <v>#VALUE!</v>
      </c>
      <c r="R78" t="e">
        <f>'2.4.Функции'!BT158+"BYw!%Rl"</f>
        <v>#VALUE!</v>
      </c>
      <c r="S78" t="e">
        <f>'2.4.Функции'!BU158+"BYw!%Rm"</f>
        <v>#VALUE!</v>
      </c>
      <c r="T78" t="e">
        <f>'2.4.Функции'!BV158+"BYw!%Rn"</f>
        <v>#VALUE!</v>
      </c>
      <c r="U78" t="e">
        <f>'2.4.Функции'!BW158+"BYw!%Ro"</f>
        <v>#VALUE!</v>
      </c>
      <c r="V78" t="e">
        <f>'2.4.Функции'!BX158+"BYw!%Rp"</f>
        <v>#VALUE!</v>
      </c>
      <c r="W78" t="e">
        <f>'2.4.Функции'!BY158+"BYw!%Rq"</f>
        <v>#VALUE!</v>
      </c>
      <c r="X78" t="e">
        <f>'2.4.Функции'!BZ158+"BYw!%Rr"</f>
        <v>#VALUE!</v>
      </c>
      <c r="Y78" t="e">
        <f>'2.4.Функции'!CA158+"BYw!%Rs"</f>
        <v>#VALUE!</v>
      </c>
      <c r="Z78" t="e">
        <f>'2.4.Функции'!CB158+"BYw!%Rt"</f>
        <v>#VALUE!</v>
      </c>
      <c r="AA78" t="e">
        <f>'2.4.Функции'!CC158+"BYw!%Ru"</f>
        <v>#VALUE!</v>
      </c>
      <c r="AB78" t="e">
        <f>'2.4.Функции'!CD158+"BYw!%Rv"</f>
        <v>#VALUE!</v>
      </c>
      <c r="AC78" t="e">
        <f>'2.4.Функции'!CE158+"BYw!%Rw"</f>
        <v>#VALUE!</v>
      </c>
      <c r="AD78" t="e">
        <f>'2.4.Функции'!CF158+"BYw!%Rx"</f>
        <v>#VALUE!</v>
      </c>
      <c r="AE78" t="e">
        <f>'2.4.Функции'!CG158+"BYw!%Ry"</f>
        <v>#VALUE!</v>
      </c>
      <c r="AF78" t="e">
        <f>'2.4.Функции'!CH158+"BYw!%Rz"</f>
        <v>#VALUE!</v>
      </c>
      <c r="AG78" t="e">
        <f>'2.4.Функции'!CI158+"BYw!%R{"</f>
        <v>#VALUE!</v>
      </c>
      <c r="AH78" t="e">
        <f>'2.4.Функции'!CJ158+"BYw!%R|"</f>
        <v>#VALUE!</v>
      </c>
      <c r="AI78" t="e">
        <f>'2.4.Функции'!CK158+"BYw!%R}"</f>
        <v>#VALUE!</v>
      </c>
      <c r="AJ78" t="e">
        <f>'2.4.Функции'!CL158+"BYw!%R~"</f>
        <v>#VALUE!</v>
      </c>
      <c r="AK78" t="e">
        <f>'2.4.Функции'!CM158+"BYw!%S#"</f>
        <v>#VALUE!</v>
      </c>
      <c r="AL78" t="e">
        <f>'2.4.Функции'!CN158+"BYw!%S$"</f>
        <v>#VALUE!</v>
      </c>
      <c r="AM78" t="e">
        <f>'2.4.Функции'!CO158+"BYw!%S%"</f>
        <v>#VALUE!</v>
      </c>
      <c r="AN78" t="e">
        <f>'2.4.Функции'!CP158+"BYw!%S&amp;"</f>
        <v>#VALUE!</v>
      </c>
      <c r="AO78" t="e">
        <f>'2.4.Функции'!CQ158+"BYw!%S'"</f>
        <v>#VALUE!</v>
      </c>
      <c r="AP78" t="e">
        <f>'2.4.Функции'!CR158+"BYw!%S("</f>
        <v>#VALUE!</v>
      </c>
      <c r="AQ78" t="e">
        <f>'2.4.Функции'!CS158+"BYw!%S)"</f>
        <v>#VALUE!</v>
      </c>
      <c r="AR78" t="e">
        <f>'2.4.Функции'!CT158+"BYw!%S."</f>
        <v>#VALUE!</v>
      </c>
      <c r="AS78" t="e">
        <f>'2.4.Функции'!CU158+"BYw!%S/"</f>
        <v>#VALUE!</v>
      </c>
      <c r="AT78" t="e">
        <f>'2.4.Функции'!CV158+"BYw!%S0"</f>
        <v>#VALUE!</v>
      </c>
      <c r="AU78" t="e">
        <f>'2.4.Функции'!CW158+"BYw!%S1"</f>
        <v>#VALUE!</v>
      </c>
      <c r="AV78" t="e">
        <f>'2.4.Функции'!CX158+"BYw!%S2"</f>
        <v>#VALUE!</v>
      </c>
      <c r="AW78" t="e">
        <f>'2.4.Функции'!CY158+"BYw!%S3"</f>
        <v>#VALUE!</v>
      </c>
      <c r="AX78" t="e">
        <f>'2.4.Функции'!CZ158+"BYw!%S4"</f>
        <v>#VALUE!</v>
      </c>
      <c r="AY78" t="e">
        <f>'2.4.Функции'!DA158+"BYw!%S5"</f>
        <v>#VALUE!</v>
      </c>
      <c r="AZ78" t="e">
        <f>'2.4.Функции'!DB158+"BYw!%S6"</f>
        <v>#VALUE!</v>
      </c>
      <c r="BA78" t="e">
        <f>'2.4.Функции'!DC158+"BYw!%S7"</f>
        <v>#VALUE!</v>
      </c>
      <c r="BB78" t="e">
        <f>'2.4.Функции'!DD158+"BYw!%S8"</f>
        <v>#VALUE!</v>
      </c>
      <c r="BC78" t="e">
        <f>'2.4.Функции'!DE158+"BYw!%S9"</f>
        <v>#VALUE!</v>
      </c>
      <c r="BD78" t="e">
        <f>'2.4.Функции'!DF158+"BYw!%S:"</f>
        <v>#VALUE!</v>
      </c>
      <c r="BE78" t="e">
        <f>'2.4.Функции'!DG158+"BYw!%S;"</f>
        <v>#VALUE!</v>
      </c>
      <c r="BF78" t="e">
        <f>'2.4.Функции'!DH158+"BYw!%S&lt;"</f>
        <v>#VALUE!</v>
      </c>
      <c r="BG78" t="e">
        <f>'2.4.Функции'!DI158+"BYw!%S="</f>
        <v>#VALUE!</v>
      </c>
      <c r="BH78" t="e">
        <f>'2.4.Функции'!DJ158+"BYw!%S&gt;"</f>
        <v>#VALUE!</v>
      </c>
      <c r="BI78" t="e">
        <f>'2.4.Функции'!DK158+"BYw!%S?"</f>
        <v>#VALUE!</v>
      </c>
      <c r="BJ78" t="e">
        <f>'2.4.Функции'!DL158+"BYw!%S@"</f>
        <v>#VALUE!</v>
      </c>
      <c r="BK78" t="e">
        <f>'2.4.Функции'!A159+"BYw!%SA"</f>
        <v>#VALUE!</v>
      </c>
      <c r="BL78" s="116" t="e">
        <f>'2.4.Функции'!B159+"BYw!%SB"</f>
        <v>#VALUE!</v>
      </c>
      <c r="BM78" t="e">
        <f>'2.4.Функции'!C159+"BYw!%SC"</f>
        <v>#VALUE!</v>
      </c>
      <c r="BN78" t="e">
        <f>'2.4.Функции'!D159+"BYw!%SD"</f>
        <v>#VALUE!</v>
      </c>
      <c r="BO78" t="e">
        <f>'2.4.Функции'!E159+"BYw!%SE"</f>
        <v>#VALUE!</v>
      </c>
      <c r="BP78" t="e">
        <f>'2.4.Функции'!F159+"BYw!%SF"</f>
        <v>#VALUE!</v>
      </c>
      <c r="BQ78" t="e">
        <f>'2.4.Функции'!G159+"BYw!%SG"</f>
        <v>#VALUE!</v>
      </c>
      <c r="BR78" t="e">
        <f>'2.4.Функции'!H159+"BYw!%SH"</f>
        <v>#VALUE!</v>
      </c>
      <c r="BS78" t="e">
        <f>'2.4.Функции'!I159+"BYw!%SI"</f>
        <v>#VALUE!</v>
      </c>
      <c r="BT78" t="e">
        <f>'2.4.Функции'!J159+"BYw!%SJ"</f>
        <v>#VALUE!</v>
      </c>
      <c r="BU78" t="e">
        <f>'2.4.Функции'!K159+"BYw!%SK"</f>
        <v>#VALUE!</v>
      </c>
      <c r="BV78" t="e">
        <f>'2.4.Функции'!L159+"BYw!%SL"</f>
        <v>#VALUE!</v>
      </c>
      <c r="BW78" t="e">
        <f>'2.4.Функции'!M159+"BYw!%SM"</f>
        <v>#VALUE!</v>
      </c>
      <c r="BX78" t="e">
        <f>'2.4.Функции'!N159+"BYw!%SN"</f>
        <v>#VALUE!</v>
      </c>
      <c r="BY78" t="e">
        <f>'2.4.Функции'!O159+"BYw!%SO"</f>
        <v>#VALUE!</v>
      </c>
      <c r="BZ78" t="e">
        <f>'2.4.Функции'!P159+"BYw!%SP"</f>
        <v>#VALUE!</v>
      </c>
      <c r="CA78" t="e">
        <f>'2.4.Функции'!Q159+"BYw!%SQ"</f>
        <v>#VALUE!</v>
      </c>
      <c r="CB78" t="e">
        <f>'2.4.Функции'!R159+"BYw!%SR"</f>
        <v>#VALUE!</v>
      </c>
      <c r="CC78" t="e">
        <f>'2.4.Функции'!S159+"BYw!%SS"</f>
        <v>#VALUE!</v>
      </c>
      <c r="CD78" t="e">
        <f>'2.4.Функции'!T159+"BYw!%ST"</f>
        <v>#VALUE!</v>
      </c>
      <c r="CE78" t="e">
        <f>'2.4.Функции'!U159+"BYw!%SU"</f>
        <v>#VALUE!</v>
      </c>
      <c r="CF78" t="e">
        <f>'2.4.Функции'!V159+"BYw!%SV"</f>
        <v>#VALUE!</v>
      </c>
      <c r="CG78" t="e">
        <f>'2.4.Функции'!W159+"BYw!%SW"</f>
        <v>#VALUE!</v>
      </c>
      <c r="CH78" t="e">
        <f>'2.4.Функции'!X159+"BYw!%SX"</f>
        <v>#VALUE!</v>
      </c>
      <c r="CI78" t="e">
        <f>'2.4.Функции'!Y159+"BYw!%SY"</f>
        <v>#VALUE!</v>
      </c>
      <c r="CJ78" t="e">
        <f>'2.4.Функции'!Z159+"BYw!%SZ"</f>
        <v>#VALUE!</v>
      </c>
      <c r="CK78" t="e">
        <f>'2.4.Функции'!AA159+"BYw!%S["</f>
        <v>#VALUE!</v>
      </c>
      <c r="CL78" t="e">
        <f>'2.4.Функции'!AB159+"BYw!%S\"</f>
        <v>#VALUE!</v>
      </c>
      <c r="CM78" t="e">
        <f>'2.4.Функции'!AC159+"BYw!%S]"</f>
        <v>#VALUE!</v>
      </c>
      <c r="CN78" t="e">
        <f>'2.4.Функции'!AD159+"BYw!%S^"</f>
        <v>#VALUE!</v>
      </c>
      <c r="CO78" t="e">
        <f>'2.4.Функции'!AE159+"BYw!%S_"</f>
        <v>#VALUE!</v>
      </c>
      <c r="CP78" t="e">
        <f>'2.4.Функции'!AF159+"BYw!%S`"</f>
        <v>#VALUE!</v>
      </c>
      <c r="CQ78" t="e">
        <f>'2.4.Функции'!AG159+"BYw!%Sa"</f>
        <v>#VALUE!</v>
      </c>
      <c r="CR78" t="e">
        <f>'2.4.Функции'!AH159+"BYw!%Sb"</f>
        <v>#VALUE!</v>
      </c>
      <c r="CS78" t="e">
        <f>'2.4.Функции'!AI159+"BYw!%Sc"</f>
        <v>#VALUE!</v>
      </c>
      <c r="CT78" t="e">
        <f>'2.4.Функции'!AJ159+"BYw!%Sd"</f>
        <v>#VALUE!</v>
      </c>
      <c r="CU78" t="e">
        <f>'2.4.Функции'!AK159+"BYw!%Se"</f>
        <v>#VALUE!</v>
      </c>
      <c r="CV78" t="e">
        <f>'2.4.Функции'!AL159+"BYw!%Sf"</f>
        <v>#VALUE!</v>
      </c>
      <c r="CW78" t="e">
        <f>'2.4.Функции'!AM159+"BYw!%Sg"</f>
        <v>#VALUE!</v>
      </c>
      <c r="CX78" t="e">
        <f>'2.4.Функции'!AN159+"BYw!%Sh"</f>
        <v>#VALUE!</v>
      </c>
      <c r="CY78" t="e">
        <f>'2.4.Функции'!AO159+"BYw!%Si"</f>
        <v>#VALUE!</v>
      </c>
      <c r="CZ78" t="e">
        <f>'2.4.Функции'!AP159+"BYw!%Sj"</f>
        <v>#VALUE!</v>
      </c>
      <c r="DA78" t="e">
        <f>'2.4.Функции'!AQ159+"BYw!%Sk"</f>
        <v>#VALUE!</v>
      </c>
      <c r="DB78" t="e">
        <f>'2.4.Функции'!AR159+"BYw!%Sl"</f>
        <v>#VALUE!</v>
      </c>
      <c r="DC78" t="e">
        <f>'2.4.Функции'!AS159+"BYw!%Sm"</f>
        <v>#VALUE!</v>
      </c>
      <c r="DD78" t="e">
        <f>'2.4.Функции'!AT159+"BYw!%Sn"</f>
        <v>#VALUE!</v>
      </c>
      <c r="DE78" t="e">
        <f>'2.4.Функции'!AU159+"BYw!%So"</f>
        <v>#VALUE!</v>
      </c>
      <c r="DF78" t="e">
        <f>'2.4.Функции'!AV159+"BYw!%Sp"</f>
        <v>#VALUE!</v>
      </c>
      <c r="DG78" t="e">
        <f>'2.4.Функции'!AW159+"BYw!%Sq"</f>
        <v>#VALUE!</v>
      </c>
      <c r="DH78" t="e">
        <f>'2.4.Функции'!AX159+"BYw!%Sr"</f>
        <v>#VALUE!</v>
      </c>
      <c r="DI78" t="e">
        <f>'2.4.Функции'!AY159+"BYw!%Ss"</f>
        <v>#VALUE!</v>
      </c>
      <c r="DJ78" t="e">
        <f>'2.4.Функции'!AZ159+"BYw!%St"</f>
        <v>#VALUE!</v>
      </c>
      <c r="DK78" t="e">
        <f>'2.4.Функции'!BA159+"BYw!%Su"</f>
        <v>#VALUE!</v>
      </c>
      <c r="DL78" t="e">
        <f>'2.4.Функции'!BB159+"BYw!%Sv"</f>
        <v>#VALUE!</v>
      </c>
      <c r="DM78" t="e">
        <f>'2.4.Функции'!BC159+"BYw!%Sw"</f>
        <v>#VALUE!</v>
      </c>
      <c r="DN78" t="e">
        <f>'2.4.Функции'!BD159+"BYw!%Sx"</f>
        <v>#VALUE!</v>
      </c>
      <c r="DO78" t="e">
        <f>'2.4.Функции'!BE159+"BYw!%Sy"</f>
        <v>#VALUE!</v>
      </c>
      <c r="DP78" t="e">
        <f>'2.4.Функции'!BF159+"BYw!%Sz"</f>
        <v>#VALUE!</v>
      </c>
      <c r="DQ78" t="e">
        <f>'2.4.Функции'!BG159+"BYw!%S{"</f>
        <v>#VALUE!</v>
      </c>
      <c r="DR78" t="e">
        <f>'2.4.Функции'!BH159+"BYw!%S|"</f>
        <v>#VALUE!</v>
      </c>
      <c r="DS78" t="e">
        <f>'2.4.Функции'!BI159+"BYw!%S}"</f>
        <v>#VALUE!</v>
      </c>
      <c r="DT78" t="e">
        <f>'2.4.Функции'!BJ159+"BYw!%S~"</f>
        <v>#VALUE!</v>
      </c>
      <c r="DU78" t="e">
        <f>'2.4.Функции'!BK159+"BYw!%T#"</f>
        <v>#VALUE!</v>
      </c>
      <c r="DV78" t="e">
        <f>'2.4.Функции'!BL159+"BYw!%T$"</f>
        <v>#VALUE!</v>
      </c>
      <c r="DW78" t="e">
        <f>'2.4.Функции'!BM159+"BYw!%T%"</f>
        <v>#VALUE!</v>
      </c>
      <c r="DX78" t="e">
        <f>'2.4.Функции'!BN159+"BYw!%T&amp;"</f>
        <v>#VALUE!</v>
      </c>
      <c r="DY78" t="e">
        <f>'2.4.Функции'!BO159+"BYw!%T'"</f>
        <v>#VALUE!</v>
      </c>
      <c r="DZ78" t="e">
        <f>'2.4.Функции'!BP159+"BYw!%T("</f>
        <v>#VALUE!</v>
      </c>
      <c r="EA78" t="e">
        <f>'2.4.Функции'!BQ159+"BYw!%T)"</f>
        <v>#VALUE!</v>
      </c>
      <c r="EB78" t="e">
        <f>'2.4.Функции'!BR159+"BYw!%T."</f>
        <v>#VALUE!</v>
      </c>
      <c r="EC78" t="e">
        <f>'2.4.Функции'!BS159+"BYw!%T/"</f>
        <v>#VALUE!</v>
      </c>
      <c r="ED78" t="e">
        <f>'2.4.Функции'!BT159+"BYw!%T0"</f>
        <v>#VALUE!</v>
      </c>
      <c r="EE78" t="e">
        <f>'2.4.Функции'!BU159+"BYw!%T1"</f>
        <v>#VALUE!</v>
      </c>
      <c r="EF78" t="e">
        <f>'2.4.Функции'!BV159+"BYw!%T2"</f>
        <v>#VALUE!</v>
      </c>
      <c r="EG78" t="e">
        <f>'2.4.Функции'!BW159+"BYw!%T3"</f>
        <v>#VALUE!</v>
      </c>
      <c r="EH78" t="e">
        <f>'2.4.Функции'!BX159+"BYw!%T4"</f>
        <v>#VALUE!</v>
      </c>
      <c r="EI78" t="e">
        <f>'2.4.Функции'!BY159+"BYw!%T5"</f>
        <v>#VALUE!</v>
      </c>
      <c r="EJ78" t="e">
        <f>'2.4.Функции'!BZ159+"BYw!%T6"</f>
        <v>#VALUE!</v>
      </c>
      <c r="EK78" t="e">
        <f>'2.4.Функции'!CA159+"BYw!%T7"</f>
        <v>#VALUE!</v>
      </c>
      <c r="EL78" t="e">
        <f>'2.4.Функции'!CB159+"BYw!%T8"</f>
        <v>#VALUE!</v>
      </c>
      <c r="EM78" t="e">
        <f>'2.4.Функции'!CC159+"BYw!%T9"</f>
        <v>#VALUE!</v>
      </c>
      <c r="EN78" t="e">
        <f>'2.4.Функции'!CD159+"BYw!%T:"</f>
        <v>#VALUE!</v>
      </c>
      <c r="EO78" t="e">
        <f>'2.4.Функции'!CE159+"BYw!%T;"</f>
        <v>#VALUE!</v>
      </c>
      <c r="EP78" t="e">
        <f>'2.4.Функции'!CF159+"BYw!%T&lt;"</f>
        <v>#VALUE!</v>
      </c>
      <c r="EQ78" t="e">
        <f>'2.4.Функции'!CG159+"BYw!%T="</f>
        <v>#VALUE!</v>
      </c>
      <c r="ER78" t="e">
        <f>'2.4.Функции'!CH159+"BYw!%T&gt;"</f>
        <v>#VALUE!</v>
      </c>
      <c r="ES78" t="e">
        <f>'2.4.Функции'!CI159+"BYw!%T?"</f>
        <v>#VALUE!</v>
      </c>
      <c r="ET78" t="e">
        <f>'2.4.Функции'!CJ159+"BYw!%T@"</f>
        <v>#VALUE!</v>
      </c>
      <c r="EU78" t="e">
        <f>'2.4.Функции'!CK159+"BYw!%TA"</f>
        <v>#VALUE!</v>
      </c>
      <c r="EV78" t="e">
        <f>'2.4.Функции'!CL159+"BYw!%TB"</f>
        <v>#VALUE!</v>
      </c>
      <c r="EW78" t="e">
        <f>'2.4.Функции'!CM159+"BYw!%TC"</f>
        <v>#VALUE!</v>
      </c>
      <c r="EX78" t="e">
        <f>'2.4.Функции'!CN159+"BYw!%TD"</f>
        <v>#VALUE!</v>
      </c>
      <c r="EY78" t="e">
        <f>'2.4.Функции'!CO159+"BYw!%TE"</f>
        <v>#VALUE!</v>
      </c>
      <c r="EZ78" t="e">
        <f>'2.4.Функции'!CP159+"BYw!%TF"</f>
        <v>#VALUE!</v>
      </c>
      <c r="FA78" t="e">
        <f>'2.4.Функции'!CQ159+"BYw!%TG"</f>
        <v>#VALUE!</v>
      </c>
      <c r="FB78" t="e">
        <f>'2.4.Функции'!CR159+"BYw!%TH"</f>
        <v>#VALUE!</v>
      </c>
      <c r="FC78" t="e">
        <f>'2.4.Функции'!CS159+"BYw!%TI"</f>
        <v>#VALUE!</v>
      </c>
      <c r="FD78" t="e">
        <f>'2.4.Функции'!CT159+"BYw!%TJ"</f>
        <v>#VALUE!</v>
      </c>
      <c r="FE78" t="e">
        <f>'2.4.Функции'!CU159+"BYw!%TK"</f>
        <v>#VALUE!</v>
      </c>
      <c r="FF78" t="e">
        <f>'2.4.Функции'!CV159+"BYw!%TL"</f>
        <v>#VALUE!</v>
      </c>
      <c r="FG78" t="e">
        <f>'2.4.Функции'!CW159+"BYw!%TM"</f>
        <v>#VALUE!</v>
      </c>
      <c r="FH78" t="e">
        <f>'2.4.Функции'!CX159+"BYw!%TN"</f>
        <v>#VALUE!</v>
      </c>
      <c r="FI78" t="e">
        <f>'2.4.Функции'!CY159+"BYw!%TO"</f>
        <v>#VALUE!</v>
      </c>
      <c r="FJ78" t="e">
        <f>'2.4.Функции'!CZ159+"BYw!%TP"</f>
        <v>#VALUE!</v>
      </c>
      <c r="FK78" t="e">
        <f>'2.4.Функции'!DA159+"BYw!%TQ"</f>
        <v>#VALUE!</v>
      </c>
      <c r="FL78" t="e">
        <f>'2.4.Функции'!DB159+"BYw!%TR"</f>
        <v>#VALUE!</v>
      </c>
      <c r="FM78" t="e">
        <f>'2.4.Функции'!DC159+"BYw!%TS"</f>
        <v>#VALUE!</v>
      </c>
      <c r="FN78" t="e">
        <f>'2.4.Функции'!DD159+"BYw!%TT"</f>
        <v>#VALUE!</v>
      </c>
      <c r="FO78" t="e">
        <f>'2.4.Функции'!DE159+"BYw!%TU"</f>
        <v>#VALUE!</v>
      </c>
      <c r="FP78" t="e">
        <f>'2.4.Функции'!DF159+"BYw!%TV"</f>
        <v>#VALUE!</v>
      </c>
      <c r="FQ78" t="e">
        <f>'2.4.Функции'!DG159+"BYw!%TW"</f>
        <v>#VALUE!</v>
      </c>
      <c r="FR78" t="e">
        <f>'2.4.Функции'!DH159+"BYw!%TX"</f>
        <v>#VALUE!</v>
      </c>
      <c r="FS78" t="e">
        <f>'2.4.Функции'!DI159+"BYw!%TY"</f>
        <v>#VALUE!</v>
      </c>
      <c r="FT78" t="e">
        <f>'2.4.Функции'!DJ159+"BYw!%TZ"</f>
        <v>#VALUE!</v>
      </c>
      <c r="FU78" t="e">
        <f>'2.4.Функции'!DK159+"BYw!%T["</f>
        <v>#VALUE!</v>
      </c>
      <c r="FV78" t="e">
        <f>'2.4.Функции'!DL159+"BYw!%T\"</f>
        <v>#VALUE!</v>
      </c>
      <c r="FW78" t="e">
        <f>'2.4.Функции'!A160+"BYw!%T]"</f>
        <v>#VALUE!</v>
      </c>
      <c r="FX78" s="116" t="e">
        <f>'2.4.Функции'!B160+"BYw!%T^"</f>
        <v>#VALUE!</v>
      </c>
      <c r="FY78" t="e">
        <f>'2.4.Функции'!C160+"BYw!%T_"</f>
        <v>#VALUE!</v>
      </c>
      <c r="FZ78" t="e">
        <f>'2.4.Функции'!D160+"BYw!%T`"</f>
        <v>#VALUE!</v>
      </c>
      <c r="GA78" t="e">
        <f>'2.4.Функции'!E160+"BYw!%Ta"</f>
        <v>#VALUE!</v>
      </c>
      <c r="GB78" t="e">
        <f>'2.4.Функции'!F160+"BYw!%Tb"</f>
        <v>#VALUE!</v>
      </c>
      <c r="GC78" t="e">
        <f>'2.4.Функции'!G160+"BYw!%Tc"</f>
        <v>#VALUE!</v>
      </c>
      <c r="GD78" t="e">
        <f>'2.4.Функции'!H160+"BYw!%Td"</f>
        <v>#VALUE!</v>
      </c>
      <c r="GE78" t="e">
        <f>'2.4.Функции'!I160+"BYw!%Te"</f>
        <v>#VALUE!</v>
      </c>
      <c r="GF78" t="e">
        <f>'2.4.Функции'!J160+"BYw!%Tf"</f>
        <v>#VALUE!</v>
      </c>
      <c r="GG78" t="e">
        <f>'2.4.Функции'!K160+"BYw!%Tg"</f>
        <v>#VALUE!</v>
      </c>
      <c r="GH78" t="e">
        <f>'2.4.Функции'!L160+"BYw!%Th"</f>
        <v>#VALUE!</v>
      </c>
      <c r="GI78" t="e">
        <f>'2.4.Функции'!M160+"BYw!%Ti"</f>
        <v>#VALUE!</v>
      </c>
      <c r="GJ78" t="e">
        <f>'2.4.Функции'!N160+"BYw!%Tj"</f>
        <v>#VALUE!</v>
      </c>
      <c r="GK78" t="e">
        <f>'2.4.Функции'!O160+"BYw!%Tk"</f>
        <v>#VALUE!</v>
      </c>
      <c r="GL78" t="e">
        <f>'2.4.Функции'!P160+"BYw!%Tl"</f>
        <v>#VALUE!</v>
      </c>
      <c r="GM78" t="e">
        <f>'2.4.Функции'!Q160+"BYw!%Tm"</f>
        <v>#VALUE!</v>
      </c>
      <c r="GN78" t="e">
        <f>'2.4.Функции'!R160+"BYw!%Tn"</f>
        <v>#VALUE!</v>
      </c>
      <c r="GO78" t="e">
        <f>'2.4.Функции'!S160+"BYw!%To"</f>
        <v>#VALUE!</v>
      </c>
      <c r="GP78" t="e">
        <f>'2.4.Функции'!T160+"BYw!%Tp"</f>
        <v>#VALUE!</v>
      </c>
      <c r="GQ78" t="e">
        <f>'2.4.Функции'!U160+"BYw!%Tq"</f>
        <v>#VALUE!</v>
      </c>
      <c r="GR78" t="e">
        <f>'2.4.Функции'!V160+"BYw!%Tr"</f>
        <v>#VALUE!</v>
      </c>
      <c r="GS78" t="e">
        <f>'2.4.Функции'!W160+"BYw!%Ts"</f>
        <v>#VALUE!</v>
      </c>
      <c r="GT78" t="e">
        <f>'2.4.Функции'!X160+"BYw!%Tt"</f>
        <v>#VALUE!</v>
      </c>
      <c r="GU78" t="e">
        <f>'2.4.Функции'!Y160+"BYw!%Tu"</f>
        <v>#VALUE!</v>
      </c>
      <c r="GV78" t="e">
        <f>'2.4.Функции'!Z160+"BYw!%Tv"</f>
        <v>#VALUE!</v>
      </c>
      <c r="GW78" t="e">
        <f>'2.4.Функции'!AA160+"BYw!%Tw"</f>
        <v>#VALUE!</v>
      </c>
      <c r="GX78" t="e">
        <f>'2.4.Функции'!AB160+"BYw!%Tx"</f>
        <v>#VALUE!</v>
      </c>
      <c r="GY78" t="e">
        <f>'2.4.Функции'!AC160+"BYw!%Ty"</f>
        <v>#VALUE!</v>
      </c>
      <c r="GZ78" t="e">
        <f>'2.4.Функции'!AD160+"BYw!%Tz"</f>
        <v>#VALUE!</v>
      </c>
      <c r="HA78" t="e">
        <f>'2.4.Функции'!AE160+"BYw!%T{"</f>
        <v>#VALUE!</v>
      </c>
      <c r="HB78" t="e">
        <f>'2.4.Функции'!AF160+"BYw!%T|"</f>
        <v>#VALUE!</v>
      </c>
      <c r="HC78" t="e">
        <f>'2.4.Функции'!AG160+"BYw!%T}"</f>
        <v>#VALUE!</v>
      </c>
      <c r="HD78" t="e">
        <f>'2.4.Функции'!AH160+"BYw!%T~"</f>
        <v>#VALUE!</v>
      </c>
      <c r="HE78" t="e">
        <f>'2.4.Функции'!AI160+"BYw!%U#"</f>
        <v>#VALUE!</v>
      </c>
      <c r="HF78" t="e">
        <f>'2.4.Функции'!AJ160+"BYw!%U$"</f>
        <v>#VALUE!</v>
      </c>
      <c r="HG78" t="e">
        <f>'2.4.Функции'!AK160+"BYw!%U%"</f>
        <v>#VALUE!</v>
      </c>
      <c r="HH78" t="e">
        <f>'2.4.Функции'!AL160+"BYw!%U&amp;"</f>
        <v>#VALUE!</v>
      </c>
      <c r="HI78" t="e">
        <f>'2.4.Функции'!AM160+"BYw!%U'"</f>
        <v>#VALUE!</v>
      </c>
      <c r="HJ78" t="e">
        <f>'2.4.Функции'!AN160+"BYw!%U("</f>
        <v>#VALUE!</v>
      </c>
      <c r="HK78" t="e">
        <f>'2.4.Функции'!AO160+"BYw!%U)"</f>
        <v>#VALUE!</v>
      </c>
      <c r="HL78" t="e">
        <f>'2.4.Функции'!AP160+"BYw!%U."</f>
        <v>#VALUE!</v>
      </c>
      <c r="HM78" t="e">
        <f>'2.4.Функции'!AQ160+"BYw!%U/"</f>
        <v>#VALUE!</v>
      </c>
      <c r="HN78" t="e">
        <f>'2.4.Функции'!AR160+"BYw!%U0"</f>
        <v>#VALUE!</v>
      </c>
      <c r="HO78" t="e">
        <f>'2.4.Функции'!AS160+"BYw!%U1"</f>
        <v>#VALUE!</v>
      </c>
      <c r="HP78" t="e">
        <f>'2.4.Функции'!AT160+"BYw!%U2"</f>
        <v>#VALUE!</v>
      </c>
      <c r="HQ78" t="e">
        <f>'2.4.Функции'!AU160+"BYw!%U3"</f>
        <v>#VALUE!</v>
      </c>
      <c r="HR78" t="e">
        <f>'2.4.Функции'!AV160+"BYw!%U4"</f>
        <v>#VALUE!</v>
      </c>
      <c r="HS78" t="e">
        <f>'2.4.Функции'!AW160+"BYw!%U5"</f>
        <v>#VALUE!</v>
      </c>
      <c r="HT78" t="e">
        <f>'2.4.Функции'!AX160+"BYw!%U6"</f>
        <v>#VALUE!</v>
      </c>
      <c r="HU78" t="e">
        <f>'2.4.Функции'!AY160+"BYw!%U7"</f>
        <v>#VALUE!</v>
      </c>
      <c r="HV78" t="e">
        <f>'2.4.Функции'!AZ160+"BYw!%U8"</f>
        <v>#VALUE!</v>
      </c>
      <c r="HW78" t="e">
        <f>'2.4.Функции'!BA160+"BYw!%U9"</f>
        <v>#VALUE!</v>
      </c>
      <c r="HX78" t="e">
        <f>'2.4.Функции'!BB160+"BYw!%U:"</f>
        <v>#VALUE!</v>
      </c>
      <c r="HY78" t="e">
        <f>'2.4.Функции'!BC160+"BYw!%U;"</f>
        <v>#VALUE!</v>
      </c>
      <c r="HZ78" t="e">
        <f>'2.4.Функции'!BD160+"BYw!%U&lt;"</f>
        <v>#VALUE!</v>
      </c>
      <c r="IA78" t="e">
        <f>'2.4.Функции'!BE160+"BYw!%U="</f>
        <v>#VALUE!</v>
      </c>
      <c r="IB78" t="e">
        <f>'2.4.Функции'!BF160+"BYw!%U&gt;"</f>
        <v>#VALUE!</v>
      </c>
      <c r="IC78" t="e">
        <f>'2.4.Функции'!BG160+"BYw!%U?"</f>
        <v>#VALUE!</v>
      </c>
      <c r="ID78" t="e">
        <f>'2.4.Функции'!BH160+"BYw!%U@"</f>
        <v>#VALUE!</v>
      </c>
      <c r="IE78" t="e">
        <f>'2.4.Функции'!BI160+"BYw!%UA"</f>
        <v>#VALUE!</v>
      </c>
      <c r="IF78" t="e">
        <f>'2.4.Функции'!BJ160+"BYw!%UB"</f>
        <v>#VALUE!</v>
      </c>
      <c r="IG78" t="e">
        <f>'2.4.Функции'!BK160+"BYw!%UC"</f>
        <v>#VALUE!</v>
      </c>
      <c r="IH78" t="e">
        <f>'2.4.Функции'!BL160+"BYw!%UD"</f>
        <v>#VALUE!</v>
      </c>
      <c r="II78" t="e">
        <f>'2.4.Функции'!BM160+"BYw!%UE"</f>
        <v>#VALUE!</v>
      </c>
      <c r="IJ78" t="e">
        <f>'2.4.Функции'!BN160+"BYw!%UF"</f>
        <v>#VALUE!</v>
      </c>
      <c r="IK78" t="e">
        <f>'2.4.Функции'!BO160+"BYw!%UG"</f>
        <v>#VALUE!</v>
      </c>
      <c r="IL78" t="e">
        <f>'2.4.Функции'!BP160+"BYw!%UH"</f>
        <v>#VALUE!</v>
      </c>
      <c r="IM78" t="e">
        <f>'2.4.Функции'!BQ160+"BYw!%UI"</f>
        <v>#VALUE!</v>
      </c>
      <c r="IN78" t="e">
        <f>'2.4.Функции'!BR160+"BYw!%UJ"</f>
        <v>#VALUE!</v>
      </c>
      <c r="IO78" t="e">
        <f>'2.4.Функции'!BS160+"BYw!%UK"</f>
        <v>#VALUE!</v>
      </c>
      <c r="IP78" t="e">
        <f>'2.4.Функции'!BT160+"BYw!%UL"</f>
        <v>#VALUE!</v>
      </c>
      <c r="IQ78" t="e">
        <f>'2.4.Функции'!BU160+"BYw!%UM"</f>
        <v>#VALUE!</v>
      </c>
      <c r="IR78" t="e">
        <f>'2.4.Функции'!BV160+"BYw!%UN"</f>
        <v>#VALUE!</v>
      </c>
      <c r="IS78" t="e">
        <f>'2.4.Функции'!BW160+"BYw!%UO"</f>
        <v>#VALUE!</v>
      </c>
      <c r="IT78" t="e">
        <f>'2.4.Функции'!BX160+"BYw!%UP"</f>
        <v>#VALUE!</v>
      </c>
      <c r="IU78" t="e">
        <f>'2.4.Функции'!BY160+"BYw!%UQ"</f>
        <v>#VALUE!</v>
      </c>
      <c r="IV78" t="e">
        <f>'2.4.Функции'!BZ160+"BYw!%UR"</f>
        <v>#VALUE!</v>
      </c>
    </row>
    <row r="79" spans="6:256" x14ac:dyDescent="0.2">
      <c r="F79" t="e">
        <f>'2.4.Функции'!CA160+"BYw!%US"</f>
        <v>#VALUE!</v>
      </c>
      <c r="G79" t="e">
        <f>'2.4.Функции'!CB160+"BYw!%UT"</f>
        <v>#VALUE!</v>
      </c>
      <c r="H79" t="e">
        <f>'2.4.Функции'!CC160+"BYw!%UU"</f>
        <v>#VALUE!</v>
      </c>
      <c r="I79" t="e">
        <f>'2.4.Функции'!CD160+"BYw!%UV"</f>
        <v>#VALUE!</v>
      </c>
      <c r="J79" t="e">
        <f>'2.4.Функции'!CE160+"BYw!%UW"</f>
        <v>#VALUE!</v>
      </c>
      <c r="K79" t="e">
        <f>'2.4.Функции'!CF160+"BYw!%UX"</f>
        <v>#VALUE!</v>
      </c>
      <c r="L79" t="e">
        <f>'2.4.Функции'!CG160+"BYw!%UY"</f>
        <v>#VALUE!</v>
      </c>
      <c r="M79" t="e">
        <f>'2.4.Функции'!CH160+"BYw!%UZ"</f>
        <v>#VALUE!</v>
      </c>
      <c r="N79" t="e">
        <f>'2.4.Функции'!CI160+"BYw!%U["</f>
        <v>#VALUE!</v>
      </c>
      <c r="O79" t="e">
        <f>'2.4.Функции'!CJ160+"BYw!%U\"</f>
        <v>#VALUE!</v>
      </c>
      <c r="P79" t="e">
        <f>'2.4.Функции'!CK160+"BYw!%U]"</f>
        <v>#VALUE!</v>
      </c>
      <c r="Q79" t="e">
        <f>'2.4.Функции'!CL160+"BYw!%U^"</f>
        <v>#VALUE!</v>
      </c>
      <c r="R79" t="e">
        <f>'2.4.Функции'!CM160+"BYw!%U_"</f>
        <v>#VALUE!</v>
      </c>
      <c r="S79" t="e">
        <f>'2.4.Функции'!CN160+"BYw!%U`"</f>
        <v>#VALUE!</v>
      </c>
      <c r="T79" t="e">
        <f>'2.4.Функции'!CO160+"BYw!%Ua"</f>
        <v>#VALUE!</v>
      </c>
      <c r="U79" t="e">
        <f>'2.4.Функции'!CP160+"BYw!%Ub"</f>
        <v>#VALUE!</v>
      </c>
      <c r="V79" t="e">
        <f>'2.4.Функции'!CQ160+"BYw!%Uc"</f>
        <v>#VALUE!</v>
      </c>
      <c r="W79" t="e">
        <f>'2.4.Функции'!CR160+"BYw!%Ud"</f>
        <v>#VALUE!</v>
      </c>
      <c r="X79" t="e">
        <f>'2.4.Функции'!CS160+"BYw!%Ue"</f>
        <v>#VALUE!</v>
      </c>
      <c r="Y79" t="e">
        <f>'2.4.Функции'!CT160+"BYw!%Uf"</f>
        <v>#VALUE!</v>
      </c>
      <c r="Z79" t="e">
        <f>'2.4.Функции'!CU160+"BYw!%Ug"</f>
        <v>#VALUE!</v>
      </c>
      <c r="AA79" t="e">
        <f>'2.4.Функции'!CV160+"BYw!%Uh"</f>
        <v>#VALUE!</v>
      </c>
      <c r="AB79" t="e">
        <f>'2.4.Функции'!CW160+"BYw!%Ui"</f>
        <v>#VALUE!</v>
      </c>
      <c r="AC79" t="e">
        <f>'2.4.Функции'!CX160+"BYw!%Uj"</f>
        <v>#VALUE!</v>
      </c>
      <c r="AD79" t="e">
        <f>'2.4.Функции'!CY160+"BYw!%Uk"</f>
        <v>#VALUE!</v>
      </c>
      <c r="AE79" t="e">
        <f>'2.4.Функции'!CZ160+"BYw!%Ul"</f>
        <v>#VALUE!</v>
      </c>
      <c r="AF79" t="e">
        <f>'2.4.Функции'!DA160+"BYw!%Um"</f>
        <v>#VALUE!</v>
      </c>
      <c r="AG79" t="e">
        <f>'2.4.Функции'!DB160+"BYw!%Un"</f>
        <v>#VALUE!</v>
      </c>
      <c r="AH79" t="e">
        <f>'2.4.Функции'!DC160+"BYw!%Uo"</f>
        <v>#VALUE!</v>
      </c>
      <c r="AI79" t="e">
        <f>'2.4.Функции'!DD160+"BYw!%Up"</f>
        <v>#VALUE!</v>
      </c>
      <c r="AJ79" t="e">
        <f>'2.4.Функции'!DE160+"BYw!%Uq"</f>
        <v>#VALUE!</v>
      </c>
      <c r="AK79" t="e">
        <f>'2.4.Функции'!DF160+"BYw!%Ur"</f>
        <v>#VALUE!</v>
      </c>
      <c r="AL79" t="e">
        <f>'2.4.Функции'!DG160+"BYw!%Us"</f>
        <v>#VALUE!</v>
      </c>
      <c r="AM79" t="e">
        <f>'2.4.Функции'!DH160+"BYw!%Ut"</f>
        <v>#VALUE!</v>
      </c>
      <c r="AN79" t="e">
        <f>'2.4.Функции'!DI160+"BYw!%Uu"</f>
        <v>#VALUE!</v>
      </c>
      <c r="AO79" t="e">
        <f>'2.4.Функции'!DJ160+"BYw!%Uv"</f>
        <v>#VALUE!</v>
      </c>
      <c r="AP79" t="e">
        <f>'2.4.Функции'!DK160+"BYw!%Uw"</f>
        <v>#VALUE!</v>
      </c>
      <c r="AQ79" t="e">
        <f>'2.4.Функции'!DL160+"BYw!%Ux"</f>
        <v>#VALUE!</v>
      </c>
      <c r="AR79" t="e">
        <f>'2.4.Функции'!A161+"BYw!%Uy"</f>
        <v>#VALUE!</v>
      </c>
      <c r="AS79" s="116" t="e">
        <f>'2.4.Функции'!B161+"BYw!%Uz"</f>
        <v>#VALUE!</v>
      </c>
      <c r="AT79" t="e">
        <f>'2.4.Функции'!C161+"BYw!%U{"</f>
        <v>#VALUE!</v>
      </c>
      <c r="AU79" t="e">
        <f>'2.4.Функции'!D161+"BYw!%U|"</f>
        <v>#VALUE!</v>
      </c>
      <c r="AV79" t="e">
        <f>'2.4.Функции'!E161+"BYw!%U}"</f>
        <v>#VALUE!</v>
      </c>
      <c r="AW79" t="e">
        <f>'2.4.Функции'!F161+"BYw!%U~"</f>
        <v>#VALUE!</v>
      </c>
      <c r="AX79" t="e">
        <f>'2.4.Функции'!G161+"BYw!%V#"</f>
        <v>#VALUE!</v>
      </c>
      <c r="AY79" t="e">
        <f>'2.4.Функции'!H161+"BYw!%V$"</f>
        <v>#VALUE!</v>
      </c>
      <c r="AZ79" t="e">
        <f>'2.4.Функции'!I161+"BYw!%V%"</f>
        <v>#VALUE!</v>
      </c>
      <c r="BA79" t="e">
        <f>'2.4.Функции'!J161+"BYw!%V&amp;"</f>
        <v>#VALUE!</v>
      </c>
      <c r="BB79" t="e">
        <f>'2.4.Функции'!K161+"BYw!%V'"</f>
        <v>#VALUE!</v>
      </c>
      <c r="BC79" t="e">
        <f>'2.4.Функции'!L161+"BYw!%V("</f>
        <v>#VALUE!</v>
      </c>
      <c r="BD79" t="e">
        <f>'2.4.Функции'!M161+"BYw!%V)"</f>
        <v>#VALUE!</v>
      </c>
      <c r="BE79" t="e">
        <f>'2.4.Функции'!N161+"BYw!%V."</f>
        <v>#VALUE!</v>
      </c>
      <c r="BF79" t="e">
        <f>'2.4.Функции'!O161+"BYw!%V/"</f>
        <v>#VALUE!</v>
      </c>
      <c r="BG79" t="e">
        <f>'2.4.Функции'!P161+"BYw!%V0"</f>
        <v>#VALUE!</v>
      </c>
      <c r="BH79" t="e">
        <f>'2.4.Функции'!Q161+"BYw!%V1"</f>
        <v>#VALUE!</v>
      </c>
      <c r="BI79" t="e">
        <f>'2.4.Функции'!R161+"BYw!%V2"</f>
        <v>#VALUE!</v>
      </c>
      <c r="BJ79" t="e">
        <f>'2.4.Функции'!S161+"BYw!%V3"</f>
        <v>#VALUE!</v>
      </c>
      <c r="BK79" t="e">
        <f>'2.4.Функции'!T161+"BYw!%V4"</f>
        <v>#VALUE!</v>
      </c>
      <c r="BL79" t="e">
        <f>'2.4.Функции'!U161+"BYw!%V5"</f>
        <v>#VALUE!</v>
      </c>
      <c r="BM79" t="e">
        <f>'2.4.Функции'!V161+"BYw!%V6"</f>
        <v>#VALUE!</v>
      </c>
      <c r="BN79" t="e">
        <f>'2.4.Функции'!W161+"BYw!%V7"</f>
        <v>#VALUE!</v>
      </c>
      <c r="BO79" t="e">
        <f>'2.4.Функции'!X161+"BYw!%V8"</f>
        <v>#VALUE!</v>
      </c>
      <c r="BP79" t="e">
        <f>'2.4.Функции'!Y161+"BYw!%V9"</f>
        <v>#VALUE!</v>
      </c>
      <c r="BQ79" t="e">
        <f>'2.4.Функции'!Z161+"BYw!%V:"</f>
        <v>#VALUE!</v>
      </c>
      <c r="BR79" t="e">
        <f>'2.4.Функции'!AA161+"BYw!%V;"</f>
        <v>#VALUE!</v>
      </c>
      <c r="BS79" t="e">
        <f>'2.4.Функции'!AB161+"BYw!%V&lt;"</f>
        <v>#VALUE!</v>
      </c>
      <c r="BT79" t="e">
        <f>'2.4.Функции'!AC161+"BYw!%V="</f>
        <v>#VALUE!</v>
      </c>
      <c r="BU79" t="e">
        <f>'2.4.Функции'!AD161+"BYw!%V&gt;"</f>
        <v>#VALUE!</v>
      </c>
      <c r="BV79" t="e">
        <f>'2.4.Функции'!AE161+"BYw!%V?"</f>
        <v>#VALUE!</v>
      </c>
      <c r="BW79" t="e">
        <f>'2.4.Функции'!AF161+"BYw!%V@"</f>
        <v>#VALUE!</v>
      </c>
      <c r="BX79" t="e">
        <f>'2.4.Функции'!AG161+"BYw!%VA"</f>
        <v>#VALUE!</v>
      </c>
      <c r="BY79" t="e">
        <f>'2.4.Функции'!AH161+"BYw!%VB"</f>
        <v>#VALUE!</v>
      </c>
      <c r="BZ79" t="e">
        <f>'2.4.Функции'!AI161+"BYw!%VC"</f>
        <v>#VALUE!</v>
      </c>
      <c r="CA79" t="e">
        <f>'2.4.Функции'!AJ161+"BYw!%VD"</f>
        <v>#VALUE!</v>
      </c>
      <c r="CB79" t="e">
        <f>'2.4.Функции'!AK161+"BYw!%VE"</f>
        <v>#VALUE!</v>
      </c>
      <c r="CC79" t="e">
        <f>'2.4.Функции'!AL161+"BYw!%VF"</f>
        <v>#VALUE!</v>
      </c>
      <c r="CD79" t="e">
        <f>'2.4.Функции'!AM161+"BYw!%VG"</f>
        <v>#VALUE!</v>
      </c>
      <c r="CE79" t="e">
        <f>'2.4.Функции'!AN161+"BYw!%VH"</f>
        <v>#VALUE!</v>
      </c>
      <c r="CF79" t="e">
        <f>'2.4.Функции'!AO161+"BYw!%VI"</f>
        <v>#VALUE!</v>
      </c>
      <c r="CG79" t="e">
        <f>'2.4.Функции'!AP161+"BYw!%VJ"</f>
        <v>#VALUE!</v>
      </c>
      <c r="CH79" t="e">
        <f>'2.4.Функции'!AQ161+"BYw!%VK"</f>
        <v>#VALUE!</v>
      </c>
      <c r="CI79" t="e">
        <f>'2.4.Функции'!AR161+"BYw!%VL"</f>
        <v>#VALUE!</v>
      </c>
      <c r="CJ79" t="e">
        <f>'2.4.Функции'!AS161+"BYw!%VM"</f>
        <v>#VALUE!</v>
      </c>
      <c r="CK79" t="e">
        <f>'2.4.Функции'!AT161+"BYw!%VN"</f>
        <v>#VALUE!</v>
      </c>
      <c r="CL79" t="e">
        <f>'2.4.Функции'!AU161+"BYw!%VO"</f>
        <v>#VALUE!</v>
      </c>
      <c r="CM79" t="e">
        <f>'2.4.Функции'!AV161+"BYw!%VP"</f>
        <v>#VALUE!</v>
      </c>
      <c r="CN79" t="e">
        <f>'2.4.Функции'!AW161+"BYw!%VQ"</f>
        <v>#VALUE!</v>
      </c>
      <c r="CO79" t="e">
        <f>'2.4.Функции'!AX161+"BYw!%VR"</f>
        <v>#VALUE!</v>
      </c>
      <c r="CP79" t="e">
        <f>'2.4.Функции'!AY161+"BYw!%VS"</f>
        <v>#VALUE!</v>
      </c>
      <c r="CQ79" t="e">
        <f>'2.4.Функции'!AZ161+"BYw!%VT"</f>
        <v>#VALUE!</v>
      </c>
      <c r="CR79" t="e">
        <f>'2.4.Функции'!BA161+"BYw!%VU"</f>
        <v>#VALUE!</v>
      </c>
      <c r="CS79" t="e">
        <f>'2.4.Функции'!BB161+"BYw!%VV"</f>
        <v>#VALUE!</v>
      </c>
      <c r="CT79" t="e">
        <f>'2.4.Функции'!BC161+"BYw!%VW"</f>
        <v>#VALUE!</v>
      </c>
      <c r="CU79" t="e">
        <f>'2.4.Функции'!BD161+"BYw!%VX"</f>
        <v>#VALUE!</v>
      </c>
      <c r="CV79" t="e">
        <f>'2.4.Функции'!BE161+"BYw!%VY"</f>
        <v>#VALUE!</v>
      </c>
      <c r="CW79" t="e">
        <f>'2.4.Функции'!BF161+"BYw!%VZ"</f>
        <v>#VALUE!</v>
      </c>
      <c r="CX79" t="e">
        <f>'2.4.Функции'!BG161+"BYw!%V["</f>
        <v>#VALUE!</v>
      </c>
      <c r="CY79" t="e">
        <f>'2.4.Функции'!BH161+"BYw!%V\"</f>
        <v>#VALUE!</v>
      </c>
      <c r="CZ79" t="e">
        <f>'2.4.Функции'!BI161+"BYw!%V]"</f>
        <v>#VALUE!</v>
      </c>
      <c r="DA79" t="e">
        <f>'2.4.Функции'!BJ161+"BYw!%V^"</f>
        <v>#VALUE!</v>
      </c>
      <c r="DB79" t="e">
        <f>'2.4.Функции'!BK161+"BYw!%V_"</f>
        <v>#VALUE!</v>
      </c>
      <c r="DC79" t="e">
        <f>'2.4.Функции'!BL161+"BYw!%V`"</f>
        <v>#VALUE!</v>
      </c>
      <c r="DD79" t="e">
        <f>'2.4.Функции'!BM161+"BYw!%Va"</f>
        <v>#VALUE!</v>
      </c>
      <c r="DE79" t="e">
        <f>'2.4.Функции'!BN161+"BYw!%Vb"</f>
        <v>#VALUE!</v>
      </c>
      <c r="DF79" t="e">
        <f>'2.4.Функции'!BO161+"BYw!%Vc"</f>
        <v>#VALUE!</v>
      </c>
      <c r="DG79" t="e">
        <f>'2.4.Функции'!BP161+"BYw!%Vd"</f>
        <v>#VALUE!</v>
      </c>
      <c r="DH79" t="e">
        <f>'2.4.Функции'!BQ161+"BYw!%Ve"</f>
        <v>#VALUE!</v>
      </c>
      <c r="DI79" t="e">
        <f>'2.4.Функции'!BR161+"BYw!%Vf"</f>
        <v>#VALUE!</v>
      </c>
      <c r="DJ79" t="e">
        <f>'2.4.Функции'!BS161+"BYw!%Vg"</f>
        <v>#VALUE!</v>
      </c>
      <c r="DK79" t="e">
        <f>'2.4.Функции'!BT161+"BYw!%Vh"</f>
        <v>#VALUE!</v>
      </c>
      <c r="DL79" t="e">
        <f>'2.4.Функции'!BU161+"BYw!%Vi"</f>
        <v>#VALUE!</v>
      </c>
      <c r="DM79" t="e">
        <f>'2.4.Функции'!BV161+"BYw!%Vj"</f>
        <v>#VALUE!</v>
      </c>
      <c r="DN79" t="e">
        <f>'2.4.Функции'!BW161+"BYw!%Vk"</f>
        <v>#VALUE!</v>
      </c>
      <c r="DO79" t="e">
        <f>'2.4.Функции'!BX161+"BYw!%Vl"</f>
        <v>#VALUE!</v>
      </c>
      <c r="DP79" t="e">
        <f>'2.4.Функции'!BY161+"BYw!%Vm"</f>
        <v>#VALUE!</v>
      </c>
      <c r="DQ79" t="e">
        <f>'2.4.Функции'!BZ161+"BYw!%Vn"</f>
        <v>#VALUE!</v>
      </c>
      <c r="DR79" t="e">
        <f>'2.4.Функции'!CA161+"BYw!%Vo"</f>
        <v>#VALUE!</v>
      </c>
      <c r="DS79" t="e">
        <f>'2.4.Функции'!CB161+"BYw!%Vp"</f>
        <v>#VALUE!</v>
      </c>
      <c r="DT79" t="e">
        <f>'2.4.Функции'!CC161+"BYw!%Vq"</f>
        <v>#VALUE!</v>
      </c>
      <c r="DU79" t="e">
        <f>'2.4.Функции'!CD161+"BYw!%Vr"</f>
        <v>#VALUE!</v>
      </c>
      <c r="DV79" t="e">
        <f>'2.4.Функции'!CE161+"BYw!%Vs"</f>
        <v>#VALUE!</v>
      </c>
      <c r="DW79" t="e">
        <f>'2.4.Функции'!CF161+"BYw!%Vt"</f>
        <v>#VALUE!</v>
      </c>
      <c r="DX79" t="e">
        <f>'2.4.Функции'!CG161+"BYw!%Vu"</f>
        <v>#VALUE!</v>
      </c>
      <c r="DY79" t="e">
        <f>'2.4.Функции'!CH161+"BYw!%Vv"</f>
        <v>#VALUE!</v>
      </c>
      <c r="DZ79" t="e">
        <f>'2.4.Функции'!CI161+"BYw!%Vw"</f>
        <v>#VALUE!</v>
      </c>
      <c r="EA79" t="e">
        <f>'2.4.Функции'!CJ161+"BYw!%Vx"</f>
        <v>#VALUE!</v>
      </c>
      <c r="EB79" t="e">
        <f>'2.4.Функции'!CK161+"BYw!%Vy"</f>
        <v>#VALUE!</v>
      </c>
      <c r="EC79" t="e">
        <f>'2.4.Функции'!CL161+"BYw!%Vz"</f>
        <v>#VALUE!</v>
      </c>
      <c r="ED79" t="e">
        <f>'2.4.Функции'!CM161+"BYw!%V{"</f>
        <v>#VALUE!</v>
      </c>
      <c r="EE79" t="e">
        <f>'2.4.Функции'!CN161+"BYw!%V|"</f>
        <v>#VALUE!</v>
      </c>
      <c r="EF79" t="e">
        <f>'2.4.Функции'!CO161+"BYw!%V}"</f>
        <v>#VALUE!</v>
      </c>
      <c r="EG79" t="e">
        <f>'2.4.Функции'!CP161+"BYw!%V~"</f>
        <v>#VALUE!</v>
      </c>
      <c r="EH79" t="e">
        <f>'2.4.Функции'!CQ161+"BYw!%W#"</f>
        <v>#VALUE!</v>
      </c>
      <c r="EI79" t="e">
        <f>'2.4.Функции'!CR161+"BYw!%W$"</f>
        <v>#VALUE!</v>
      </c>
      <c r="EJ79" t="e">
        <f>'2.4.Функции'!CS161+"BYw!%W%"</f>
        <v>#VALUE!</v>
      </c>
      <c r="EK79" t="e">
        <f>'2.4.Функции'!CT161+"BYw!%W&amp;"</f>
        <v>#VALUE!</v>
      </c>
      <c r="EL79" t="e">
        <f>'2.4.Функции'!CU161+"BYw!%W'"</f>
        <v>#VALUE!</v>
      </c>
      <c r="EM79" t="e">
        <f>'2.4.Функции'!CV161+"BYw!%W("</f>
        <v>#VALUE!</v>
      </c>
      <c r="EN79" t="e">
        <f>'2.4.Функции'!CW161+"BYw!%W)"</f>
        <v>#VALUE!</v>
      </c>
      <c r="EO79" t="e">
        <f>'2.4.Функции'!CX161+"BYw!%W."</f>
        <v>#VALUE!</v>
      </c>
      <c r="EP79" t="e">
        <f>'2.4.Функции'!CY161+"BYw!%W/"</f>
        <v>#VALUE!</v>
      </c>
      <c r="EQ79" t="e">
        <f>'2.4.Функции'!CZ161+"BYw!%W0"</f>
        <v>#VALUE!</v>
      </c>
      <c r="ER79" t="e">
        <f>'2.4.Функции'!DA161+"BYw!%W1"</f>
        <v>#VALUE!</v>
      </c>
      <c r="ES79" t="e">
        <f>'2.4.Функции'!DB161+"BYw!%W2"</f>
        <v>#VALUE!</v>
      </c>
      <c r="ET79" t="e">
        <f>'2.4.Функции'!DC161+"BYw!%W3"</f>
        <v>#VALUE!</v>
      </c>
      <c r="EU79" t="e">
        <f>'2.4.Функции'!DD161+"BYw!%W4"</f>
        <v>#VALUE!</v>
      </c>
      <c r="EV79" t="e">
        <f>'2.4.Функции'!DE161+"BYw!%W5"</f>
        <v>#VALUE!</v>
      </c>
      <c r="EW79" t="e">
        <f>'2.4.Функции'!DF161+"BYw!%W6"</f>
        <v>#VALUE!</v>
      </c>
      <c r="EX79" t="e">
        <f>'2.4.Функции'!DG161+"BYw!%W7"</f>
        <v>#VALUE!</v>
      </c>
      <c r="EY79" t="e">
        <f>'2.4.Функции'!DH161+"BYw!%W8"</f>
        <v>#VALUE!</v>
      </c>
      <c r="EZ79" t="e">
        <f>'2.4.Функции'!DI161+"BYw!%W9"</f>
        <v>#VALUE!</v>
      </c>
      <c r="FA79" t="e">
        <f>'2.4.Функции'!DJ161+"BYw!%W:"</f>
        <v>#VALUE!</v>
      </c>
      <c r="FB79" t="e">
        <f>'2.4.Функции'!DK161+"BYw!%W;"</f>
        <v>#VALUE!</v>
      </c>
      <c r="FC79" t="e">
        <f>'2.4.Функции'!DL161+"BYw!%W&lt;"</f>
        <v>#VALUE!</v>
      </c>
      <c r="FD79" t="e">
        <f>'2.4.Функции'!A162+"BYw!%W="</f>
        <v>#VALUE!</v>
      </c>
      <c r="FE79" s="116" t="e">
        <f>'2.4.Функции'!B162+"BYw!%W&gt;"</f>
        <v>#VALUE!</v>
      </c>
      <c r="FF79" t="e">
        <f>'2.4.Функции'!C162+"BYw!%W?"</f>
        <v>#VALUE!</v>
      </c>
      <c r="FG79" t="e">
        <f>'2.4.Функции'!D162+"BYw!%W@"</f>
        <v>#VALUE!</v>
      </c>
      <c r="FH79" t="e">
        <f>'2.4.Функции'!E162+"BYw!%WA"</f>
        <v>#VALUE!</v>
      </c>
      <c r="FI79" t="e">
        <f>'2.4.Функции'!F162+"BYw!%WB"</f>
        <v>#VALUE!</v>
      </c>
      <c r="FJ79" t="e">
        <f>'2.4.Функции'!G162+"BYw!%WC"</f>
        <v>#VALUE!</v>
      </c>
      <c r="FK79" t="e">
        <f>'2.4.Функции'!H162+"BYw!%WD"</f>
        <v>#VALUE!</v>
      </c>
      <c r="FL79" t="e">
        <f>'2.4.Функции'!I162+"BYw!%WE"</f>
        <v>#VALUE!</v>
      </c>
      <c r="FM79" t="e">
        <f>'2.4.Функции'!J162+"BYw!%WF"</f>
        <v>#VALUE!</v>
      </c>
      <c r="FN79" t="e">
        <f>'2.4.Функции'!K162+"BYw!%WG"</f>
        <v>#VALUE!</v>
      </c>
      <c r="FO79" t="e">
        <f>'2.4.Функции'!L162+"BYw!%WH"</f>
        <v>#VALUE!</v>
      </c>
      <c r="FP79" t="e">
        <f>'2.4.Функции'!M162+"BYw!%WI"</f>
        <v>#VALUE!</v>
      </c>
      <c r="FQ79" t="e">
        <f>'2.4.Функции'!N162+"BYw!%WJ"</f>
        <v>#VALUE!</v>
      </c>
      <c r="FR79" t="e">
        <f>'2.4.Функции'!O162+"BYw!%WK"</f>
        <v>#VALUE!</v>
      </c>
      <c r="FS79" t="e">
        <f>'2.4.Функции'!P162+"BYw!%WL"</f>
        <v>#VALUE!</v>
      </c>
      <c r="FT79" t="e">
        <f>'2.4.Функции'!Q162+"BYw!%WM"</f>
        <v>#VALUE!</v>
      </c>
      <c r="FU79" t="e">
        <f>'2.4.Функции'!R162+"BYw!%WN"</f>
        <v>#VALUE!</v>
      </c>
      <c r="FV79" t="e">
        <f>'2.4.Функции'!S162+"BYw!%WO"</f>
        <v>#VALUE!</v>
      </c>
      <c r="FW79" t="e">
        <f>'2.4.Функции'!T162+"BYw!%WP"</f>
        <v>#VALUE!</v>
      </c>
      <c r="FX79" t="e">
        <f>'2.4.Функции'!U162+"BYw!%WQ"</f>
        <v>#VALUE!</v>
      </c>
      <c r="FY79" t="e">
        <f>'2.4.Функции'!V162+"BYw!%WR"</f>
        <v>#VALUE!</v>
      </c>
      <c r="FZ79" t="e">
        <f>'2.4.Функции'!W162+"BYw!%WS"</f>
        <v>#VALUE!</v>
      </c>
      <c r="GA79" t="e">
        <f>'2.4.Функции'!X162+"BYw!%WT"</f>
        <v>#VALUE!</v>
      </c>
      <c r="GB79" t="e">
        <f>'2.4.Функции'!Y162+"BYw!%WU"</f>
        <v>#VALUE!</v>
      </c>
      <c r="GC79" t="e">
        <f>'2.4.Функции'!Z162+"BYw!%WV"</f>
        <v>#VALUE!</v>
      </c>
      <c r="GD79" t="e">
        <f>'2.4.Функции'!AA162+"BYw!%WW"</f>
        <v>#VALUE!</v>
      </c>
      <c r="GE79" t="e">
        <f>'2.4.Функции'!AB162+"BYw!%WX"</f>
        <v>#VALUE!</v>
      </c>
      <c r="GF79" t="e">
        <f>'2.4.Функции'!AC162+"BYw!%WY"</f>
        <v>#VALUE!</v>
      </c>
      <c r="GG79" t="e">
        <f>'2.4.Функции'!AD162+"BYw!%WZ"</f>
        <v>#VALUE!</v>
      </c>
      <c r="GH79" t="e">
        <f>'2.4.Функции'!AE162+"BYw!%W["</f>
        <v>#VALUE!</v>
      </c>
      <c r="GI79" t="e">
        <f>'2.4.Функции'!AF162+"BYw!%W\"</f>
        <v>#VALUE!</v>
      </c>
      <c r="GJ79" t="e">
        <f>'2.4.Функции'!AG162+"BYw!%W]"</f>
        <v>#VALUE!</v>
      </c>
      <c r="GK79" t="e">
        <f>'2.4.Функции'!AH162+"BYw!%W^"</f>
        <v>#VALUE!</v>
      </c>
      <c r="GL79" t="e">
        <f>'2.4.Функции'!AI162+"BYw!%W_"</f>
        <v>#VALUE!</v>
      </c>
      <c r="GM79" t="e">
        <f>'2.4.Функции'!AJ162+"BYw!%W`"</f>
        <v>#VALUE!</v>
      </c>
      <c r="GN79" t="e">
        <f>'2.4.Функции'!AK162+"BYw!%Wa"</f>
        <v>#VALUE!</v>
      </c>
      <c r="GO79" t="e">
        <f>'2.4.Функции'!AL162+"BYw!%Wb"</f>
        <v>#VALUE!</v>
      </c>
      <c r="GP79" t="e">
        <f>'2.4.Функции'!AM162+"BYw!%Wc"</f>
        <v>#VALUE!</v>
      </c>
      <c r="GQ79" t="e">
        <f>'2.4.Функции'!AN162+"BYw!%Wd"</f>
        <v>#VALUE!</v>
      </c>
      <c r="GR79" t="e">
        <f>'2.4.Функции'!AO162+"BYw!%We"</f>
        <v>#VALUE!</v>
      </c>
      <c r="GS79" t="e">
        <f>'2.4.Функции'!AP162+"BYw!%Wf"</f>
        <v>#VALUE!</v>
      </c>
      <c r="GT79" t="e">
        <f>'2.4.Функции'!AQ162+"BYw!%Wg"</f>
        <v>#VALUE!</v>
      </c>
      <c r="GU79" t="e">
        <f>'2.4.Функции'!AR162+"BYw!%Wh"</f>
        <v>#VALUE!</v>
      </c>
      <c r="GV79" t="e">
        <f>'2.4.Функции'!AS162+"BYw!%Wi"</f>
        <v>#VALUE!</v>
      </c>
      <c r="GW79" t="e">
        <f>'2.4.Функции'!AT162+"BYw!%Wj"</f>
        <v>#VALUE!</v>
      </c>
      <c r="GX79" t="e">
        <f>'2.4.Функции'!AU162+"BYw!%Wk"</f>
        <v>#VALUE!</v>
      </c>
      <c r="GY79" t="e">
        <f>'2.4.Функции'!AV162+"BYw!%Wl"</f>
        <v>#VALUE!</v>
      </c>
      <c r="GZ79" t="e">
        <f>'2.4.Функции'!AW162+"BYw!%Wm"</f>
        <v>#VALUE!</v>
      </c>
      <c r="HA79" t="e">
        <f>'2.4.Функции'!AX162+"BYw!%Wn"</f>
        <v>#VALUE!</v>
      </c>
      <c r="HB79" t="e">
        <f>'2.4.Функции'!AY162+"BYw!%Wo"</f>
        <v>#VALUE!</v>
      </c>
      <c r="HC79" t="e">
        <f>'2.4.Функции'!AZ162+"BYw!%Wp"</f>
        <v>#VALUE!</v>
      </c>
      <c r="HD79" t="e">
        <f>'2.4.Функции'!BA162+"BYw!%Wq"</f>
        <v>#VALUE!</v>
      </c>
      <c r="HE79" t="e">
        <f>'2.4.Функции'!BB162+"BYw!%Wr"</f>
        <v>#VALUE!</v>
      </c>
      <c r="HF79" t="e">
        <f>'2.4.Функции'!BC162+"BYw!%Ws"</f>
        <v>#VALUE!</v>
      </c>
      <c r="HG79" t="e">
        <f>'2.4.Функции'!BD162+"BYw!%Wt"</f>
        <v>#VALUE!</v>
      </c>
      <c r="HH79" t="e">
        <f>'2.4.Функции'!BE162+"BYw!%Wu"</f>
        <v>#VALUE!</v>
      </c>
      <c r="HI79" t="e">
        <f>'2.4.Функции'!BF162+"BYw!%Wv"</f>
        <v>#VALUE!</v>
      </c>
      <c r="HJ79" t="e">
        <f>'2.4.Функции'!BG162+"BYw!%Ww"</f>
        <v>#VALUE!</v>
      </c>
      <c r="HK79" t="e">
        <f>'2.4.Функции'!BH162+"BYw!%Wx"</f>
        <v>#VALUE!</v>
      </c>
      <c r="HL79" t="e">
        <f>'2.4.Функции'!BI162+"BYw!%Wy"</f>
        <v>#VALUE!</v>
      </c>
      <c r="HM79" t="e">
        <f>'2.4.Функции'!BJ162+"BYw!%Wz"</f>
        <v>#VALUE!</v>
      </c>
      <c r="HN79" t="e">
        <f>'2.4.Функции'!BK162+"BYw!%W{"</f>
        <v>#VALUE!</v>
      </c>
      <c r="HO79" t="e">
        <f>'2.4.Функции'!BL162+"BYw!%W|"</f>
        <v>#VALUE!</v>
      </c>
      <c r="HP79" t="e">
        <f>'2.4.Функции'!BM162+"BYw!%W}"</f>
        <v>#VALUE!</v>
      </c>
      <c r="HQ79" t="e">
        <f>'2.4.Функции'!BN162+"BYw!%W~"</f>
        <v>#VALUE!</v>
      </c>
      <c r="HR79" t="e">
        <f>'2.4.Функции'!BO162+"BYw!%X#"</f>
        <v>#VALUE!</v>
      </c>
      <c r="HS79" t="e">
        <f>'2.4.Функции'!BP162+"BYw!%X$"</f>
        <v>#VALUE!</v>
      </c>
      <c r="HT79" t="e">
        <f>'2.4.Функции'!BQ162+"BYw!%X%"</f>
        <v>#VALUE!</v>
      </c>
      <c r="HU79" t="e">
        <f>'2.4.Функции'!BR162+"BYw!%X&amp;"</f>
        <v>#VALUE!</v>
      </c>
      <c r="HV79" t="e">
        <f>'2.4.Функции'!BS162+"BYw!%X'"</f>
        <v>#VALUE!</v>
      </c>
      <c r="HW79" t="e">
        <f>'2.4.Функции'!BT162+"BYw!%X("</f>
        <v>#VALUE!</v>
      </c>
      <c r="HX79" t="e">
        <f>'2.4.Функции'!BU162+"BYw!%X)"</f>
        <v>#VALUE!</v>
      </c>
      <c r="HY79" t="e">
        <f>'2.4.Функции'!BV162+"BYw!%X."</f>
        <v>#VALUE!</v>
      </c>
      <c r="HZ79" t="e">
        <f>'2.4.Функции'!BW162+"BYw!%X/"</f>
        <v>#VALUE!</v>
      </c>
      <c r="IA79" t="e">
        <f>'2.4.Функции'!BX162+"BYw!%X0"</f>
        <v>#VALUE!</v>
      </c>
      <c r="IB79" t="e">
        <f>'2.4.Функции'!BY162+"BYw!%X1"</f>
        <v>#VALUE!</v>
      </c>
      <c r="IC79" t="e">
        <f>'2.4.Функции'!BZ162+"BYw!%X2"</f>
        <v>#VALUE!</v>
      </c>
      <c r="ID79" t="e">
        <f>'2.4.Функции'!CA162+"BYw!%X3"</f>
        <v>#VALUE!</v>
      </c>
      <c r="IE79" t="e">
        <f>'2.4.Функции'!CB162+"BYw!%X4"</f>
        <v>#VALUE!</v>
      </c>
      <c r="IF79" t="e">
        <f>'2.4.Функции'!CC162+"BYw!%X5"</f>
        <v>#VALUE!</v>
      </c>
      <c r="IG79" t="e">
        <f>'2.4.Функции'!CD162+"BYw!%X6"</f>
        <v>#VALUE!</v>
      </c>
      <c r="IH79" t="e">
        <f>'2.4.Функции'!CE162+"BYw!%X7"</f>
        <v>#VALUE!</v>
      </c>
      <c r="II79" t="e">
        <f>'2.4.Функции'!CF162+"BYw!%X8"</f>
        <v>#VALUE!</v>
      </c>
      <c r="IJ79" t="e">
        <f>'2.4.Функции'!CG162+"BYw!%X9"</f>
        <v>#VALUE!</v>
      </c>
      <c r="IK79" t="e">
        <f>'2.4.Функции'!CH162+"BYw!%X:"</f>
        <v>#VALUE!</v>
      </c>
      <c r="IL79" t="e">
        <f>'2.4.Функции'!CI162+"BYw!%X;"</f>
        <v>#VALUE!</v>
      </c>
      <c r="IM79" t="e">
        <f>'2.4.Функции'!CJ162+"BYw!%X&lt;"</f>
        <v>#VALUE!</v>
      </c>
      <c r="IN79" t="e">
        <f>'2.4.Функции'!CK162+"BYw!%X="</f>
        <v>#VALUE!</v>
      </c>
      <c r="IO79" t="e">
        <f>'2.4.Функции'!CL162+"BYw!%X&gt;"</f>
        <v>#VALUE!</v>
      </c>
      <c r="IP79" t="e">
        <f>'2.4.Функции'!CM162+"BYw!%X?"</f>
        <v>#VALUE!</v>
      </c>
      <c r="IQ79" t="e">
        <f>'2.4.Функции'!CN162+"BYw!%X@"</f>
        <v>#VALUE!</v>
      </c>
      <c r="IR79" t="e">
        <f>'2.4.Функции'!CO162+"BYw!%XA"</f>
        <v>#VALUE!</v>
      </c>
      <c r="IS79" t="e">
        <f>'2.4.Функции'!CP162+"BYw!%XB"</f>
        <v>#VALUE!</v>
      </c>
      <c r="IT79" t="e">
        <f>'2.4.Функции'!CQ162+"BYw!%XC"</f>
        <v>#VALUE!</v>
      </c>
      <c r="IU79" t="e">
        <f>'2.4.Функции'!CR162+"BYw!%XD"</f>
        <v>#VALUE!</v>
      </c>
      <c r="IV79" t="e">
        <f>'2.4.Функции'!CS162+"BYw!%XE"</f>
        <v>#VALUE!</v>
      </c>
    </row>
    <row r="80" spans="6:256" x14ac:dyDescent="0.2">
      <c r="F80" t="e">
        <f>'2.4.Функции'!CT162+"BYw!%XF"</f>
        <v>#VALUE!</v>
      </c>
      <c r="G80" t="e">
        <f>'2.4.Функции'!CU162+"BYw!%XG"</f>
        <v>#VALUE!</v>
      </c>
      <c r="H80" t="e">
        <f>'2.4.Функции'!CV162+"BYw!%XH"</f>
        <v>#VALUE!</v>
      </c>
      <c r="I80" t="e">
        <f>'2.4.Функции'!CW162+"BYw!%XI"</f>
        <v>#VALUE!</v>
      </c>
      <c r="J80" t="e">
        <f>'2.4.Функции'!CX162+"BYw!%XJ"</f>
        <v>#VALUE!</v>
      </c>
      <c r="K80" t="e">
        <f>'2.4.Функции'!CY162+"BYw!%XK"</f>
        <v>#VALUE!</v>
      </c>
      <c r="L80" t="e">
        <f>'2.4.Функции'!CZ162+"BYw!%XL"</f>
        <v>#VALUE!</v>
      </c>
      <c r="M80" t="e">
        <f>'2.4.Функции'!DA162+"BYw!%XM"</f>
        <v>#VALUE!</v>
      </c>
      <c r="N80" t="e">
        <f>'2.4.Функции'!DB162+"BYw!%XN"</f>
        <v>#VALUE!</v>
      </c>
      <c r="O80" t="e">
        <f>'2.4.Функции'!DC162+"BYw!%XO"</f>
        <v>#VALUE!</v>
      </c>
      <c r="P80" t="e">
        <f>'2.4.Функции'!DD162+"BYw!%XP"</f>
        <v>#VALUE!</v>
      </c>
      <c r="Q80" t="e">
        <f>'2.4.Функции'!DE162+"BYw!%XQ"</f>
        <v>#VALUE!</v>
      </c>
      <c r="R80" t="e">
        <f>'2.4.Функции'!DF162+"BYw!%XR"</f>
        <v>#VALUE!</v>
      </c>
      <c r="S80" t="e">
        <f>'2.4.Функции'!DG162+"BYw!%XS"</f>
        <v>#VALUE!</v>
      </c>
      <c r="T80" t="e">
        <f>'2.4.Функции'!DH162+"BYw!%XT"</f>
        <v>#VALUE!</v>
      </c>
      <c r="U80" t="e">
        <f>'2.4.Функции'!DI162+"BYw!%XU"</f>
        <v>#VALUE!</v>
      </c>
      <c r="V80" t="e">
        <f>'2.4.Функции'!DJ162+"BYw!%XV"</f>
        <v>#VALUE!</v>
      </c>
      <c r="W80" t="e">
        <f>'2.4.Функции'!DK162+"BYw!%XW"</f>
        <v>#VALUE!</v>
      </c>
      <c r="X80" t="e">
        <f>'2.4.Функции'!DL162+"BYw!%XX"</f>
        <v>#VALUE!</v>
      </c>
      <c r="Y80" t="e">
        <f>'2.4.Функции'!A163+"BYw!%XY"</f>
        <v>#VALUE!</v>
      </c>
      <c r="Z80" s="116" t="e">
        <f>'2.4.Функции'!B163+"BYw!%XZ"</f>
        <v>#VALUE!</v>
      </c>
      <c r="AA80" t="e">
        <f>'2.4.Функции'!C163+"BYw!%X["</f>
        <v>#VALUE!</v>
      </c>
      <c r="AB80" t="e">
        <f>'2.4.Функции'!D163+"BYw!%X\"</f>
        <v>#VALUE!</v>
      </c>
      <c r="AC80" t="e">
        <f>'2.4.Функции'!E163+"BYw!%X]"</f>
        <v>#VALUE!</v>
      </c>
      <c r="AD80" t="e">
        <f>'2.4.Функции'!F163+"BYw!%X^"</f>
        <v>#VALUE!</v>
      </c>
      <c r="AE80" t="e">
        <f>'2.4.Функции'!G163+"BYw!%X_"</f>
        <v>#VALUE!</v>
      </c>
      <c r="AF80" t="e">
        <f>'2.4.Функции'!H163+"BYw!%X`"</f>
        <v>#VALUE!</v>
      </c>
      <c r="AG80" t="e">
        <f>'2.4.Функции'!I163+"BYw!%Xa"</f>
        <v>#VALUE!</v>
      </c>
      <c r="AH80" t="e">
        <f>'2.4.Функции'!J163+"BYw!%Xb"</f>
        <v>#VALUE!</v>
      </c>
      <c r="AI80" t="e">
        <f>'2.4.Функции'!K163+"BYw!%Xc"</f>
        <v>#VALUE!</v>
      </c>
      <c r="AJ80" t="e">
        <f>'2.4.Функции'!A164+"BYw!%Xd"</f>
        <v>#VALUE!</v>
      </c>
      <c r="AK80" s="116" t="e">
        <f>'2.4.Функции'!B164+"BYw!%Xe"</f>
        <v>#VALUE!</v>
      </c>
      <c r="AL80" t="e">
        <f>'2.4.Функции'!C164+"BYw!%Xf"</f>
        <v>#VALUE!</v>
      </c>
      <c r="AM80" t="e">
        <f>'2.4.Функции'!D164+"BYw!%Xg"</f>
        <v>#VALUE!</v>
      </c>
      <c r="AN80" t="e">
        <f>'2.4.Функции'!E164+"BYw!%Xh"</f>
        <v>#VALUE!</v>
      </c>
      <c r="AO80" t="e">
        <f>'2.4.Функции'!F164+"BYw!%Xi"</f>
        <v>#VALUE!</v>
      </c>
      <c r="AP80" t="e">
        <f>'2.4.Функции'!G164+"BYw!%Xj"</f>
        <v>#VALUE!</v>
      </c>
      <c r="AQ80" t="e">
        <f>'2.4.Функции'!H164+"BYw!%Xk"</f>
        <v>#VALUE!</v>
      </c>
      <c r="AR80" t="e">
        <f>'2.4.Функции'!I164+"BYw!%Xl"</f>
        <v>#VALUE!</v>
      </c>
      <c r="AS80" t="e">
        <f>'2.4.Функции'!J164+"BYw!%Xm"</f>
        <v>#VALUE!</v>
      </c>
      <c r="AT80" t="e">
        <f>'2.4.Функции'!K164+"BYw!%Xn"</f>
        <v>#VALUE!</v>
      </c>
      <c r="AU80" t="e">
        <f>'2.4.Функции'!L164+"BYw!%Xo"</f>
        <v>#VALUE!</v>
      </c>
      <c r="AV80" t="e">
        <f>'2.4.Функции'!M164+"BYw!%Xp"</f>
        <v>#VALUE!</v>
      </c>
      <c r="AW80" t="e">
        <f>'2.4.Функции'!N164+"BYw!%Xq"</f>
        <v>#VALUE!</v>
      </c>
      <c r="AX80" t="e">
        <f>'2.4.Функции'!O164+"BYw!%Xr"</f>
        <v>#VALUE!</v>
      </c>
      <c r="AY80" t="e">
        <f>'2.4.Функции'!P164+"BYw!%Xs"</f>
        <v>#VALUE!</v>
      </c>
      <c r="AZ80" t="e">
        <f>'2.4.Функции'!Q164+"BYw!%Xt"</f>
        <v>#VALUE!</v>
      </c>
      <c r="BA80" t="e">
        <f>'2.4.Функции'!R164+"BYw!%Xu"</f>
        <v>#VALUE!</v>
      </c>
      <c r="BB80" t="e">
        <f>'2.4.Функции'!S164+"BYw!%Xv"</f>
        <v>#VALUE!</v>
      </c>
      <c r="BC80" t="e">
        <f>'2.4.Функции'!T164+"BYw!%Xw"</f>
        <v>#VALUE!</v>
      </c>
      <c r="BD80" t="e">
        <f>'2.4.Функции'!U164+"BYw!%Xx"</f>
        <v>#VALUE!</v>
      </c>
      <c r="BE80" t="e">
        <f>'2.4.Функции'!V164+"BYw!%Xy"</f>
        <v>#VALUE!</v>
      </c>
      <c r="BF80" t="e">
        <f>'2.4.Функции'!W164+"BYw!%Xz"</f>
        <v>#VALUE!</v>
      </c>
      <c r="BG80" t="e">
        <f>'2.4.Функции'!X164+"BYw!%X{"</f>
        <v>#VALUE!</v>
      </c>
      <c r="BH80" t="e">
        <f>'2.4.Функции'!Y164+"BYw!%X|"</f>
        <v>#VALUE!</v>
      </c>
      <c r="BI80" t="e">
        <f>'2.4.Функции'!Z164+"BYw!%X}"</f>
        <v>#VALUE!</v>
      </c>
      <c r="BJ80" t="e">
        <f>'2.4.Функции'!AA164+"BYw!%X~"</f>
        <v>#VALUE!</v>
      </c>
      <c r="BK80" t="e">
        <f>'2.4.Функции'!AB164+"BYw!%Y#"</f>
        <v>#VALUE!</v>
      </c>
      <c r="BL80" t="e">
        <f>'2.4.Функции'!AC164+"BYw!%Y$"</f>
        <v>#VALUE!</v>
      </c>
      <c r="BM80" t="e">
        <f>'2.4.Функции'!AD164+"BYw!%Y%"</f>
        <v>#VALUE!</v>
      </c>
      <c r="BN80" t="e">
        <f>'2.4.Функции'!AE164+"BYw!%Y&amp;"</f>
        <v>#VALUE!</v>
      </c>
      <c r="BO80" t="e">
        <f>'2.4.Функции'!AF164+"BYw!%Y'"</f>
        <v>#VALUE!</v>
      </c>
      <c r="BP80" t="e">
        <f>'2.4.Функции'!AG164+"BYw!%Y("</f>
        <v>#VALUE!</v>
      </c>
      <c r="BQ80" t="e">
        <f>'2.4.Функции'!AH164+"BYw!%Y)"</f>
        <v>#VALUE!</v>
      </c>
      <c r="BR80" t="e">
        <f>'2.4.Функции'!AI164+"BYw!%Y."</f>
        <v>#VALUE!</v>
      </c>
      <c r="BS80" t="e">
        <f>'2.4.Функции'!AJ164+"BYw!%Y/"</f>
        <v>#VALUE!</v>
      </c>
      <c r="BT80" t="e">
        <f>'2.4.Функции'!AK164+"BYw!%Y0"</f>
        <v>#VALUE!</v>
      </c>
      <c r="BU80" t="e">
        <f>'2.4.Функции'!AL164+"BYw!%Y1"</f>
        <v>#VALUE!</v>
      </c>
      <c r="BV80" t="e">
        <f>'2.4.Функции'!AM164+"BYw!%Y2"</f>
        <v>#VALUE!</v>
      </c>
      <c r="BW80" t="e">
        <f>'2.4.Функции'!AN164+"BYw!%Y3"</f>
        <v>#VALUE!</v>
      </c>
      <c r="BX80" t="e">
        <f>'2.4.Функции'!AO164+"BYw!%Y4"</f>
        <v>#VALUE!</v>
      </c>
      <c r="BY80" t="e">
        <f>'2.4.Функции'!AP164+"BYw!%Y5"</f>
        <v>#VALUE!</v>
      </c>
      <c r="BZ80" t="e">
        <f>'2.4.Функции'!AQ164+"BYw!%Y6"</f>
        <v>#VALUE!</v>
      </c>
      <c r="CA80" t="e">
        <f>'2.4.Функции'!AR164+"BYw!%Y7"</f>
        <v>#VALUE!</v>
      </c>
      <c r="CB80" t="e">
        <f>'2.4.Функции'!AS164+"BYw!%Y8"</f>
        <v>#VALUE!</v>
      </c>
      <c r="CC80" t="e">
        <f>'2.4.Функции'!AT164+"BYw!%Y9"</f>
        <v>#VALUE!</v>
      </c>
      <c r="CD80" t="e">
        <f>'2.4.Функции'!AU164+"BYw!%Y:"</f>
        <v>#VALUE!</v>
      </c>
      <c r="CE80" t="e">
        <f>'2.4.Функции'!AV164+"BYw!%Y;"</f>
        <v>#VALUE!</v>
      </c>
      <c r="CF80" t="e">
        <f>'2.4.Функции'!AW164+"BYw!%Y&lt;"</f>
        <v>#VALUE!</v>
      </c>
      <c r="CG80" t="e">
        <f>'2.4.Функции'!AX164+"BYw!%Y="</f>
        <v>#VALUE!</v>
      </c>
      <c r="CH80" t="e">
        <f>'2.4.Функции'!AY164+"BYw!%Y&gt;"</f>
        <v>#VALUE!</v>
      </c>
      <c r="CI80" t="e">
        <f>'2.4.Функции'!AZ164+"BYw!%Y?"</f>
        <v>#VALUE!</v>
      </c>
      <c r="CJ80" t="e">
        <f>'2.4.Функции'!BA164+"BYw!%Y@"</f>
        <v>#VALUE!</v>
      </c>
      <c r="CK80" t="e">
        <f>'2.4.Функции'!BB164+"BYw!%YA"</f>
        <v>#VALUE!</v>
      </c>
      <c r="CL80" t="e">
        <f>'2.4.Функции'!BC164+"BYw!%YB"</f>
        <v>#VALUE!</v>
      </c>
      <c r="CM80" t="e">
        <f>'2.4.Функции'!BD164+"BYw!%YC"</f>
        <v>#VALUE!</v>
      </c>
      <c r="CN80" t="e">
        <f>'2.4.Функции'!BE164+"BYw!%YD"</f>
        <v>#VALUE!</v>
      </c>
      <c r="CO80" t="e">
        <f>'2.4.Функции'!BF164+"BYw!%YE"</f>
        <v>#VALUE!</v>
      </c>
      <c r="CP80" t="e">
        <f>'2.4.Функции'!BG164+"BYw!%YF"</f>
        <v>#VALUE!</v>
      </c>
      <c r="CQ80" t="e">
        <f>'2.4.Функции'!BH164+"BYw!%YG"</f>
        <v>#VALUE!</v>
      </c>
      <c r="CR80" t="e">
        <f>'2.4.Функции'!BI164+"BYw!%YH"</f>
        <v>#VALUE!</v>
      </c>
      <c r="CS80" t="e">
        <f>'2.4.Функции'!BJ164+"BYw!%YI"</f>
        <v>#VALUE!</v>
      </c>
      <c r="CT80" t="e">
        <f>'2.4.Функции'!BK164+"BYw!%YJ"</f>
        <v>#VALUE!</v>
      </c>
      <c r="CU80" t="e">
        <f>'2.4.Функции'!BL164+"BYw!%YK"</f>
        <v>#VALUE!</v>
      </c>
      <c r="CV80" t="e">
        <f>'2.4.Функции'!BM164+"BYw!%YL"</f>
        <v>#VALUE!</v>
      </c>
      <c r="CW80" t="e">
        <f>'2.4.Функции'!BN164+"BYw!%YM"</f>
        <v>#VALUE!</v>
      </c>
      <c r="CX80" t="e">
        <f>'2.4.Функции'!BO164+"BYw!%YN"</f>
        <v>#VALUE!</v>
      </c>
      <c r="CY80" t="e">
        <f>'2.4.Функции'!BP164+"BYw!%YO"</f>
        <v>#VALUE!</v>
      </c>
      <c r="CZ80" t="e">
        <f>'2.4.Функции'!BQ164+"BYw!%YP"</f>
        <v>#VALUE!</v>
      </c>
      <c r="DA80" t="e">
        <f>'2.4.Функции'!BR164+"BYw!%YQ"</f>
        <v>#VALUE!</v>
      </c>
      <c r="DB80" t="e">
        <f>'2.4.Функции'!BS164+"BYw!%YR"</f>
        <v>#VALUE!</v>
      </c>
      <c r="DC80" t="e">
        <f>'2.4.Функции'!BT164+"BYw!%YS"</f>
        <v>#VALUE!</v>
      </c>
      <c r="DD80" t="e">
        <f>'2.4.Функции'!BU164+"BYw!%YT"</f>
        <v>#VALUE!</v>
      </c>
      <c r="DE80" t="e">
        <f>'2.4.Функции'!BV164+"BYw!%YU"</f>
        <v>#VALUE!</v>
      </c>
      <c r="DF80" t="e">
        <f>'2.4.Функции'!BW164+"BYw!%YV"</f>
        <v>#VALUE!</v>
      </c>
      <c r="DG80" t="e">
        <f>'2.4.Функции'!BX164+"BYw!%YW"</f>
        <v>#VALUE!</v>
      </c>
      <c r="DH80" t="e">
        <f>'2.4.Функции'!BY164+"BYw!%YX"</f>
        <v>#VALUE!</v>
      </c>
      <c r="DI80" t="e">
        <f>'2.4.Функции'!BZ164+"BYw!%YY"</f>
        <v>#VALUE!</v>
      </c>
      <c r="DJ80" t="e">
        <f>'2.4.Функции'!CA164+"BYw!%YZ"</f>
        <v>#VALUE!</v>
      </c>
      <c r="DK80" t="e">
        <f>'2.4.Функции'!CB164+"BYw!%Y["</f>
        <v>#VALUE!</v>
      </c>
      <c r="DL80" t="e">
        <f>'2.4.Функции'!CC164+"BYw!%Y\"</f>
        <v>#VALUE!</v>
      </c>
      <c r="DM80" t="e">
        <f>'2.4.Функции'!CD164+"BYw!%Y]"</f>
        <v>#VALUE!</v>
      </c>
      <c r="DN80" t="e">
        <f>'2.4.Функции'!CE164+"BYw!%Y^"</f>
        <v>#VALUE!</v>
      </c>
      <c r="DO80" t="e">
        <f>'2.4.Функции'!CF164+"BYw!%Y_"</f>
        <v>#VALUE!</v>
      </c>
      <c r="DP80" t="e">
        <f>'2.4.Функции'!CG164+"BYw!%Y`"</f>
        <v>#VALUE!</v>
      </c>
      <c r="DQ80" t="e">
        <f>'2.4.Функции'!CH164+"BYw!%Ya"</f>
        <v>#VALUE!</v>
      </c>
      <c r="DR80" t="e">
        <f>'2.4.Функции'!CI164+"BYw!%Yb"</f>
        <v>#VALUE!</v>
      </c>
      <c r="DS80" t="e">
        <f>'2.4.Функции'!CJ164+"BYw!%Yc"</f>
        <v>#VALUE!</v>
      </c>
      <c r="DT80" t="e">
        <f>'2.4.Функции'!CK164+"BYw!%Yd"</f>
        <v>#VALUE!</v>
      </c>
      <c r="DU80" t="e">
        <f>'2.4.Функции'!CL164+"BYw!%Ye"</f>
        <v>#VALUE!</v>
      </c>
      <c r="DV80" t="e">
        <f>'2.4.Функции'!CM164+"BYw!%Yf"</f>
        <v>#VALUE!</v>
      </c>
      <c r="DW80" t="e">
        <f>'2.4.Функции'!CN164+"BYw!%Yg"</f>
        <v>#VALUE!</v>
      </c>
      <c r="DX80" t="e">
        <f>'2.4.Функции'!CO164+"BYw!%Yh"</f>
        <v>#VALUE!</v>
      </c>
      <c r="DY80" t="e">
        <f>'2.4.Функции'!CP164+"BYw!%Yi"</f>
        <v>#VALUE!</v>
      </c>
      <c r="DZ80" t="e">
        <f>'2.4.Функции'!CQ164+"BYw!%Yj"</f>
        <v>#VALUE!</v>
      </c>
      <c r="EA80" t="e">
        <f>'2.4.Функции'!CR164+"BYw!%Yk"</f>
        <v>#VALUE!</v>
      </c>
      <c r="EB80" t="e">
        <f>'2.4.Функции'!CS164+"BYw!%Yl"</f>
        <v>#VALUE!</v>
      </c>
      <c r="EC80" t="e">
        <f>'2.4.Функции'!CT164+"BYw!%Ym"</f>
        <v>#VALUE!</v>
      </c>
      <c r="ED80" t="e">
        <f>'2.4.Функции'!CU164+"BYw!%Yn"</f>
        <v>#VALUE!</v>
      </c>
      <c r="EE80" t="e">
        <f>'2.4.Функции'!CV164+"BYw!%Yo"</f>
        <v>#VALUE!</v>
      </c>
      <c r="EF80" t="e">
        <f>'2.4.Функции'!CW164+"BYw!%Yp"</f>
        <v>#VALUE!</v>
      </c>
      <c r="EG80" t="e">
        <f>'2.4.Функции'!CX164+"BYw!%Yq"</f>
        <v>#VALUE!</v>
      </c>
      <c r="EH80" t="e">
        <f>'2.4.Функции'!CY164+"BYw!%Yr"</f>
        <v>#VALUE!</v>
      </c>
      <c r="EI80" t="e">
        <f>'2.4.Функции'!CZ164+"BYw!%Ys"</f>
        <v>#VALUE!</v>
      </c>
      <c r="EJ80" t="e">
        <f>'2.4.Функции'!DA164+"BYw!%Yt"</f>
        <v>#VALUE!</v>
      </c>
      <c r="EK80" t="e">
        <f>'2.4.Функции'!DB164+"BYw!%Yu"</f>
        <v>#VALUE!</v>
      </c>
      <c r="EL80" t="e">
        <f>'2.4.Функции'!DC164+"BYw!%Yv"</f>
        <v>#VALUE!</v>
      </c>
      <c r="EM80" t="e">
        <f>'2.4.Функции'!DD164+"BYw!%Yw"</f>
        <v>#VALUE!</v>
      </c>
      <c r="EN80" t="e">
        <f>'2.4.Функции'!DE164+"BYw!%Yx"</f>
        <v>#VALUE!</v>
      </c>
      <c r="EO80" t="e">
        <f>'2.4.Функции'!DF164+"BYw!%Yy"</f>
        <v>#VALUE!</v>
      </c>
      <c r="EP80" t="e">
        <f>'2.4.Функции'!DG164+"BYw!%Yz"</f>
        <v>#VALUE!</v>
      </c>
      <c r="EQ80" t="e">
        <f>'2.4.Функции'!DH164+"BYw!%Y{"</f>
        <v>#VALUE!</v>
      </c>
      <c r="ER80" t="e">
        <f>'2.4.Функции'!DI164+"BYw!%Y|"</f>
        <v>#VALUE!</v>
      </c>
      <c r="ES80" t="e">
        <f>'2.4.Функции'!DJ164+"BYw!%Y}"</f>
        <v>#VALUE!</v>
      </c>
      <c r="ET80" t="e">
        <f>'2.4.Функции'!DK164+"BYw!%Y~"</f>
        <v>#VALUE!</v>
      </c>
      <c r="EU80" t="e">
        <f>'2.4.Функции'!DL164+"BYw!%Z#"</f>
        <v>#VALUE!</v>
      </c>
      <c r="EV80" t="e">
        <f>'2.4.Функции'!A165+"BYw!%Z$"</f>
        <v>#VALUE!</v>
      </c>
      <c r="EW80" s="116" t="e">
        <f>'2.4.Функции'!B165+"BYw!%Z%"</f>
        <v>#VALUE!</v>
      </c>
      <c r="EX80" t="e">
        <f>'2.4.Функции'!C165+"BYw!%Z&amp;"</f>
        <v>#VALUE!</v>
      </c>
      <c r="EY80" t="e">
        <f>'2.4.Функции'!D165+"BYw!%Z'"</f>
        <v>#VALUE!</v>
      </c>
      <c r="EZ80" t="e">
        <f>'2.4.Функции'!E165+"BYw!%Z("</f>
        <v>#VALUE!</v>
      </c>
      <c r="FA80" t="e">
        <f>'2.4.Функции'!F165+"BYw!%Z)"</f>
        <v>#VALUE!</v>
      </c>
      <c r="FB80" t="e">
        <f>'2.4.Функции'!G165+"BYw!%Z."</f>
        <v>#VALUE!</v>
      </c>
      <c r="FC80" t="e">
        <f>'2.4.Функции'!H165+"BYw!%Z/"</f>
        <v>#VALUE!</v>
      </c>
      <c r="FD80" t="e">
        <f>'2.4.Функции'!I165+"BYw!%Z0"</f>
        <v>#VALUE!</v>
      </c>
      <c r="FE80" t="e">
        <f>'2.4.Функции'!J165+"BYw!%Z1"</f>
        <v>#VALUE!</v>
      </c>
      <c r="FF80" t="e">
        <f>'2.4.Функции'!K165+"BYw!%Z2"</f>
        <v>#VALUE!</v>
      </c>
      <c r="FG80" t="e">
        <f>'2.4.Функции'!L165+"BYw!%Z3"</f>
        <v>#VALUE!</v>
      </c>
      <c r="FH80" t="e">
        <f>'2.4.Функции'!M165+"BYw!%Z4"</f>
        <v>#VALUE!</v>
      </c>
      <c r="FI80" t="e">
        <f>'2.4.Функции'!N165+"BYw!%Z5"</f>
        <v>#VALUE!</v>
      </c>
      <c r="FJ80" t="e">
        <f>'2.4.Функции'!O165+"BYw!%Z6"</f>
        <v>#VALUE!</v>
      </c>
      <c r="FK80" t="e">
        <f>'2.4.Функции'!P165+"BYw!%Z7"</f>
        <v>#VALUE!</v>
      </c>
      <c r="FL80" t="e">
        <f>'2.4.Функции'!Q165+"BYw!%Z8"</f>
        <v>#VALUE!</v>
      </c>
      <c r="FM80" t="e">
        <f>'2.4.Функции'!R165+"BYw!%Z9"</f>
        <v>#VALUE!</v>
      </c>
      <c r="FN80" t="e">
        <f>'2.4.Функции'!S165+"BYw!%Z:"</f>
        <v>#VALUE!</v>
      </c>
      <c r="FO80" t="e">
        <f>'2.4.Функции'!T165+"BYw!%Z;"</f>
        <v>#VALUE!</v>
      </c>
      <c r="FP80" t="e">
        <f>'2.4.Функции'!U165+"BYw!%Z&lt;"</f>
        <v>#VALUE!</v>
      </c>
      <c r="FQ80" t="e">
        <f>'2.4.Функции'!V165+"BYw!%Z="</f>
        <v>#VALUE!</v>
      </c>
      <c r="FR80" t="e">
        <f>'2.4.Функции'!W165+"BYw!%Z&gt;"</f>
        <v>#VALUE!</v>
      </c>
      <c r="FS80" t="e">
        <f>'2.4.Функции'!X165+"BYw!%Z?"</f>
        <v>#VALUE!</v>
      </c>
      <c r="FT80" t="e">
        <f>'2.4.Функции'!Y165+"BYw!%Z@"</f>
        <v>#VALUE!</v>
      </c>
      <c r="FU80" t="e">
        <f>'2.4.Функции'!Z165+"BYw!%ZA"</f>
        <v>#VALUE!</v>
      </c>
      <c r="FV80" t="e">
        <f>'2.4.Функции'!AA165+"BYw!%ZB"</f>
        <v>#VALUE!</v>
      </c>
      <c r="FW80" t="e">
        <f>'2.4.Функции'!AB165+"BYw!%ZC"</f>
        <v>#VALUE!</v>
      </c>
      <c r="FX80" t="e">
        <f>'2.4.Функции'!AC165+"BYw!%ZD"</f>
        <v>#VALUE!</v>
      </c>
      <c r="FY80" t="e">
        <f>'2.4.Функции'!AD165+"BYw!%ZE"</f>
        <v>#VALUE!</v>
      </c>
      <c r="FZ80" t="e">
        <f>'2.4.Функции'!AE165+"BYw!%ZF"</f>
        <v>#VALUE!</v>
      </c>
      <c r="GA80" t="e">
        <f>'2.4.Функции'!AF165+"BYw!%ZG"</f>
        <v>#VALUE!</v>
      </c>
      <c r="GB80" t="e">
        <f>'2.4.Функции'!AG165+"BYw!%ZH"</f>
        <v>#VALUE!</v>
      </c>
      <c r="GC80" t="e">
        <f>'2.4.Функции'!AH165+"BYw!%ZI"</f>
        <v>#VALUE!</v>
      </c>
      <c r="GD80" t="e">
        <f>'2.4.Функции'!AI165+"BYw!%ZJ"</f>
        <v>#VALUE!</v>
      </c>
      <c r="GE80" t="e">
        <f>'2.4.Функции'!AJ165+"BYw!%ZK"</f>
        <v>#VALUE!</v>
      </c>
      <c r="GF80" t="e">
        <f>'2.4.Функции'!AK165+"BYw!%ZL"</f>
        <v>#VALUE!</v>
      </c>
      <c r="GG80" t="e">
        <f>'2.4.Функции'!AL165+"BYw!%ZM"</f>
        <v>#VALUE!</v>
      </c>
      <c r="GH80" t="e">
        <f>'2.4.Функции'!AM165+"BYw!%ZN"</f>
        <v>#VALUE!</v>
      </c>
      <c r="GI80" t="e">
        <f>'2.4.Функции'!AN165+"BYw!%ZO"</f>
        <v>#VALUE!</v>
      </c>
      <c r="GJ80" t="e">
        <f>'2.4.Функции'!AO165+"BYw!%ZP"</f>
        <v>#VALUE!</v>
      </c>
      <c r="GK80" t="e">
        <f>'2.4.Функции'!AP165+"BYw!%ZQ"</f>
        <v>#VALUE!</v>
      </c>
      <c r="GL80" t="e">
        <f>'2.4.Функции'!AQ165+"BYw!%ZR"</f>
        <v>#VALUE!</v>
      </c>
      <c r="GM80" t="e">
        <f>'2.4.Функции'!AR165+"BYw!%ZS"</f>
        <v>#VALUE!</v>
      </c>
      <c r="GN80" t="e">
        <f>'2.4.Функции'!AS165+"BYw!%ZT"</f>
        <v>#VALUE!</v>
      </c>
      <c r="GO80" t="e">
        <f>'2.4.Функции'!AT165+"BYw!%ZU"</f>
        <v>#VALUE!</v>
      </c>
      <c r="GP80" t="e">
        <f>'2.4.Функции'!AU165+"BYw!%ZV"</f>
        <v>#VALUE!</v>
      </c>
      <c r="GQ80" t="e">
        <f>'2.4.Функции'!AV165+"BYw!%ZW"</f>
        <v>#VALUE!</v>
      </c>
      <c r="GR80" t="e">
        <f>'2.4.Функции'!AW165+"BYw!%ZX"</f>
        <v>#VALUE!</v>
      </c>
      <c r="GS80" t="e">
        <f>'2.4.Функции'!AX165+"BYw!%ZY"</f>
        <v>#VALUE!</v>
      </c>
      <c r="GT80" t="e">
        <f>'2.4.Функции'!AY165+"BYw!%ZZ"</f>
        <v>#VALUE!</v>
      </c>
      <c r="GU80" t="e">
        <f>'2.4.Функции'!AZ165+"BYw!%Z["</f>
        <v>#VALUE!</v>
      </c>
      <c r="GV80" t="e">
        <f>'2.4.Функции'!BA165+"BYw!%Z\"</f>
        <v>#VALUE!</v>
      </c>
      <c r="GW80" t="e">
        <f>'2.4.Функции'!BB165+"BYw!%Z]"</f>
        <v>#VALUE!</v>
      </c>
      <c r="GX80" t="e">
        <f>'2.4.Функции'!BC165+"BYw!%Z^"</f>
        <v>#VALUE!</v>
      </c>
      <c r="GY80" t="e">
        <f>'2.4.Функции'!BD165+"BYw!%Z_"</f>
        <v>#VALUE!</v>
      </c>
      <c r="GZ80" t="e">
        <f>'2.4.Функции'!BE165+"BYw!%Z`"</f>
        <v>#VALUE!</v>
      </c>
      <c r="HA80" t="e">
        <f>'2.4.Функции'!BF165+"BYw!%Za"</f>
        <v>#VALUE!</v>
      </c>
      <c r="HB80" t="e">
        <f>'2.4.Функции'!BG165+"BYw!%Zb"</f>
        <v>#VALUE!</v>
      </c>
      <c r="HC80" t="e">
        <f>'2.4.Функции'!BH165+"BYw!%Zc"</f>
        <v>#VALUE!</v>
      </c>
      <c r="HD80" t="e">
        <f>'2.4.Функции'!BI165+"BYw!%Zd"</f>
        <v>#VALUE!</v>
      </c>
      <c r="HE80" t="e">
        <f>'2.4.Функции'!BJ165+"BYw!%Ze"</f>
        <v>#VALUE!</v>
      </c>
      <c r="HF80" t="e">
        <f>'2.4.Функции'!BK165+"BYw!%Zf"</f>
        <v>#VALUE!</v>
      </c>
      <c r="HG80" t="e">
        <f>'2.4.Функции'!BL165+"BYw!%Zg"</f>
        <v>#VALUE!</v>
      </c>
      <c r="HH80" t="e">
        <f>'2.4.Функции'!BM165+"BYw!%Zh"</f>
        <v>#VALUE!</v>
      </c>
      <c r="HI80" t="e">
        <f>'2.4.Функции'!BN165+"BYw!%Zi"</f>
        <v>#VALUE!</v>
      </c>
      <c r="HJ80" t="e">
        <f>'2.4.Функции'!BO165+"BYw!%Zj"</f>
        <v>#VALUE!</v>
      </c>
      <c r="HK80" t="e">
        <f>'2.4.Функции'!BP165+"BYw!%Zk"</f>
        <v>#VALUE!</v>
      </c>
      <c r="HL80" t="e">
        <f>'2.4.Функции'!BQ165+"BYw!%Zl"</f>
        <v>#VALUE!</v>
      </c>
      <c r="HM80" t="e">
        <f>'2.4.Функции'!BR165+"BYw!%Zm"</f>
        <v>#VALUE!</v>
      </c>
      <c r="HN80" t="e">
        <f>'2.4.Функции'!BS165+"BYw!%Zn"</f>
        <v>#VALUE!</v>
      </c>
      <c r="HO80" t="e">
        <f>'2.4.Функции'!BT165+"BYw!%Zo"</f>
        <v>#VALUE!</v>
      </c>
      <c r="HP80" t="e">
        <f>'2.4.Функции'!BU165+"BYw!%Zp"</f>
        <v>#VALUE!</v>
      </c>
      <c r="HQ80" t="e">
        <f>'2.4.Функции'!BV165+"BYw!%Zq"</f>
        <v>#VALUE!</v>
      </c>
      <c r="HR80" t="e">
        <f>'2.4.Функции'!BW165+"BYw!%Zr"</f>
        <v>#VALUE!</v>
      </c>
      <c r="HS80" t="e">
        <f>'2.4.Функции'!BX165+"BYw!%Zs"</f>
        <v>#VALUE!</v>
      </c>
      <c r="HT80" t="e">
        <f>'2.4.Функции'!BY165+"BYw!%Zt"</f>
        <v>#VALUE!</v>
      </c>
      <c r="HU80" t="e">
        <f>'2.4.Функции'!BZ165+"BYw!%Zu"</f>
        <v>#VALUE!</v>
      </c>
      <c r="HV80" t="e">
        <f>'2.4.Функции'!CA165+"BYw!%Zv"</f>
        <v>#VALUE!</v>
      </c>
      <c r="HW80" t="e">
        <f>'2.4.Функции'!CB165+"BYw!%Zw"</f>
        <v>#VALUE!</v>
      </c>
      <c r="HX80" t="e">
        <f>'2.4.Функции'!CC165+"BYw!%Zx"</f>
        <v>#VALUE!</v>
      </c>
      <c r="HY80" t="e">
        <f>'2.4.Функции'!CD165+"BYw!%Zy"</f>
        <v>#VALUE!</v>
      </c>
      <c r="HZ80" t="e">
        <f>'2.4.Функции'!CE165+"BYw!%Zz"</f>
        <v>#VALUE!</v>
      </c>
      <c r="IA80" t="e">
        <f>'2.4.Функции'!CF165+"BYw!%Z{"</f>
        <v>#VALUE!</v>
      </c>
      <c r="IB80" t="e">
        <f>'2.4.Функции'!CG165+"BYw!%Z|"</f>
        <v>#VALUE!</v>
      </c>
      <c r="IC80" t="e">
        <f>'2.4.Функции'!CH165+"BYw!%Z}"</f>
        <v>#VALUE!</v>
      </c>
      <c r="ID80" t="e">
        <f>'2.4.Функции'!CI165+"BYw!%Z~"</f>
        <v>#VALUE!</v>
      </c>
      <c r="IE80" t="e">
        <f>'2.4.Функции'!CJ165+"BYw!%[#"</f>
        <v>#VALUE!</v>
      </c>
      <c r="IF80" t="e">
        <f>'2.4.Функции'!CK165+"BYw!%[$"</f>
        <v>#VALUE!</v>
      </c>
      <c r="IG80" t="e">
        <f>'2.4.Функции'!CL165+"BYw!%[%"</f>
        <v>#VALUE!</v>
      </c>
      <c r="IH80" t="e">
        <f>'2.4.Функции'!CM165+"BYw!%[&amp;"</f>
        <v>#VALUE!</v>
      </c>
      <c r="II80" t="e">
        <f>'2.4.Функции'!CN165+"BYw!%['"</f>
        <v>#VALUE!</v>
      </c>
      <c r="IJ80" t="e">
        <f>'2.4.Функции'!CO165+"BYw!%[("</f>
        <v>#VALUE!</v>
      </c>
      <c r="IK80" t="e">
        <f>'2.4.Функции'!CP165+"BYw!%[)"</f>
        <v>#VALUE!</v>
      </c>
      <c r="IL80" t="e">
        <f>'2.4.Функции'!CQ165+"BYw!%[."</f>
        <v>#VALUE!</v>
      </c>
      <c r="IM80" t="e">
        <f>'2.4.Функции'!CR165+"BYw!%[/"</f>
        <v>#VALUE!</v>
      </c>
      <c r="IN80" t="e">
        <f>'2.4.Функции'!CS165+"BYw!%[0"</f>
        <v>#VALUE!</v>
      </c>
      <c r="IO80" t="e">
        <f>'2.4.Функции'!CT165+"BYw!%[1"</f>
        <v>#VALUE!</v>
      </c>
      <c r="IP80" t="e">
        <f>'2.4.Функции'!CU165+"BYw!%[2"</f>
        <v>#VALUE!</v>
      </c>
      <c r="IQ80" t="e">
        <f>'2.4.Функции'!CV165+"BYw!%[3"</f>
        <v>#VALUE!</v>
      </c>
      <c r="IR80" t="e">
        <f>'2.4.Функции'!CW165+"BYw!%[4"</f>
        <v>#VALUE!</v>
      </c>
      <c r="IS80" t="e">
        <f>'2.4.Функции'!CX165+"BYw!%[5"</f>
        <v>#VALUE!</v>
      </c>
      <c r="IT80" t="e">
        <f>'2.4.Функции'!CY165+"BYw!%[6"</f>
        <v>#VALUE!</v>
      </c>
      <c r="IU80" t="e">
        <f>'2.4.Функции'!CZ165+"BYw!%[7"</f>
        <v>#VALUE!</v>
      </c>
      <c r="IV80" t="e">
        <f>'2.4.Функции'!DA165+"BYw!%[8"</f>
        <v>#VALUE!</v>
      </c>
    </row>
    <row r="81" spans="6:256" x14ac:dyDescent="0.2">
      <c r="F81" t="e">
        <f>'2.4.Функции'!DB165+"BYw!%[9"</f>
        <v>#VALUE!</v>
      </c>
      <c r="G81" t="e">
        <f>'2.4.Функции'!DC165+"BYw!%[:"</f>
        <v>#VALUE!</v>
      </c>
      <c r="H81" t="e">
        <f>'2.4.Функции'!DD165+"BYw!%[;"</f>
        <v>#VALUE!</v>
      </c>
      <c r="I81" t="e">
        <f>'2.4.Функции'!DE165+"BYw!%[&lt;"</f>
        <v>#VALUE!</v>
      </c>
      <c r="J81" t="e">
        <f>'2.4.Функции'!DF165+"BYw!%[="</f>
        <v>#VALUE!</v>
      </c>
      <c r="K81" t="e">
        <f>'2.4.Функции'!DG165+"BYw!%[&gt;"</f>
        <v>#VALUE!</v>
      </c>
      <c r="L81" t="e">
        <f>'2.4.Функции'!DH165+"BYw!%[?"</f>
        <v>#VALUE!</v>
      </c>
      <c r="M81" t="e">
        <f>'2.4.Функции'!DI165+"BYw!%[@"</f>
        <v>#VALUE!</v>
      </c>
      <c r="N81" t="e">
        <f>'2.4.Функции'!DJ165+"BYw!%[A"</f>
        <v>#VALUE!</v>
      </c>
      <c r="O81" t="e">
        <f>'2.4.Функции'!DK165+"BYw!%[B"</f>
        <v>#VALUE!</v>
      </c>
      <c r="P81" t="e">
        <f>'2.4.Функции'!DL165+"BYw!%[C"</f>
        <v>#VALUE!</v>
      </c>
      <c r="Q81" t="e">
        <f>'2.4.Функции'!A166+"BYw!%[D"</f>
        <v>#VALUE!</v>
      </c>
      <c r="R81" s="116" t="e">
        <f>'2.4.Функции'!B166+"BYw!%[E"</f>
        <v>#VALUE!</v>
      </c>
      <c r="S81" t="e">
        <f>'2.4.Функции'!C166+"BYw!%[F"</f>
        <v>#VALUE!</v>
      </c>
      <c r="T81" t="e">
        <f>'2.4.Функции'!D166+"BYw!%[G"</f>
        <v>#VALUE!</v>
      </c>
      <c r="U81" t="e">
        <f>'2.4.Функции'!E166+"BYw!%[H"</f>
        <v>#VALUE!</v>
      </c>
      <c r="V81" t="e">
        <f>'2.4.Функции'!F166+"BYw!%[I"</f>
        <v>#VALUE!</v>
      </c>
      <c r="W81" t="e">
        <f>'2.4.Функции'!G166+"BYw!%[J"</f>
        <v>#VALUE!</v>
      </c>
      <c r="X81" t="e">
        <f>'2.4.Функции'!H166+"BYw!%[K"</f>
        <v>#VALUE!</v>
      </c>
      <c r="Y81" t="e">
        <f>'2.4.Функции'!I166+"BYw!%[L"</f>
        <v>#VALUE!</v>
      </c>
      <c r="Z81" t="e">
        <f>'2.4.Функции'!J166+"BYw!%[M"</f>
        <v>#VALUE!</v>
      </c>
      <c r="AA81" t="e">
        <f>'2.4.Функции'!K166+"BYw!%[N"</f>
        <v>#VALUE!</v>
      </c>
      <c r="AB81" t="e">
        <f>'2.4.Функции'!L166+"BYw!%[O"</f>
        <v>#VALUE!</v>
      </c>
      <c r="AC81" t="e">
        <f>'2.4.Функции'!M166+"BYw!%[P"</f>
        <v>#VALUE!</v>
      </c>
      <c r="AD81" t="e">
        <f>'2.4.Функции'!N166+"BYw!%[Q"</f>
        <v>#VALUE!</v>
      </c>
      <c r="AE81" t="e">
        <f>'2.4.Функции'!O166+"BYw!%[R"</f>
        <v>#VALUE!</v>
      </c>
      <c r="AF81" t="e">
        <f>'2.4.Функции'!P166+"BYw!%[S"</f>
        <v>#VALUE!</v>
      </c>
      <c r="AG81" t="e">
        <f>'2.4.Функции'!Q166+"BYw!%[T"</f>
        <v>#VALUE!</v>
      </c>
      <c r="AH81" t="e">
        <f>'2.4.Функции'!R166+"BYw!%[U"</f>
        <v>#VALUE!</v>
      </c>
      <c r="AI81" t="e">
        <f>'2.4.Функции'!S166+"BYw!%[V"</f>
        <v>#VALUE!</v>
      </c>
      <c r="AJ81" t="e">
        <f>'2.4.Функции'!T166+"BYw!%[W"</f>
        <v>#VALUE!</v>
      </c>
      <c r="AK81" t="e">
        <f>'2.4.Функции'!U166+"BYw!%[X"</f>
        <v>#VALUE!</v>
      </c>
      <c r="AL81" t="e">
        <f>'2.4.Функции'!V166+"BYw!%[Y"</f>
        <v>#VALUE!</v>
      </c>
      <c r="AM81" t="e">
        <f>'2.4.Функции'!W166+"BYw!%[Z"</f>
        <v>#VALUE!</v>
      </c>
      <c r="AN81" t="e">
        <f>'2.4.Функции'!X166+"BYw!%[["</f>
        <v>#VALUE!</v>
      </c>
      <c r="AO81" t="e">
        <f>'2.4.Функции'!Y166+"BYw!%[\"</f>
        <v>#VALUE!</v>
      </c>
      <c r="AP81" t="e">
        <f>'2.4.Функции'!Z166+"BYw!%[]"</f>
        <v>#VALUE!</v>
      </c>
      <c r="AQ81" t="e">
        <f>'2.4.Функции'!AA166+"BYw!%[^"</f>
        <v>#VALUE!</v>
      </c>
      <c r="AR81" t="e">
        <f>'2.4.Функции'!AB166+"BYw!%[_"</f>
        <v>#VALUE!</v>
      </c>
      <c r="AS81" t="e">
        <f>'2.4.Функции'!AC166+"BYw!%[`"</f>
        <v>#VALUE!</v>
      </c>
      <c r="AT81" t="e">
        <f>'2.4.Функции'!AD166+"BYw!%[a"</f>
        <v>#VALUE!</v>
      </c>
      <c r="AU81" t="e">
        <f>'2.4.Функции'!AE166+"BYw!%[b"</f>
        <v>#VALUE!</v>
      </c>
      <c r="AV81" t="e">
        <f>'2.4.Функции'!AF166+"BYw!%[c"</f>
        <v>#VALUE!</v>
      </c>
      <c r="AW81" t="e">
        <f>'2.4.Функции'!AG166+"BYw!%[d"</f>
        <v>#VALUE!</v>
      </c>
      <c r="AX81" t="e">
        <f>'2.4.Функции'!AH166+"BYw!%[e"</f>
        <v>#VALUE!</v>
      </c>
      <c r="AY81" t="e">
        <f>'2.4.Функции'!AI166+"BYw!%[f"</f>
        <v>#VALUE!</v>
      </c>
      <c r="AZ81" t="e">
        <f>'2.4.Функции'!AJ166+"BYw!%[g"</f>
        <v>#VALUE!</v>
      </c>
      <c r="BA81" t="e">
        <f>'2.4.Функции'!AK166+"BYw!%[h"</f>
        <v>#VALUE!</v>
      </c>
      <c r="BB81" t="e">
        <f>'2.4.Функции'!AL166+"BYw!%[i"</f>
        <v>#VALUE!</v>
      </c>
      <c r="BC81" t="e">
        <f>'2.4.Функции'!AM166+"BYw!%[j"</f>
        <v>#VALUE!</v>
      </c>
      <c r="BD81" t="e">
        <f>'2.4.Функции'!AN166+"BYw!%[k"</f>
        <v>#VALUE!</v>
      </c>
      <c r="BE81" t="e">
        <f>'2.4.Функции'!AO166+"BYw!%[l"</f>
        <v>#VALUE!</v>
      </c>
      <c r="BF81" t="e">
        <f>'2.4.Функции'!AP166+"BYw!%[m"</f>
        <v>#VALUE!</v>
      </c>
      <c r="BG81" t="e">
        <f>'2.4.Функции'!AQ166+"BYw!%[n"</f>
        <v>#VALUE!</v>
      </c>
      <c r="BH81" t="e">
        <f>'2.4.Функции'!AR166+"BYw!%[o"</f>
        <v>#VALUE!</v>
      </c>
      <c r="BI81" t="e">
        <f>'2.4.Функции'!AS166+"BYw!%[p"</f>
        <v>#VALUE!</v>
      </c>
      <c r="BJ81" t="e">
        <f>'2.4.Функции'!AT166+"BYw!%[q"</f>
        <v>#VALUE!</v>
      </c>
      <c r="BK81" t="e">
        <f>'2.4.Функции'!AU166+"BYw!%[r"</f>
        <v>#VALUE!</v>
      </c>
      <c r="BL81" t="e">
        <f>'2.4.Функции'!AV166+"BYw!%[s"</f>
        <v>#VALUE!</v>
      </c>
      <c r="BM81" t="e">
        <f>'2.4.Функции'!AW166+"BYw!%[t"</f>
        <v>#VALUE!</v>
      </c>
      <c r="BN81" t="e">
        <f>'2.4.Функции'!AX166+"BYw!%[u"</f>
        <v>#VALUE!</v>
      </c>
      <c r="BO81" t="e">
        <f>'2.4.Функции'!AY166+"BYw!%[v"</f>
        <v>#VALUE!</v>
      </c>
      <c r="BP81" t="e">
        <f>'2.4.Функции'!AZ166+"BYw!%[w"</f>
        <v>#VALUE!</v>
      </c>
      <c r="BQ81" t="e">
        <f>'2.4.Функции'!BA166+"BYw!%[x"</f>
        <v>#VALUE!</v>
      </c>
      <c r="BR81" t="e">
        <f>'2.4.Функции'!BB166+"BYw!%[y"</f>
        <v>#VALUE!</v>
      </c>
      <c r="BS81" t="e">
        <f>'2.4.Функции'!BC166+"BYw!%[z"</f>
        <v>#VALUE!</v>
      </c>
      <c r="BT81" t="e">
        <f>'2.4.Функции'!BD166+"BYw!%[{"</f>
        <v>#VALUE!</v>
      </c>
      <c r="BU81" t="e">
        <f>'2.4.Функции'!BE166+"BYw!%[|"</f>
        <v>#VALUE!</v>
      </c>
      <c r="BV81" t="e">
        <f>'2.4.Функции'!BF166+"BYw!%[}"</f>
        <v>#VALUE!</v>
      </c>
      <c r="BW81" t="e">
        <f>'2.4.Функции'!BG166+"BYw!%[~"</f>
        <v>#VALUE!</v>
      </c>
      <c r="BX81" t="e">
        <f>'2.4.Функции'!BH166+"BYw!%\#"</f>
        <v>#VALUE!</v>
      </c>
      <c r="BY81" t="e">
        <f>'2.4.Функции'!BI166+"BYw!%\$"</f>
        <v>#VALUE!</v>
      </c>
      <c r="BZ81" t="e">
        <f>'2.4.Функции'!BJ166+"BYw!%\%"</f>
        <v>#VALUE!</v>
      </c>
      <c r="CA81" t="e">
        <f>'2.4.Функции'!BK166+"BYw!%\&amp;"</f>
        <v>#VALUE!</v>
      </c>
      <c r="CB81" t="e">
        <f>'2.4.Функции'!BL166+"BYw!%\'"</f>
        <v>#VALUE!</v>
      </c>
      <c r="CC81" t="e">
        <f>'2.4.Функции'!BM166+"BYw!%\("</f>
        <v>#VALUE!</v>
      </c>
      <c r="CD81" t="e">
        <f>'2.4.Функции'!BN166+"BYw!%\)"</f>
        <v>#VALUE!</v>
      </c>
      <c r="CE81" t="e">
        <f>'2.4.Функции'!BO166+"BYw!%\."</f>
        <v>#VALUE!</v>
      </c>
      <c r="CF81" t="e">
        <f>'2.4.Функции'!BP166+"BYw!%\/"</f>
        <v>#VALUE!</v>
      </c>
      <c r="CG81" t="e">
        <f>'2.4.Функции'!BQ166+"BYw!%\0"</f>
        <v>#VALUE!</v>
      </c>
      <c r="CH81" t="e">
        <f>'2.4.Функции'!BR166+"BYw!%\1"</f>
        <v>#VALUE!</v>
      </c>
      <c r="CI81" t="e">
        <f>'2.4.Функции'!BS166+"BYw!%\2"</f>
        <v>#VALUE!</v>
      </c>
      <c r="CJ81" t="e">
        <f>'2.4.Функции'!BT166+"BYw!%\3"</f>
        <v>#VALUE!</v>
      </c>
      <c r="CK81" t="e">
        <f>'2.4.Функции'!BU166+"BYw!%\4"</f>
        <v>#VALUE!</v>
      </c>
      <c r="CL81" t="e">
        <f>'2.4.Функции'!BV166+"BYw!%\5"</f>
        <v>#VALUE!</v>
      </c>
      <c r="CM81" t="e">
        <f>'2.4.Функции'!BW166+"BYw!%\6"</f>
        <v>#VALUE!</v>
      </c>
      <c r="CN81" t="e">
        <f>'2.4.Функции'!BX166+"BYw!%\7"</f>
        <v>#VALUE!</v>
      </c>
      <c r="CO81" t="e">
        <f>'2.4.Функции'!BY166+"BYw!%\8"</f>
        <v>#VALUE!</v>
      </c>
      <c r="CP81" t="e">
        <f>'2.4.Функции'!BZ166+"BYw!%\9"</f>
        <v>#VALUE!</v>
      </c>
      <c r="CQ81" t="e">
        <f>'2.4.Функции'!CA166+"BYw!%\:"</f>
        <v>#VALUE!</v>
      </c>
      <c r="CR81" t="e">
        <f>'2.4.Функции'!CB166+"BYw!%\;"</f>
        <v>#VALUE!</v>
      </c>
      <c r="CS81" t="e">
        <f>'2.4.Функции'!CC166+"BYw!%\&lt;"</f>
        <v>#VALUE!</v>
      </c>
      <c r="CT81" t="e">
        <f>'2.4.Функции'!CD166+"BYw!%\="</f>
        <v>#VALUE!</v>
      </c>
      <c r="CU81" t="e">
        <f>'2.4.Функции'!CE166+"BYw!%\&gt;"</f>
        <v>#VALUE!</v>
      </c>
      <c r="CV81" t="e">
        <f>'2.4.Функции'!CF166+"BYw!%\?"</f>
        <v>#VALUE!</v>
      </c>
      <c r="CW81" t="e">
        <f>'2.4.Функции'!CG166+"BYw!%\@"</f>
        <v>#VALUE!</v>
      </c>
      <c r="CX81" t="e">
        <f>'2.4.Функции'!CH166+"BYw!%\A"</f>
        <v>#VALUE!</v>
      </c>
      <c r="CY81" t="e">
        <f>'2.4.Функции'!CI166+"BYw!%\B"</f>
        <v>#VALUE!</v>
      </c>
      <c r="CZ81" t="e">
        <f>'2.4.Функции'!CJ166+"BYw!%\C"</f>
        <v>#VALUE!</v>
      </c>
      <c r="DA81" t="e">
        <f>'2.4.Функции'!CK166+"BYw!%\D"</f>
        <v>#VALUE!</v>
      </c>
      <c r="DB81" t="e">
        <f>'2.4.Функции'!CL166+"BYw!%\E"</f>
        <v>#VALUE!</v>
      </c>
      <c r="DC81" t="e">
        <f>'2.4.Функции'!CM166+"BYw!%\F"</f>
        <v>#VALUE!</v>
      </c>
      <c r="DD81" t="e">
        <f>'2.4.Функции'!CN166+"BYw!%\G"</f>
        <v>#VALUE!</v>
      </c>
      <c r="DE81" t="e">
        <f>'2.4.Функции'!CO166+"BYw!%\H"</f>
        <v>#VALUE!</v>
      </c>
      <c r="DF81" t="e">
        <f>'2.4.Функции'!CP166+"BYw!%\I"</f>
        <v>#VALUE!</v>
      </c>
      <c r="DG81" t="e">
        <f>'2.4.Функции'!CQ166+"BYw!%\J"</f>
        <v>#VALUE!</v>
      </c>
      <c r="DH81" t="e">
        <f>'2.4.Функции'!CR166+"BYw!%\K"</f>
        <v>#VALUE!</v>
      </c>
      <c r="DI81" t="e">
        <f>'2.4.Функции'!CS166+"BYw!%\L"</f>
        <v>#VALUE!</v>
      </c>
      <c r="DJ81" t="e">
        <f>'2.4.Функции'!CT166+"BYw!%\M"</f>
        <v>#VALUE!</v>
      </c>
      <c r="DK81" t="e">
        <f>'2.4.Функции'!CU166+"BYw!%\N"</f>
        <v>#VALUE!</v>
      </c>
      <c r="DL81" t="e">
        <f>'2.4.Функции'!CV166+"BYw!%\O"</f>
        <v>#VALUE!</v>
      </c>
      <c r="DM81" t="e">
        <f>'2.4.Функции'!CW166+"BYw!%\P"</f>
        <v>#VALUE!</v>
      </c>
      <c r="DN81" t="e">
        <f>'2.4.Функции'!CX166+"BYw!%\Q"</f>
        <v>#VALUE!</v>
      </c>
      <c r="DO81" t="e">
        <f>'2.4.Функции'!CY166+"BYw!%\R"</f>
        <v>#VALUE!</v>
      </c>
      <c r="DP81" t="e">
        <f>'2.4.Функции'!CZ166+"BYw!%\S"</f>
        <v>#VALUE!</v>
      </c>
      <c r="DQ81" t="e">
        <f>'2.4.Функции'!DA166+"BYw!%\T"</f>
        <v>#VALUE!</v>
      </c>
      <c r="DR81" t="e">
        <f>'2.4.Функции'!DB166+"BYw!%\U"</f>
        <v>#VALUE!</v>
      </c>
      <c r="DS81" t="e">
        <f>'2.4.Функции'!DC166+"BYw!%\V"</f>
        <v>#VALUE!</v>
      </c>
      <c r="DT81" t="e">
        <f>'2.4.Функции'!DD166+"BYw!%\W"</f>
        <v>#VALUE!</v>
      </c>
      <c r="DU81" t="e">
        <f>'2.4.Функции'!DE166+"BYw!%\X"</f>
        <v>#VALUE!</v>
      </c>
      <c r="DV81" t="e">
        <f>'2.4.Функции'!DF166+"BYw!%\Y"</f>
        <v>#VALUE!</v>
      </c>
      <c r="DW81" t="e">
        <f>'2.4.Функции'!DG166+"BYw!%\Z"</f>
        <v>#VALUE!</v>
      </c>
      <c r="DX81" t="e">
        <f>'2.4.Функции'!DH166+"BYw!%\["</f>
        <v>#VALUE!</v>
      </c>
      <c r="DY81" t="e">
        <f>'2.4.Функции'!DI166+"BYw!%\\"</f>
        <v>#VALUE!</v>
      </c>
      <c r="DZ81" t="e">
        <f>'2.4.Функции'!DJ166+"BYw!%\]"</f>
        <v>#VALUE!</v>
      </c>
      <c r="EA81" t="e">
        <f>'2.4.Функции'!DK166+"BYw!%\^"</f>
        <v>#VALUE!</v>
      </c>
      <c r="EB81" t="e">
        <f>'2.4.Функции'!DL166+"BYw!%\_"</f>
        <v>#VALUE!</v>
      </c>
      <c r="EC81" t="e">
        <f>'2.4.Функции'!A167+"BYw!%\`"</f>
        <v>#VALUE!</v>
      </c>
      <c r="ED81" s="116" t="e">
        <f>'2.4.Функции'!B167+"BYw!%\a"</f>
        <v>#VALUE!</v>
      </c>
      <c r="EE81" t="e">
        <f>'2.4.Функции'!C167+"BYw!%\b"</f>
        <v>#VALUE!</v>
      </c>
      <c r="EF81" t="e">
        <f>'2.4.Функции'!D167+"BYw!%\c"</f>
        <v>#VALUE!</v>
      </c>
      <c r="EG81" t="e">
        <f>'2.4.Функции'!E167+"BYw!%\d"</f>
        <v>#VALUE!</v>
      </c>
      <c r="EH81" t="e">
        <f>'2.4.Функции'!F167+"BYw!%\e"</f>
        <v>#VALUE!</v>
      </c>
      <c r="EI81" t="e">
        <f>'2.4.Функции'!G167+"BYw!%\f"</f>
        <v>#VALUE!</v>
      </c>
      <c r="EJ81" t="e">
        <f>'2.4.Функции'!H167+"BYw!%\g"</f>
        <v>#VALUE!</v>
      </c>
      <c r="EK81" t="e">
        <f>'2.4.Функции'!I167+"BYw!%\h"</f>
        <v>#VALUE!</v>
      </c>
      <c r="EL81" t="e">
        <f>'2.4.Функции'!J167+"BYw!%\i"</f>
        <v>#VALUE!</v>
      </c>
      <c r="EM81" t="e">
        <f>'2.4.Функции'!K167+"BYw!%\j"</f>
        <v>#VALUE!</v>
      </c>
      <c r="EN81" t="e">
        <f>'2.4.Функции'!L167+"BYw!%\k"</f>
        <v>#VALUE!</v>
      </c>
      <c r="EO81" t="e">
        <f>'2.4.Функции'!M167+"BYw!%\l"</f>
        <v>#VALUE!</v>
      </c>
      <c r="EP81" t="e">
        <f>'2.4.Функции'!N167+"BYw!%\m"</f>
        <v>#VALUE!</v>
      </c>
      <c r="EQ81" t="e">
        <f>'2.4.Функции'!O167+"BYw!%\n"</f>
        <v>#VALUE!</v>
      </c>
      <c r="ER81" t="e">
        <f>'2.4.Функции'!P167+"BYw!%\o"</f>
        <v>#VALUE!</v>
      </c>
      <c r="ES81" t="e">
        <f>'2.4.Функции'!Q167+"BYw!%\p"</f>
        <v>#VALUE!</v>
      </c>
      <c r="ET81" t="e">
        <f>'2.4.Функции'!R167+"BYw!%\q"</f>
        <v>#VALUE!</v>
      </c>
      <c r="EU81" t="e">
        <f>'2.4.Функции'!S167+"BYw!%\r"</f>
        <v>#VALUE!</v>
      </c>
      <c r="EV81" t="e">
        <f>'2.4.Функции'!T167+"BYw!%\s"</f>
        <v>#VALUE!</v>
      </c>
      <c r="EW81" t="e">
        <f>'2.4.Функции'!U167+"BYw!%\t"</f>
        <v>#VALUE!</v>
      </c>
      <c r="EX81" t="e">
        <f>'2.4.Функции'!V167+"BYw!%\u"</f>
        <v>#VALUE!</v>
      </c>
      <c r="EY81" t="e">
        <f>'2.4.Функции'!W167+"BYw!%\v"</f>
        <v>#VALUE!</v>
      </c>
      <c r="EZ81" t="e">
        <f>'2.4.Функции'!X167+"BYw!%\w"</f>
        <v>#VALUE!</v>
      </c>
      <c r="FA81" t="e">
        <f>'2.4.Функции'!Y167+"BYw!%\x"</f>
        <v>#VALUE!</v>
      </c>
      <c r="FB81" t="e">
        <f>'2.4.Функции'!Z167+"BYw!%\y"</f>
        <v>#VALUE!</v>
      </c>
      <c r="FC81" t="e">
        <f>'2.4.Функции'!AA167+"BYw!%\z"</f>
        <v>#VALUE!</v>
      </c>
      <c r="FD81" t="e">
        <f>'2.4.Функции'!AB167+"BYw!%\{"</f>
        <v>#VALUE!</v>
      </c>
      <c r="FE81" t="e">
        <f>'2.4.Функции'!AC167+"BYw!%\|"</f>
        <v>#VALUE!</v>
      </c>
      <c r="FF81" t="e">
        <f>'2.4.Функции'!AD167+"BYw!%\}"</f>
        <v>#VALUE!</v>
      </c>
      <c r="FG81" t="e">
        <f>'2.4.Функции'!AE167+"BYw!%\~"</f>
        <v>#VALUE!</v>
      </c>
      <c r="FH81" t="e">
        <f>'2.4.Функции'!AF167+"BYw!%]#"</f>
        <v>#VALUE!</v>
      </c>
      <c r="FI81" t="e">
        <f>'2.4.Функции'!AG167+"BYw!%]$"</f>
        <v>#VALUE!</v>
      </c>
      <c r="FJ81" t="e">
        <f>'2.4.Функции'!AH167+"BYw!%]%"</f>
        <v>#VALUE!</v>
      </c>
      <c r="FK81" t="e">
        <f>'2.4.Функции'!AI167+"BYw!%]&amp;"</f>
        <v>#VALUE!</v>
      </c>
      <c r="FL81" t="e">
        <f>'2.4.Функции'!AJ167+"BYw!%]'"</f>
        <v>#VALUE!</v>
      </c>
      <c r="FM81" t="e">
        <f>'2.4.Функции'!AK167+"BYw!%]("</f>
        <v>#VALUE!</v>
      </c>
      <c r="FN81" t="e">
        <f>'2.4.Функции'!AL167+"BYw!%])"</f>
        <v>#VALUE!</v>
      </c>
      <c r="FO81" t="e">
        <f>'2.4.Функции'!AM167+"BYw!%]."</f>
        <v>#VALUE!</v>
      </c>
      <c r="FP81" t="e">
        <f>'2.4.Функции'!AN167+"BYw!%]/"</f>
        <v>#VALUE!</v>
      </c>
      <c r="FQ81" t="e">
        <f>'2.4.Функции'!AO167+"BYw!%]0"</f>
        <v>#VALUE!</v>
      </c>
      <c r="FR81" t="e">
        <f>'2.4.Функции'!AP167+"BYw!%]1"</f>
        <v>#VALUE!</v>
      </c>
      <c r="FS81" t="e">
        <f>'2.4.Функции'!AQ167+"BYw!%]2"</f>
        <v>#VALUE!</v>
      </c>
      <c r="FT81" t="e">
        <f>'2.4.Функции'!AR167+"BYw!%]3"</f>
        <v>#VALUE!</v>
      </c>
      <c r="FU81" t="e">
        <f>'2.4.Функции'!AS167+"BYw!%]4"</f>
        <v>#VALUE!</v>
      </c>
      <c r="FV81" t="e">
        <f>'2.4.Функции'!AT167+"BYw!%]5"</f>
        <v>#VALUE!</v>
      </c>
      <c r="FW81" t="e">
        <f>'2.4.Функции'!AU167+"BYw!%]6"</f>
        <v>#VALUE!</v>
      </c>
      <c r="FX81" t="e">
        <f>'2.4.Функции'!AV167+"BYw!%]7"</f>
        <v>#VALUE!</v>
      </c>
      <c r="FY81" t="e">
        <f>'2.4.Функции'!AW167+"BYw!%]8"</f>
        <v>#VALUE!</v>
      </c>
      <c r="FZ81" t="e">
        <f>'2.4.Функции'!AX167+"BYw!%]9"</f>
        <v>#VALUE!</v>
      </c>
      <c r="GA81" t="e">
        <f>'2.4.Функции'!AY167+"BYw!%]:"</f>
        <v>#VALUE!</v>
      </c>
      <c r="GB81" t="e">
        <f>'2.4.Функции'!AZ167+"BYw!%];"</f>
        <v>#VALUE!</v>
      </c>
      <c r="GC81" t="e">
        <f>'2.4.Функции'!BA167+"BYw!%]&lt;"</f>
        <v>#VALUE!</v>
      </c>
      <c r="GD81" t="e">
        <f>'2.4.Функции'!BB167+"BYw!%]="</f>
        <v>#VALUE!</v>
      </c>
      <c r="GE81" t="e">
        <f>'2.4.Функции'!BC167+"BYw!%]&gt;"</f>
        <v>#VALUE!</v>
      </c>
      <c r="GF81" t="e">
        <f>'2.4.Функции'!BD167+"BYw!%]?"</f>
        <v>#VALUE!</v>
      </c>
      <c r="GG81" t="e">
        <f>'2.4.Функции'!BE167+"BYw!%]@"</f>
        <v>#VALUE!</v>
      </c>
      <c r="GH81" t="e">
        <f>'2.4.Функции'!BF167+"BYw!%]A"</f>
        <v>#VALUE!</v>
      </c>
      <c r="GI81" t="e">
        <f>'2.4.Функции'!BG167+"BYw!%]B"</f>
        <v>#VALUE!</v>
      </c>
      <c r="GJ81" t="e">
        <f>'2.4.Функции'!BH167+"BYw!%]C"</f>
        <v>#VALUE!</v>
      </c>
      <c r="GK81" t="e">
        <f>'2.4.Функции'!BI167+"BYw!%]D"</f>
        <v>#VALUE!</v>
      </c>
      <c r="GL81" t="e">
        <f>'2.4.Функции'!BJ167+"BYw!%]E"</f>
        <v>#VALUE!</v>
      </c>
      <c r="GM81" t="e">
        <f>'2.4.Функции'!BK167+"BYw!%]F"</f>
        <v>#VALUE!</v>
      </c>
      <c r="GN81" t="e">
        <f>'2.4.Функции'!BL167+"BYw!%]G"</f>
        <v>#VALUE!</v>
      </c>
      <c r="GO81" t="e">
        <f>'2.4.Функции'!BM167+"BYw!%]H"</f>
        <v>#VALUE!</v>
      </c>
      <c r="GP81" t="e">
        <f>'2.4.Функции'!BN167+"BYw!%]I"</f>
        <v>#VALUE!</v>
      </c>
      <c r="GQ81" t="e">
        <f>'2.4.Функции'!BO167+"BYw!%]J"</f>
        <v>#VALUE!</v>
      </c>
      <c r="GR81" t="e">
        <f>'2.4.Функции'!BP167+"BYw!%]K"</f>
        <v>#VALUE!</v>
      </c>
      <c r="GS81" t="e">
        <f>'2.4.Функции'!BQ167+"BYw!%]L"</f>
        <v>#VALUE!</v>
      </c>
      <c r="GT81" t="e">
        <f>'2.4.Функции'!BR167+"BYw!%]M"</f>
        <v>#VALUE!</v>
      </c>
      <c r="GU81" t="e">
        <f>'2.4.Функции'!BS167+"BYw!%]N"</f>
        <v>#VALUE!</v>
      </c>
      <c r="GV81" t="e">
        <f>'2.4.Функции'!BT167+"BYw!%]O"</f>
        <v>#VALUE!</v>
      </c>
      <c r="GW81" t="e">
        <f>'2.4.Функции'!BU167+"BYw!%]P"</f>
        <v>#VALUE!</v>
      </c>
      <c r="GX81" t="e">
        <f>'2.4.Функции'!BV167+"BYw!%]Q"</f>
        <v>#VALUE!</v>
      </c>
      <c r="GY81" t="e">
        <f>'2.4.Функции'!BW167+"BYw!%]R"</f>
        <v>#VALUE!</v>
      </c>
      <c r="GZ81" t="e">
        <f>'2.4.Функции'!BX167+"BYw!%]S"</f>
        <v>#VALUE!</v>
      </c>
      <c r="HA81" t="e">
        <f>'2.4.Функции'!BY167+"BYw!%]T"</f>
        <v>#VALUE!</v>
      </c>
      <c r="HB81" t="e">
        <f>'2.4.Функции'!BZ167+"BYw!%]U"</f>
        <v>#VALUE!</v>
      </c>
      <c r="HC81" t="e">
        <f>'2.4.Функции'!CA167+"BYw!%]V"</f>
        <v>#VALUE!</v>
      </c>
      <c r="HD81" t="e">
        <f>'2.4.Функции'!CB167+"BYw!%]W"</f>
        <v>#VALUE!</v>
      </c>
      <c r="HE81" t="e">
        <f>'2.4.Функции'!CC167+"BYw!%]X"</f>
        <v>#VALUE!</v>
      </c>
      <c r="HF81" t="e">
        <f>'2.4.Функции'!CD167+"BYw!%]Y"</f>
        <v>#VALUE!</v>
      </c>
      <c r="HG81" t="e">
        <f>'2.4.Функции'!CE167+"BYw!%]Z"</f>
        <v>#VALUE!</v>
      </c>
      <c r="HH81" t="e">
        <f>'2.4.Функции'!CF167+"BYw!%]["</f>
        <v>#VALUE!</v>
      </c>
      <c r="HI81" t="e">
        <f>'2.4.Функции'!CG167+"BYw!%]\"</f>
        <v>#VALUE!</v>
      </c>
      <c r="HJ81" t="e">
        <f>'2.4.Функции'!CH167+"BYw!%]]"</f>
        <v>#VALUE!</v>
      </c>
      <c r="HK81" t="e">
        <f>'2.4.Функции'!CI167+"BYw!%]^"</f>
        <v>#VALUE!</v>
      </c>
      <c r="HL81" t="e">
        <f>'2.4.Функции'!CJ167+"BYw!%]_"</f>
        <v>#VALUE!</v>
      </c>
      <c r="HM81" t="e">
        <f>'2.4.Функции'!CK167+"BYw!%]`"</f>
        <v>#VALUE!</v>
      </c>
      <c r="HN81" t="e">
        <f>'2.4.Функции'!CL167+"BYw!%]a"</f>
        <v>#VALUE!</v>
      </c>
      <c r="HO81" t="e">
        <f>'2.4.Функции'!CM167+"BYw!%]b"</f>
        <v>#VALUE!</v>
      </c>
      <c r="HP81" t="e">
        <f>'2.4.Функции'!CN167+"BYw!%]c"</f>
        <v>#VALUE!</v>
      </c>
      <c r="HQ81" t="e">
        <f>'2.4.Функции'!CO167+"BYw!%]d"</f>
        <v>#VALUE!</v>
      </c>
      <c r="HR81" t="e">
        <f>'2.4.Функции'!CP167+"BYw!%]e"</f>
        <v>#VALUE!</v>
      </c>
      <c r="HS81" t="e">
        <f>'2.4.Функции'!CQ167+"BYw!%]f"</f>
        <v>#VALUE!</v>
      </c>
      <c r="HT81" t="e">
        <f>'2.4.Функции'!CR167+"BYw!%]g"</f>
        <v>#VALUE!</v>
      </c>
      <c r="HU81" t="e">
        <f>'2.4.Функции'!CS167+"BYw!%]h"</f>
        <v>#VALUE!</v>
      </c>
      <c r="HV81" t="e">
        <f>'2.4.Функции'!CT167+"BYw!%]i"</f>
        <v>#VALUE!</v>
      </c>
      <c r="HW81" t="e">
        <f>'2.4.Функции'!CU167+"BYw!%]j"</f>
        <v>#VALUE!</v>
      </c>
      <c r="HX81" t="e">
        <f>'2.4.Функции'!CV167+"BYw!%]k"</f>
        <v>#VALUE!</v>
      </c>
      <c r="HY81" t="e">
        <f>'2.4.Функции'!CW167+"BYw!%]l"</f>
        <v>#VALUE!</v>
      </c>
      <c r="HZ81" t="e">
        <f>'2.4.Функции'!CX167+"BYw!%]m"</f>
        <v>#VALUE!</v>
      </c>
      <c r="IA81" t="e">
        <f>'2.4.Функции'!CY167+"BYw!%]n"</f>
        <v>#VALUE!</v>
      </c>
      <c r="IB81" t="e">
        <f>'2.4.Функции'!CZ167+"BYw!%]o"</f>
        <v>#VALUE!</v>
      </c>
      <c r="IC81" t="e">
        <f>'2.4.Функции'!DA167+"BYw!%]p"</f>
        <v>#VALUE!</v>
      </c>
      <c r="ID81" t="e">
        <f>'2.4.Функции'!DB167+"BYw!%]q"</f>
        <v>#VALUE!</v>
      </c>
      <c r="IE81" t="e">
        <f>'2.4.Функции'!DC167+"BYw!%]r"</f>
        <v>#VALUE!</v>
      </c>
      <c r="IF81" t="e">
        <f>'2.4.Функции'!DD167+"BYw!%]s"</f>
        <v>#VALUE!</v>
      </c>
      <c r="IG81" t="e">
        <f>'2.4.Функции'!DE167+"BYw!%]t"</f>
        <v>#VALUE!</v>
      </c>
      <c r="IH81" t="e">
        <f>'2.4.Функции'!DF167+"BYw!%]u"</f>
        <v>#VALUE!</v>
      </c>
      <c r="II81" t="e">
        <f>'2.4.Функции'!DG167+"BYw!%]v"</f>
        <v>#VALUE!</v>
      </c>
      <c r="IJ81" t="e">
        <f>'2.4.Функции'!DH167+"BYw!%]w"</f>
        <v>#VALUE!</v>
      </c>
      <c r="IK81" t="e">
        <f>'2.4.Функции'!DI167+"BYw!%]x"</f>
        <v>#VALUE!</v>
      </c>
      <c r="IL81" t="e">
        <f>'2.4.Функции'!DJ167+"BYw!%]y"</f>
        <v>#VALUE!</v>
      </c>
      <c r="IM81" t="e">
        <f>'2.4.Функции'!DK167+"BYw!%]z"</f>
        <v>#VALUE!</v>
      </c>
      <c r="IN81" t="e">
        <f>'2.4.Функции'!DL167+"BYw!%]{"</f>
        <v>#VALUE!</v>
      </c>
      <c r="IO81" s="116" t="e">
        <f>'2.4.Функции'!B168+"BYw!%]|"</f>
        <v>#VALUE!</v>
      </c>
      <c r="IP81" t="e">
        <f>'2.4.Функции'!C168+"BYw!%]}"</f>
        <v>#VALUE!</v>
      </c>
      <c r="IQ81" t="e">
        <f>'2.4.Функции'!D168+"BYw!%]~"</f>
        <v>#VALUE!</v>
      </c>
      <c r="IR81" t="e">
        <f>'2.4.Функции'!E168+"BYw!%^#"</f>
        <v>#VALUE!</v>
      </c>
      <c r="IS81" t="e">
        <f>'2.4.Функции'!F168+"BYw!%^$"</f>
        <v>#VALUE!</v>
      </c>
      <c r="IT81" t="e">
        <f>'2.4.Функции'!G168+"BYw!%^%"</f>
        <v>#VALUE!</v>
      </c>
      <c r="IU81" t="e">
        <f>'2.4.Функции'!H168+"BYw!%^&amp;"</f>
        <v>#VALUE!</v>
      </c>
      <c r="IV81" t="e">
        <f>'2.4.Функции'!I168+"BYw!%^'"</f>
        <v>#VALUE!</v>
      </c>
    </row>
    <row r="82" spans="6:256" x14ac:dyDescent="0.2">
      <c r="F82" t="e">
        <f>'2.4.Функции'!J168+"BYw!%^("</f>
        <v>#VALUE!</v>
      </c>
      <c r="G82" t="e">
        <f>'2.4.Функции'!K168+"BYw!%^)"</f>
        <v>#VALUE!</v>
      </c>
      <c r="H82" t="e">
        <f>'2.4.Функции'!L168+"BYw!%^."</f>
        <v>#VALUE!</v>
      </c>
      <c r="I82" t="e">
        <f>'2.4.Функции'!M168+"BYw!%^/"</f>
        <v>#VALUE!</v>
      </c>
      <c r="J82" t="e">
        <f>'2.4.Функции'!N168+"BYw!%^0"</f>
        <v>#VALUE!</v>
      </c>
      <c r="K82" t="e">
        <f>'2.4.Функции'!O168+"BYw!%^1"</f>
        <v>#VALUE!</v>
      </c>
      <c r="L82" t="e">
        <f>'2.4.Функции'!P168+"BYw!%^2"</f>
        <v>#VALUE!</v>
      </c>
      <c r="M82" t="e">
        <f>'2.4.Функции'!Q168+"BYw!%^3"</f>
        <v>#VALUE!</v>
      </c>
      <c r="N82" t="e">
        <f>'2.4.Функции'!R168+"BYw!%^4"</f>
        <v>#VALUE!</v>
      </c>
      <c r="O82" t="e">
        <f>'2.4.Функции'!S168+"BYw!%^5"</f>
        <v>#VALUE!</v>
      </c>
      <c r="P82" t="e">
        <f>'2.4.Функции'!T168+"BYw!%^6"</f>
        <v>#VALUE!</v>
      </c>
      <c r="Q82" t="e">
        <f>'2.4.Функции'!U168+"BYw!%^7"</f>
        <v>#VALUE!</v>
      </c>
      <c r="R82" t="e">
        <f>'2.4.Функции'!V168+"BYw!%^8"</f>
        <v>#VALUE!</v>
      </c>
      <c r="S82" t="e">
        <f>'2.4.Функции'!W168+"BYw!%^9"</f>
        <v>#VALUE!</v>
      </c>
      <c r="T82" t="e">
        <f>'2.4.Функции'!X168+"BYw!%^:"</f>
        <v>#VALUE!</v>
      </c>
      <c r="U82" t="e">
        <f>'2.4.Функции'!Y168+"BYw!%^;"</f>
        <v>#VALUE!</v>
      </c>
      <c r="V82" t="e">
        <f>'2.4.Функции'!Z168+"BYw!%^&lt;"</f>
        <v>#VALUE!</v>
      </c>
      <c r="W82" t="e">
        <f>'2.4.Функции'!AA168+"BYw!%^="</f>
        <v>#VALUE!</v>
      </c>
      <c r="X82" t="e">
        <f>'2.4.Функции'!AB168+"BYw!%^&gt;"</f>
        <v>#VALUE!</v>
      </c>
      <c r="Y82" t="e">
        <f>'2.4.Функции'!AC168+"BYw!%^?"</f>
        <v>#VALUE!</v>
      </c>
      <c r="Z82" t="e">
        <f>'2.4.Функции'!B169+"BYw!%^@"</f>
        <v>#VALUE!</v>
      </c>
      <c r="AA82" t="e">
        <f>'2.4.Функции'!C169+"BYw!%^A"</f>
        <v>#VALUE!</v>
      </c>
      <c r="AB82" s="118" t="e">
        <f>'2.4.Функции'!D169+"BYw!%^B"</f>
        <v>#VALUE!</v>
      </c>
      <c r="AC82" s="118" t="e">
        <f>'2.4.Функции'!E169+"BYw!%^C"</f>
        <v>#VALUE!</v>
      </c>
      <c r="AD82" s="118" t="e">
        <f>'2.4.Функции'!F169+"BYw!%^D"</f>
        <v>#VALUE!</v>
      </c>
      <c r="AE82" s="118" t="e">
        <f>'2.4.Функции'!G169+"BYw!%^E"</f>
        <v>#VALUE!</v>
      </c>
      <c r="AF82" s="118" t="e">
        <f>'2.4.Функции'!H169+"BYw!%^F"</f>
        <v>#VALUE!</v>
      </c>
      <c r="AG82" s="118" t="e">
        <f>'2.4.Функции'!I169+"BYw!%^G"</f>
        <v>#VALUE!</v>
      </c>
      <c r="AH82" s="118" t="e">
        <f>'2.4.Функции'!J169+"BYw!%^H"</f>
        <v>#VALUE!</v>
      </c>
      <c r="AI82" s="118" t="e">
        <f>'2.4.Функции'!K169+"BYw!%^I"</f>
        <v>#VALUE!</v>
      </c>
      <c r="AJ82" t="e">
        <f>'2.4.Функции'!L169+"BYw!%^J"</f>
        <v>#VALUE!</v>
      </c>
      <c r="AK82" t="e">
        <f>'2.4.Функции'!M169+"BYw!%^K"</f>
        <v>#VALUE!</v>
      </c>
      <c r="AL82" t="e">
        <f>'2.4.Функции'!N169+"BYw!%^L"</f>
        <v>#VALUE!</v>
      </c>
      <c r="AM82" t="e">
        <f>'2.4.Функции'!O169+"BYw!%^M"</f>
        <v>#VALUE!</v>
      </c>
      <c r="AN82" t="e">
        <f>'2.4.Функции'!P169+"BYw!%^N"</f>
        <v>#VALUE!</v>
      </c>
      <c r="AO82" t="e">
        <f>'2.4.Функции'!Q169+"BYw!%^O"</f>
        <v>#VALUE!</v>
      </c>
      <c r="AP82" t="e">
        <f>'2.4.Функции'!R169+"BYw!%^P"</f>
        <v>#VALUE!</v>
      </c>
      <c r="AQ82" t="e">
        <f>'2.4.Функции'!S169+"BYw!%^Q"</f>
        <v>#VALUE!</v>
      </c>
      <c r="AR82" t="e">
        <f>'2.4.Функции'!T169+"BYw!%^R"</f>
        <v>#VALUE!</v>
      </c>
      <c r="AS82" t="e">
        <f>'2.4.Функции'!U169+"BYw!%^S"</f>
        <v>#VALUE!</v>
      </c>
      <c r="AT82" t="e">
        <f>'2.4.Функции'!V169+"BYw!%^T"</f>
        <v>#VALUE!</v>
      </c>
      <c r="AU82" t="e">
        <f>'2.4.Функции'!W169+"BYw!%^U"</f>
        <v>#VALUE!</v>
      </c>
      <c r="AV82" t="e">
        <f>'2.4.Функции'!X169+"BYw!%^V"</f>
        <v>#VALUE!</v>
      </c>
      <c r="AW82" t="e">
        <f>'2.4.Функции'!Y169+"BYw!%^W"</f>
        <v>#VALUE!</v>
      </c>
      <c r="AX82" t="e">
        <f>'2.4.Функции'!Z169+"BYw!%^X"</f>
        <v>#VALUE!</v>
      </c>
      <c r="AY82" t="e">
        <f>'2.4.Функции'!AA169+"BYw!%^Y"</f>
        <v>#VALUE!</v>
      </c>
      <c r="AZ82" t="e">
        <f>'2.4.Функции'!AB169+"BYw!%^Z"</f>
        <v>#VALUE!</v>
      </c>
      <c r="BA82" t="e">
        <f>'2.4.Функции'!AC169+"BYw!%^["</f>
        <v>#VALUE!</v>
      </c>
      <c r="BB82" t="e">
        <f>'2.4.Функции'!B170+"BYw!%^\"</f>
        <v>#VALUE!</v>
      </c>
      <c r="BC82" t="e">
        <f>'2.4.Функции'!C170+"BYw!%^]"</f>
        <v>#VALUE!</v>
      </c>
      <c r="BD82" s="118" t="e">
        <f>'2.4.Функции'!D170+"BYw!%^^"</f>
        <v>#VALUE!</v>
      </c>
      <c r="BE82" s="118" t="e">
        <f>'2.4.Функции'!E170+"BYw!%^_"</f>
        <v>#VALUE!</v>
      </c>
      <c r="BF82" s="118" t="e">
        <f>'2.4.Функции'!F170+"BYw!%^`"</f>
        <v>#VALUE!</v>
      </c>
      <c r="BG82" s="118" t="e">
        <f>'2.4.Функции'!G170+"BYw!%^a"</f>
        <v>#VALUE!</v>
      </c>
      <c r="BH82" s="118" t="e">
        <f>'2.4.Функции'!H170+"BYw!%^b"</f>
        <v>#VALUE!</v>
      </c>
      <c r="BI82" s="118" t="e">
        <f>'2.4.Функции'!I170+"BYw!%^c"</f>
        <v>#VALUE!</v>
      </c>
      <c r="BJ82" s="118" t="e">
        <f>'2.4.Функции'!J170+"BYw!%^d"</f>
        <v>#VALUE!</v>
      </c>
      <c r="BK82" s="118" t="e">
        <f>'2.4.Функции'!K170+"BYw!%^e"</f>
        <v>#VALUE!</v>
      </c>
      <c r="BL82" t="e">
        <f>'2.4.Функции'!L170+"BYw!%^f"</f>
        <v>#VALUE!</v>
      </c>
      <c r="BM82" t="e">
        <f>'2.4.Функции'!M170+"BYw!%^g"</f>
        <v>#VALUE!</v>
      </c>
      <c r="BN82" t="e">
        <f>'2.4.Функции'!N170+"BYw!%^h"</f>
        <v>#VALUE!</v>
      </c>
      <c r="BO82" t="e">
        <f>'2.4.Функции'!O170+"BYw!%^i"</f>
        <v>#VALUE!</v>
      </c>
      <c r="BP82" t="e">
        <f>'2.4.Функции'!P170+"BYw!%^j"</f>
        <v>#VALUE!</v>
      </c>
      <c r="BQ82" t="e">
        <f>'2.4.Функции'!Q170+"BYw!%^k"</f>
        <v>#VALUE!</v>
      </c>
      <c r="BR82" t="e">
        <f>'2.4.Функции'!R170+"BYw!%^l"</f>
        <v>#VALUE!</v>
      </c>
      <c r="BS82" t="e">
        <f>'2.4.Функции'!S170+"BYw!%^m"</f>
        <v>#VALUE!</v>
      </c>
      <c r="BT82" t="e">
        <f>'2.4.Функции'!T170+"BYw!%^n"</f>
        <v>#VALUE!</v>
      </c>
      <c r="BU82" t="e">
        <f>'2.4.Функции'!U170+"BYw!%^o"</f>
        <v>#VALUE!</v>
      </c>
      <c r="BV82" t="e">
        <f>'2.4.Функции'!V170+"BYw!%^p"</f>
        <v>#VALUE!</v>
      </c>
      <c r="BW82" t="e">
        <f>'2.4.Функции'!W170+"BYw!%^q"</f>
        <v>#VALUE!</v>
      </c>
      <c r="BX82" t="e">
        <f>'2.4.Функции'!X170+"BYw!%^r"</f>
        <v>#VALUE!</v>
      </c>
      <c r="BY82" t="e">
        <f>'2.4.Функции'!Y170+"BYw!%^s"</f>
        <v>#VALUE!</v>
      </c>
      <c r="BZ82" t="e">
        <f>'2.4.Функции'!Z170+"BYw!%^t"</f>
        <v>#VALUE!</v>
      </c>
      <c r="CA82" t="e">
        <f>'2.4.Функции'!AA170+"BYw!%^u"</f>
        <v>#VALUE!</v>
      </c>
      <c r="CB82" t="e">
        <f>'2.4.Функции'!AB170+"BYw!%^v"</f>
        <v>#VALUE!</v>
      </c>
      <c r="CC82" t="e">
        <f>'2.4.Функции'!AC170+"BYw!%^w"</f>
        <v>#VALUE!</v>
      </c>
      <c r="CD82" s="116" t="e">
        <f>'2.4.Функции'!B171+"BYw!%^x"</f>
        <v>#VALUE!</v>
      </c>
      <c r="CE82" t="e">
        <f>'2.4.Функции'!C171+"BYw!%^y"</f>
        <v>#VALUE!</v>
      </c>
      <c r="CF82" t="e">
        <f>'2.4.Функции'!D171+"BYw!%^z"</f>
        <v>#VALUE!</v>
      </c>
      <c r="CG82" t="e">
        <f>'2.4.Функции'!E171+"BYw!%^{"</f>
        <v>#VALUE!</v>
      </c>
      <c r="CH82" t="e">
        <f>'2.4.Функции'!F171+"BYw!%^|"</f>
        <v>#VALUE!</v>
      </c>
      <c r="CI82" t="e">
        <f>'2.4.Функции'!G171+"BYw!%^}"</f>
        <v>#VALUE!</v>
      </c>
      <c r="CJ82" t="e">
        <f>'2.4.Функции'!H171+"BYw!%^~"</f>
        <v>#VALUE!</v>
      </c>
      <c r="CK82" t="e">
        <f>'2.4.Функции'!I171+"BYw!%_#"</f>
        <v>#VALUE!</v>
      </c>
      <c r="CL82" t="e">
        <f>'2.4.Функции'!J171+"BYw!%_$"</f>
        <v>#VALUE!</v>
      </c>
      <c r="CM82" s="119" t="e">
        <f>'2.4.Функции'!K171+"BYw!%_%"</f>
        <v>#VALUE!</v>
      </c>
      <c r="CN82" t="e">
        <f>'2.4.Функции'!L171+"BYw!%_&amp;"</f>
        <v>#VALUE!</v>
      </c>
      <c r="CO82" t="e">
        <f>'2.4.Функции'!M171+"BYw!%_'"</f>
        <v>#VALUE!</v>
      </c>
      <c r="CP82" t="e">
        <f>'2.4.Функции'!N171+"BYw!%_("</f>
        <v>#VALUE!</v>
      </c>
      <c r="CQ82" t="e">
        <f>'2.4.Функции'!O171+"BYw!%_)"</f>
        <v>#VALUE!</v>
      </c>
      <c r="CR82" t="e">
        <f>'2.4.Функции'!P171+"BYw!%_."</f>
        <v>#VALUE!</v>
      </c>
      <c r="CS82" t="e">
        <f>'2.4.Функции'!Q171+"BYw!%_/"</f>
        <v>#VALUE!</v>
      </c>
      <c r="CT82" t="e">
        <f>'2.4.Функции'!R171+"BYw!%_0"</f>
        <v>#VALUE!</v>
      </c>
      <c r="CU82" t="e">
        <f>'2.4.Функции'!S171+"BYw!%_1"</f>
        <v>#VALUE!</v>
      </c>
      <c r="CV82" t="e">
        <f>'2.4.Функции'!T171+"BYw!%_2"</f>
        <v>#VALUE!</v>
      </c>
      <c r="CW82" t="e">
        <f>'2.4.Функции'!U171+"BYw!%_3"</f>
        <v>#VALUE!</v>
      </c>
      <c r="CX82" t="e">
        <f>'2.4.Функции'!V171+"BYw!%_4"</f>
        <v>#VALUE!</v>
      </c>
      <c r="CY82" t="e">
        <f>'2.4.Функции'!W171+"BYw!%_5"</f>
        <v>#VALUE!</v>
      </c>
      <c r="CZ82" t="e">
        <f>'2.4.Функции'!X171+"BYw!%_6"</f>
        <v>#VALUE!</v>
      </c>
      <c r="DA82" t="e">
        <f>'2.4.Функции'!Y171+"BYw!%_7"</f>
        <v>#VALUE!</v>
      </c>
      <c r="DB82" t="e">
        <f>'2.4.Функции'!Z171+"BYw!%_8"</f>
        <v>#VALUE!</v>
      </c>
      <c r="DC82" t="e">
        <f>'2.4.Функции'!AA171+"BYw!%_9"</f>
        <v>#VALUE!</v>
      </c>
      <c r="DD82" t="e">
        <f>'2.4.Функции'!AB171+"BYw!%_:"</f>
        <v>#VALUE!</v>
      </c>
      <c r="DE82" t="e">
        <f>'2.4.Функции'!AC171+"BYw!%_;"</f>
        <v>#VALUE!</v>
      </c>
      <c r="DF82" t="e">
        <f>'2.4.Функции'!A172+"BYw!%_&lt;"</f>
        <v>#VALUE!</v>
      </c>
      <c r="DG82" s="116" t="e">
        <f>'2.4.Функции'!B172+"BYw!%_="</f>
        <v>#VALUE!</v>
      </c>
      <c r="DH82" t="e">
        <f>'2.4.Функции'!C172+"BYw!%_&gt;"</f>
        <v>#VALUE!</v>
      </c>
      <c r="DI82" t="e">
        <f>'2.4.Функции'!D172+"BYw!%_?"</f>
        <v>#VALUE!</v>
      </c>
      <c r="DJ82" t="e">
        <f>'2.4.Функции'!E172+"BYw!%_@"</f>
        <v>#VALUE!</v>
      </c>
      <c r="DK82" t="e">
        <f>'2.4.Функции'!F172+"BYw!%_A"</f>
        <v>#VALUE!</v>
      </c>
      <c r="DL82" t="e">
        <f>'2.4.Функции'!G172+"BYw!%_B"</f>
        <v>#VALUE!</v>
      </c>
      <c r="DM82" t="e">
        <f>'2.4.Функции'!H172+"BYw!%_C"</f>
        <v>#VALUE!</v>
      </c>
      <c r="DN82" t="e">
        <f>'2.4.Функции'!I172+"BYw!%_D"</f>
        <v>#VALUE!</v>
      </c>
      <c r="DO82" t="e">
        <f>'2.4.Функции'!J172+"BYw!%_E"</f>
        <v>#VALUE!</v>
      </c>
      <c r="DP82" s="119" t="e">
        <f>'2.4.Функции'!K172+"BYw!%_F"</f>
        <v>#VALUE!</v>
      </c>
      <c r="DQ82" t="e">
        <f>'2.4.Функции'!L172+"BYw!%_G"</f>
        <v>#VALUE!</v>
      </c>
      <c r="DR82" t="e">
        <f>'2.4.Функции'!M172+"BYw!%_H"</f>
        <v>#VALUE!</v>
      </c>
      <c r="DS82" t="e">
        <f>'2.4.Функции'!N172+"BYw!%_I"</f>
        <v>#VALUE!</v>
      </c>
      <c r="DT82" t="e">
        <f>'2.4.Функции'!O172+"BYw!%_J"</f>
        <v>#VALUE!</v>
      </c>
      <c r="DU82" t="e">
        <f>'2.4.Функции'!P172+"BYw!%_K"</f>
        <v>#VALUE!</v>
      </c>
      <c r="DV82" t="e">
        <f>'2.4.Функции'!Q172+"BYw!%_L"</f>
        <v>#VALUE!</v>
      </c>
      <c r="DW82" t="e">
        <f>'2.4.Функции'!R172+"BYw!%_M"</f>
        <v>#VALUE!</v>
      </c>
      <c r="DX82" t="e">
        <f>'2.4.Функции'!S172+"BYw!%_N"</f>
        <v>#VALUE!</v>
      </c>
      <c r="DY82" t="e">
        <f>'2.4.Функции'!T172+"BYw!%_O"</f>
        <v>#VALUE!</v>
      </c>
      <c r="DZ82" t="e">
        <f>'2.4.Функции'!U172+"BYw!%_P"</f>
        <v>#VALUE!</v>
      </c>
      <c r="EA82" t="e">
        <f>'2.4.Функции'!V172+"BYw!%_Q"</f>
        <v>#VALUE!</v>
      </c>
      <c r="EB82" t="e">
        <f>'2.4.Функции'!W172+"BYw!%_R"</f>
        <v>#VALUE!</v>
      </c>
      <c r="EC82" t="e">
        <f>'2.4.Функции'!X172+"BYw!%_S"</f>
        <v>#VALUE!</v>
      </c>
      <c r="ED82" t="e">
        <f>'2.4.Функции'!Y172+"BYw!%_T"</f>
        <v>#VALUE!</v>
      </c>
      <c r="EE82" t="e">
        <f>'2.4.Функции'!Z172+"BYw!%_U"</f>
        <v>#VALUE!</v>
      </c>
      <c r="EF82" t="e">
        <f>'2.4.Функции'!AA172+"BYw!%_V"</f>
        <v>#VALUE!</v>
      </c>
      <c r="EG82" t="e">
        <f>'2.4.Функции'!AB172+"BYw!%_W"</f>
        <v>#VALUE!</v>
      </c>
      <c r="EH82" t="e">
        <f>'2.4.Функции'!AC172+"BYw!%_X"</f>
        <v>#VALUE!</v>
      </c>
      <c r="EI82" t="e">
        <f>'2.4.Функции'!AD172+"BYw!%_Y"</f>
        <v>#VALUE!</v>
      </c>
      <c r="EJ82" t="e">
        <f>'2.4.Функции'!AE172+"BYw!%_Z"</f>
        <v>#VALUE!</v>
      </c>
      <c r="EK82" t="e">
        <f>'2.4.Функции'!AF172+"BYw!%_["</f>
        <v>#VALUE!</v>
      </c>
      <c r="EL82" t="e">
        <f>'2.4.Функции'!AG172+"BYw!%_\"</f>
        <v>#VALUE!</v>
      </c>
      <c r="EM82" t="e">
        <f>'2.4.Функции'!AH172+"BYw!%_]"</f>
        <v>#VALUE!</v>
      </c>
      <c r="EN82" t="e">
        <f>'2.4.Функции'!AI172+"BYw!%_^"</f>
        <v>#VALUE!</v>
      </c>
      <c r="EO82" t="e">
        <f>'2.4.Функции'!AJ172+"BYw!%__"</f>
        <v>#VALUE!</v>
      </c>
      <c r="EP82" t="e">
        <f>'2.4.Функции'!AK172+"BYw!%_`"</f>
        <v>#VALUE!</v>
      </c>
      <c r="EQ82" t="e">
        <f>'2.4.Функции'!AL172+"BYw!%_a"</f>
        <v>#VALUE!</v>
      </c>
      <c r="ER82" t="e">
        <f>'2.4.Функции'!AM172+"BYw!%_b"</f>
        <v>#VALUE!</v>
      </c>
      <c r="ES82" t="e">
        <f>'2.4.Функции'!AN172+"BYw!%_c"</f>
        <v>#VALUE!</v>
      </c>
      <c r="ET82" t="e">
        <f>'2.4.Функции'!AO172+"BYw!%_d"</f>
        <v>#VALUE!</v>
      </c>
      <c r="EU82" t="e">
        <f>'2.4.Функции'!AP172+"BYw!%_e"</f>
        <v>#VALUE!</v>
      </c>
      <c r="EV82" t="e">
        <f>'2.4.Функции'!AQ172+"BYw!%_f"</f>
        <v>#VALUE!</v>
      </c>
      <c r="EW82" t="e">
        <f>'2.4.Функции'!AR172+"BYw!%_g"</f>
        <v>#VALUE!</v>
      </c>
      <c r="EX82" t="e">
        <f>'2.4.Функции'!AS172+"BYw!%_h"</f>
        <v>#VALUE!</v>
      </c>
      <c r="EY82" t="e">
        <f>'2.4.Функции'!AT172+"BYw!%_i"</f>
        <v>#VALUE!</v>
      </c>
      <c r="EZ82" t="e">
        <f>'2.4.Функции'!AU172+"BYw!%_j"</f>
        <v>#VALUE!</v>
      </c>
      <c r="FA82" t="e">
        <f>'2.4.Функции'!AV172+"BYw!%_k"</f>
        <v>#VALUE!</v>
      </c>
      <c r="FB82" t="e">
        <f>'2.4.Функции'!AW172+"BYw!%_l"</f>
        <v>#VALUE!</v>
      </c>
      <c r="FC82" t="e">
        <f>'2.4.Функции'!AX172+"BYw!%_m"</f>
        <v>#VALUE!</v>
      </c>
      <c r="FD82" t="e">
        <f>'2.4.Функции'!AY172+"BYw!%_n"</f>
        <v>#VALUE!</v>
      </c>
      <c r="FE82" t="e">
        <f>'2.4.Функции'!AZ172+"BYw!%_o"</f>
        <v>#VALUE!</v>
      </c>
      <c r="FF82" t="e">
        <f>'2.4.Функции'!BA172+"BYw!%_p"</f>
        <v>#VALUE!</v>
      </c>
      <c r="FG82" t="e">
        <f>'2.4.Функции'!BB172+"BYw!%_q"</f>
        <v>#VALUE!</v>
      </c>
      <c r="FH82" t="e">
        <f>'2.4.Функции'!BC172+"BYw!%_r"</f>
        <v>#VALUE!</v>
      </c>
      <c r="FI82" t="e">
        <f>'2.4.Функции'!BD172+"BYw!%_s"</f>
        <v>#VALUE!</v>
      </c>
      <c r="FJ82" t="e">
        <f>'2.4.Функции'!BE172+"BYw!%_t"</f>
        <v>#VALUE!</v>
      </c>
      <c r="FK82" t="e">
        <f>'2.4.Функции'!BF172+"BYw!%_u"</f>
        <v>#VALUE!</v>
      </c>
      <c r="FL82" t="e">
        <f>'2.4.Функции'!BG172+"BYw!%_v"</f>
        <v>#VALUE!</v>
      </c>
      <c r="FM82" t="e">
        <f>'2.4.Функции'!BH172+"BYw!%_w"</f>
        <v>#VALUE!</v>
      </c>
      <c r="FN82" t="e">
        <f>'2.4.Функции'!BI172+"BYw!%_x"</f>
        <v>#VALUE!</v>
      </c>
      <c r="FO82" t="e">
        <f>'2.4.Функции'!BJ172+"BYw!%_y"</f>
        <v>#VALUE!</v>
      </c>
      <c r="FP82" t="e">
        <f>'2.4.Функции'!BK172+"BYw!%_z"</f>
        <v>#VALUE!</v>
      </c>
      <c r="FQ82" t="e">
        <f>'2.4.Функции'!BL172+"BYw!%_{"</f>
        <v>#VALUE!</v>
      </c>
      <c r="FR82" t="e">
        <f>'2.4.Функции'!BM172+"BYw!%_|"</f>
        <v>#VALUE!</v>
      </c>
      <c r="FS82" t="e">
        <f>'2.4.Функции'!BN172+"BYw!%_}"</f>
        <v>#VALUE!</v>
      </c>
      <c r="FT82" t="e">
        <f>'2.4.Функции'!BO172+"BYw!%_~"</f>
        <v>#VALUE!</v>
      </c>
      <c r="FU82" t="e">
        <f>'2.4.Функции'!BP172+"BYw!%`#"</f>
        <v>#VALUE!</v>
      </c>
      <c r="FV82" t="e">
        <f>'2.4.Функции'!BQ172+"BYw!%`$"</f>
        <v>#VALUE!</v>
      </c>
      <c r="FW82" t="e">
        <f>'2.4.Функции'!BR172+"BYw!%`%"</f>
        <v>#VALUE!</v>
      </c>
      <c r="FX82" t="e">
        <f>'2.4.Функции'!BS172+"BYw!%`&amp;"</f>
        <v>#VALUE!</v>
      </c>
      <c r="FY82" t="e">
        <f>'2.4.Функции'!BT172+"BYw!%`'"</f>
        <v>#VALUE!</v>
      </c>
      <c r="FZ82" t="e">
        <f>'2.4.Функции'!BU172+"BYw!%`("</f>
        <v>#VALUE!</v>
      </c>
      <c r="GA82" t="e">
        <f>'2.4.Функции'!BV172+"BYw!%`)"</f>
        <v>#VALUE!</v>
      </c>
      <c r="GB82" t="e">
        <f>'2.4.Функции'!BW172+"BYw!%`."</f>
        <v>#VALUE!</v>
      </c>
      <c r="GC82" t="e">
        <f>'2.4.Функции'!BX172+"BYw!%`/"</f>
        <v>#VALUE!</v>
      </c>
      <c r="GD82" t="e">
        <f>'2.4.Функции'!BY172+"BYw!%`0"</f>
        <v>#VALUE!</v>
      </c>
      <c r="GE82" t="e">
        <f>'2.4.Функции'!BZ172+"BYw!%`1"</f>
        <v>#VALUE!</v>
      </c>
      <c r="GF82" t="e">
        <f>'2.4.Функции'!CA172+"BYw!%`2"</f>
        <v>#VALUE!</v>
      </c>
      <c r="GG82" t="e">
        <f>'2.4.Функции'!CB172+"BYw!%`3"</f>
        <v>#VALUE!</v>
      </c>
      <c r="GH82" t="e">
        <f>'2.4.Функции'!CC172+"BYw!%`4"</f>
        <v>#VALUE!</v>
      </c>
      <c r="GI82" t="e">
        <f>'2.4.Функции'!CD172+"BYw!%`5"</f>
        <v>#VALUE!</v>
      </c>
      <c r="GJ82" t="e">
        <f>'2.4.Функции'!CE172+"BYw!%`6"</f>
        <v>#VALUE!</v>
      </c>
      <c r="GK82" t="e">
        <f>'2.4.Функции'!CF172+"BYw!%`7"</f>
        <v>#VALUE!</v>
      </c>
      <c r="GL82" t="e">
        <f>'2.4.Функции'!CG172+"BYw!%`8"</f>
        <v>#VALUE!</v>
      </c>
      <c r="GM82" t="e">
        <f>'2.4.Функции'!CH172+"BYw!%`9"</f>
        <v>#VALUE!</v>
      </c>
      <c r="GN82" t="e">
        <f>'2.4.Функции'!CI172+"BYw!%`:"</f>
        <v>#VALUE!</v>
      </c>
      <c r="GO82" t="e">
        <f>'2.4.Функции'!CJ172+"BYw!%`;"</f>
        <v>#VALUE!</v>
      </c>
      <c r="GP82" t="e">
        <f>'2.4.Функции'!CK172+"BYw!%`&lt;"</f>
        <v>#VALUE!</v>
      </c>
      <c r="GQ82" t="e">
        <f>'2.4.Функции'!CL172+"BYw!%`="</f>
        <v>#VALUE!</v>
      </c>
      <c r="GR82" t="e">
        <f>'2.4.Функции'!CM172+"BYw!%`&gt;"</f>
        <v>#VALUE!</v>
      </c>
      <c r="GS82" t="e">
        <f>'2.4.Функции'!CN172+"BYw!%`?"</f>
        <v>#VALUE!</v>
      </c>
      <c r="GT82" t="e">
        <f>'2.4.Функции'!CO172+"BYw!%`@"</f>
        <v>#VALUE!</v>
      </c>
      <c r="GU82" t="e">
        <f>'2.4.Функции'!CP172+"BYw!%`A"</f>
        <v>#VALUE!</v>
      </c>
      <c r="GV82" t="e">
        <f>'2.4.Функции'!CQ172+"BYw!%`B"</f>
        <v>#VALUE!</v>
      </c>
      <c r="GW82" t="e">
        <f>'2.4.Функции'!CR172+"BYw!%`C"</f>
        <v>#VALUE!</v>
      </c>
      <c r="GX82" t="e">
        <f>'2.4.Функции'!CS172+"BYw!%`D"</f>
        <v>#VALUE!</v>
      </c>
      <c r="GY82" t="e">
        <f>'2.4.Функции'!CT172+"BYw!%`E"</f>
        <v>#VALUE!</v>
      </c>
      <c r="GZ82" t="e">
        <f>'2.4.Функции'!CU172+"BYw!%`F"</f>
        <v>#VALUE!</v>
      </c>
      <c r="HA82" t="e">
        <f>'2.4.Функции'!CV172+"BYw!%`G"</f>
        <v>#VALUE!</v>
      </c>
      <c r="HB82" t="e">
        <f>'2.4.Функции'!CW172+"BYw!%`H"</f>
        <v>#VALUE!</v>
      </c>
      <c r="HC82" t="e">
        <f>'2.4.Функции'!CX172+"BYw!%`I"</f>
        <v>#VALUE!</v>
      </c>
      <c r="HD82" t="e">
        <f>'2.4.Функции'!CY172+"BYw!%`J"</f>
        <v>#VALUE!</v>
      </c>
      <c r="HE82" t="e">
        <f>'2.4.Функции'!CZ172+"BYw!%`K"</f>
        <v>#VALUE!</v>
      </c>
      <c r="HF82" t="e">
        <f>'2.4.Функции'!DA172+"BYw!%`L"</f>
        <v>#VALUE!</v>
      </c>
      <c r="HG82" t="e">
        <f>'2.4.Функции'!DB172+"BYw!%`M"</f>
        <v>#VALUE!</v>
      </c>
      <c r="HH82" t="e">
        <f>'2.4.Функции'!DC172+"BYw!%`N"</f>
        <v>#VALUE!</v>
      </c>
      <c r="HI82" t="e">
        <f>'2.4.Функции'!DD172+"BYw!%`O"</f>
        <v>#VALUE!</v>
      </c>
      <c r="HJ82" t="e">
        <f>'2.4.Функции'!DE172+"BYw!%`P"</f>
        <v>#VALUE!</v>
      </c>
      <c r="HK82" t="e">
        <f>'2.4.Функции'!DF172+"BYw!%`Q"</f>
        <v>#VALUE!</v>
      </c>
      <c r="HL82" t="e">
        <f>'2.4.Функции'!DG172+"BYw!%`R"</f>
        <v>#VALUE!</v>
      </c>
      <c r="HM82" t="e">
        <f>'2.4.Функции'!DH172+"BYw!%`S"</f>
        <v>#VALUE!</v>
      </c>
      <c r="HN82" t="e">
        <f>'2.4.Функции'!DI172+"BYw!%`T"</f>
        <v>#VALUE!</v>
      </c>
      <c r="HO82" t="e">
        <f>'2.4.Функции'!DJ172+"BYw!%`U"</f>
        <v>#VALUE!</v>
      </c>
      <c r="HP82" t="e">
        <f>'2.4.Функции'!DK172+"BYw!%`V"</f>
        <v>#VALUE!</v>
      </c>
      <c r="HQ82" t="e">
        <f>'2.4.Функции'!DL172+"BYw!%`W"</f>
        <v>#VALUE!</v>
      </c>
      <c r="HR82" t="e">
        <f>'2.4.Функции'!DM172+"BYw!%`X"</f>
        <v>#VALUE!</v>
      </c>
      <c r="HS82" t="e">
        <f>'2.4.Функции'!DN172+"BYw!%`Y"</f>
        <v>#VALUE!</v>
      </c>
      <c r="HT82" t="e">
        <f>'2.4.Функции'!DO172+"BYw!%`Z"</f>
        <v>#VALUE!</v>
      </c>
      <c r="HU82" t="e">
        <f>'2.4.Функции'!DP172+"BYw!%`["</f>
        <v>#VALUE!</v>
      </c>
      <c r="HV82" t="e">
        <f>'2.4.Функции'!DQ172+"BYw!%`\"</f>
        <v>#VALUE!</v>
      </c>
      <c r="HW82" t="e">
        <f>'2.4.Функции'!DR172+"BYw!%`]"</f>
        <v>#VALUE!</v>
      </c>
      <c r="HX82" t="e">
        <f>'2.4.Функции'!DS172+"BYw!%`^"</f>
        <v>#VALUE!</v>
      </c>
      <c r="HY82" t="e">
        <f>'2.4.Функции'!DT172+"BYw!%`_"</f>
        <v>#VALUE!</v>
      </c>
      <c r="HZ82" t="e">
        <f>'2.4.Функции'!DU172+"BYw!%``"</f>
        <v>#VALUE!</v>
      </c>
      <c r="IA82" t="e">
        <f>'2.4.Функции'!DV172+"BYw!%`a"</f>
        <v>#VALUE!</v>
      </c>
      <c r="IB82" t="e">
        <f>'2.4.Функции'!DW172+"BYw!%`b"</f>
        <v>#VALUE!</v>
      </c>
      <c r="IC82" t="e">
        <f>'2.4.Функции'!DX172+"BYw!%`c"</f>
        <v>#VALUE!</v>
      </c>
      <c r="ID82" t="e">
        <f>'2.4.Функции'!DY172+"BYw!%`d"</f>
        <v>#VALUE!</v>
      </c>
      <c r="IE82" t="e">
        <f>'2.4.Функции'!DZ172+"BYw!%`e"</f>
        <v>#VALUE!</v>
      </c>
      <c r="IF82" t="e">
        <f>'2.4.Функции'!EA172+"BYw!%`f"</f>
        <v>#VALUE!</v>
      </c>
      <c r="IG82" t="e">
        <f>'2.4.Функции'!EB172+"BYw!%`g"</f>
        <v>#VALUE!</v>
      </c>
      <c r="IH82" t="e">
        <f>'2.4.Функции'!EC172+"BYw!%`h"</f>
        <v>#VALUE!</v>
      </c>
      <c r="II82" t="e">
        <f>'2.4.Функции'!ED172+"BYw!%`i"</f>
        <v>#VALUE!</v>
      </c>
      <c r="IJ82" t="e">
        <f>'2.4.Функции'!EE172+"BYw!%`j"</f>
        <v>#VALUE!</v>
      </c>
      <c r="IK82" t="e">
        <f>'2.4.Функции'!EF172+"BYw!%`k"</f>
        <v>#VALUE!</v>
      </c>
      <c r="IL82" t="e">
        <f>'2.4.Функции'!EG172+"BYw!%`l"</f>
        <v>#VALUE!</v>
      </c>
      <c r="IM82" t="e">
        <f>'2.4.Функции'!EH172+"BYw!%`m"</f>
        <v>#VALUE!</v>
      </c>
      <c r="IN82" t="e">
        <f>'2.4.Функции'!EI172+"BYw!%`n"</f>
        <v>#VALUE!</v>
      </c>
      <c r="IO82" t="e">
        <f>'2.4.Функции'!EJ172+"BYw!%`o"</f>
        <v>#VALUE!</v>
      </c>
      <c r="IP82" t="e">
        <f>'2.4.Функции'!EK172+"BYw!%`p"</f>
        <v>#VALUE!</v>
      </c>
      <c r="IQ82" t="e">
        <f>'2.4.Функции'!EL172+"BYw!%`q"</f>
        <v>#VALUE!</v>
      </c>
      <c r="IR82" t="e">
        <f>'2.4.Функции'!EM172+"BYw!%`r"</f>
        <v>#VALUE!</v>
      </c>
      <c r="IS82" t="e">
        <f>'2.4.Функции'!EN172+"BYw!%`s"</f>
        <v>#VALUE!</v>
      </c>
      <c r="IT82" t="e">
        <f>'2.4.Функции'!EO172+"BYw!%`t"</f>
        <v>#VALUE!</v>
      </c>
      <c r="IU82" t="e">
        <f>'2.4.Функции'!EP172+"BYw!%`u"</f>
        <v>#VALUE!</v>
      </c>
      <c r="IV82" t="e">
        <f>'2.4.Функции'!EQ172+"BYw!%`v"</f>
        <v>#VALUE!</v>
      </c>
    </row>
    <row r="83" spans="6:256" x14ac:dyDescent="0.2">
      <c r="F83" t="e">
        <f>'2.4.Функции'!ER172+"BYw!%`w"</f>
        <v>#VALUE!</v>
      </c>
      <c r="G83" t="e">
        <f>'2.4.Функции'!ES172+"BYw!%`x"</f>
        <v>#VALUE!</v>
      </c>
      <c r="H83" t="e">
        <f>'2.4.Функции'!ET172+"BYw!%`y"</f>
        <v>#VALUE!</v>
      </c>
      <c r="I83" t="e">
        <f>'2.4.Функции'!EU172+"BYw!%`z"</f>
        <v>#VALUE!</v>
      </c>
      <c r="J83" t="e">
        <f>'2.4.Функции'!EV172+"BYw!%`{"</f>
        <v>#VALUE!</v>
      </c>
      <c r="K83" t="e">
        <f>'2.4.Функции'!EW172+"BYw!%`|"</f>
        <v>#VALUE!</v>
      </c>
      <c r="L83" t="e">
        <f>'2.4.Функции'!EX172+"BYw!%`}"</f>
        <v>#VALUE!</v>
      </c>
      <c r="M83" t="e">
        <f>'2.4.Функции'!EY172+"BYw!%`~"</f>
        <v>#VALUE!</v>
      </c>
      <c r="N83" t="e">
        <f>'2.4.Функции'!EZ172+"BYw!%a#"</f>
        <v>#VALUE!</v>
      </c>
      <c r="O83" t="e">
        <f>'2.4.Функции'!FA172+"BYw!%a$"</f>
        <v>#VALUE!</v>
      </c>
      <c r="P83" t="e">
        <f>'2.4.Функции'!FB172+"BYw!%a%"</f>
        <v>#VALUE!</v>
      </c>
      <c r="Q83" t="e">
        <f>'2.4.Функции'!FC172+"BYw!%a&amp;"</f>
        <v>#VALUE!</v>
      </c>
      <c r="R83" t="e">
        <f>'2.4.Функции'!FD172+"BYw!%a'"</f>
        <v>#VALUE!</v>
      </c>
      <c r="S83" t="e">
        <f>'2.4.Функции'!FE172+"BYw!%a("</f>
        <v>#VALUE!</v>
      </c>
      <c r="T83" t="e">
        <f>'2.4.Функции'!FF172+"BYw!%a)"</f>
        <v>#VALUE!</v>
      </c>
      <c r="U83" t="e">
        <f>'2.4.Функции'!FG172+"BYw!%a."</f>
        <v>#VALUE!</v>
      </c>
      <c r="V83" t="e">
        <f>'2.4.Функции'!FH172+"BYw!%a/"</f>
        <v>#VALUE!</v>
      </c>
      <c r="W83" t="e">
        <f>'2.4.Функции'!FI172+"BYw!%a0"</f>
        <v>#VALUE!</v>
      </c>
      <c r="X83" t="e">
        <f>'2.4.Функции'!FJ172+"BYw!%a1"</f>
        <v>#VALUE!</v>
      </c>
      <c r="Y83" t="e">
        <f>'2.4.Функции'!FK172+"BYw!%a2"</f>
        <v>#VALUE!</v>
      </c>
      <c r="Z83" t="e">
        <f>'2.4.Функции'!FL172+"BYw!%a3"</f>
        <v>#VALUE!</v>
      </c>
      <c r="AA83" t="e">
        <f>'2.4.Функции'!FM172+"BYw!%a4"</f>
        <v>#VALUE!</v>
      </c>
      <c r="AB83" t="e">
        <f>'2.4.Функции'!FN172+"BYw!%a5"</f>
        <v>#VALUE!</v>
      </c>
      <c r="AC83" t="e">
        <f>'2.4.Функции'!FO172+"BYw!%a6"</f>
        <v>#VALUE!</v>
      </c>
      <c r="AD83" t="e">
        <f>'2.4.Функции'!FP172+"BYw!%a7"</f>
        <v>#VALUE!</v>
      </c>
      <c r="AE83" t="e">
        <f>'2.4.Функции'!FQ172+"BYw!%a8"</f>
        <v>#VALUE!</v>
      </c>
      <c r="AF83" t="e">
        <f>'2.4.Функции'!FR172+"BYw!%a9"</f>
        <v>#VALUE!</v>
      </c>
      <c r="AG83" t="e">
        <f>'2.4.Функции'!FS172+"BYw!%a:"</f>
        <v>#VALUE!</v>
      </c>
      <c r="AH83" t="e">
        <f>'2.4.Функции'!FT172+"BYw!%a;"</f>
        <v>#VALUE!</v>
      </c>
      <c r="AI83" t="e">
        <f>'2.4.Функции'!FU172+"BYw!%a&lt;"</f>
        <v>#VALUE!</v>
      </c>
      <c r="AJ83" t="e">
        <f>'2.4.Функции'!FV172+"BYw!%a="</f>
        <v>#VALUE!</v>
      </c>
      <c r="AK83" t="e">
        <f>'2.4.Функции'!FW172+"BYw!%a&gt;"</f>
        <v>#VALUE!</v>
      </c>
      <c r="AL83" t="e">
        <f>'2.4.Функции'!FX172+"BYw!%a?"</f>
        <v>#VALUE!</v>
      </c>
      <c r="AM83" t="e">
        <f>'2.4.Функции'!FY172+"BYw!%a@"</f>
        <v>#VALUE!</v>
      </c>
      <c r="AN83" t="e">
        <f>'2.4.Функции'!FZ172+"BYw!%aA"</f>
        <v>#VALUE!</v>
      </c>
      <c r="AO83" t="e">
        <f>'2.4.Функции'!GA172+"BYw!%aB"</f>
        <v>#VALUE!</v>
      </c>
      <c r="AP83" t="e">
        <f>'2.4.Функции'!GB172+"BYw!%aC"</f>
        <v>#VALUE!</v>
      </c>
      <c r="AQ83" t="e">
        <f>'2.4.Функции'!GC172+"BYw!%aD"</f>
        <v>#VALUE!</v>
      </c>
      <c r="AR83" t="e">
        <f>'2.4.Функции'!GD172+"BYw!%aE"</f>
        <v>#VALUE!</v>
      </c>
      <c r="AS83" t="e">
        <f>'2.4.Функции'!GE172+"BYw!%aF"</f>
        <v>#VALUE!</v>
      </c>
      <c r="AT83" t="e">
        <f>'2.4.Функции'!GF172+"BYw!%aG"</f>
        <v>#VALUE!</v>
      </c>
      <c r="AU83" t="e">
        <f>'2.4.Функции'!GG172+"BYw!%aH"</f>
        <v>#VALUE!</v>
      </c>
      <c r="AV83" t="e">
        <f>'2.4.Функции'!GH172+"BYw!%aI"</f>
        <v>#VALUE!</v>
      </c>
      <c r="AW83" t="e">
        <f>'2.4.Функции'!GI172+"BYw!%aJ"</f>
        <v>#VALUE!</v>
      </c>
      <c r="AX83" t="e">
        <f>'2.4.Функции'!GJ172+"BYw!%aK"</f>
        <v>#VALUE!</v>
      </c>
      <c r="AY83" t="e">
        <f>'2.4.Функции'!GK172+"BYw!%aL"</f>
        <v>#VALUE!</v>
      </c>
      <c r="AZ83" t="e">
        <f>'2.4.Функции'!GL172+"BYw!%aM"</f>
        <v>#VALUE!</v>
      </c>
      <c r="BA83" t="e">
        <f>'2.4.Функции'!GM172+"BYw!%aN"</f>
        <v>#VALUE!</v>
      </c>
      <c r="BB83" t="e">
        <f>'2.4.Функции'!GN172+"BYw!%aO"</f>
        <v>#VALUE!</v>
      </c>
      <c r="BC83" t="e">
        <f>'2.4.Функции'!GO172+"BYw!%aP"</f>
        <v>#VALUE!</v>
      </c>
      <c r="BD83" t="e">
        <f>'2.4.Функции'!GP172+"BYw!%aQ"</f>
        <v>#VALUE!</v>
      </c>
      <c r="BE83" t="e">
        <f>'2.4.Функции'!GQ172+"BYw!%aR"</f>
        <v>#VALUE!</v>
      </c>
      <c r="BF83" t="e">
        <f>'2.4.Функции'!GR172+"BYw!%aS"</f>
        <v>#VALUE!</v>
      </c>
      <c r="BG83" t="e">
        <f>'2.4.Функции'!GS172+"BYw!%aT"</f>
        <v>#VALUE!</v>
      </c>
      <c r="BH83" t="e">
        <f>'2.4.Функции'!GT172+"BYw!%aU"</f>
        <v>#VALUE!</v>
      </c>
      <c r="BI83" t="e">
        <f>'2.4.Функции'!GU172+"BYw!%aV"</f>
        <v>#VALUE!</v>
      </c>
      <c r="BJ83" t="e">
        <f>'2.4.Функции'!GV172+"BYw!%aW"</f>
        <v>#VALUE!</v>
      </c>
      <c r="BK83" t="e">
        <f>'2.4.Функции'!GW172+"BYw!%aX"</f>
        <v>#VALUE!</v>
      </c>
      <c r="BL83" t="e">
        <f>'2.4.Функции'!GX172+"BYw!%aY"</f>
        <v>#VALUE!</v>
      </c>
      <c r="BM83" t="e">
        <f>'2.4.Функции'!GY172+"BYw!%aZ"</f>
        <v>#VALUE!</v>
      </c>
      <c r="BN83" t="e">
        <f>'2.4.Функции'!GZ172+"BYw!%a["</f>
        <v>#VALUE!</v>
      </c>
      <c r="BO83" t="e">
        <f>'2.4.Функции'!HA172+"BYw!%a\"</f>
        <v>#VALUE!</v>
      </c>
      <c r="BP83" t="e">
        <f>'2.4.Функции'!HB172+"BYw!%a]"</f>
        <v>#VALUE!</v>
      </c>
      <c r="BQ83" t="e">
        <f>'2.4.Функции'!HC172+"BYw!%a^"</f>
        <v>#VALUE!</v>
      </c>
      <c r="BR83" t="e">
        <f>'2.4.Функции'!HD172+"BYw!%a_"</f>
        <v>#VALUE!</v>
      </c>
      <c r="BS83" t="e">
        <f>'2.4.Функции'!HE172+"BYw!%a`"</f>
        <v>#VALUE!</v>
      </c>
      <c r="BT83" t="e">
        <f>'2.4.Функции'!HF172+"BYw!%aa"</f>
        <v>#VALUE!</v>
      </c>
      <c r="BU83" t="e">
        <f>'2.4.Функции'!HG172+"BYw!%ab"</f>
        <v>#VALUE!</v>
      </c>
      <c r="BV83" t="e">
        <f>'2.4.Функции'!HH172+"BYw!%ac"</f>
        <v>#VALUE!</v>
      </c>
      <c r="BW83" t="e">
        <f>'2.4.Функции'!HI172+"BYw!%ad"</f>
        <v>#VALUE!</v>
      </c>
      <c r="BX83" t="e">
        <f>'2.4.Функции'!HJ172+"BYw!%ae"</f>
        <v>#VALUE!</v>
      </c>
      <c r="BY83" t="e">
        <f>'2.4.Функции'!HK172+"BYw!%af"</f>
        <v>#VALUE!</v>
      </c>
      <c r="BZ83" t="e">
        <f>'2.4.Функции'!HL172+"BYw!%ag"</f>
        <v>#VALUE!</v>
      </c>
      <c r="CA83" t="e">
        <f>'2.4.Функции'!HM172+"BYw!%ah"</f>
        <v>#VALUE!</v>
      </c>
      <c r="CB83" t="e">
        <f>'2.4.Функции'!HN172+"BYw!%ai"</f>
        <v>#VALUE!</v>
      </c>
      <c r="CC83" t="e">
        <f>'2.4.Функции'!HO172+"BYw!%aj"</f>
        <v>#VALUE!</v>
      </c>
      <c r="CD83" t="e">
        <f>'2.4.Функции'!HP172+"BYw!%ak"</f>
        <v>#VALUE!</v>
      </c>
      <c r="CE83" t="e">
        <f>'2.4.Функции'!HQ172+"BYw!%al"</f>
        <v>#VALUE!</v>
      </c>
      <c r="CF83" t="e">
        <f>'2.4.Функции'!HR172+"BYw!%am"</f>
        <v>#VALUE!</v>
      </c>
      <c r="CG83" t="e">
        <f>'2.4.Функции'!HS172+"BYw!%an"</f>
        <v>#VALUE!</v>
      </c>
      <c r="CH83" t="e">
        <f>'2.4.Функции'!HT172+"BYw!%ao"</f>
        <v>#VALUE!</v>
      </c>
      <c r="CI83" t="e">
        <f>'2.4.Функции'!HU172+"BYw!%ap"</f>
        <v>#VALUE!</v>
      </c>
      <c r="CJ83" t="e">
        <f>'2.4.Функции'!HV172+"BYw!%aq"</f>
        <v>#VALUE!</v>
      </c>
      <c r="CK83" t="e">
        <f>'2.4.Функции'!HW172+"BYw!%ar"</f>
        <v>#VALUE!</v>
      </c>
      <c r="CL83" t="e">
        <f>'2.4.Функции'!HX172+"BYw!%as"</f>
        <v>#VALUE!</v>
      </c>
      <c r="CM83" t="e">
        <f>'2.4.Функции'!HY172+"BYw!%at"</f>
        <v>#VALUE!</v>
      </c>
      <c r="CN83" t="e">
        <f>'2.4.Функции'!HZ172+"BYw!%au"</f>
        <v>#VALUE!</v>
      </c>
      <c r="CO83" t="e">
        <f>'2.4.Функции'!IA172+"BYw!%av"</f>
        <v>#VALUE!</v>
      </c>
      <c r="CP83" t="e">
        <f>'2.4.Функции'!IB172+"BYw!%aw"</f>
        <v>#VALUE!</v>
      </c>
      <c r="CQ83" t="e">
        <f>'2.4.Функции'!IC172+"BYw!%ax"</f>
        <v>#VALUE!</v>
      </c>
      <c r="CR83" t="e">
        <f>'2.4.Функции'!ID172+"BYw!%ay"</f>
        <v>#VALUE!</v>
      </c>
      <c r="CS83" t="e">
        <f>'2.4.Функции'!IE172+"BYw!%az"</f>
        <v>#VALUE!</v>
      </c>
      <c r="CT83" t="e">
        <f>'2.4.Функции'!IF172+"BYw!%a{"</f>
        <v>#VALUE!</v>
      </c>
      <c r="CU83" t="e">
        <f>'2.4.Функции'!IG172+"BYw!%a|"</f>
        <v>#VALUE!</v>
      </c>
      <c r="CV83" t="e">
        <f>'2.4.Функции'!IH172+"BYw!%a}"</f>
        <v>#VALUE!</v>
      </c>
      <c r="CW83" t="e">
        <f>'2.4.Функции'!II172+"BYw!%a~"</f>
        <v>#VALUE!</v>
      </c>
      <c r="CX83" t="e">
        <f>'2.4.Функции'!IJ172+"BYw!%b#"</f>
        <v>#VALUE!</v>
      </c>
      <c r="CY83" t="e">
        <f>'2.4.Функции'!IK172+"BYw!%b$"</f>
        <v>#VALUE!</v>
      </c>
      <c r="CZ83" t="e">
        <f>'2.4.Функции'!IL172+"BYw!%b%"</f>
        <v>#VALUE!</v>
      </c>
      <c r="DA83" t="e">
        <f>'2.4.Функции'!IM172+"BYw!%b&amp;"</f>
        <v>#VALUE!</v>
      </c>
      <c r="DB83" t="e">
        <f>'2.4.Функции'!IN172+"BYw!%b'"</f>
        <v>#VALUE!</v>
      </c>
      <c r="DC83" t="e">
        <f>'2.4.Функции'!IO172+"BYw!%b("</f>
        <v>#VALUE!</v>
      </c>
      <c r="DD83" t="e">
        <f>'2.4.Функции'!IP172+"BYw!%b)"</f>
        <v>#VALUE!</v>
      </c>
      <c r="DE83" t="e">
        <f>'2.4.Функции'!IQ172+"BYw!%b."</f>
        <v>#VALUE!</v>
      </c>
      <c r="DF83" t="e">
        <f>'2.4.Функции'!IR172+"BYw!%b/"</f>
        <v>#VALUE!</v>
      </c>
      <c r="DG83" t="e">
        <f>'2.4.Функции'!IS172+"BYw!%b0"</f>
        <v>#VALUE!</v>
      </c>
      <c r="DH83" t="e">
        <f>'2.4.Функции'!IT172+"BYw!%b1"</f>
        <v>#VALUE!</v>
      </c>
      <c r="DI83" t="e">
        <f>'2.4.Функции'!IU172+"BYw!%b2"</f>
        <v>#VALUE!</v>
      </c>
      <c r="DJ83" t="e">
        <f>'2.4.Функции'!IV172+"BYw!%b3"</f>
        <v>#VALUE!</v>
      </c>
      <c r="DK83" t="e">
        <f>'2.4.Функции'!IW172+"BYw!%b4"</f>
        <v>#VALUE!</v>
      </c>
      <c r="DL83" t="e">
        <f>'2.4.Функции'!IX172+"BYw!%b5"</f>
        <v>#VALUE!</v>
      </c>
      <c r="DM83" t="e">
        <f>'2.4.Функции'!IY172+"BYw!%b6"</f>
        <v>#VALUE!</v>
      </c>
      <c r="DN83" t="e">
        <f>'2.4.Функции'!IZ172+"BYw!%b7"</f>
        <v>#VALUE!</v>
      </c>
      <c r="DO83" t="e">
        <f>'2.4.Функции'!JA172+"BYw!%b8"</f>
        <v>#VALUE!</v>
      </c>
      <c r="DP83" t="e">
        <f>'2.4.Функции'!JB172+"BYw!%b9"</f>
        <v>#VALUE!</v>
      </c>
      <c r="DQ83" t="e">
        <f>'2.4.Функции'!JC172+"BYw!%b:"</f>
        <v>#VALUE!</v>
      </c>
      <c r="DR83" t="e">
        <f>'2.4.Функции'!JD172+"BYw!%b;"</f>
        <v>#VALUE!</v>
      </c>
      <c r="DS83" t="e">
        <f>'2.4.Функции'!JE172+"BYw!%b&lt;"</f>
        <v>#VALUE!</v>
      </c>
      <c r="DT83" t="e">
        <f>'2.4.Функции'!JF172+"BYw!%b="</f>
        <v>#VALUE!</v>
      </c>
      <c r="DU83" t="e">
        <f>'2.4.Функции'!JG172+"BYw!%b&gt;"</f>
        <v>#VALUE!</v>
      </c>
      <c r="DV83" t="e">
        <f>'2.4.Функции'!JH172+"BYw!%b?"</f>
        <v>#VALUE!</v>
      </c>
      <c r="DW83" t="e">
        <f>'2.4.Функции'!JI172+"BYw!%b@"</f>
        <v>#VALUE!</v>
      </c>
      <c r="DX83" t="e">
        <f>'2.4.Функции'!JJ172+"BYw!%bA"</f>
        <v>#VALUE!</v>
      </c>
      <c r="DY83" t="e">
        <f>'2.4.Функции'!JK172+"BYw!%bB"</f>
        <v>#VALUE!</v>
      </c>
      <c r="DZ83" t="e">
        <f>'2.4.Функции'!JL172+"BYw!%bC"</f>
        <v>#VALUE!</v>
      </c>
      <c r="EA83" t="e">
        <f>'2.4.Функции'!JM172+"BYw!%bD"</f>
        <v>#VALUE!</v>
      </c>
      <c r="EB83" t="e">
        <f>'2.4.Функции'!JN172+"BYw!%bE"</f>
        <v>#VALUE!</v>
      </c>
      <c r="EC83" t="e">
        <f>'2.4.Функции'!JO172+"BYw!%bF"</f>
        <v>#VALUE!</v>
      </c>
      <c r="ED83" t="e">
        <f>'2.4.Функции'!JP172+"BYw!%bG"</f>
        <v>#VALUE!</v>
      </c>
      <c r="EE83" t="e">
        <f>'2.4.Функции'!JQ172+"BYw!%bH"</f>
        <v>#VALUE!</v>
      </c>
      <c r="EF83" t="e">
        <f>'2.4.Функции'!JR172+"BYw!%bI"</f>
        <v>#VALUE!</v>
      </c>
      <c r="EG83" t="e">
        <f>'2.4.Функции'!JS172+"BYw!%bJ"</f>
        <v>#VALUE!</v>
      </c>
      <c r="EH83" t="e">
        <f>'2.4.Функции'!JT172+"BYw!%bK"</f>
        <v>#VALUE!</v>
      </c>
      <c r="EI83" t="e">
        <f>'2.4.Функции'!JU172+"BYw!%bL"</f>
        <v>#VALUE!</v>
      </c>
      <c r="EJ83" t="e">
        <f>'2.4.Функции'!JV172+"BYw!%bM"</f>
        <v>#VALUE!</v>
      </c>
      <c r="EK83" t="e">
        <f>'2.4.Функции'!JW172+"BYw!%bN"</f>
        <v>#VALUE!</v>
      </c>
      <c r="EL83" t="e">
        <f>'2.4.Функции'!JX172+"BYw!%bO"</f>
        <v>#VALUE!</v>
      </c>
      <c r="EM83" t="e">
        <f>'2.4.Функции'!JY172+"BYw!%bP"</f>
        <v>#VALUE!</v>
      </c>
      <c r="EN83" t="e">
        <f>'2.4.Функции'!JZ172+"BYw!%bQ"</f>
        <v>#VALUE!</v>
      </c>
      <c r="EO83" t="e">
        <f>'2.4.Функции'!KA172+"BYw!%bR"</f>
        <v>#VALUE!</v>
      </c>
      <c r="EP83" t="e">
        <f>'2.4.Функции'!KB172+"BYw!%bS"</f>
        <v>#VALUE!</v>
      </c>
      <c r="EQ83" t="e">
        <f>'2.4.Функции'!KC172+"BYw!%bT"</f>
        <v>#VALUE!</v>
      </c>
      <c r="ER83" t="e">
        <f>'2.4.Функции'!KD172+"BYw!%bU"</f>
        <v>#VALUE!</v>
      </c>
      <c r="ES83" t="e">
        <f>'2.4.Функции'!KE172+"BYw!%bV"</f>
        <v>#VALUE!</v>
      </c>
      <c r="ET83" t="e">
        <f>'2.4.Функции'!KF172+"BYw!%bW"</f>
        <v>#VALUE!</v>
      </c>
      <c r="EU83" t="e">
        <f>'2.4.Функции'!KG172+"BYw!%bX"</f>
        <v>#VALUE!</v>
      </c>
      <c r="EV83" t="e">
        <f>'2.4.Функции'!KH172+"BYw!%bY"</f>
        <v>#VALUE!</v>
      </c>
      <c r="EW83" t="e">
        <f>'2.4.Функции'!KI172+"BYw!%bZ"</f>
        <v>#VALUE!</v>
      </c>
      <c r="EX83" t="e">
        <f>'2.4.Функции'!KJ172+"BYw!%b["</f>
        <v>#VALUE!</v>
      </c>
      <c r="EY83" t="e">
        <f>'2.4.Функции'!KK172+"BYw!%b\"</f>
        <v>#VALUE!</v>
      </c>
      <c r="EZ83" t="e">
        <f>'2.4.Функции'!KL172+"BYw!%b]"</f>
        <v>#VALUE!</v>
      </c>
      <c r="FA83" t="e">
        <f>'2.4.Функции'!KM172+"BYw!%b^"</f>
        <v>#VALUE!</v>
      </c>
      <c r="FB83" t="e">
        <f>'2.4.Функции'!KN172+"BYw!%b_"</f>
        <v>#VALUE!</v>
      </c>
      <c r="FC83" t="e">
        <f>'2.4.Функции'!KO172+"BYw!%b`"</f>
        <v>#VALUE!</v>
      </c>
      <c r="FD83" t="e">
        <f>'2.4.Функции'!KP172+"BYw!%ba"</f>
        <v>#VALUE!</v>
      </c>
      <c r="FE83" t="e">
        <f>'2.4.Функции'!KQ172+"BYw!%bb"</f>
        <v>#VALUE!</v>
      </c>
      <c r="FF83" t="e">
        <f>'2.4.Функции'!KR172+"BYw!%bc"</f>
        <v>#VALUE!</v>
      </c>
      <c r="FG83" t="e">
        <f>'2.4.Функции'!KS172+"BYw!%bd"</f>
        <v>#VALUE!</v>
      </c>
      <c r="FH83" t="e">
        <f>'2.4.Функции'!KT172+"BYw!%be"</f>
        <v>#VALUE!</v>
      </c>
      <c r="FI83" t="e">
        <f>'2.4.Функции'!KU172+"BYw!%bf"</f>
        <v>#VALUE!</v>
      </c>
      <c r="FJ83" t="e">
        <f>'2.4.Функции'!KV172+"BYw!%bg"</f>
        <v>#VALUE!</v>
      </c>
      <c r="FK83" t="e">
        <f>'2.4.Функции'!KW172+"BYw!%bh"</f>
        <v>#VALUE!</v>
      </c>
      <c r="FL83" t="e">
        <f>'2.4.Функции'!KX172+"BYw!%bi"</f>
        <v>#VALUE!</v>
      </c>
      <c r="FM83" t="e">
        <f>'2.4.Функции'!KY172+"BYw!%bj"</f>
        <v>#VALUE!</v>
      </c>
      <c r="FN83" t="e">
        <f>'2.4.Функции'!KZ172+"BYw!%bk"</f>
        <v>#VALUE!</v>
      </c>
      <c r="FO83" t="e">
        <f>'2.4.Функции'!LA172+"BYw!%bl"</f>
        <v>#VALUE!</v>
      </c>
      <c r="FP83" t="e">
        <f>'2.4.Функции'!LB172+"BYw!%bm"</f>
        <v>#VALUE!</v>
      </c>
      <c r="FQ83" t="e">
        <f>'2.4.Функции'!LC172+"BYw!%bn"</f>
        <v>#VALUE!</v>
      </c>
      <c r="FR83" t="e">
        <f>'2.4.Функции'!LD172+"BYw!%bo"</f>
        <v>#VALUE!</v>
      </c>
      <c r="FS83" t="e">
        <f>'2.4.Функции'!LE172+"BYw!%bp"</f>
        <v>#VALUE!</v>
      </c>
      <c r="FT83" t="e">
        <f>'2.4.Функции'!LF172+"BYw!%bq"</f>
        <v>#VALUE!</v>
      </c>
      <c r="FU83" t="e">
        <f>'2.4.Функции'!LG172+"BYw!%br"</f>
        <v>#VALUE!</v>
      </c>
      <c r="FV83" t="e">
        <f>'2.4.Функции'!LH172+"BYw!%bs"</f>
        <v>#VALUE!</v>
      </c>
      <c r="FW83" t="e">
        <f>'2.4.Функции'!LI172+"BYw!%bt"</f>
        <v>#VALUE!</v>
      </c>
      <c r="FX83" t="e">
        <f>'2.4.Функции'!LJ172+"BYw!%bu"</f>
        <v>#VALUE!</v>
      </c>
      <c r="FY83" t="e">
        <f>'2.4.Функции'!LK172+"BYw!%bv"</f>
        <v>#VALUE!</v>
      </c>
      <c r="FZ83" t="e">
        <f>'2.4.Функции'!LL172+"BYw!%bw"</f>
        <v>#VALUE!</v>
      </c>
      <c r="GA83" t="e">
        <f>'2.4.Функции'!LM172+"BYw!%bx"</f>
        <v>#VALUE!</v>
      </c>
      <c r="GB83" t="e">
        <f>'2.4.Функции'!LN172+"BYw!%by"</f>
        <v>#VALUE!</v>
      </c>
      <c r="GC83" t="e">
        <f>'2.4.Функции'!LO172+"BYw!%bz"</f>
        <v>#VALUE!</v>
      </c>
      <c r="GD83" t="e">
        <f>'2.4.Функции'!LP172+"BYw!%b{"</f>
        <v>#VALUE!</v>
      </c>
      <c r="GE83" t="e">
        <f>'2.4.Функции'!LQ172+"BYw!%b|"</f>
        <v>#VALUE!</v>
      </c>
      <c r="GF83" t="e">
        <f>'2.4.Функции'!LR172+"BYw!%b}"</f>
        <v>#VALUE!</v>
      </c>
      <c r="GG83" t="e">
        <f>'2.4.Функции'!LS172+"BYw!%b~"</f>
        <v>#VALUE!</v>
      </c>
      <c r="GH83" t="e">
        <f>'2.4.Функции'!LT172+"BYw!%c#"</f>
        <v>#VALUE!</v>
      </c>
      <c r="GI83" t="e">
        <f>'2.4.Функции'!LU172+"BYw!%c$"</f>
        <v>#VALUE!</v>
      </c>
      <c r="GJ83" t="e">
        <f>'2.4.Функции'!LV172+"BYw!%c%"</f>
        <v>#VALUE!</v>
      </c>
      <c r="GK83" t="e">
        <f>'2.4.Функции'!LW172+"BYw!%c&amp;"</f>
        <v>#VALUE!</v>
      </c>
      <c r="GL83" t="e">
        <f>'2.4.Функции'!LX172+"BYw!%c'"</f>
        <v>#VALUE!</v>
      </c>
      <c r="GM83" t="e">
        <f>'2.4.Функции'!LY172+"BYw!%c("</f>
        <v>#VALUE!</v>
      </c>
      <c r="GN83" t="e">
        <f>'2.4.Функции'!LZ172+"BYw!%c)"</f>
        <v>#VALUE!</v>
      </c>
      <c r="GO83" t="e">
        <f>'2.4.Функции'!MA172+"BYw!%c."</f>
        <v>#VALUE!</v>
      </c>
      <c r="GP83" t="e">
        <f>'2.4.Функции'!MB172+"BYw!%c/"</f>
        <v>#VALUE!</v>
      </c>
      <c r="GQ83" t="e">
        <f>'2.4.Функции'!MC172+"BYw!%c0"</f>
        <v>#VALUE!</v>
      </c>
      <c r="GR83" t="e">
        <f>'2.4.Функции'!MD172+"BYw!%c1"</f>
        <v>#VALUE!</v>
      </c>
      <c r="GS83" t="e">
        <f>'2.4.Функции'!ME172+"BYw!%c2"</f>
        <v>#VALUE!</v>
      </c>
      <c r="GT83" t="e">
        <f>'2.4.Функции'!MF172+"BYw!%c3"</f>
        <v>#VALUE!</v>
      </c>
      <c r="GU83" t="e">
        <f>'2.4.Функции'!MG172+"BYw!%c4"</f>
        <v>#VALUE!</v>
      </c>
      <c r="GV83" t="e">
        <f>'2.4.Функции'!MH172+"BYw!%c5"</f>
        <v>#VALUE!</v>
      </c>
      <c r="GW83" t="e">
        <f>'2.4.Функции'!MI172+"BYw!%c6"</f>
        <v>#VALUE!</v>
      </c>
      <c r="GX83" t="e">
        <f>'2.4.Функции'!MJ172+"BYw!%c7"</f>
        <v>#VALUE!</v>
      </c>
      <c r="GY83" t="e">
        <f>'2.4.Функции'!MK172+"BYw!%c8"</f>
        <v>#VALUE!</v>
      </c>
      <c r="GZ83" t="e">
        <f>'2.4.Функции'!ML172+"BYw!%c9"</f>
        <v>#VALUE!</v>
      </c>
      <c r="HA83" t="e">
        <f>'2.4.Функции'!MM172+"BYw!%c:"</f>
        <v>#VALUE!</v>
      </c>
      <c r="HB83" t="e">
        <f>'2.4.Функции'!MN172+"BYw!%c;"</f>
        <v>#VALUE!</v>
      </c>
      <c r="HC83" t="e">
        <f>'2.4.Функции'!MO172+"BYw!%c&lt;"</f>
        <v>#VALUE!</v>
      </c>
      <c r="HD83" t="e">
        <f>'2.4.Функции'!MP172+"BYw!%c="</f>
        <v>#VALUE!</v>
      </c>
      <c r="HE83" t="e">
        <f>'2.4.Функции'!MQ172+"BYw!%c&gt;"</f>
        <v>#VALUE!</v>
      </c>
      <c r="HF83" t="e">
        <f>'2.4.Функции'!MR172+"BYw!%c?"</f>
        <v>#VALUE!</v>
      </c>
      <c r="HG83" t="e">
        <f>'2.4.Функции'!MS172+"BYw!%c@"</f>
        <v>#VALUE!</v>
      </c>
      <c r="HH83" t="e">
        <f>'2.4.Функции'!MT172+"BYw!%cA"</f>
        <v>#VALUE!</v>
      </c>
      <c r="HI83" t="e">
        <f>'2.4.Функции'!MU172+"BYw!%cB"</f>
        <v>#VALUE!</v>
      </c>
      <c r="HJ83" t="e">
        <f>'2.4.Функции'!MV172+"BYw!%cC"</f>
        <v>#VALUE!</v>
      </c>
      <c r="HK83" t="e">
        <f>'2.4.Функции'!MW172+"BYw!%cD"</f>
        <v>#VALUE!</v>
      </c>
      <c r="HL83" t="e">
        <f>'2.4.Функции'!MX172+"BYw!%cE"</f>
        <v>#VALUE!</v>
      </c>
      <c r="HM83" t="e">
        <f>'2.4.Функции'!MY172+"BYw!%cF"</f>
        <v>#VALUE!</v>
      </c>
      <c r="HN83" t="e">
        <f>'2.4.Функции'!MZ172+"BYw!%cG"</f>
        <v>#VALUE!</v>
      </c>
      <c r="HO83" t="e">
        <f>'2.4.Функции'!NA172+"BYw!%cH"</f>
        <v>#VALUE!</v>
      </c>
      <c r="HP83" t="e">
        <f>'2.4.Функции'!NB172+"BYw!%cI"</f>
        <v>#VALUE!</v>
      </c>
      <c r="HQ83" t="e">
        <f>'2.4.Функции'!NC172+"BYw!%cJ"</f>
        <v>#VALUE!</v>
      </c>
      <c r="HR83" t="e">
        <f>'2.4.Функции'!ND172+"BYw!%cK"</f>
        <v>#VALUE!</v>
      </c>
      <c r="HS83" t="e">
        <f>'2.4.Функции'!NE172+"BYw!%cL"</f>
        <v>#VALUE!</v>
      </c>
      <c r="HT83" t="e">
        <f>'2.4.Функции'!NF172+"BYw!%cM"</f>
        <v>#VALUE!</v>
      </c>
      <c r="HU83" t="e">
        <f>'2.4.Функции'!NG172+"BYw!%cN"</f>
        <v>#VALUE!</v>
      </c>
      <c r="HV83" t="e">
        <f>'2.4.Функции'!NH172+"BYw!%cO"</f>
        <v>#VALUE!</v>
      </c>
      <c r="HW83" t="e">
        <f>'2.4.Функции'!NI172+"BYw!%cP"</f>
        <v>#VALUE!</v>
      </c>
      <c r="HX83" t="e">
        <f>'2.4.Функции'!NJ172+"BYw!%cQ"</f>
        <v>#VALUE!</v>
      </c>
      <c r="HY83" t="e">
        <f>'2.4.Функции'!NK172+"BYw!%cR"</f>
        <v>#VALUE!</v>
      </c>
      <c r="HZ83" t="e">
        <f>'2.4.Функции'!NL172+"BYw!%cS"</f>
        <v>#VALUE!</v>
      </c>
      <c r="IA83" t="e">
        <f>'2.4.Функции'!NM172+"BYw!%cT"</f>
        <v>#VALUE!</v>
      </c>
      <c r="IB83" t="e">
        <f>'2.4.Функции'!NN172+"BYw!%cU"</f>
        <v>#VALUE!</v>
      </c>
      <c r="IC83" t="e">
        <f>'2.4.Функции'!NO172+"BYw!%cV"</f>
        <v>#VALUE!</v>
      </c>
      <c r="ID83" t="e">
        <f>'2.4.Функции'!NP172+"BYw!%cW"</f>
        <v>#VALUE!</v>
      </c>
      <c r="IE83" t="e">
        <f>'2.4.Функции'!NQ172+"BYw!%cX"</f>
        <v>#VALUE!</v>
      </c>
      <c r="IF83" t="e">
        <f>'2.4.Функции'!NR172+"BYw!%cY"</f>
        <v>#VALUE!</v>
      </c>
      <c r="IG83" t="e">
        <f>'2.4.Функции'!NS172+"BYw!%cZ"</f>
        <v>#VALUE!</v>
      </c>
      <c r="IH83" t="e">
        <f>'2.4.Функции'!NT172+"BYw!%c["</f>
        <v>#VALUE!</v>
      </c>
      <c r="II83" t="e">
        <f>'2.4.Функции'!NU172+"BYw!%c\"</f>
        <v>#VALUE!</v>
      </c>
      <c r="IJ83" t="e">
        <f>'2.4.Функции'!NV172+"BYw!%c]"</f>
        <v>#VALUE!</v>
      </c>
      <c r="IK83" t="e">
        <f>'2.4.Функции'!NW172+"BYw!%c^"</f>
        <v>#VALUE!</v>
      </c>
      <c r="IL83" t="e">
        <f>'2.4.Функции'!NX172+"BYw!%c_"</f>
        <v>#VALUE!</v>
      </c>
      <c r="IM83" t="e">
        <f>'2.4.Функции'!NY172+"BYw!%c`"</f>
        <v>#VALUE!</v>
      </c>
      <c r="IN83" t="e">
        <f>'2.4.Функции'!NZ172+"BYw!%ca"</f>
        <v>#VALUE!</v>
      </c>
      <c r="IO83" t="e">
        <f>'2.4.Функции'!OA172+"BYw!%cb"</f>
        <v>#VALUE!</v>
      </c>
      <c r="IP83" t="e">
        <f>'2.4.Функции'!OB172+"BYw!%cc"</f>
        <v>#VALUE!</v>
      </c>
      <c r="IQ83" t="e">
        <f>'2.4.Функции'!OC172+"BYw!%cd"</f>
        <v>#VALUE!</v>
      </c>
      <c r="IR83" t="e">
        <f>'2.4.Функции'!OD172+"BYw!%ce"</f>
        <v>#VALUE!</v>
      </c>
      <c r="IS83" t="e">
        <f>'2.4.Функции'!OE172+"BYw!%cf"</f>
        <v>#VALUE!</v>
      </c>
      <c r="IT83" t="e">
        <f>'2.4.Функции'!OF172+"BYw!%cg"</f>
        <v>#VALUE!</v>
      </c>
      <c r="IU83" t="e">
        <f>'2.4.Функции'!OG172+"BYw!%ch"</f>
        <v>#VALUE!</v>
      </c>
      <c r="IV83" t="e">
        <f>'2.4.Функции'!OH172+"BYw!%ci"</f>
        <v>#VALUE!</v>
      </c>
    </row>
    <row r="84" spans="6:256" x14ac:dyDescent="0.2">
      <c r="F84" t="e">
        <f>'2.4.Функции'!OI172+"BYw!%cj"</f>
        <v>#VALUE!</v>
      </c>
      <c r="G84" t="e">
        <f>'2.4.Функции'!OJ172+"BYw!%ck"</f>
        <v>#VALUE!</v>
      </c>
      <c r="H84" t="e">
        <f>'2.4.Функции'!OK172+"BYw!%cl"</f>
        <v>#VALUE!</v>
      </c>
      <c r="I84" t="e">
        <f>'2.4.Функции'!OL172+"BYw!%cm"</f>
        <v>#VALUE!</v>
      </c>
      <c r="J84" t="e">
        <f>'2.4.Функции'!OM172+"BYw!%cn"</f>
        <v>#VALUE!</v>
      </c>
      <c r="K84" t="e">
        <f>'2.4.Функции'!ON172+"BYw!%co"</f>
        <v>#VALUE!</v>
      </c>
      <c r="L84" t="e">
        <f>'2.4.Функции'!OO172+"BYw!%cp"</f>
        <v>#VALUE!</v>
      </c>
      <c r="M84" t="e">
        <f>'2.4.Функции'!OP172+"BYw!%cq"</f>
        <v>#VALUE!</v>
      </c>
      <c r="N84" t="e">
        <f>'2.4.Функции'!OQ172+"BYw!%cr"</f>
        <v>#VALUE!</v>
      </c>
      <c r="O84" t="e">
        <f>'2.4.Функции'!OR172+"BYw!%cs"</f>
        <v>#VALUE!</v>
      </c>
      <c r="P84" t="e">
        <f>'2.4.Функции'!OS172+"BYw!%ct"</f>
        <v>#VALUE!</v>
      </c>
      <c r="Q84" t="e">
        <f>'2.4.Функции'!OT172+"BYw!%cu"</f>
        <v>#VALUE!</v>
      </c>
      <c r="R84" t="e">
        <f>'2.4.Функции'!OU172+"BYw!%cv"</f>
        <v>#VALUE!</v>
      </c>
      <c r="S84" t="e">
        <f>'2.4.Функции'!OV172+"BYw!%cw"</f>
        <v>#VALUE!</v>
      </c>
      <c r="T84" t="e">
        <f>'2.4.Функции'!OW172+"BYw!%cx"</f>
        <v>#VALUE!</v>
      </c>
      <c r="U84" t="e">
        <f>'2.4.Функции'!OX172+"BYw!%cy"</f>
        <v>#VALUE!</v>
      </c>
      <c r="V84" t="e">
        <f>'2.4.Функции'!OY172+"BYw!%cz"</f>
        <v>#VALUE!</v>
      </c>
      <c r="W84" t="e">
        <f>'2.4.Функции'!OZ172+"BYw!%c{"</f>
        <v>#VALUE!</v>
      </c>
      <c r="X84" t="e">
        <f>'2.4.Функции'!PA172+"BYw!%c|"</f>
        <v>#VALUE!</v>
      </c>
      <c r="Y84" t="e">
        <f>'2.4.Функции'!PB172+"BYw!%c}"</f>
        <v>#VALUE!</v>
      </c>
      <c r="Z84" t="e">
        <f>'2.4.Функции'!PC172+"BYw!%c~"</f>
        <v>#VALUE!</v>
      </c>
      <c r="AA84" t="e">
        <f>'2.4.Функции'!PD172+"BYw!%d#"</f>
        <v>#VALUE!</v>
      </c>
      <c r="AB84" t="e">
        <f>'2.4.Функции'!PE172+"BYw!%d$"</f>
        <v>#VALUE!</v>
      </c>
      <c r="AC84" t="e">
        <f>'2.4.Функции'!PF172+"BYw!%d%"</f>
        <v>#VALUE!</v>
      </c>
      <c r="AD84" t="e">
        <f>'2.4.Функции'!PG172+"BYw!%d&amp;"</f>
        <v>#VALUE!</v>
      </c>
      <c r="AE84" t="e">
        <f>'2.4.Функции'!PH172+"BYw!%d'"</f>
        <v>#VALUE!</v>
      </c>
      <c r="AF84" t="e">
        <f>'2.4.Функции'!PI172+"BYw!%d("</f>
        <v>#VALUE!</v>
      </c>
      <c r="AG84" t="e">
        <f>'2.4.Функции'!PJ172+"BYw!%d)"</f>
        <v>#VALUE!</v>
      </c>
      <c r="AH84" t="e">
        <f>'2.4.Функции'!PK172+"BYw!%d."</f>
        <v>#VALUE!</v>
      </c>
      <c r="AI84" t="e">
        <f>'2.4.Функции'!PL172+"BYw!%d/"</f>
        <v>#VALUE!</v>
      </c>
      <c r="AJ84" t="e">
        <f>'2.4.Функции'!PM172+"BYw!%d0"</f>
        <v>#VALUE!</v>
      </c>
      <c r="AK84" t="e">
        <f>'2.4.Функции'!PN172+"BYw!%d1"</f>
        <v>#VALUE!</v>
      </c>
      <c r="AL84" t="e">
        <f>'2.4.Функции'!PO172+"BYw!%d2"</f>
        <v>#VALUE!</v>
      </c>
      <c r="AM84" t="e">
        <f>'2.4.Функции'!PP172+"BYw!%d3"</f>
        <v>#VALUE!</v>
      </c>
      <c r="AN84" t="e">
        <f>'2.4.Функции'!PQ172+"BYw!%d4"</f>
        <v>#VALUE!</v>
      </c>
      <c r="AO84" t="e">
        <f>'2.4.Функции'!PR172+"BYw!%d5"</f>
        <v>#VALUE!</v>
      </c>
      <c r="AP84" t="e">
        <f>'2.4.Функции'!PS172+"BYw!%d6"</f>
        <v>#VALUE!</v>
      </c>
      <c r="AQ84" t="e">
        <f>'2.4.Функции'!PT172+"BYw!%d7"</f>
        <v>#VALUE!</v>
      </c>
      <c r="AR84" t="e">
        <f>'2.4.Функции'!PU172+"BYw!%d8"</f>
        <v>#VALUE!</v>
      </c>
      <c r="AS84" t="e">
        <f>'2.4.Функции'!PV172+"BYw!%d9"</f>
        <v>#VALUE!</v>
      </c>
      <c r="AT84" t="e">
        <f>'2.4.Функции'!PW172+"BYw!%d:"</f>
        <v>#VALUE!</v>
      </c>
      <c r="AU84" t="e">
        <f>'2.4.Функции'!PX172+"BYw!%d;"</f>
        <v>#VALUE!</v>
      </c>
      <c r="AV84" t="e">
        <f>'2.4.Функции'!PY172+"BYw!%d&lt;"</f>
        <v>#VALUE!</v>
      </c>
      <c r="AW84" t="e">
        <f>'2.4.Функции'!PZ172+"BYw!%d="</f>
        <v>#VALUE!</v>
      </c>
      <c r="AX84" t="e">
        <f>'2.4.Функции'!QA172+"BYw!%d&gt;"</f>
        <v>#VALUE!</v>
      </c>
      <c r="AY84" t="e">
        <f>'2.4.Функции'!QB172+"BYw!%d?"</f>
        <v>#VALUE!</v>
      </c>
      <c r="AZ84" t="e">
        <f>'2.4.Функции'!QC172+"BYw!%d@"</f>
        <v>#VALUE!</v>
      </c>
      <c r="BA84" t="e">
        <f>'2.4.Функции'!QD172+"BYw!%dA"</f>
        <v>#VALUE!</v>
      </c>
      <c r="BB84" t="e">
        <f>'2.4.Функции'!QE172+"BYw!%dB"</f>
        <v>#VALUE!</v>
      </c>
      <c r="BC84" t="e">
        <f>'2.4.Функции'!QF172+"BYw!%dC"</f>
        <v>#VALUE!</v>
      </c>
      <c r="BD84" t="e">
        <f>'2.4.Функции'!QG172+"BYw!%dD"</f>
        <v>#VALUE!</v>
      </c>
      <c r="BE84" t="e">
        <f>'2.4.Функции'!QH172+"BYw!%dE"</f>
        <v>#VALUE!</v>
      </c>
      <c r="BF84" t="e">
        <f>'2.4.Функции'!QI172+"BYw!%dF"</f>
        <v>#VALUE!</v>
      </c>
      <c r="BG84" t="e">
        <f>'2.4.Функции'!QJ172+"BYw!%dG"</f>
        <v>#VALUE!</v>
      </c>
      <c r="BH84" t="e">
        <f>'2.4.Функции'!QK172+"BYw!%dH"</f>
        <v>#VALUE!</v>
      </c>
      <c r="BI84" t="e">
        <f>'2.4.Функции'!QL172+"BYw!%dI"</f>
        <v>#VALUE!</v>
      </c>
      <c r="BJ84" t="e">
        <f>'2.4.Функции'!QM172+"BYw!%dJ"</f>
        <v>#VALUE!</v>
      </c>
      <c r="BK84" t="e">
        <f>'2.4.Функции'!QN172+"BYw!%dK"</f>
        <v>#VALUE!</v>
      </c>
      <c r="BL84" t="e">
        <f>'2.4.Функции'!QO172+"BYw!%dL"</f>
        <v>#VALUE!</v>
      </c>
      <c r="BM84" t="e">
        <f>'2.4.Функции'!QP172+"BYw!%dM"</f>
        <v>#VALUE!</v>
      </c>
      <c r="BN84" t="e">
        <f>'2.4.Функции'!QQ172+"BYw!%dN"</f>
        <v>#VALUE!</v>
      </c>
      <c r="BO84" t="e">
        <f>'2.4.Функции'!QR172+"BYw!%dO"</f>
        <v>#VALUE!</v>
      </c>
      <c r="BP84" t="e">
        <f>'2.4.Функции'!QS172+"BYw!%dP"</f>
        <v>#VALUE!</v>
      </c>
      <c r="BQ84" t="e">
        <f>'2.4.Функции'!QT172+"BYw!%dQ"</f>
        <v>#VALUE!</v>
      </c>
      <c r="BR84" t="e">
        <f>'2.4.Функции'!QU172+"BYw!%dR"</f>
        <v>#VALUE!</v>
      </c>
      <c r="BS84" t="e">
        <f>'2.4.Функции'!QV172+"BYw!%dS"</f>
        <v>#VALUE!</v>
      </c>
      <c r="BT84" t="e">
        <f>'2.4.Функции'!QW172+"BYw!%dT"</f>
        <v>#VALUE!</v>
      </c>
      <c r="BU84" t="e">
        <f>'2.4.Функции'!QX172+"BYw!%dU"</f>
        <v>#VALUE!</v>
      </c>
      <c r="BV84" t="e">
        <f>'2.4.Функции'!QY172+"BYw!%dV"</f>
        <v>#VALUE!</v>
      </c>
      <c r="BW84" t="e">
        <f>'2.4.Функции'!QZ172+"BYw!%dW"</f>
        <v>#VALUE!</v>
      </c>
      <c r="BX84" t="e">
        <f>'2.4.Функции'!RA172+"BYw!%dX"</f>
        <v>#VALUE!</v>
      </c>
      <c r="BY84" t="e">
        <f>'2.4.Функции'!RB172+"BYw!%dY"</f>
        <v>#VALUE!</v>
      </c>
      <c r="BZ84" t="e">
        <f>'2.4.Функции'!RC172+"BYw!%dZ"</f>
        <v>#VALUE!</v>
      </c>
      <c r="CA84" t="e">
        <f>'2.4.Функции'!RD172+"BYw!%d["</f>
        <v>#VALUE!</v>
      </c>
      <c r="CB84" t="e">
        <f>'2.4.Функции'!RE172+"BYw!%d\"</f>
        <v>#VALUE!</v>
      </c>
      <c r="CC84" t="e">
        <f>'2.4.Функции'!RF172+"BYw!%d]"</f>
        <v>#VALUE!</v>
      </c>
      <c r="CD84" t="e">
        <f>'2.4.Функции'!RG172+"BYw!%d^"</f>
        <v>#VALUE!</v>
      </c>
      <c r="CE84" t="e">
        <f>'2.4.Функции'!RH172+"BYw!%d_"</f>
        <v>#VALUE!</v>
      </c>
      <c r="CF84" t="e">
        <f>'2.4.Функции'!RI172+"BYw!%d`"</f>
        <v>#VALUE!</v>
      </c>
      <c r="CG84" t="e">
        <f>'2.4.Функции'!RJ172+"BYw!%da"</f>
        <v>#VALUE!</v>
      </c>
      <c r="CH84" t="e">
        <f>'2.4.Функции'!RK172+"BYw!%db"</f>
        <v>#VALUE!</v>
      </c>
      <c r="CI84" t="e">
        <f>'2.4.Функции'!RL172+"BYw!%dc"</f>
        <v>#VALUE!</v>
      </c>
      <c r="CJ84" t="e">
        <f>'2.4.Функции'!RM172+"BYw!%dd"</f>
        <v>#VALUE!</v>
      </c>
      <c r="CK84" t="e">
        <f>'2.4.Функции'!RN172+"BYw!%de"</f>
        <v>#VALUE!</v>
      </c>
      <c r="CL84" t="e">
        <f>'2.4.Функции'!RO172+"BYw!%df"</f>
        <v>#VALUE!</v>
      </c>
      <c r="CM84" t="e">
        <f>'2.4.Функции'!RP172+"BYw!%dg"</f>
        <v>#VALUE!</v>
      </c>
      <c r="CN84" t="e">
        <f>'2.4.Функции'!RQ172+"BYw!%dh"</f>
        <v>#VALUE!</v>
      </c>
      <c r="CO84" t="e">
        <f>'2.4.Функции'!RR172+"BYw!%di"</f>
        <v>#VALUE!</v>
      </c>
      <c r="CP84" t="e">
        <f>'2.4.Функции'!RS172+"BYw!%dj"</f>
        <v>#VALUE!</v>
      </c>
      <c r="CQ84" t="e">
        <f>'2.4.Функции'!RT172+"BYw!%dk"</f>
        <v>#VALUE!</v>
      </c>
      <c r="CR84" t="e">
        <f>'2.4.Функции'!RU172+"BYw!%dl"</f>
        <v>#VALUE!</v>
      </c>
      <c r="CS84" t="e">
        <f>'2.4.Функции'!RV172+"BYw!%dm"</f>
        <v>#VALUE!</v>
      </c>
      <c r="CT84" t="e">
        <f>'2.4.Функции'!RW172+"BYw!%dn"</f>
        <v>#VALUE!</v>
      </c>
      <c r="CU84" t="e">
        <f>'2.4.Функции'!RX172+"BYw!%do"</f>
        <v>#VALUE!</v>
      </c>
      <c r="CV84" t="e">
        <f>'2.4.Функции'!RY172+"BYw!%dp"</f>
        <v>#VALUE!</v>
      </c>
      <c r="CW84" t="e">
        <f>'2.4.Функции'!RZ172+"BYw!%dq"</f>
        <v>#VALUE!</v>
      </c>
      <c r="CX84" t="e">
        <f>'2.4.Функции'!SA172+"BYw!%dr"</f>
        <v>#VALUE!</v>
      </c>
      <c r="CY84" t="e">
        <f>'2.4.Функции'!SB172+"BYw!%ds"</f>
        <v>#VALUE!</v>
      </c>
      <c r="CZ84" t="e">
        <f>'2.4.Функции'!SC172+"BYw!%dt"</f>
        <v>#VALUE!</v>
      </c>
      <c r="DA84" t="e">
        <f>'2.4.Функции'!SD172+"BYw!%du"</f>
        <v>#VALUE!</v>
      </c>
      <c r="DB84" t="e">
        <f>'2.4.Функции'!SE172+"BYw!%dv"</f>
        <v>#VALUE!</v>
      </c>
      <c r="DC84" t="e">
        <f>'2.4.Функции'!SF172+"BYw!%dw"</f>
        <v>#VALUE!</v>
      </c>
      <c r="DD84" t="e">
        <f>'2.4.Функции'!SG172+"BYw!%dx"</f>
        <v>#VALUE!</v>
      </c>
      <c r="DE84" t="e">
        <f>'2.4.Функции'!SH172+"BYw!%dy"</f>
        <v>#VALUE!</v>
      </c>
      <c r="DF84" t="e">
        <f>'2.4.Функции'!SI172+"BYw!%dz"</f>
        <v>#VALUE!</v>
      </c>
      <c r="DG84" t="e">
        <f>'2.4.Функции'!SJ172+"BYw!%d{"</f>
        <v>#VALUE!</v>
      </c>
      <c r="DH84" t="e">
        <f>'2.4.Функции'!SK172+"BYw!%d|"</f>
        <v>#VALUE!</v>
      </c>
      <c r="DI84" t="e">
        <f>'2.4.Функции'!SL172+"BYw!%d}"</f>
        <v>#VALUE!</v>
      </c>
      <c r="DJ84" t="e">
        <f>'2.4.Функции'!SM172+"BYw!%d~"</f>
        <v>#VALUE!</v>
      </c>
      <c r="DK84" t="e">
        <f>'2.4.Функции'!SN172+"BYw!%e#"</f>
        <v>#VALUE!</v>
      </c>
      <c r="DL84" t="e">
        <f>'2.4.Функции'!SO172+"BYw!%e$"</f>
        <v>#VALUE!</v>
      </c>
      <c r="DM84" t="e">
        <f>'2.4.Функции'!SP172+"BYw!%e%"</f>
        <v>#VALUE!</v>
      </c>
      <c r="DN84" t="e">
        <f>'2.4.Функции'!SQ172+"BYw!%e&amp;"</f>
        <v>#VALUE!</v>
      </c>
      <c r="DO84" t="e">
        <f>'2.4.Функции'!SR172+"BYw!%e'"</f>
        <v>#VALUE!</v>
      </c>
      <c r="DP84" t="e">
        <f>'2.4.Функции'!SS172+"BYw!%e("</f>
        <v>#VALUE!</v>
      </c>
      <c r="DQ84" t="e">
        <f>'2.4.Функции'!ST172+"BYw!%e)"</f>
        <v>#VALUE!</v>
      </c>
      <c r="DR84" t="e">
        <f>'2.4.Функции'!SU172+"BYw!%e."</f>
        <v>#VALUE!</v>
      </c>
      <c r="DS84" t="e">
        <f>'2.4.Функции'!SV172+"BYw!%e/"</f>
        <v>#VALUE!</v>
      </c>
      <c r="DT84" t="e">
        <f>'2.4.Функции'!SW172+"BYw!%e0"</f>
        <v>#VALUE!</v>
      </c>
      <c r="DU84" t="e">
        <f>'2.4.Функции'!SX172+"BYw!%e1"</f>
        <v>#VALUE!</v>
      </c>
      <c r="DV84" t="e">
        <f>'2.4.Функции'!SY172+"BYw!%e2"</f>
        <v>#VALUE!</v>
      </c>
      <c r="DW84" t="e">
        <f>'2.4.Функции'!SZ172+"BYw!%e3"</f>
        <v>#VALUE!</v>
      </c>
      <c r="DX84" t="e">
        <f>'2.4.Функции'!TA172+"BYw!%e4"</f>
        <v>#VALUE!</v>
      </c>
      <c r="DY84" t="e">
        <f>'2.4.Функции'!TB172+"BYw!%e5"</f>
        <v>#VALUE!</v>
      </c>
      <c r="DZ84" t="e">
        <f>'2.4.Функции'!TC172+"BYw!%e6"</f>
        <v>#VALUE!</v>
      </c>
      <c r="EA84" t="e">
        <f>'2.4.Функции'!TD172+"BYw!%e7"</f>
        <v>#VALUE!</v>
      </c>
      <c r="EB84" t="e">
        <f>'2.4.Функции'!TE172+"BYw!%e8"</f>
        <v>#VALUE!</v>
      </c>
      <c r="EC84" t="e">
        <f>'2.4.Функции'!TF172+"BYw!%e9"</f>
        <v>#VALUE!</v>
      </c>
      <c r="ED84" t="e">
        <f>'2.4.Функции'!TG172+"BYw!%e:"</f>
        <v>#VALUE!</v>
      </c>
      <c r="EE84" t="e">
        <f>'2.4.Функции'!TH172+"BYw!%e;"</f>
        <v>#VALUE!</v>
      </c>
      <c r="EF84" t="e">
        <f>'2.4.Функции'!TI172+"BYw!%e&lt;"</f>
        <v>#VALUE!</v>
      </c>
      <c r="EG84" t="e">
        <f>'2.4.Функции'!TJ172+"BYw!%e="</f>
        <v>#VALUE!</v>
      </c>
      <c r="EH84" t="e">
        <f>'2.4.Функции'!TK172+"BYw!%e&gt;"</f>
        <v>#VALUE!</v>
      </c>
      <c r="EI84" t="e">
        <f>'2.4.Функции'!TL172+"BYw!%e?"</f>
        <v>#VALUE!</v>
      </c>
      <c r="EJ84" t="e">
        <f>'2.4.Функции'!TM172+"BYw!%e@"</f>
        <v>#VALUE!</v>
      </c>
      <c r="EK84" t="e">
        <f>'2.4.Функции'!TN172+"BYw!%eA"</f>
        <v>#VALUE!</v>
      </c>
      <c r="EL84" t="e">
        <f>'2.4.Функции'!TO172+"BYw!%eB"</f>
        <v>#VALUE!</v>
      </c>
      <c r="EM84" t="e">
        <f>'2.4.Функции'!TP172+"BYw!%eC"</f>
        <v>#VALUE!</v>
      </c>
      <c r="EN84" t="e">
        <f>'2.4.Функции'!TQ172+"BYw!%eD"</f>
        <v>#VALUE!</v>
      </c>
      <c r="EO84" t="e">
        <f>'2.4.Функции'!TR172+"BYw!%eE"</f>
        <v>#VALUE!</v>
      </c>
      <c r="EP84" t="e">
        <f>'2.4.Функции'!TS172+"BYw!%eF"</f>
        <v>#VALUE!</v>
      </c>
      <c r="EQ84" t="e">
        <f>'2.4.Функции'!TT172+"BYw!%eG"</f>
        <v>#VALUE!</v>
      </c>
      <c r="ER84" t="e">
        <f>'2.4.Функции'!TU172+"BYw!%eH"</f>
        <v>#VALUE!</v>
      </c>
      <c r="ES84" t="e">
        <f>'2.4.Функции'!TV172+"BYw!%eI"</f>
        <v>#VALUE!</v>
      </c>
      <c r="ET84" t="e">
        <f>'2.4.Функции'!TW172+"BYw!%eJ"</f>
        <v>#VALUE!</v>
      </c>
      <c r="EU84" t="e">
        <f>'2.4.Функции'!TX172+"BYw!%eK"</f>
        <v>#VALUE!</v>
      </c>
      <c r="EV84" t="e">
        <f>'2.4.Функции'!TY172+"BYw!%eL"</f>
        <v>#VALUE!</v>
      </c>
      <c r="EW84" t="e">
        <f>'2.4.Функции'!TZ172+"BYw!%eM"</f>
        <v>#VALUE!</v>
      </c>
      <c r="EX84" t="e">
        <f>'2.4.Функции'!UA172+"BYw!%eN"</f>
        <v>#VALUE!</v>
      </c>
      <c r="EY84" t="e">
        <f>'2.4.Функции'!UB172+"BYw!%eO"</f>
        <v>#VALUE!</v>
      </c>
      <c r="EZ84" t="e">
        <f>'2.4.Функции'!UC172+"BYw!%eP"</f>
        <v>#VALUE!</v>
      </c>
      <c r="FA84" t="e">
        <f>'2.4.Функции'!UD172+"BYw!%eQ"</f>
        <v>#VALUE!</v>
      </c>
      <c r="FB84" t="e">
        <f>'2.4.Функции'!UE172+"BYw!%eR"</f>
        <v>#VALUE!</v>
      </c>
      <c r="FC84" t="e">
        <f>'2.4.Функции'!UF172+"BYw!%eS"</f>
        <v>#VALUE!</v>
      </c>
      <c r="FD84" t="e">
        <f>'2.4.Функции'!UG172+"BYw!%eT"</f>
        <v>#VALUE!</v>
      </c>
      <c r="FE84" t="e">
        <f>'2.4.Функции'!UH172+"BYw!%eU"</f>
        <v>#VALUE!</v>
      </c>
      <c r="FF84" t="e">
        <f>'2.4.Функции'!UI172+"BYw!%eV"</f>
        <v>#VALUE!</v>
      </c>
      <c r="FG84" t="e">
        <f>'2.4.Функции'!UJ172+"BYw!%eW"</f>
        <v>#VALUE!</v>
      </c>
      <c r="FH84" t="e">
        <f>'2.4.Функции'!UK172+"BYw!%eX"</f>
        <v>#VALUE!</v>
      </c>
      <c r="FI84" t="e">
        <f>'2.4.Функции'!UL172+"BYw!%eY"</f>
        <v>#VALUE!</v>
      </c>
      <c r="FJ84" t="e">
        <f>'2.4.Функции'!UM172+"BYw!%eZ"</f>
        <v>#VALUE!</v>
      </c>
      <c r="FK84" t="e">
        <f>'2.4.Функции'!UN172+"BYw!%e["</f>
        <v>#VALUE!</v>
      </c>
      <c r="FL84" t="e">
        <f>'2.4.Функции'!UO172+"BYw!%e\"</f>
        <v>#VALUE!</v>
      </c>
      <c r="FM84" t="e">
        <f>'2.4.Функции'!UP172+"BYw!%e]"</f>
        <v>#VALUE!</v>
      </c>
      <c r="FN84" t="e">
        <f>'2.4.Функции'!UQ172+"BYw!%e^"</f>
        <v>#VALUE!</v>
      </c>
      <c r="FO84" t="e">
        <f>'2.4.Функции'!UR172+"BYw!%e_"</f>
        <v>#VALUE!</v>
      </c>
      <c r="FP84" t="e">
        <f>'2.4.Функции'!US172+"BYw!%e`"</f>
        <v>#VALUE!</v>
      </c>
      <c r="FQ84" t="e">
        <f>'2.4.Функции'!UT172+"BYw!%ea"</f>
        <v>#VALUE!</v>
      </c>
      <c r="FR84" t="e">
        <f>'2.4.Функции'!UU172+"BYw!%eb"</f>
        <v>#VALUE!</v>
      </c>
      <c r="FS84" t="e">
        <f>'2.4.Функции'!UV172+"BYw!%ec"</f>
        <v>#VALUE!</v>
      </c>
      <c r="FT84" t="e">
        <f>'2.4.Функции'!UW172+"BYw!%ed"</f>
        <v>#VALUE!</v>
      </c>
      <c r="FU84" t="e">
        <f>'2.4.Функции'!UX172+"BYw!%ee"</f>
        <v>#VALUE!</v>
      </c>
      <c r="FV84" t="e">
        <f>'2.4.Функции'!UY172+"BYw!%ef"</f>
        <v>#VALUE!</v>
      </c>
      <c r="FW84" t="e">
        <f>'2.4.Функции'!UZ172+"BYw!%eg"</f>
        <v>#VALUE!</v>
      </c>
      <c r="FX84" t="e">
        <f>'2.4.Функции'!VA172+"BYw!%eh"</f>
        <v>#VALUE!</v>
      </c>
      <c r="FY84" t="e">
        <f>'2.4.Функции'!VB172+"BYw!%ei"</f>
        <v>#VALUE!</v>
      </c>
      <c r="FZ84" t="e">
        <f>'2.4.Функции'!VC172+"BYw!%ej"</f>
        <v>#VALUE!</v>
      </c>
      <c r="GA84" t="e">
        <f>'2.4.Функции'!VD172+"BYw!%ek"</f>
        <v>#VALUE!</v>
      </c>
      <c r="GB84" t="e">
        <f>'2.4.Функции'!VE172+"BYw!%el"</f>
        <v>#VALUE!</v>
      </c>
      <c r="GC84" t="e">
        <f>'2.4.Функции'!VF172+"BYw!%em"</f>
        <v>#VALUE!</v>
      </c>
      <c r="GD84" t="e">
        <f>'2.4.Функции'!VG172+"BYw!%en"</f>
        <v>#VALUE!</v>
      </c>
      <c r="GE84" t="e">
        <f>'2.4.Функции'!VH172+"BYw!%eo"</f>
        <v>#VALUE!</v>
      </c>
      <c r="GF84" t="e">
        <f>'2.4.Функции'!VI172+"BYw!%ep"</f>
        <v>#VALUE!</v>
      </c>
      <c r="GG84" t="e">
        <f>'2.4.Функции'!VJ172+"BYw!%eq"</f>
        <v>#VALUE!</v>
      </c>
      <c r="GH84" t="e">
        <f>'2.4.Функции'!VK172+"BYw!%er"</f>
        <v>#VALUE!</v>
      </c>
      <c r="GI84" t="e">
        <f>'2.4.Функции'!VL172+"BYw!%es"</f>
        <v>#VALUE!</v>
      </c>
      <c r="GJ84" t="e">
        <f>'2.4.Функции'!VM172+"BYw!%et"</f>
        <v>#VALUE!</v>
      </c>
      <c r="GK84" t="e">
        <f>'2.4.Функции'!VN172+"BYw!%eu"</f>
        <v>#VALUE!</v>
      </c>
      <c r="GL84" t="e">
        <f>'2.4.Функции'!VO172+"BYw!%ev"</f>
        <v>#VALUE!</v>
      </c>
      <c r="GM84" t="e">
        <f>'2.4.Функции'!VP172+"BYw!%ew"</f>
        <v>#VALUE!</v>
      </c>
      <c r="GN84" t="e">
        <f>'2.4.Функции'!VQ172+"BYw!%ex"</f>
        <v>#VALUE!</v>
      </c>
      <c r="GO84" t="e">
        <f>'2.4.Функции'!VR172+"BYw!%ey"</f>
        <v>#VALUE!</v>
      </c>
      <c r="GP84" t="e">
        <f>'2.4.Функции'!VS172+"BYw!%ez"</f>
        <v>#VALUE!</v>
      </c>
      <c r="GQ84" t="e">
        <f>'2.4.Функции'!VT172+"BYw!%e{"</f>
        <v>#VALUE!</v>
      </c>
      <c r="GR84" t="e">
        <f>'2.4.Функции'!VU172+"BYw!%e|"</f>
        <v>#VALUE!</v>
      </c>
      <c r="GS84" t="e">
        <f>'2.4.Функции'!VV172+"BYw!%e}"</f>
        <v>#VALUE!</v>
      </c>
      <c r="GT84" t="e">
        <f>'2.4.Функции'!VW172+"BYw!%e~"</f>
        <v>#VALUE!</v>
      </c>
      <c r="GU84" t="e">
        <f>'2.4.Функции'!VX172+"BYw!%f#"</f>
        <v>#VALUE!</v>
      </c>
      <c r="GV84" t="e">
        <f>'2.4.Функции'!VY172+"BYw!%f$"</f>
        <v>#VALUE!</v>
      </c>
      <c r="GW84" t="e">
        <f>'2.4.Функции'!VZ172+"BYw!%f%"</f>
        <v>#VALUE!</v>
      </c>
      <c r="GX84" t="e">
        <f>'2.4.Функции'!WA172+"BYw!%f&amp;"</f>
        <v>#VALUE!</v>
      </c>
      <c r="GY84" t="e">
        <f>'2.4.Функции'!WB172+"BYw!%f'"</f>
        <v>#VALUE!</v>
      </c>
      <c r="GZ84" t="e">
        <f>'2.4.Функции'!WC172+"BYw!%f("</f>
        <v>#VALUE!</v>
      </c>
      <c r="HA84" t="e">
        <f>'2.4.Функции'!WD172+"BYw!%f)"</f>
        <v>#VALUE!</v>
      </c>
      <c r="HB84" t="e">
        <f>'2.4.Функции'!WE172+"BYw!%f."</f>
        <v>#VALUE!</v>
      </c>
      <c r="HC84" t="e">
        <f>'2.4.Функции'!WF172+"BYw!%f/"</f>
        <v>#VALUE!</v>
      </c>
      <c r="HD84" t="e">
        <f>'2.4.Функции'!WG172+"BYw!%f0"</f>
        <v>#VALUE!</v>
      </c>
      <c r="HE84" t="e">
        <f>'2.4.Функции'!WH172+"BYw!%f1"</f>
        <v>#VALUE!</v>
      </c>
      <c r="HF84" t="e">
        <f>'2.4.Функции'!WI172+"BYw!%f2"</f>
        <v>#VALUE!</v>
      </c>
      <c r="HG84" t="e">
        <f>'2.4.Функции'!WJ172+"BYw!%f3"</f>
        <v>#VALUE!</v>
      </c>
      <c r="HH84" t="e">
        <f>'2.4.Функции'!WK172+"BYw!%f4"</f>
        <v>#VALUE!</v>
      </c>
      <c r="HI84" t="e">
        <f>'2.4.Функции'!WL172+"BYw!%f5"</f>
        <v>#VALUE!</v>
      </c>
      <c r="HJ84" t="e">
        <f>'2.4.Функции'!WM172+"BYw!%f6"</f>
        <v>#VALUE!</v>
      </c>
      <c r="HK84" t="e">
        <f>'2.4.Функции'!WN172+"BYw!%f7"</f>
        <v>#VALUE!</v>
      </c>
      <c r="HL84" t="e">
        <f>'2.4.Функции'!WO172+"BYw!%f8"</f>
        <v>#VALUE!</v>
      </c>
      <c r="HM84" t="e">
        <f>'2.4.Функции'!WP172+"BYw!%f9"</f>
        <v>#VALUE!</v>
      </c>
      <c r="HN84" t="e">
        <f>'2.4.Функции'!WQ172+"BYw!%f:"</f>
        <v>#VALUE!</v>
      </c>
      <c r="HO84" t="e">
        <f>'2.4.Функции'!WR172+"BYw!%f;"</f>
        <v>#VALUE!</v>
      </c>
      <c r="HP84" t="e">
        <f>'2.4.Функции'!WS172+"BYw!%f&lt;"</f>
        <v>#VALUE!</v>
      </c>
      <c r="HQ84" t="e">
        <f>'2.4.Функции'!WT172+"BYw!%f="</f>
        <v>#VALUE!</v>
      </c>
      <c r="HR84" t="e">
        <f>'2.4.Функции'!WU172+"BYw!%f&gt;"</f>
        <v>#VALUE!</v>
      </c>
      <c r="HS84" t="e">
        <f>'2.4.Функции'!WV172+"BYw!%f?"</f>
        <v>#VALUE!</v>
      </c>
      <c r="HT84" t="e">
        <f>'2.4.Функции'!WW172+"BYw!%f@"</f>
        <v>#VALUE!</v>
      </c>
      <c r="HU84" t="e">
        <f>'2.4.Функции'!WX172+"BYw!%fA"</f>
        <v>#VALUE!</v>
      </c>
      <c r="HV84" t="e">
        <f>'2.4.Функции'!WY172+"BYw!%fB"</f>
        <v>#VALUE!</v>
      </c>
      <c r="HW84" t="e">
        <f>'2.4.Функции'!WZ172+"BYw!%fC"</f>
        <v>#VALUE!</v>
      </c>
      <c r="HX84" t="e">
        <f>'2.4.Функции'!XA172+"BYw!%fD"</f>
        <v>#VALUE!</v>
      </c>
      <c r="HY84" t="e">
        <f>'2.4.Функции'!XB172+"BYw!%fE"</f>
        <v>#VALUE!</v>
      </c>
      <c r="HZ84" t="e">
        <f>'2.4.Функции'!XC172+"BYw!%fF"</f>
        <v>#VALUE!</v>
      </c>
      <c r="IA84" t="e">
        <f>'2.4.Функции'!XD172+"BYw!%fG"</f>
        <v>#VALUE!</v>
      </c>
      <c r="IB84" t="e">
        <f>'2.4.Функции'!XE172+"BYw!%fH"</f>
        <v>#VALUE!</v>
      </c>
      <c r="IC84" t="e">
        <f>'2.4.Функции'!XF172+"BYw!%fI"</f>
        <v>#VALUE!</v>
      </c>
      <c r="ID84" t="e">
        <f>'2.4.Функции'!XG172+"BYw!%fJ"</f>
        <v>#VALUE!</v>
      </c>
      <c r="IE84" t="e">
        <f>'2.4.Функции'!XH172+"BYw!%fK"</f>
        <v>#VALUE!</v>
      </c>
      <c r="IF84" t="e">
        <f>'2.4.Функции'!XI172+"BYw!%fL"</f>
        <v>#VALUE!</v>
      </c>
      <c r="IG84" t="e">
        <f>'2.4.Функции'!XJ172+"BYw!%fM"</f>
        <v>#VALUE!</v>
      </c>
      <c r="IH84" t="e">
        <f>'2.4.Функции'!XK172+"BYw!%fN"</f>
        <v>#VALUE!</v>
      </c>
      <c r="II84" t="e">
        <f>'2.4.Функции'!XL172+"BYw!%fO"</f>
        <v>#VALUE!</v>
      </c>
      <c r="IJ84" t="e">
        <f>'2.4.Функции'!XM172+"BYw!%fP"</f>
        <v>#VALUE!</v>
      </c>
      <c r="IK84" t="e">
        <f>'2.4.Функции'!XN172+"BYw!%fQ"</f>
        <v>#VALUE!</v>
      </c>
      <c r="IL84" t="e">
        <f>'2.4.Функции'!XO172+"BYw!%fR"</f>
        <v>#VALUE!</v>
      </c>
      <c r="IM84" t="e">
        <f>'2.4.Функции'!XP172+"BYw!%fS"</f>
        <v>#VALUE!</v>
      </c>
      <c r="IN84" t="e">
        <f>'2.4.Функции'!XQ172+"BYw!%fT"</f>
        <v>#VALUE!</v>
      </c>
      <c r="IO84" t="e">
        <f>'2.4.Функции'!XR172+"BYw!%fU"</f>
        <v>#VALUE!</v>
      </c>
      <c r="IP84" t="e">
        <f>'2.4.Функции'!XS172+"BYw!%fV"</f>
        <v>#VALUE!</v>
      </c>
      <c r="IQ84" t="e">
        <f>'2.4.Функции'!XT172+"BYw!%fW"</f>
        <v>#VALUE!</v>
      </c>
      <c r="IR84" t="e">
        <f>'2.4.Функции'!XU172+"BYw!%fX"</f>
        <v>#VALUE!</v>
      </c>
      <c r="IS84" t="e">
        <f>'2.4.Функции'!XV172+"BYw!%fY"</f>
        <v>#VALUE!</v>
      </c>
      <c r="IT84" t="e">
        <f>'2.4.Функции'!XW172+"BYw!%fZ"</f>
        <v>#VALUE!</v>
      </c>
      <c r="IU84" t="e">
        <f>'2.4.Функции'!XX172+"BYw!%f["</f>
        <v>#VALUE!</v>
      </c>
      <c r="IV84" t="e">
        <f>'2.4.Функции'!XY172+"BYw!%f\"</f>
        <v>#VALUE!</v>
      </c>
    </row>
    <row r="85" spans="6:256" x14ac:dyDescent="0.2">
      <c r="F85" t="e">
        <f>'2.4.Функции'!XZ172+"BYw!%f]"</f>
        <v>#VALUE!</v>
      </c>
      <c r="G85" t="e">
        <f>'2.4.Функции'!YA172+"BYw!%f^"</f>
        <v>#VALUE!</v>
      </c>
      <c r="H85" t="e">
        <f>'2.4.Функции'!YB172+"BYw!%f_"</f>
        <v>#VALUE!</v>
      </c>
      <c r="I85" t="e">
        <f>'2.4.Функции'!YC172+"BYw!%f`"</f>
        <v>#VALUE!</v>
      </c>
      <c r="J85" t="e">
        <f>'2.4.Функции'!YD172+"BYw!%fa"</f>
        <v>#VALUE!</v>
      </c>
      <c r="K85" t="e">
        <f>'2.4.Функции'!YE172+"BYw!%fb"</f>
        <v>#VALUE!</v>
      </c>
      <c r="L85" t="e">
        <f>'2.4.Функции'!YF172+"BYw!%fc"</f>
        <v>#VALUE!</v>
      </c>
      <c r="M85" t="e">
        <f>'2.4.Функции'!YG172+"BYw!%fd"</f>
        <v>#VALUE!</v>
      </c>
      <c r="N85" t="e">
        <f>'2.4.Функции'!YH172+"BYw!%fe"</f>
        <v>#VALUE!</v>
      </c>
      <c r="O85" t="e">
        <f>'2.4.Функции'!YI172+"BYw!%ff"</f>
        <v>#VALUE!</v>
      </c>
      <c r="P85" t="e">
        <f>'2.4.Функции'!YJ172+"BYw!%fg"</f>
        <v>#VALUE!</v>
      </c>
      <c r="Q85" t="e">
        <f>'2.4.Функции'!YK172+"BYw!%fh"</f>
        <v>#VALUE!</v>
      </c>
      <c r="R85" t="e">
        <f>'2.4.Функции'!YL172+"BYw!%fi"</f>
        <v>#VALUE!</v>
      </c>
      <c r="S85" t="e">
        <f>'2.4.Функции'!YM172+"BYw!%fj"</f>
        <v>#VALUE!</v>
      </c>
      <c r="T85" t="e">
        <f>'2.4.Функции'!YN172+"BYw!%fk"</f>
        <v>#VALUE!</v>
      </c>
      <c r="U85" t="e">
        <f>'2.4.Функции'!YO172+"BYw!%fl"</f>
        <v>#VALUE!</v>
      </c>
      <c r="V85" t="e">
        <f>'2.4.Функции'!YP172+"BYw!%fm"</f>
        <v>#VALUE!</v>
      </c>
      <c r="W85" t="e">
        <f>'2.4.Функции'!YQ172+"BYw!%fn"</f>
        <v>#VALUE!</v>
      </c>
      <c r="X85" t="e">
        <f>'2.4.Функции'!YR172+"BYw!%fo"</f>
        <v>#VALUE!</v>
      </c>
      <c r="Y85" t="e">
        <f>'2.4.Функции'!YS172+"BYw!%fp"</f>
        <v>#VALUE!</v>
      </c>
      <c r="Z85" t="e">
        <f>'2.4.Функции'!YT172+"BYw!%fq"</f>
        <v>#VALUE!</v>
      </c>
      <c r="AA85" t="e">
        <f>'2.4.Функции'!YU172+"BYw!%fr"</f>
        <v>#VALUE!</v>
      </c>
      <c r="AB85" t="e">
        <f>'2.4.Функции'!YV172+"BYw!%fs"</f>
        <v>#VALUE!</v>
      </c>
      <c r="AC85" t="e">
        <f>'2.4.Функции'!YW172+"BYw!%ft"</f>
        <v>#VALUE!</v>
      </c>
      <c r="AD85" t="e">
        <f>'2.4.Функции'!YX172+"BYw!%fu"</f>
        <v>#VALUE!</v>
      </c>
      <c r="AE85" t="e">
        <f>'2.4.Функции'!YY172+"BYw!%fv"</f>
        <v>#VALUE!</v>
      </c>
      <c r="AF85" t="e">
        <f>'2.4.Функции'!YZ172+"BYw!%fw"</f>
        <v>#VALUE!</v>
      </c>
      <c r="AG85" t="e">
        <f>'2.4.Функции'!ZA172+"BYw!%fx"</f>
        <v>#VALUE!</v>
      </c>
      <c r="AH85" t="e">
        <f>'2.4.Функции'!ZB172+"BYw!%fy"</f>
        <v>#VALUE!</v>
      </c>
      <c r="AI85" t="e">
        <f>'2.4.Функции'!ZC172+"BYw!%fz"</f>
        <v>#VALUE!</v>
      </c>
      <c r="AJ85" t="e">
        <f>'2.4.Функции'!ZD172+"BYw!%f{"</f>
        <v>#VALUE!</v>
      </c>
      <c r="AK85" t="e">
        <f>'2.4.Функции'!ZE172+"BYw!%f|"</f>
        <v>#VALUE!</v>
      </c>
      <c r="AL85" t="e">
        <f>'2.4.Функции'!ZF172+"BYw!%f}"</f>
        <v>#VALUE!</v>
      </c>
      <c r="AM85" t="e">
        <f>'2.4.Функции'!ZG172+"BYw!%f~"</f>
        <v>#VALUE!</v>
      </c>
      <c r="AN85" t="e">
        <f>'2.4.Функции'!ZH172+"BYw!%g#"</f>
        <v>#VALUE!</v>
      </c>
      <c r="AO85" t="e">
        <f>'2.4.Функции'!ZI172+"BYw!%g$"</f>
        <v>#VALUE!</v>
      </c>
      <c r="AP85" t="e">
        <f>'2.4.Функции'!ZJ172+"BYw!%g%"</f>
        <v>#VALUE!</v>
      </c>
      <c r="AQ85" t="e">
        <f>'2.4.Функции'!ZK172+"BYw!%g&amp;"</f>
        <v>#VALUE!</v>
      </c>
      <c r="AR85" t="e">
        <f>'2.4.Функции'!ZL172+"BYw!%g'"</f>
        <v>#VALUE!</v>
      </c>
      <c r="AS85" t="e">
        <f>'2.4.Функции'!ZM172+"BYw!%g("</f>
        <v>#VALUE!</v>
      </c>
      <c r="AT85" t="e">
        <f>'2.4.Функции'!ZN172+"BYw!%g)"</f>
        <v>#VALUE!</v>
      </c>
      <c r="AU85" t="e">
        <f>'2.4.Функции'!ZO172+"BYw!%g."</f>
        <v>#VALUE!</v>
      </c>
      <c r="AV85" t="e">
        <f>'2.4.Функции'!ZP172+"BYw!%g/"</f>
        <v>#VALUE!</v>
      </c>
      <c r="AW85" t="e">
        <f>'2.4.Функции'!ZQ172+"BYw!%g0"</f>
        <v>#VALUE!</v>
      </c>
      <c r="AX85" t="e">
        <f>'2.4.Функции'!ZR172+"BYw!%g1"</f>
        <v>#VALUE!</v>
      </c>
      <c r="AY85" t="e">
        <f>'2.4.Функции'!ZS172+"BYw!%g2"</f>
        <v>#VALUE!</v>
      </c>
      <c r="AZ85" t="e">
        <f>'2.4.Функции'!ZT172+"BYw!%g3"</f>
        <v>#VALUE!</v>
      </c>
      <c r="BA85" t="e">
        <f>'2.4.Функции'!ZU172+"BYw!%g4"</f>
        <v>#VALUE!</v>
      </c>
      <c r="BB85" t="e">
        <f>'2.4.Функции'!ZV172+"BYw!%g5"</f>
        <v>#VALUE!</v>
      </c>
      <c r="BC85" t="e">
        <f>'2.4.Функции'!ZW172+"BYw!%g6"</f>
        <v>#VALUE!</v>
      </c>
      <c r="BD85" t="e">
        <f>'2.4.Функции'!ZX172+"BYw!%g7"</f>
        <v>#VALUE!</v>
      </c>
      <c r="BE85" t="e">
        <f>'2.4.Функции'!ZY172+"BYw!%g8"</f>
        <v>#VALUE!</v>
      </c>
      <c r="BF85" t="e">
        <f>'2.4.Функции'!ZZ172+"BYw!%g9"</f>
        <v>#VALUE!</v>
      </c>
      <c r="BG85" t="e">
        <f>'2.4.Функции'!AAA172+"BYw!%g:"</f>
        <v>#VALUE!</v>
      </c>
      <c r="BH85" t="e">
        <f>'2.4.Функции'!AAB172+"BYw!%g;"</f>
        <v>#VALUE!</v>
      </c>
      <c r="BI85" t="e">
        <f>'2.4.Функции'!AAC172+"BYw!%g&lt;"</f>
        <v>#VALUE!</v>
      </c>
      <c r="BJ85" t="e">
        <f>'2.4.Функции'!AAD172+"BYw!%g="</f>
        <v>#VALUE!</v>
      </c>
      <c r="BK85" t="e">
        <f>'2.4.Функции'!AAE172+"BYw!%g&gt;"</f>
        <v>#VALUE!</v>
      </c>
      <c r="BL85" t="e">
        <f>'2.4.Функции'!AAF172+"BYw!%g?"</f>
        <v>#VALUE!</v>
      </c>
      <c r="BM85" t="e">
        <f>'2.4.Функции'!AAG172+"BYw!%g@"</f>
        <v>#VALUE!</v>
      </c>
      <c r="BN85" t="e">
        <f>'2.4.Функции'!AAH172+"BYw!%gA"</f>
        <v>#VALUE!</v>
      </c>
      <c r="BO85" t="e">
        <f>'2.4.Функции'!AAI172+"BYw!%gB"</f>
        <v>#VALUE!</v>
      </c>
      <c r="BP85" t="e">
        <f>'2.4.Функции'!AAJ172+"BYw!%gC"</f>
        <v>#VALUE!</v>
      </c>
      <c r="BQ85" t="e">
        <f>'2.4.Функции'!AAK172+"BYw!%gD"</f>
        <v>#VALUE!</v>
      </c>
      <c r="BR85" t="e">
        <f>'2.4.Функции'!AAL172+"BYw!%gE"</f>
        <v>#VALUE!</v>
      </c>
      <c r="BS85" t="e">
        <f>'2.4.Функции'!AAM172+"BYw!%gF"</f>
        <v>#VALUE!</v>
      </c>
      <c r="BT85" t="e">
        <f>'2.4.Функции'!AAN172+"BYw!%gG"</f>
        <v>#VALUE!</v>
      </c>
      <c r="BU85" t="e">
        <f>'2.4.Функции'!AAO172+"BYw!%gH"</f>
        <v>#VALUE!</v>
      </c>
      <c r="BV85" t="e">
        <f>'2.4.Функции'!AAP172+"BYw!%gI"</f>
        <v>#VALUE!</v>
      </c>
      <c r="BW85" t="e">
        <f>'2.4.Функции'!AAQ172+"BYw!%gJ"</f>
        <v>#VALUE!</v>
      </c>
      <c r="BX85" t="e">
        <f>'2.4.Функции'!AAR172+"BYw!%gK"</f>
        <v>#VALUE!</v>
      </c>
      <c r="BY85" t="e">
        <f>'2.4.Функции'!AAS172+"BYw!%gL"</f>
        <v>#VALUE!</v>
      </c>
      <c r="BZ85" t="e">
        <f>'2.4.Функции'!AAT172+"BYw!%gM"</f>
        <v>#VALUE!</v>
      </c>
      <c r="CA85" t="e">
        <f>'2.4.Функции'!AAU172+"BYw!%gN"</f>
        <v>#VALUE!</v>
      </c>
      <c r="CB85" t="e">
        <f>'2.4.Функции'!AAV172+"BYw!%gO"</f>
        <v>#VALUE!</v>
      </c>
      <c r="CC85" t="e">
        <f>'2.4.Функции'!AAW172+"BYw!%gP"</f>
        <v>#VALUE!</v>
      </c>
      <c r="CD85" t="e">
        <f>'2.4.Функции'!AAX172+"BYw!%gQ"</f>
        <v>#VALUE!</v>
      </c>
      <c r="CE85" t="e">
        <f>'2.4.Функции'!AAY172+"BYw!%gR"</f>
        <v>#VALUE!</v>
      </c>
      <c r="CF85" t="e">
        <f>'2.4.Функции'!AAZ172+"BYw!%gS"</f>
        <v>#VALUE!</v>
      </c>
      <c r="CG85" t="e">
        <f>'2.4.Функции'!ABA172+"BYw!%gT"</f>
        <v>#VALUE!</v>
      </c>
      <c r="CH85" t="e">
        <f>'2.4.Функции'!ABB172+"BYw!%gU"</f>
        <v>#VALUE!</v>
      </c>
      <c r="CI85" t="e">
        <f>'2.4.Функции'!ABC172+"BYw!%gV"</f>
        <v>#VALUE!</v>
      </c>
      <c r="CJ85" t="e">
        <f>'2.4.Функции'!ABD172+"BYw!%gW"</f>
        <v>#VALUE!</v>
      </c>
      <c r="CK85" t="e">
        <f>'2.4.Функции'!ABE172+"BYw!%gX"</f>
        <v>#VALUE!</v>
      </c>
      <c r="CL85" t="e">
        <f>'2.4.Функции'!ABF172+"BYw!%gY"</f>
        <v>#VALUE!</v>
      </c>
      <c r="CM85" t="e">
        <f>'2.4.Функции'!ABG172+"BYw!%gZ"</f>
        <v>#VALUE!</v>
      </c>
      <c r="CN85" t="e">
        <f>'2.4.Функции'!ABH172+"BYw!%g["</f>
        <v>#VALUE!</v>
      </c>
      <c r="CO85" t="e">
        <f>'2.4.Функции'!ABI172+"BYw!%g\"</f>
        <v>#VALUE!</v>
      </c>
      <c r="CP85" t="e">
        <f>'2.4.Функции'!ABJ172+"BYw!%g]"</f>
        <v>#VALUE!</v>
      </c>
      <c r="CQ85" t="e">
        <f>'2.4.Функции'!ABK172+"BYw!%g^"</f>
        <v>#VALUE!</v>
      </c>
      <c r="CR85" t="e">
        <f>'2.4.Функции'!ABL172+"BYw!%g_"</f>
        <v>#VALUE!</v>
      </c>
      <c r="CS85" t="e">
        <f>'2.4.Функции'!ABM172+"BYw!%g`"</f>
        <v>#VALUE!</v>
      </c>
      <c r="CT85" t="e">
        <f>'2.4.Функции'!ABN172+"BYw!%ga"</f>
        <v>#VALUE!</v>
      </c>
      <c r="CU85" t="e">
        <f>'2.4.Функции'!ABO172+"BYw!%gb"</f>
        <v>#VALUE!</v>
      </c>
      <c r="CV85" t="e">
        <f>'2.4.Функции'!ABP172+"BYw!%gc"</f>
        <v>#VALUE!</v>
      </c>
      <c r="CW85" t="e">
        <f>'2.4.Функции'!ABQ172+"BYw!%gd"</f>
        <v>#VALUE!</v>
      </c>
      <c r="CX85" t="e">
        <f>'2.4.Функции'!ABR172+"BYw!%ge"</f>
        <v>#VALUE!</v>
      </c>
      <c r="CY85" t="e">
        <f>'2.4.Функции'!ABS172+"BYw!%gf"</f>
        <v>#VALUE!</v>
      </c>
      <c r="CZ85" t="e">
        <f>'2.4.Функции'!ABT172+"BYw!%gg"</f>
        <v>#VALUE!</v>
      </c>
      <c r="DA85" t="e">
        <f>'2.4.Функции'!ABU172+"BYw!%gh"</f>
        <v>#VALUE!</v>
      </c>
      <c r="DB85" t="e">
        <f>'2.4.Функции'!ABV172+"BYw!%gi"</f>
        <v>#VALUE!</v>
      </c>
      <c r="DC85" t="e">
        <f>'2.4.Функции'!ABW172+"BYw!%gj"</f>
        <v>#VALUE!</v>
      </c>
      <c r="DD85" t="e">
        <f>'2.4.Функции'!ABX172+"BYw!%gk"</f>
        <v>#VALUE!</v>
      </c>
      <c r="DE85" t="e">
        <f>'2.4.Функции'!ABY172+"BYw!%gl"</f>
        <v>#VALUE!</v>
      </c>
      <c r="DF85" t="e">
        <f>'2.4.Функции'!ABZ172+"BYw!%gm"</f>
        <v>#VALUE!</v>
      </c>
      <c r="DG85" t="e">
        <f>'2.4.Функции'!ACA172+"BYw!%gn"</f>
        <v>#VALUE!</v>
      </c>
      <c r="DH85" t="e">
        <f>'2.4.Функции'!ACB172+"BYw!%go"</f>
        <v>#VALUE!</v>
      </c>
      <c r="DI85" t="e">
        <f>'2.4.Функции'!ACC172+"BYw!%gp"</f>
        <v>#VALUE!</v>
      </c>
      <c r="DJ85" t="e">
        <f>'2.4.Функции'!ACD172+"BYw!%gq"</f>
        <v>#VALUE!</v>
      </c>
      <c r="DK85" t="e">
        <f>'2.4.Функции'!ACE172+"BYw!%gr"</f>
        <v>#VALUE!</v>
      </c>
      <c r="DL85" t="e">
        <f>'2.4.Функции'!ACF172+"BYw!%gs"</f>
        <v>#VALUE!</v>
      </c>
      <c r="DM85" t="e">
        <f>'2.4.Функции'!ACG172+"BYw!%gt"</f>
        <v>#VALUE!</v>
      </c>
      <c r="DN85" t="e">
        <f>'2.4.Функции'!ACH172+"BYw!%gu"</f>
        <v>#VALUE!</v>
      </c>
      <c r="DO85" t="e">
        <f>'2.4.Функции'!ACI172+"BYw!%gv"</f>
        <v>#VALUE!</v>
      </c>
      <c r="DP85" t="e">
        <f>'2.4.Функции'!ACJ172+"BYw!%gw"</f>
        <v>#VALUE!</v>
      </c>
      <c r="DQ85" t="e">
        <f>'2.4.Функции'!ACK172+"BYw!%gx"</f>
        <v>#VALUE!</v>
      </c>
      <c r="DR85" t="e">
        <f>'2.4.Функции'!ACL172+"BYw!%gy"</f>
        <v>#VALUE!</v>
      </c>
      <c r="DS85" t="e">
        <f>'2.4.Функции'!ACM172+"BYw!%gz"</f>
        <v>#VALUE!</v>
      </c>
      <c r="DT85" t="e">
        <f>'2.4.Функции'!ACN172+"BYw!%g{"</f>
        <v>#VALUE!</v>
      </c>
      <c r="DU85" t="e">
        <f>'2.4.Функции'!ACO172+"BYw!%g|"</f>
        <v>#VALUE!</v>
      </c>
      <c r="DV85" t="e">
        <f>'2.4.Функции'!ACP172+"BYw!%g}"</f>
        <v>#VALUE!</v>
      </c>
      <c r="DW85" t="e">
        <f>'2.4.Функции'!ACQ172+"BYw!%g~"</f>
        <v>#VALUE!</v>
      </c>
      <c r="DX85" t="e">
        <f>'2.4.Функции'!ACR172+"BYw!%h#"</f>
        <v>#VALUE!</v>
      </c>
      <c r="DY85" t="e">
        <f>'2.4.Функции'!ACS172+"BYw!%h$"</f>
        <v>#VALUE!</v>
      </c>
      <c r="DZ85" t="e">
        <f>'2.4.Функции'!ACT172+"BYw!%h%"</f>
        <v>#VALUE!</v>
      </c>
      <c r="EA85" t="e">
        <f>'2.4.Функции'!ACU172+"BYw!%h&amp;"</f>
        <v>#VALUE!</v>
      </c>
      <c r="EB85" t="e">
        <f>'2.4.Функции'!ACV172+"BYw!%h'"</f>
        <v>#VALUE!</v>
      </c>
      <c r="EC85" t="e">
        <f>'2.4.Функции'!ACW172+"BYw!%h("</f>
        <v>#VALUE!</v>
      </c>
      <c r="ED85" t="e">
        <f>'2.4.Функции'!ACX172+"BYw!%h)"</f>
        <v>#VALUE!</v>
      </c>
      <c r="EE85" t="e">
        <f>'2.4.Функции'!ACY172+"BYw!%h."</f>
        <v>#VALUE!</v>
      </c>
      <c r="EF85" t="e">
        <f>'2.4.Функции'!ACZ172+"BYw!%h/"</f>
        <v>#VALUE!</v>
      </c>
      <c r="EG85" t="e">
        <f>'2.4.Функции'!ADA172+"BYw!%h0"</f>
        <v>#VALUE!</v>
      </c>
      <c r="EH85" t="e">
        <f>'2.4.Функции'!ADB172+"BYw!%h1"</f>
        <v>#VALUE!</v>
      </c>
      <c r="EI85" t="e">
        <f>'2.4.Функции'!ADC172+"BYw!%h2"</f>
        <v>#VALUE!</v>
      </c>
      <c r="EJ85" t="e">
        <f>'2.4.Функции'!ADD172+"BYw!%h3"</f>
        <v>#VALUE!</v>
      </c>
      <c r="EK85" t="e">
        <f>'2.4.Функции'!ADE172+"BYw!%h4"</f>
        <v>#VALUE!</v>
      </c>
      <c r="EL85" t="e">
        <f>'2.4.Функции'!ADF172+"BYw!%h5"</f>
        <v>#VALUE!</v>
      </c>
      <c r="EM85" t="e">
        <f>'2.4.Функции'!ADG172+"BYw!%h6"</f>
        <v>#VALUE!</v>
      </c>
      <c r="EN85" t="e">
        <f>'2.4.Функции'!ADH172+"BYw!%h7"</f>
        <v>#VALUE!</v>
      </c>
      <c r="EO85" t="e">
        <f>'2.4.Функции'!ADI172+"BYw!%h8"</f>
        <v>#VALUE!</v>
      </c>
      <c r="EP85" t="e">
        <f>'2.4.Функции'!ADJ172+"BYw!%h9"</f>
        <v>#VALUE!</v>
      </c>
      <c r="EQ85" t="e">
        <f>'2.4.Функции'!ADK172+"BYw!%h:"</f>
        <v>#VALUE!</v>
      </c>
      <c r="ER85" t="e">
        <f>'2.4.Функции'!ADL172+"BYw!%h;"</f>
        <v>#VALUE!</v>
      </c>
      <c r="ES85" t="e">
        <f>'2.4.Функции'!ADM172+"BYw!%h&lt;"</f>
        <v>#VALUE!</v>
      </c>
      <c r="ET85" t="e">
        <f>'2.4.Функции'!ADN172+"BYw!%h="</f>
        <v>#VALUE!</v>
      </c>
      <c r="EU85" t="e">
        <f>'2.4.Функции'!ADO172+"BYw!%h&gt;"</f>
        <v>#VALUE!</v>
      </c>
      <c r="EV85" t="e">
        <f>'2.4.Функции'!ADP172+"BYw!%h?"</f>
        <v>#VALUE!</v>
      </c>
      <c r="EW85" t="e">
        <f>'2.4.Функции'!ADQ172+"BYw!%h@"</f>
        <v>#VALUE!</v>
      </c>
      <c r="EX85" t="e">
        <f>'2.4.Функции'!ADR172+"BYw!%hA"</f>
        <v>#VALUE!</v>
      </c>
      <c r="EY85" t="e">
        <f>'2.4.Функции'!ADS172+"BYw!%hB"</f>
        <v>#VALUE!</v>
      </c>
      <c r="EZ85" t="e">
        <f>'2.4.Функции'!ADT172+"BYw!%hC"</f>
        <v>#VALUE!</v>
      </c>
      <c r="FA85" t="e">
        <f>'2.4.Функции'!ADU172+"BYw!%hD"</f>
        <v>#VALUE!</v>
      </c>
      <c r="FB85" t="e">
        <f>'2.4.Функции'!ADV172+"BYw!%hE"</f>
        <v>#VALUE!</v>
      </c>
      <c r="FC85" t="e">
        <f>'2.4.Функции'!ADW172+"BYw!%hF"</f>
        <v>#VALUE!</v>
      </c>
      <c r="FD85" t="e">
        <f>'2.4.Функции'!ADX172+"BYw!%hG"</f>
        <v>#VALUE!</v>
      </c>
      <c r="FE85" t="e">
        <f>'2.4.Функции'!ADY172+"BYw!%hH"</f>
        <v>#VALUE!</v>
      </c>
      <c r="FF85" t="e">
        <f>'2.4.Функции'!ADZ172+"BYw!%hI"</f>
        <v>#VALUE!</v>
      </c>
      <c r="FG85" t="e">
        <f>'2.4.Функции'!AEA172+"BYw!%hJ"</f>
        <v>#VALUE!</v>
      </c>
      <c r="FH85" t="e">
        <f>'2.4.Функции'!AEB172+"BYw!%hK"</f>
        <v>#VALUE!</v>
      </c>
      <c r="FI85" t="e">
        <f>'2.4.Функции'!AEC172+"BYw!%hL"</f>
        <v>#VALUE!</v>
      </c>
      <c r="FJ85" t="e">
        <f>'2.4.Функции'!AED172+"BYw!%hM"</f>
        <v>#VALUE!</v>
      </c>
      <c r="FK85" t="e">
        <f>'2.4.Функции'!AEE172+"BYw!%hN"</f>
        <v>#VALUE!</v>
      </c>
      <c r="FL85" t="e">
        <f>'2.4.Функции'!AEF172+"BYw!%hO"</f>
        <v>#VALUE!</v>
      </c>
      <c r="FM85" t="e">
        <f>'2.4.Функции'!AEG172+"BYw!%hP"</f>
        <v>#VALUE!</v>
      </c>
      <c r="FN85" t="e">
        <f>'2.4.Функции'!AEH172+"BYw!%hQ"</f>
        <v>#VALUE!</v>
      </c>
      <c r="FO85" t="e">
        <f>'2.4.Функции'!AEI172+"BYw!%hR"</f>
        <v>#VALUE!</v>
      </c>
      <c r="FP85" t="e">
        <f>'2.4.Функции'!AEJ172+"BYw!%hS"</f>
        <v>#VALUE!</v>
      </c>
      <c r="FQ85" t="e">
        <f>'2.4.Функции'!AEK172+"BYw!%hT"</f>
        <v>#VALUE!</v>
      </c>
      <c r="FR85" t="e">
        <f>'2.4.Функции'!AEL172+"BYw!%hU"</f>
        <v>#VALUE!</v>
      </c>
      <c r="FS85" t="e">
        <f>'2.4.Функции'!AEM172+"BYw!%hV"</f>
        <v>#VALUE!</v>
      </c>
      <c r="FT85" t="e">
        <f>'2.4.Функции'!AEN172+"BYw!%hW"</f>
        <v>#VALUE!</v>
      </c>
      <c r="FU85" t="e">
        <f>'2.4.Функции'!AEO172+"BYw!%hX"</f>
        <v>#VALUE!</v>
      </c>
      <c r="FV85" t="e">
        <f>'2.4.Функции'!AEP172+"BYw!%hY"</f>
        <v>#VALUE!</v>
      </c>
      <c r="FW85" t="e">
        <f>'2.4.Функции'!AEQ172+"BYw!%hZ"</f>
        <v>#VALUE!</v>
      </c>
      <c r="FX85" t="e">
        <f>'2.4.Функции'!AER172+"BYw!%h["</f>
        <v>#VALUE!</v>
      </c>
      <c r="FY85" t="e">
        <f>'2.4.Функции'!AES172+"BYw!%h\"</f>
        <v>#VALUE!</v>
      </c>
      <c r="FZ85" t="e">
        <f>'2.4.Функции'!AET172+"BYw!%h]"</f>
        <v>#VALUE!</v>
      </c>
      <c r="GA85" t="e">
        <f>'2.4.Функции'!AEU172+"BYw!%h^"</f>
        <v>#VALUE!</v>
      </c>
      <c r="GB85" t="e">
        <f>'2.4.Функции'!AEV172+"BYw!%h_"</f>
        <v>#VALUE!</v>
      </c>
      <c r="GC85" t="e">
        <f>'2.4.Функции'!AEW172+"BYw!%h`"</f>
        <v>#VALUE!</v>
      </c>
      <c r="GD85" t="e">
        <f>'2.4.Функции'!AEX172+"BYw!%ha"</f>
        <v>#VALUE!</v>
      </c>
      <c r="GE85" t="e">
        <f>'2.4.Функции'!AEY172+"BYw!%hb"</f>
        <v>#VALUE!</v>
      </c>
      <c r="GF85" t="e">
        <f>'2.4.Функции'!AEZ172+"BYw!%hc"</f>
        <v>#VALUE!</v>
      </c>
      <c r="GG85" t="e">
        <f>'2.4.Функции'!AFA172+"BYw!%hd"</f>
        <v>#VALUE!</v>
      </c>
      <c r="GH85" t="e">
        <f>'2.4.Функции'!AFB172+"BYw!%he"</f>
        <v>#VALUE!</v>
      </c>
      <c r="GI85" t="e">
        <f>'2.4.Функции'!AFC172+"BYw!%hf"</f>
        <v>#VALUE!</v>
      </c>
      <c r="GJ85" t="e">
        <f>'2.4.Функции'!AFD172+"BYw!%hg"</f>
        <v>#VALUE!</v>
      </c>
      <c r="GK85" t="e">
        <f>'2.4.Функции'!AFE172+"BYw!%hh"</f>
        <v>#VALUE!</v>
      </c>
      <c r="GL85" t="e">
        <f>'2.4.Функции'!AFF172+"BYw!%hi"</f>
        <v>#VALUE!</v>
      </c>
      <c r="GM85" t="e">
        <f>'2.4.Функции'!AFG172+"BYw!%hj"</f>
        <v>#VALUE!</v>
      </c>
      <c r="GN85" t="e">
        <f>'2.4.Функции'!AFH172+"BYw!%hk"</f>
        <v>#VALUE!</v>
      </c>
      <c r="GO85" t="e">
        <f>'2.4.Функции'!AFI172+"BYw!%hl"</f>
        <v>#VALUE!</v>
      </c>
      <c r="GP85" t="e">
        <f>'2.4.Функции'!AFJ172+"BYw!%hm"</f>
        <v>#VALUE!</v>
      </c>
      <c r="GQ85" t="e">
        <f>'2.4.Функции'!AFK172+"BYw!%hn"</f>
        <v>#VALUE!</v>
      </c>
      <c r="GR85" t="e">
        <f>'2.4.Функции'!AFL172+"BYw!%ho"</f>
        <v>#VALUE!</v>
      </c>
      <c r="GS85" t="e">
        <f>'2.4.Функции'!AFM172+"BYw!%hp"</f>
        <v>#VALUE!</v>
      </c>
      <c r="GT85" t="e">
        <f>'2.4.Функции'!AFN172+"BYw!%hq"</f>
        <v>#VALUE!</v>
      </c>
      <c r="GU85" t="e">
        <f>'2.4.Функции'!AFO172+"BYw!%hr"</f>
        <v>#VALUE!</v>
      </c>
      <c r="GV85" t="e">
        <f>'2.4.Функции'!AFP172+"BYw!%hs"</f>
        <v>#VALUE!</v>
      </c>
      <c r="GW85" t="e">
        <f>'2.4.Функции'!AFQ172+"BYw!%ht"</f>
        <v>#VALUE!</v>
      </c>
      <c r="GX85" t="e">
        <f>'2.4.Функции'!AFR172+"BYw!%hu"</f>
        <v>#VALUE!</v>
      </c>
      <c r="GY85" t="e">
        <f>'2.4.Функции'!AFS172+"BYw!%hv"</f>
        <v>#VALUE!</v>
      </c>
      <c r="GZ85" t="e">
        <f>'2.4.Функции'!AFT172+"BYw!%hw"</f>
        <v>#VALUE!</v>
      </c>
      <c r="HA85" t="e">
        <f>'2.4.Функции'!AFU172+"BYw!%hx"</f>
        <v>#VALUE!</v>
      </c>
      <c r="HB85" t="e">
        <f>'2.4.Функции'!AFV172+"BYw!%hy"</f>
        <v>#VALUE!</v>
      </c>
      <c r="HC85" t="e">
        <f>'2.4.Функции'!AFW172+"BYw!%hz"</f>
        <v>#VALUE!</v>
      </c>
      <c r="HD85" t="e">
        <f>'2.4.Функции'!AFX172+"BYw!%h{"</f>
        <v>#VALUE!</v>
      </c>
      <c r="HE85" t="e">
        <f>'2.4.Функции'!AFY172+"BYw!%h|"</f>
        <v>#VALUE!</v>
      </c>
      <c r="HF85" t="e">
        <f>'2.4.Функции'!AFZ172+"BYw!%h}"</f>
        <v>#VALUE!</v>
      </c>
      <c r="HG85" t="e">
        <f>'2.4.Функции'!AGA172+"BYw!%h~"</f>
        <v>#VALUE!</v>
      </c>
      <c r="HH85" t="e">
        <f>'2.4.Функции'!AGB172+"BYw!%i#"</f>
        <v>#VALUE!</v>
      </c>
      <c r="HI85" t="e">
        <f>'2.4.Функции'!AGC172+"BYw!%i$"</f>
        <v>#VALUE!</v>
      </c>
      <c r="HJ85" t="e">
        <f>'2.4.Функции'!AGD172+"BYw!%i%"</f>
        <v>#VALUE!</v>
      </c>
      <c r="HK85" t="e">
        <f>'2.4.Функции'!AGE172+"BYw!%i&amp;"</f>
        <v>#VALUE!</v>
      </c>
      <c r="HL85" t="e">
        <f>'2.4.Функции'!AGF172+"BYw!%i'"</f>
        <v>#VALUE!</v>
      </c>
      <c r="HM85" t="e">
        <f>'2.4.Функции'!AGG172+"BYw!%i("</f>
        <v>#VALUE!</v>
      </c>
      <c r="HN85" t="e">
        <f>'2.4.Функции'!AGH172+"BYw!%i)"</f>
        <v>#VALUE!</v>
      </c>
      <c r="HO85" t="e">
        <f>'2.4.Функции'!AGI172+"BYw!%i."</f>
        <v>#VALUE!</v>
      </c>
      <c r="HP85" t="e">
        <f>'2.4.Функции'!AGJ172+"BYw!%i/"</f>
        <v>#VALUE!</v>
      </c>
      <c r="HQ85" t="e">
        <f>'2.4.Функции'!AGK172+"BYw!%i0"</f>
        <v>#VALUE!</v>
      </c>
      <c r="HR85" t="e">
        <f>'2.4.Функции'!AGL172+"BYw!%i1"</f>
        <v>#VALUE!</v>
      </c>
      <c r="HS85" t="e">
        <f>'2.4.Функции'!AGM172+"BYw!%i2"</f>
        <v>#VALUE!</v>
      </c>
      <c r="HT85" t="e">
        <f>'2.4.Функции'!AGN172+"BYw!%i3"</f>
        <v>#VALUE!</v>
      </c>
      <c r="HU85" t="e">
        <f>'2.4.Функции'!AGO172+"BYw!%i4"</f>
        <v>#VALUE!</v>
      </c>
      <c r="HV85" t="e">
        <f>'2.4.Функции'!AGP172+"BYw!%i5"</f>
        <v>#VALUE!</v>
      </c>
      <c r="HW85" t="e">
        <f>'2.4.Функции'!AGQ172+"BYw!%i6"</f>
        <v>#VALUE!</v>
      </c>
      <c r="HX85" t="e">
        <f>'2.4.Функции'!AGR172+"BYw!%i7"</f>
        <v>#VALUE!</v>
      </c>
      <c r="HY85" t="e">
        <f>'2.4.Функции'!AGS172+"BYw!%i8"</f>
        <v>#VALUE!</v>
      </c>
      <c r="HZ85" t="e">
        <f>'2.4.Функции'!AGT172+"BYw!%i9"</f>
        <v>#VALUE!</v>
      </c>
      <c r="IA85" t="e">
        <f>'2.4.Функции'!AGU172+"BYw!%i:"</f>
        <v>#VALUE!</v>
      </c>
      <c r="IB85" t="e">
        <f>'2.4.Функции'!AGV172+"BYw!%i;"</f>
        <v>#VALUE!</v>
      </c>
      <c r="IC85" t="e">
        <f>'2.4.Функции'!AGW172+"BYw!%i&lt;"</f>
        <v>#VALUE!</v>
      </c>
      <c r="ID85" t="e">
        <f>'2.4.Функции'!AGX172+"BYw!%i="</f>
        <v>#VALUE!</v>
      </c>
      <c r="IE85" t="e">
        <f>'2.4.Функции'!AGY172+"BYw!%i&gt;"</f>
        <v>#VALUE!</v>
      </c>
      <c r="IF85" t="e">
        <f>'2.4.Функции'!AGZ172+"BYw!%i?"</f>
        <v>#VALUE!</v>
      </c>
      <c r="IG85" t="e">
        <f>'2.4.Функции'!AHA172+"BYw!%i@"</f>
        <v>#VALUE!</v>
      </c>
      <c r="IH85" t="e">
        <f>'2.4.Функции'!AHB172+"BYw!%iA"</f>
        <v>#VALUE!</v>
      </c>
      <c r="II85" t="e">
        <f>'2.4.Функции'!AHC172+"BYw!%iB"</f>
        <v>#VALUE!</v>
      </c>
      <c r="IJ85" t="e">
        <f>'2.4.Функции'!AHD172+"BYw!%iC"</f>
        <v>#VALUE!</v>
      </c>
      <c r="IK85" t="e">
        <f>'2.4.Функции'!AHE172+"BYw!%iD"</f>
        <v>#VALUE!</v>
      </c>
      <c r="IL85" t="e">
        <f>'2.4.Функции'!AHF172+"BYw!%iE"</f>
        <v>#VALUE!</v>
      </c>
      <c r="IM85" t="e">
        <f>'2.4.Функции'!AHG172+"BYw!%iF"</f>
        <v>#VALUE!</v>
      </c>
      <c r="IN85" t="e">
        <f>'2.4.Функции'!AHH172+"BYw!%iG"</f>
        <v>#VALUE!</v>
      </c>
      <c r="IO85" t="e">
        <f>'2.4.Функции'!AHI172+"BYw!%iH"</f>
        <v>#VALUE!</v>
      </c>
      <c r="IP85" t="e">
        <f>'2.4.Функции'!AHJ172+"BYw!%iI"</f>
        <v>#VALUE!</v>
      </c>
      <c r="IQ85" t="e">
        <f>'2.4.Функции'!AHK172+"BYw!%iJ"</f>
        <v>#VALUE!</v>
      </c>
      <c r="IR85" t="e">
        <f>'2.4.Функции'!AHL172+"BYw!%iK"</f>
        <v>#VALUE!</v>
      </c>
      <c r="IS85" t="e">
        <f>'2.4.Функции'!AHM172+"BYw!%iL"</f>
        <v>#VALUE!</v>
      </c>
      <c r="IT85" t="e">
        <f>'2.4.Функции'!AHN172+"BYw!%iM"</f>
        <v>#VALUE!</v>
      </c>
      <c r="IU85" t="e">
        <f>'2.4.Функции'!AHO172+"BYw!%iN"</f>
        <v>#VALUE!</v>
      </c>
      <c r="IV85" t="e">
        <f>'2.4.Функции'!AHP172+"BYw!%iO"</f>
        <v>#VALUE!</v>
      </c>
    </row>
    <row r="86" spans="6:256" x14ac:dyDescent="0.2">
      <c r="F86" t="e">
        <f>'2.4.Функции'!AHQ172+"BYw!%iP"</f>
        <v>#VALUE!</v>
      </c>
      <c r="G86" t="e">
        <f>'2.4.Функции'!AHR172+"BYw!%iQ"</f>
        <v>#VALUE!</v>
      </c>
      <c r="H86" t="e">
        <f>'2.4.Функции'!AHS172+"BYw!%iR"</f>
        <v>#VALUE!</v>
      </c>
      <c r="I86" t="e">
        <f>'2.4.Функции'!AHT172+"BYw!%iS"</f>
        <v>#VALUE!</v>
      </c>
      <c r="J86" t="e">
        <f>'2.4.Функции'!AHU172+"BYw!%iT"</f>
        <v>#VALUE!</v>
      </c>
      <c r="K86" t="e">
        <f>'2.4.Функции'!AHV172+"BYw!%iU"</f>
        <v>#VALUE!</v>
      </c>
      <c r="L86" t="e">
        <f>'2.4.Функции'!AHW172+"BYw!%iV"</f>
        <v>#VALUE!</v>
      </c>
      <c r="M86" t="e">
        <f>'2.4.Функции'!AHX172+"BYw!%iW"</f>
        <v>#VALUE!</v>
      </c>
      <c r="N86" t="e">
        <f>'2.4.Функции'!AHY172+"BYw!%iX"</f>
        <v>#VALUE!</v>
      </c>
      <c r="O86" t="e">
        <f>'2.4.Функции'!AHZ172+"BYw!%iY"</f>
        <v>#VALUE!</v>
      </c>
      <c r="P86" t="e">
        <f>'2.4.Функции'!AIA172+"BYw!%iZ"</f>
        <v>#VALUE!</v>
      </c>
      <c r="Q86" t="e">
        <f>'2.4.Функции'!AIB172+"BYw!%i["</f>
        <v>#VALUE!</v>
      </c>
      <c r="R86" t="e">
        <f>'2.4.Функции'!AIC172+"BYw!%i\"</f>
        <v>#VALUE!</v>
      </c>
      <c r="S86" t="e">
        <f>'2.4.Функции'!AID172+"BYw!%i]"</f>
        <v>#VALUE!</v>
      </c>
      <c r="T86" t="e">
        <f>'2.4.Функции'!AIE172+"BYw!%i^"</f>
        <v>#VALUE!</v>
      </c>
      <c r="U86" t="e">
        <f>'2.4.Функции'!AIF172+"BYw!%i_"</f>
        <v>#VALUE!</v>
      </c>
      <c r="V86" t="e">
        <f>'2.4.Функции'!AIG172+"BYw!%i`"</f>
        <v>#VALUE!</v>
      </c>
      <c r="W86" t="e">
        <f>'2.4.Функции'!AIH172+"BYw!%ia"</f>
        <v>#VALUE!</v>
      </c>
      <c r="X86" s="116" t="e">
        <f>'2.4.Функции'!B173+"BYw!%ib"</f>
        <v>#VALUE!</v>
      </c>
      <c r="Y86" t="e">
        <f>'2.4.Функции'!C173+"BYw!%ic"</f>
        <v>#VALUE!</v>
      </c>
      <c r="Z86" s="119" t="e">
        <f>'2.4.Функции'!D173+"BYw!%id"</f>
        <v>#VALUE!</v>
      </c>
      <c r="AA86" s="119" t="e">
        <f>'2.4.Функции'!E173+"BYw!%ie"</f>
        <v>#VALUE!</v>
      </c>
      <c r="AB86" s="119" t="e">
        <f>'2.4.Функции'!F173+"BYw!%if"</f>
        <v>#VALUE!</v>
      </c>
      <c r="AC86" s="119" t="e">
        <f>'2.4.Функции'!G173+"BYw!%ig"</f>
        <v>#VALUE!</v>
      </c>
      <c r="AD86" s="119" t="e">
        <f>'2.4.Функции'!H173+"BYw!%ih"</f>
        <v>#VALUE!</v>
      </c>
      <c r="AE86" s="119" t="e">
        <f>'2.4.Функции'!I173+"BYw!%ii"</f>
        <v>#VALUE!</v>
      </c>
      <c r="AF86" s="119" t="e">
        <f>'2.4.Функции'!J173+"BYw!%ij"</f>
        <v>#VALUE!</v>
      </c>
      <c r="AG86" s="119" t="e">
        <f>'2.4.Функции'!K173+"BYw!%ik"</f>
        <v>#VALUE!</v>
      </c>
      <c r="AH86" t="e">
        <f>'2.4.Функции'!L173+"BYw!%il"</f>
        <v>#VALUE!</v>
      </c>
      <c r="AI86" t="e">
        <f>'2.4.Функции'!M173+"BYw!%im"</f>
        <v>#VALUE!</v>
      </c>
      <c r="AJ86" t="e">
        <f>'2.4.Функции'!N173+"BYw!%in"</f>
        <v>#VALUE!</v>
      </c>
      <c r="AK86" t="e">
        <f>'2.4.Функции'!O173+"BYw!%io"</f>
        <v>#VALUE!</v>
      </c>
      <c r="AL86" t="e">
        <f>'2.4.Функции'!P173+"BYw!%ip"</f>
        <v>#VALUE!</v>
      </c>
      <c r="AM86" t="e">
        <f>'2.4.Функции'!Q173+"BYw!%iq"</f>
        <v>#VALUE!</v>
      </c>
      <c r="AN86" t="e">
        <f>'2.4.Функции'!R173+"BYw!%ir"</f>
        <v>#VALUE!</v>
      </c>
      <c r="AO86" t="e">
        <f>'2.4.Функции'!S173+"BYw!%is"</f>
        <v>#VALUE!</v>
      </c>
      <c r="AP86" t="e">
        <f>'2.4.Функции'!T173+"BYw!%it"</f>
        <v>#VALUE!</v>
      </c>
      <c r="AQ86" t="e">
        <f>'2.4.Функции'!U173+"BYw!%iu"</f>
        <v>#VALUE!</v>
      </c>
      <c r="AR86" t="e">
        <f>'2.4.Функции'!V173+"BYw!%iv"</f>
        <v>#VALUE!</v>
      </c>
      <c r="AS86" t="e">
        <f>'2.4.Функции'!W173+"BYw!%iw"</f>
        <v>#VALUE!</v>
      </c>
      <c r="AT86" t="e">
        <f>'2.4.Функции'!X173+"BYw!%ix"</f>
        <v>#VALUE!</v>
      </c>
      <c r="AU86" t="e">
        <f>'2.4.Функции'!Y173+"BYw!%iy"</f>
        <v>#VALUE!</v>
      </c>
      <c r="AV86" t="e">
        <f>'2.4.Функции'!Z173+"BYw!%iz"</f>
        <v>#VALUE!</v>
      </c>
      <c r="AW86" t="e">
        <f>'2.4.Функции'!AA173+"BYw!%i{"</f>
        <v>#VALUE!</v>
      </c>
      <c r="AX86" t="e">
        <f>'2.4.Функции'!AB173+"BYw!%i|"</f>
        <v>#VALUE!</v>
      </c>
      <c r="AY86" t="e">
        <f>'2.4.Функции'!AC173+"BYw!%i}"</f>
        <v>#VALUE!</v>
      </c>
      <c r="AZ86" s="116" t="e">
        <f>'2.4.Функции'!B174+"BYw!%i~"</f>
        <v>#VALUE!</v>
      </c>
      <c r="BA86" t="e">
        <f>'2.4.Функции'!C174+"BYw!%j#"</f>
        <v>#VALUE!</v>
      </c>
      <c r="BB86" s="119" t="e">
        <f>'2.4.Функции'!D174+"BYw!%j$"</f>
        <v>#VALUE!</v>
      </c>
      <c r="BC86" s="119" t="e">
        <f>'2.4.Функции'!E174+"BYw!%j%"</f>
        <v>#VALUE!</v>
      </c>
      <c r="BD86" s="119" t="e">
        <f>'2.4.Функции'!F174+"BYw!%j&amp;"</f>
        <v>#VALUE!</v>
      </c>
      <c r="BE86" s="119" t="e">
        <f>'2.4.Функции'!G174+"BYw!%j'"</f>
        <v>#VALUE!</v>
      </c>
      <c r="BF86" s="119" t="e">
        <f>'2.4.Функции'!H174+"BYw!%j("</f>
        <v>#VALUE!</v>
      </c>
      <c r="BG86" s="119" t="e">
        <f>'2.4.Функции'!I174+"BYw!%j)"</f>
        <v>#VALUE!</v>
      </c>
      <c r="BH86" s="119" t="e">
        <f>'2.4.Функции'!J174+"BYw!%j."</f>
        <v>#VALUE!</v>
      </c>
      <c r="BI86" s="119" t="e">
        <f>'2.4.Функции'!K174+"BYw!%j/"</f>
        <v>#VALUE!</v>
      </c>
      <c r="BJ86" t="e">
        <f>'2.4.Функции'!L174+"BYw!%j0"</f>
        <v>#VALUE!</v>
      </c>
      <c r="BK86" t="e">
        <f>'2.4.Функции'!M174+"BYw!%j1"</f>
        <v>#VALUE!</v>
      </c>
      <c r="BL86" t="e">
        <f>'2.4.Функции'!N174+"BYw!%j2"</f>
        <v>#VALUE!</v>
      </c>
      <c r="BM86" t="e">
        <f>'2.4.Функции'!O174+"BYw!%j3"</f>
        <v>#VALUE!</v>
      </c>
      <c r="BN86" t="e">
        <f>'2.4.Функции'!P174+"BYw!%j4"</f>
        <v>#VALUE!</v>
      </c>
      <c r="BO86" t="e">
        <f>'2.4.Функции'!Q174+"BYw!%j5"</f>
        <v>#VALUE!</v>
      </c>
      <c r="BP86" t="e">
        <f>'2.4.Функции'!R174+"BYw!%j6"</f>
        <v>#VALUE!</v>
      </c>
      <c r="BQ86" t="e">
        <f>'2.4.Функции'!S174+"BYw!%j7"</f>
        <v>#VALUE!</v>
      </c>
      <c r="BR86" t="e">
        <f>'2.4.Функции'!T174+"BYw!%j8"</f>
        <v>#VALUE!</v>
      </c>
      <c r="BS86" t="e">
        <f>'2.4.Функции'!U174+"BYw!%j9"</f>
        <v>#VALUE!</v>
      </c>
      <c r="BT86" t="e">
        <f>'2.4.Функции'!V174+"BYw!%j:"</f>
        <v>#VALUE!</v>
      </c>
      <c r="BU86" t="e">
        <f>'2.4.Функции'!W174+"BYw!%j;"</f>
        <v>#VALUE!</v>
      </c>
      <c r="BV86" t="e">
        <f>'2.4.Функции'!X174+"BYw!%j&lt;"</f>
        <v>#VALUE!</v>
      </c>
      <c r="BW86" t="e">
        <f>'2.4.Функции'!Y174+"BYw!%j="</f>
        <v>#VALUE!</v>
      </c>
      <c r="BX86" t="e">
        <f>'2.4.Функции'!Z174+"BYw!%j&gt;"</f>
        <v>#VALUE!</v>
      </c>
      <c r="BY86" t="e">
        <f>'2.4.Функции'!AA174+"BYw!%j?"</f>
        <v>#VALUE!</v>
      </c>
      <c r="BZ86" t="e">
        <f>'2.4.Функции'!AB174+"BYw!%j@"</f>
        <v>#VALUE!</v>
      </c>
      <c r="CA86" t="e">
        <f>'2.4.Функции'!AC174+"BYw!%jA"</f>
        <v>#VALUE!</v>
      </c>
      <c r="CB86" t="e">
        <f>'2.4.Функции'!A175+"BYw!%jB"</f>
        <v>#VALUE!</v>
      </c>
      <c r="CC86" s="116" t="e">
        <f>'2.4.Функции'!B175+"BYw!%jC"</f>
        <v>#VALUE!</v>
      </c>
      <c r="CD86" t="e">
        <f>'2.4.Функции'!C175+"BYw!%jD"</f>
        <v>#VALUE!</v>
      </c>
      <c r="CE86" s="119" t="e">
        <f>'2.4.Функции'!D175+"BYw!%jE"</f>
        <v>#VALUE!</v>
      </c>
      <c r="CF86" s="119" t="e">
        <f>'2.4.Функции'!E175+"BYw!%jF"</f>
        <v>#VALUE!</v>
      </c>
      <c r="CG86" s="119" t="e">
        <f>'2.4.Функции'!F175+"BYw!%jG"</f>
        <v>#VALUE!</v>
      </c>
      <c r="CH86" s="119" t="e">
        <f>'2.4.Функции'!G175+"BYw!%jH"</f>
        <v>#VALUE!</v>
      </c>
      <c r="CI86" s="119" t="e">
        <f>'2.4.Функции'!H175+"BYw!%jI"</f>
        <v>#VALUE!</v>
      </c>
      <c r="CJ86" s="119" t="e">
        <f>'2.4.Функции'!I175+"BYw!%jJ"</f>
        <v>#VALUE!</v>
      </c>
      <c r="CK86" s="119" t="e">
        <f>'2.4.Функции'!J175+"BYw!%jK"</f>
        <v>#VALUE!</v>
      </c>
      <c r="CL86" s="119" t="e">
        <f>'2.4.Функции'!K175+"BYw!%jL"</f>
        <v>#VALUE!</v>
      </c>
      <c r="CM86" t="e">
        <f>'2.4.Функции'!L175+"BYw!%jM"</f>
        <v>#VALUE!</v>
      </c>
      <c r="CN86" t="e">
        <f>'2.4.Функции'!M175+"BYw!%jN"</f>
        <v>#VALUE!</v>
      </c>
      <c r="CO86" t="e">
        <f>'2.4.Функции'!N175+"BYw!%jO"</f>
        <v>#VALUE!</v>
      </c>
      <c r="CP86" t="e">
        <f>'2.4.Функции'!O175+"BYw!%jP"</f>
        <v>#VALUE!</v>
      </c>
      <c r="CQ86" t="e">
        <f>'2.4.Функции'!P175+"BYw!%jQ"</f>
        <v>#VALUE!</v>
      </c>
      <c r="CR86" t="e">
        <f>'2.4.Функции'!Q175+"BYw!%jR"</f>
        <v>#VALUE!</v>
      </c>
      <c r="CS86" t="e">
        <f>'2.4.Функции'!R175+"BYw!%jS"</f>
        <v>#VALUE!</v>
      </c>
      <c r="CT86" t="e">
        <f>'2.4.Функции'!S175+"BYw!%jT"</f>
        <v>#VALUE!</v>
      </c>
      <c r="CU86" t="e">
        <f>'2.4.Функции'!T175+"BYw!%jU"</f>
        <v>#VALUE!</v>
      </c>
      <c r="CV86" t="e">
        <f>'2.4.Функции'!U175+"BYw!%jV"</f>
        <v>#VALUE!</v>
      </c>
      <c r="CW86" t="e">
        <f>'2.4.Функции'!V175+"BYw!%jW"</f>
        <v>#VALUE!</v>
      </c>
      <c r="CX86" t="e">
        <f>'2.4.Функции'!W175+"BYw!%jX"</f>
        <v>#VALUE!</v>
      </c>
      <c r="CY86" t="e">
        <f>'2.4.Функции'!X175+"BYw!%jY"</f>
        <v>#VALUE!</v>
      </c>
      <c r="CZ86" t="e">
        <f>'2.4.Функции'!Y175+"BYw!%jZ"</f>
        <v>#VALUE!</v>
      </c>
      <c r="DA86" t="e">
        <f>'2.4.Функции'!Z175+"BYw!%j["</f>
        <v>#VALUE!</v>
      </c>
      <c r="DB86" t="e">
        <f>'2.4.Функции'!AA175+"BYw!%j\"</f>
        <v>#VALUE!</v>
      </c>
      <c r="DC86" t="e">
        <f>'2.4.Функции'!AB175+"BYw!%j]"</f>
        <v>#VALUE!</v>
      </c>
      <c r="DD86" t="e">
        <f>'2.4.Функции'!AC175+"BYw!%j^"</f>
        <v>#VALUE!</v>
      </c>
      <c r="DE86" t="e">
        <f>'2.4.Функции'!AD175+"BYw!%j_"</f>
        <v>#VALUE!</v>
      </c>
      <c r="DF86" t="e">
        <f>'2.4.Функции'!AE175+"BYw!%j`"</f>
        <v>#VALUE!</v>
      </c>
      <c r="DG86" t="e">
        <f>'2.4.Функции'!AF175+"BYw!%ja"</f>
        <v>#VALUE!</v>
      </c>
      <c r="DH86" t="e">
        <f>'2.4.Функции'!AG175+"BYw!%jb"</f>
        <v>#VALUE!</v>
      </c>
      <c r="DI86" t="e">
        <f>'2.4.Функции'!AH175+"BYw!%jc"</f>
        <v>#VALUE!</v>
      </c>
      <c r="DJ86" t="e">
        <f>'2.4.Функции'!AI175+"BYw!%jd"</f>
        <v>#VALUE!</v>
      </c>
      <c r="DK86" t="e">
        <f>'2.4.Функции'!AJ175+"BYw!%je"</f>
        <v>#VALUE!</v>
      </c>
      <c r="DL86" t="e">
        <f>'2.4.Функции'!AK175+"BYw!%jf"</f>
        <v>#VALUE!</v>
      </c>
      <c r="DM86" t="e">
        <f>'2.4.Функции'!AL175+"BYw!%jg"</f>
        <v>#VALUE!</v>
      </c>
      <c r="DN86" t="e">
        <f>'2.4.Функции'!AM175+"BYw!%jh"</f>
        <v>#VALUE!</v>
      </c>
      <c r="DO86" t="e">
        <f>'2.4.Функции'!AN175+"BYw!%ji"</f>
        <v>#VALUE!</v>
      </c>
      <c r="DP86" t="e">
        <f>'2.4.Функции'!AO175+"BYw!%jj"</f>
        <v>#VALUE!</v>
      </c>
      <c r="DQ86" t="e">
        <f>'2.4.Функции'!AP175+"BYw!%jk"</f>
        <v>#VALUE!</v>
      </c>
      <c r="DR86" t="e">
        <f>'2.4.Функции'!AQ175+"BYw!%jl"</f>
        <v>#VALUE!</v>
      </c>
      <c r="DS86" t="e">
        <f>'2.4.Функции'!AR175+"BYw!%jm"</f>
        <v>#VALUE!</v>
      </c>
      <c r="DT86" t="e">
        <f>'2.4.Функции'!AS175+"BYw!%jn"</f>
        <v>#VALUE!</v>
      </c>
      <c r="DU86" t="e">
        <f>'2.4.Функции'!AT175+"BYw!%jo"</f>
        <v>#VALUE!</v>
      </c>
      <c r="DV86" t="e">
        <f>'2.4.Функции'!AU175+"BYw!%jp"</f>
        <v>#VALUE!</v>
      </c>
      <c r="DW86" t="e">
        <f>'2.4.Функции'!AV175+"BYw!%jq"</f>
        <v>#VALUE!</v>
      </c>
      <c r="DX86" t="e">
        <f>'2.4.Функции'!AW175+"BYw!%jr"</f>
        <v>#VALUE!</v>
      </c>
      <c r="DY86" t="e">
        <f>'2.4.Функции'!AX175+"BYw!%js"</f>
        <v>#VALUE!</v>
      </c>
      <c r="DZ86" t="e">
        <f>'2.4.Функции'!AY175+"BYw!%jt"</f>
        <v>#VALUE!</v>
      </c>
      <c r="EA86" t="e">
        <f>'2.4.Функции'!AZ175+"BYw!%ju"</f>
        <v>#VALUE!</v>
      </c>
      <c r="EB86" t="e">
        <f>'2.4.Функции'!BA175+"BYw!%jv"</f>
        <v>#VALUE!</v>
      </c>
      <c r="EC86" t="e">
        <f>'2.4.Функции'!BB175+"BYw!%jw"</f>
        <v>#VALUE!</v>
      </c>
      <c r="ED86" t="e">
        <f>'2.4.Функции'!BC175+"BYw!%jx"</f>
        <v>#VALUE!</v>
      </c>
      <c r="EE86" t="e">
        <f>'2.4.Функции'!BD175+"BYw!%jy"</f>
        <v>#VALUE!</v>
      </c>
      <c r="EF86" t="e">
        <f>'2.4.Функции'!BE175+"BYw!%jz"</f>
        <v>#VALUE!</v>
      </c>
      <c r="EG86" t="e">
        <f>'2.4.Функции'!BF175+"BYw!%j{"</f>
        <v>#VALUE!</v>
      </c>
      <c r="EH86" t="e">
        <f>'2.4.Функции'!BG175+"BYw!%j|"</f>
        <v>#VALUE!</v>
      </c>
      <c r="EI86" t="e">
        <f>'2.4.Функции'!BH175+"BYw!%j}"</f>
        <v>#VALUE!</v>
      </c>
      <c r="EJ86" t="e">
        <f>'2.4.Функции'!BI175+"BYw!%j~"</f>
        <v>#VALUE!</v>
      </c>
      <c r="EK86" t="e">
        <f>'2.4.Функции'!BJ175+"BYw!%k#"</f>
        <v>#VALUE!</v>
      </c>
      <c r="EL86" t="e">
        <f>'2.4.Функции'!BK175+"BYw!%k$"</f>
        <v>#VALUE!</v>
      </c>
      <c r="EM86" t="e">
        <f>'2.4.Функции'!BL175+"BYw!%k%"</f>
        <v>#VALUE!</v>
      </c>
      <c r="EN86" t="e">
        <f>'2.4.Функции'!BM175+"BYw!%k&amp;"</f>
        <v>#VALUE!</v>
      </c>
      <c r="EO86" t="e">
        <f>'2.4.Функции'!BN175+"BYw!%k'"</f>
        <v>#VALUE!</v>
      </c>
      <c r="EP86" t="e">
        <f>'2.4.Функции'!BO175+"BYw!%k("</f>
        <v>#VALUE!</v>
      </c>
      <c r="EQ86" t="e">
        <f>'2.4.Функции'!BP175+"BYw!%k)"</f>
        <v>#VALUE!</v>
      </c>
      <c r="ER86" t="e">
        <f>'2.4.Функции'!BQ175+"BYw!%k."</f>
        <v>#VALUE!</v>
      </c>
      <c r="ES86" t="e">
        <f>'2.4.Функции'!BR175+"BYw!%k/"</f>
        <v>#VALUE!</v>
      </c>
      <c r="ET86" t="e">
        <f>'2.4.Функции'!BS175+"BYw!%k0"</f>
        <v>#VALUE!</v>
      </c>
      <c r="EU86" t="e">
        <f>'2.4.Функции'!BT175+"BYw!%k1"</f>
        <v>#VALUE!</v>
      </c>
      <c r="EV86" t="e">
        <f>'2.4.Функции'!BU175+"BYw!%k2"</f>
        <v>#VALUE!</v>
      </c>
      <c r="EW86" t="e">
        <f>'2.4.Функции'!BV175+"BYw!%k3"</f>
        <v>#VALUE!</v>
      </c>
      <c r="EX86" t="e">
        <f>'2.4.Функции'!BW175+"BYw!%k4"</f>
        <v>#VALUE!</v>
      </c>
      <c r="EY86" t="e">
        <f>'2.4.Функции'!BX175+"BYw!%k5"</f>
        <v>#VALUE!</v>
      </c>
      <c r="EZ86" t="e">
        <f>'2.4.Функции'!BY175+"BYw!%k6"</f>
        <v>#VALUE!</v>
      </c>
      <c r="FA86" t="e">
        <f>'2.4.Функции'!BZ175+"BYw!%k7"</f>
        <v>#VALUE!</v>
      </c>
      <c r="FB86" t="e">
        <f>'2.4.Функции'!CA175+"BYw!%k8"</f>
        <v>#VALUE!</v>
      </c>
      <c r="FC86" t="e">
        <f>'2.4.Функции'!CB175+"BYw!%k9"</f>
        <v>#VALUE!</v>
      </c>
      <c r="FD86" t="e">
        <f>'2.4.Функции'!CC175+"BYw!%k:"</f>
        <v>#VALUE!</v>
      </c>
      <c r="FE86" t="e">
        <f>'2.4.Функции'!CD175+"BYw!%k;"</f>
        <v>#VALUE!</v>
      </c>
      <c r="FF86" t="e">
        <f>'2.4.Функции'!CE175+"BYw!%k&lt;"</f>
        <v>#VALUE!</v>
      </c>
      <c r="FG86" t="e">
        <f>'2.4.Функции'!CF175+"BYw!%k="</f>
        <v>#VALUE!</v>
      </c>
      <c r="FH86" t="e">
        <f>'2.4.Функции'!CG175+"BYw!%k&gt;"</f>
        <v>#VALUE!</v>
      </c>
      <c r="FI86" t="e">
        <f>'2.4.Функции'!CH175+"BYw!%k?"</f>
        <v>#VALUE!</v>
      </c>
      <c r="FJ86" t="e">
        <f>'2.4.Функции'!CI175+"BYw!%k@"</f>
        <v>#VALUE!</v>
      </c>
      <c r="FK86" t="e">
        <f>'2.4.Функции'!CJ175+"BYw!%kA"</f>
        <v>#VALUE!</v>
      </c>
      <c r="FL86" t="e">
        <f>'2.4.Функции'!CK175+"BYw!%kB"</f>
        <v>#VALUE!</v>
      </c>
      <c r="FM86" t="e">
        <f>'2.4.Функции'!CL175+"BYw!%kC"</f>
        <v>#VALUE!</v>
      </c>
      <c r="FN86" t="e">
        <f>'2.4.Функции'!CM175+"BYw!%kD"</f>
        <v>#VALUE!</v>
      </c>
      <c r="FO86" t="e">
        <f>'2.4.Функции'!CN175+"BYw!%kE"</f>
        <v>#VALUE!</v>
      </c>
      <c r="FP86" t="e">
        <f>'2.4.Функции'!CO175+"BYw!%kF"</f>
        <v>#VALUE!</v>
      </c>
      <c r="FQ86" t="e">
        <f>'2.4.Функции'!CP175+"BYw!%kG"</f>
        <v>#VALUE!</v>
      </c>
      <c r="FR86" t="e">
        <f>'2.4.Функции'!CQ175+"BYw!%kH"</f>
        <v>#VALUE!</v>
      </c>
      <c r="FS86" t="e">
        <f>'2.4.Функции'!CR175+"BYw!%kI"</f>
        <v>#VALUE!</v>
      </c>
      <c r="FT86" t="e">
        <f>'2.4.Функции'!CS175+"BYw!%kJ"</f>
        <v>#VALUE!</v>
      </c>
      <c r="FU86" t="e">
        <f>'2.4.Функции'!CT175+"BYw!%kK"</f>
        <v>#VALUE!</v>
      </c>
      <c r="FV86" t="e">
        <f>'2.4.Функции'!CU175+"BYw!%kL"</f>
        <v>#VALUE!</v>
      </c>
      <c r="FW86" t="e">
        <f>'2.4.Функции'!CV175+"BYw!%kM"</f>
        <v>#VALUE!</v>
      </c>
      <c r="FX86" t="e">
        <f>'2.4.Функции'!CW175+"BYw!%kN"</f>
        <v>#VALUE!</v>
      </c>
      <c r="FY86" t="e">
        <f>'2.4.Функции'!CX175+"BYw!%kO"</f>
        <v>#VALUE!</v>
      </c>
      <c r="FZ86" t="e">
        <f>'2.4.Функции'!CY175+"BYw!%kP"</f>
        <v>#VALUE!</v>
      </c>
      <c r="GA86" t="e">
        <f>'2.4.Функции'!CZ175+"BYw!%kQ"</f>
        <v>#VALUE!</v>
      </c>
      <c r="GB86" t="e">
        <f>'2.4.Функции'!DA175+"BYw!%kR"</f>
        <v>#VALUE!</v>
      </c>
      <c r="GC86" t="e">
        <f>'2.4.Функции'!DB175+"BYw!%kS"</f>
        <v>#VALUE!</v>
      </c>
      <c r="GD86" t="e">
        <f>'2.4.Функции'!DC175+"BYw!%kT"</f>
        <v>#VALUE!</v>
      </c>
      <c r="GE86" t="e">
        <f>'2.4.Функции'!DD175+"BYw!%kU"</f>
        <v>#VALUE!</v>
      </c>
      <c r="GF86" t="e">
        <f>'2.4.Функции'!DE175+"BYw!%kV"</f>
        <v>#VALUE!</v>
      </c>
      <c r="GG86" t="e">
        <f>'2.4.Функции'!DF175+"BYw!%kW"</f>
        <v>#VALUE!</v>
      </c>
      <c r="GH86" t="e">
        <f>'2.4.Функции'!DG175+"BYw!%kX"</f>
        <v>#VALUE!</v>
      </c>
      <c r="GI86" t="e">
        <f>'2.4.Функции'!DH175+"BYw!%kY"</f>
        <v>#VALUE!</v>
      </c>
      <c r="GJ86" t="e">
        <f>'2.4.Функции'!DI175+"BYw!%kZ"</f>
        <v>#VALUE!</v>
      </c>
      <c r="GK86" t="e">
        <f>'2.4.Функции'!DJ175+"BYw!%k["</f>
        <v>#VALUE!</v>
      </c>
      <c r="GL86" t="e">
        <f>'2.4.Функции'!DK175+"BYw!%k\"</f>
        <v>#VALUE!</v>
      </c>
      <c r="GM86" t="e">
        <f>'2.4.Функции'!DL175+"BYw!%k]"</f>
        <v>#VALUE!</v>
      </c>
      <c r="GN86" t="e">
        <f>'2.4.Функции'!DM175+"BYw!%k^"</f>
        <v>#VALUE!</v>
      </c>
      <c r="GO86" t="e">
        <f>'2.4.Функции'!DN175+"BYw!%k_"</f>
        <v>#VALUE!</v>
      </c>
      <c r="GP86" t="e">
        <f>'2.4.Функции'!DO175+"BYw!%k`"</f>
        <v>#VALUE!</v>
      </c>
      <c r="GQ86" t="e">
        <f>'2.4.Функции'!DP175+"BYw!%ka"</f>
        <v>#VALUE!</v>
      </c>
      <c r="GR86" t="e">
        <f>'2.4.Функции'!DQ175+"BYw!%kb"</f>
        <v>#VALUE!</v>
      </c>
      <c r="GS86" t="e">
        <f>'2.4.Функции'!DR175+"BYw!%kc"</f>
        <v>#VALUE!</v>
      </c>
      <c r="GT86" t="e">
        <f>'2.4.Функции'!DS175+"BYw!%kd"</f>
        <v>#VALUE!</v>
      </c>
      <c r="GU86" t="e">
        <f>'2.4.Функции'!DT175+"BYw!%ke"</f>
        <v>#VALUE!</v>
      </c>
      <c r="GV86" t="e">
        <f>'2.4.Функции'!DU175+"BYw!%kf"</f>
        <v>#VALUE!</v>
      </c>
      <c r="GW86" t="e">
        <f>'2.4.Функции'!DV175+"BYw!%kg"</f>
        <v>#VALUE!</v>
      </c>
      <c r="GX86" t="e">
        <f>'2.4.Функции'!DW175+"BYw!%kh"</f>
        <v>#VALUE!</v>
      </c>
      <c r="GY86" t="e">
        <f>'2.4.Функции'!DX175+"BYw!%ki"</f>
        <v>#VALUE!</v>
      </c>
      <c r="GZ86" t="e">
        <f>'2.4.Функции'!DY175+"BYw!%kj"</f>
        <v>#VALUE!</v>
      </c>
      <c r="HA86" t="e">
        <f>'2.4.Функции'!DZ175+"BYw!%kk"</f>
        <v>#VALUE!</v>
      </c>
      <c r="HB86" t="e">
        <f>'2.4.Функции'!EA175+"BYw!%kl"</f>
        <v>#VALUE!</v>
      </c>
      <c r="HC86" t="e">
        <f>'2.4.Функции'!EB175+"BYw!%km"</f>
        <v>#VALUE!</v>
      </c>
      <c r="HD86" t="e">
        <f>'2.4.Функции'!EC175+"BYw!%kn"</f>
        <v>#VALUE!</v>
      </c>
      <c r="HE86" t="e">
        <f>'2.4.Функции'!ED175+"BYw!%ko"</f>
        <v>#VALUE!</v>
      </c>
      <c r="HF86" t="e">
        <f>'2.4.Функции'!EE175+"BYw!%kp"</f>
        <v>#VALUE!</v>
      </c>
      <c r="HG86" t="e">
        <f>'2.4.Функции'!EF175+"BYw!%kq"</f>
        <v>#VALUE!</v>
      </c>
      <c r="HH86" t="e">
        <f>'2.4.Функции'!EG175+"BYw!%kr"</f>
        <v>#VALUE!</v>
      </c>
      <c r="HI86" t="e">
        <f>'2.4.Функции'!EH175+"BYw!%ks"</f>
        <v>#VALUE!</v>
      </c>
      <c r="HJ86" t="e">
        <f>'2.4.Функции'!EI175+"BYw!%kt"</f>
        <v>#VALUE!</v>
      </c>
      <c r="HK86" t="e">
        <f>'2.4.Функции'!EJ175+"BYw!%ku"</f>
        <v>#VALUE!</v>
      </c>
      <c r="HL86" t="e">
        <f>'2.4.Функции'!EK175+"BYw!%kv"</f>
        <v>#VALUE!</v>
      </c>
      <c r="HM86" t="e">
        <f>'2.4.Функции'!EL175+"BYw!%kw"</f>
        <v>#VALUE!</v>
      </c>
      <c r="HN86" t="e">
        <f>'2.4.Функции'!EM175+"BYw!%kx"</f>
        <v>#VALUE!</v>
      </c>
      <c r="HO86" t="e">
        <f>'2.4.Функции'!EN175+"BYw!%ky"</f>
        <v>#VALUE!</v>
      </c>
      <c r="HP86" t="e">
        <f>'2.4.Функции'!EO175+"BYw!%kz"</f>
        <v>#VALUE!</v>
      </c>
      <c r="HQ86" t="e">
        <f>'2.4.Функции'!EP175+"BYw!%k{"</f>
        <v>#VALUE!</v>
      </c>
      <c r="HR86" t="e">
        <f>'2.4.Функции'!EQ175+"BYw!%k|"</f>
        <v>#VALUE!</v>
      </c>
      <c r="HS86" t="e">
        <f>'2.4.Функции'!ER175+"BYw!%k}"</f>
        <v>#VALUE!</v>
      </c>
      <c r="HT86" t="e">
        <f>'2.4.Функции'!ES175+"BYw!%k~"</f>
        <v>#VALUE!</v>
      </c>
      <c r="HU86" t="e">
        <f>'2.4.Функции'!ET175+"BYw!%l#"</f>
        <v>#VALUE!</v>
      </c>
      <c r="HV86" t="e">
        <f>'2.4.Функции'!EU175+"BYw!%l$"</f>
        <v>#VALUE!</v>
      </c>
      <c r="HW86" t="e">
        <f>'2.4.Функции'!EV175+"BYw!%l%"</f>
        <v>#VALUE!</v>
      </c>
      <c r="HX86" t="e">
        <f>'2.4.Функции'!EW175+"BYw!%l&amp;"</f>
        <v>#VALUE!</v>
      </c>
      <c r="HY86" t="e">
        <f>'2.4.Функции'!EX175+"BYw!%l'"</f>
        <v>#VALUE!</v>
      </c>
      <c r="HZ86" t="e">
        <f>'2.4.Функции'!EY175+"BYw!%l("</f>
        <v>#VALUE!</v>
      </c>
      <c r="IA86" t="e">
        <f>'2.4.Функции'!EZ175+"BYw!%l)"</f>
        <v>#VALUE!</v>
      </c>
      <c r="IB86" t="e">
        <f>'2.4.Функции'!FA175+"BYw!%l."</f>
        <v>#VALUE!</v>
      </c>
      <c r="IC86" t="e">
        <f>'2.4.Функции'!FB175+"BYw!%l/"</f>
        <v>#VALUE!</v>
      </c>
      <c r="ID86" t="e">
        <f>'2.4.Функции'!FC175+"BYw!%l0"</f>
        <v>#VALUE!</v>
      </c>
      <c r="IE86" t="e">
        <f>'2.4.Функции'!FD175+"BYw!%l1"</f>
        <v>#VALUE!</v>
      </c>
      <c r="IF86" t="e">
        <f>'2.4.Функции'!FE175+"BYw!%l2"</f>
        <v>#VALUE!</v>
      </c>
      <c r="IG86" t="e">
        <f>'2.4.Функции'!FF175+"BYw!%l3"</f>
        <v>#VALUE!</v>
      </c>
      <c r="IH86" t="e">
        <f>'2.4.Функции'!FG175+"BYw!%l4"</f>
        <v>#VALUE!</v>
      </c>
      <c r="II86" t="e">
        <f>'2.4.Функции'!FH175+"BYw!%l5"</f>
        <v>#VALUE!</v>
      </c>
      <c r="IJ86" t="e">
        <f>'2.4.Функции'!FI175+"BYw!%l6"</f>
        <v>#VALUE!</v>
      </c>
      <c r="IK86" t="e">
        <f>'2.4.Функции'!FJ175+"BYw!%l7"</f>
        <v>#VALUE!</v>
      </c>
      <c r="IL86" t="e">
        <f>'2.4.Функции'!FK175+"BYw!%l8"</f>
        <v>#VALUE!</v>
      </c>
      <c r="IM86" t="e">
        <f>'2.4.Функции'!FL175+"BYw!%l9"</f>
        <v>#VALUE!</v>
      </c>
      <c r="IN86" t="e">
        <f>'2.4.Функции'!FM175+"BYw!%l:"</f>
        <v>#VALUE!</v>
      </c>
      <c r="IO86" t="e">
        <f>'2.4.Функции'!FN175+"BYw!%l;"</f>
        <v>#VALUE!</v>
      </c>
      <c r="IP86" t="e">
        <f>'2.4.Функции'!FO175+"BYw!%l&lt;"</f>
        <v>#VALUE!</v>
      </c>
      <c r="IQ86" t="e">
        <f>'2.4.Функции'!FP175+"BYw!%l="</f>
        <v>#VALUE!</v>
      </c>
      <c r="IR86" t="e">
        <f>'2.4.Функции'!FQ175+"BYw!%l&gt;"</f>
        <v>#VALUE!</v>
      </c>
      <c r="IS86" t="e">
        <f>'2.4.Функции'!FR175+"BYw!%l?"</f>
        <v>#VALUE!</v>
      </c>
      <c r="IT86" t="e">
        <f>'2.4.Функции'!FS175+"BYw!%l@"</f>
        <v>#VALUE!</v>
      </c>
      <c r="IU86" t="e">
        <f>'2.4.Функции'!FT175+"BYw!%lA"</f>
        <v>#VALUE!</v>
      </c>
      <c r="IV86" t="e">
        <f>'2.4.Функции'!FU175+"BYw!%lB"</f>
        <v>#VALUE!</v>
      </c>
    </row>
    <row r="87" spans="6:256" x14ac:dyDescent="0.2">
      <c r="F87" t="e">
        <f>'2.4.Функции'!FV175+"BYw!%lC"</f>
        <v>#VALUE!</v>
      </c>
      <c r="G87" t="e">
        <f>'2.4.Функции'!FW175+"BYw!%lD"</f>
        <v>#VALUE!</v>
      </c>
      <c r="H87" t="e">
        <f>'2.4.Функции'!FX175+"BYw!%lE"</f>
        <v>#VALUE!</v>
      </c>
      <c r="I87" t="e">
        <f>'2.4.Функции'!FY175+"BYw!%lF"</f>
        <v>#VALUE!</v>
      </c>
      <c r="J87" t="e">
        <f>'2.4.Функции'!FZ175+"BYw!%lG"</f>
        <v>#VALUE!</v>
      </c>
      <c r="K87" t="e">
        <f>'2.4.Функции'!GA175+"BYw!%lH"</f>
        <v>#VALUE!</v>
      </c>
      <c r="L87" t="e">
        <f>'2.4.Функции'!GB175+"BYw!%lI"</f>
        <v>#VALUE!</v>
      </c>
      <c r="M87" t="e">
        <f>'2.4.Функции'!GC175+"BYw!%lJ"</f>
        <v>#VALUE!</v>
      </c>
      <c r="N87" t="e">
        <f>'2.4.Функции'!GD175+"BYw!%lK"</f>
        <v>#VALUE!</v>
      </c>
      <c r="O87" t="e">
        <f>'2.4.Функции'!GE175+"BYw!%lL"</f>
        <v>#VALUE!</v>
      </c>
      <c r="P87" t="e">
        <f>'2.4.Функции'!GF175+"BYw!%lM"</f>
        <v>#VALUE!</v>
      </c>
      <c r="Q87" t="e">
        <f>'2.4.Функции'!GG175+"BYw!%lN"</f>
        <v>#VALUE!</v>
      </c>
      <c r="R87" t="e">
        <f>'2.4.Функции'!GH175+"BYw!%lO"</f>
        <v>#VALUE!</v>
      </c>
      <c r="S87" t="e">
        <f>'2.4.Функции'!GI175+"BYw!%lP"</f>
        <v>#VALUE!</v>
      </c>
      <c r="T87" t="e">
        <f>'2.4.Функции'!GJ175+"BYw!%lQ"</f>
        <v>#VALUE!</v>
      </c>
      <c r="U87" t="e">
        <f>'2.4.Функции'!GK175+"BYw!%lR"</f>
        <v>#VALUE!</v>
      </c>
      <c r="V87" t="e">
        <f>'2.4.Функции'!GL175+"BYw!%lS"</f>
        <v>#VALUE!</v>
      </c>
      <c r="W87" t="e">
        <f>'2.4.Функции'!GM175+"BYw!%lT"</f>
        <v>#VALUE!</v>
      </c>
      <c r="X87" t="e">
        <f>'2.4.Функции'!GN175+"BYw!%lU"</f>
        <v>#VALUE!</v>
      </c>
      <c r="Y87" t="e">
        <f>'2.4.Функции'!GO175+"BYw!%lV"</f>
        <v>#VALUE!</v>
      </c>
      <c r="Z87" t="e">
        <f>'2.4.Функции'!GP175+"BYw!%lW"</f>
        <v>#VALUE!</v>
      </c>
      <c r="AA87" t="e">
        <f>'2.4.Функции'!GQ175+"BYw!%lX"</f>
        <v>#VALUE!</v>
      </c>
      <c r="AB87" t="e">
        <f>'2.4.Функции'!GR175+"BYw!%lY"</f>
        <v>#VALUE!</v>
      </c>
      <c r="AC87" t="e">
        <f>'2.4.Функции'!GS175+"BYw!%lZ"</f>
        <v>#VALUE!</v>
      </c>
      <c r="AD87" t="e">
        <f>'2.4.Функции'!GT175+"BYw!%l["</f>
        <v>#VALUE!</v>
      </c>
      <c r="AE87" t="e">
        <f>'2.4.Функции'!GU175+"BYw!%l\"</f>
        <v>#VALUE!</v>
      </c>
      <c r="AF87" t="e">
        <f>'2.4.Функции'!GV175+"BYw!%l]"</f>
        <v>#VALUE!</v>
      </c>
      <c r="AG87" t="e">
        <f>'2.4.Функции'!GW175+"BYw!%l^"</f>
        <v>#VALUE!</v>
      </c>
      <c r="AH87" t="e">
        <f>'2.4.Функции'!GX175+"BYw!%l_"</f>
        <v>#VALUE!</v>
      </c>
      <c r="AI87" t="e">
        <f>'2.4.Функции'!GY175+"BYw!%l`"</f>
        <v>#VALUE!</v>
      </c>
      <c r="AJ87" t="e">
        <f>'2.4.Функции'!GZ175+"BYw!%la"</f>
        <v>#VALUE!</v>
      </c>
      <c r="AK87" t="e">
        <f>'2.4.Функции'!HA175+"BYw!%lb"</f>
        <v>#VALUE!</v>
      </c>
      <c r="AL87" t="e">
        <f>'2.4.Функции'!HB175+"BYw!%lc"</f>
        <v>#VALUE!</v>
      </c>
      <c r="AM87" t="e">
        <f>'2.4.Функции'!HC175+"BYw!%ld"</f>
        <v>#VALUE!</v>
      </c>
      <c r="AN87" t="e">
        <f>'2.4.Функции'!HD175+"BYw!%le"</f>
        <v>#VALUE!</v>
      </c>
      <c r="AO87" t="e">
        <f>'2.4.Функции'!HE175+"BYw!%lf"</f>
        <v>#VALUE!</v>
      </c>
      <c r="AP87" t="e">
        <f>'2.4.Функции'!HF175+"BYw!%lg"</f>
        <v>#VALUE!</v>
      </c>
      <c r="AQ87" t="e">
        <f>'2.4.Функции'!HG175+"BYw!%lh"</f>
        <v>#VALUE!</v>
      </c>
      <c r="AR87" t="e">
        <f>'2.4.Функции'!HH175+"BYw!%li"</f>
        <v>#VALUE!</v>
      </c>
      <c r="AS87" t="e">
        <f>'2.4.Функции'!HI175+"BYw!%lj"</f>
        <v>#VALUE!</v>
      </c>
      <c r="AT87" t="e">
        <f>'2.4.Функции'!HJ175+"BYw!%lk"</f>
        <v>#VALUE!</v>
      </c>
      <c r="AU87" t="e">
        <f>'2.4.Функции'!HK175+"BYw!%ll"</f>
        <v>#VALUE!</v>
      </c>
      <c r="AV87" t="e">
        <f>'2.4.Функции'!HL175+"BYw!%lm"</f>
        <v>#VALUE!</v>
      </c>
      <c r="AW87" t="e">
        <f>'2.4.Функции'!HM175+"BYw!%ln"</f>
        <v>#VALUE!</v>
      </c>
      <c r="AX87" t="e">
        <f>'2.4.Функции'!HN175+"BYw!%lo"</f>
        <v>#VALUE!</v>
      </c>
      <c r="AY87" t="e">
        <f>'2.4.Функции'!HO175+"BYw!%lp"</f>
        <v>#VALUE!</v>
      </c>
      <c r="AZ87" t="e">
        <f>'2.4.Функции'!HP175+"BYw!%lq"</f>
        <v>#VALUE!</v>
      </c>
      <c r="BA87" t="e">
        <f>'2.4.Функции'!HQ175+"BYw!%lr"</f>
        <v>#VALUE!</v>
      </c>
      <c r="BB87" t="e">
        <f>'2.4.Функции'!HR175+"BYw!%ls"</f>
        <v>#VALUE!</v>
      </c>
      <c r="BC87" t="e">
        <f>'2.4.Функции'!HS175+"BYw!%lt"</f>
        <v>#VALUE!</v>
      </c>
      <c r="BD87" t="e">
        <f>'2.4.Функции'!HT175+"BYw!%lu"</f>
        <v>#VALUE!</v>
      </c>
      <c r="BE87" t="e">
        <f>'2.4.Функции'!HU175+"BYw!%lv"</f>
        <v>#VALUE!</v>
      </c>
      <c r="BF87" t="e">
        <f>'2.4.Функции'!HV175+"BYw!%lw"</f>
        <v>#VALUE!</v>
      </c>
      <c r="BG87" t="e">
        <f>'2.4.Функции'!HW175+"BYw!%lx"</f>
        <v>#VALUE!</v>
      </c>
      <c r="BH87" t="e">
        <f>'2.4.Функции'!HX175+"BYw!%ly"</f>
        <v>#VALUE!</v>
      </c>
      <c r="BI87" t="e">
        <f>'2.4.Функции'!HY175+"BYw!%lz"</f>
        <v>#VALUE!</v>
      </c>
      <c r="BJ87" t="e">
        <f>'2.4.Функции'!HZ175+"BYw!%l{"</f>
        <v>#VALUE!</v>
      </c>
      <c r="BK87" t="e">
        <f>'2.4.Функции'!IA175+"BYw!%l|"</f>
        <v>#VALUE!</v>
      </c>
      <c r="BL87" t="e">
        <f>'2.4.Функции'!IB175+"BYw!%l}"</f>
        <v>#VALUE!</v>
      </c>
      <c r="BM87" t="e">
        <f>'2.4.Функции'!IC175+"BYw!%l~"</f>
        <v>#VALUE!</v>
      </c>
      <c r="BN87" t="e">
        <f>'2.4.Функции'!ID175+"BYw!%m#"</f>
        <v>#VALUE!</v>
      </c>
      <c r="BO87" t="e">
        <f>'2.4.Функции'!IE175+"BYw!%m$"</f>
        <v>#VALUE!</v>
      </c>
      <c r="BP87" t="e">
        <f>'2.4.Функции'!IF175+"BYw!%m%"</f>
        <v>#VALUE!</v>
      </c>
      <c r="BQ87" t="e">
        <f>'2.4.Функции'!IG175+"BYw!%m&amp;"</f>
        <v>#VALUE!</v>
      </c>
      <c r="BR87" t="e">
        <f>'2.4.Функции'!IH175+"BYw!%m'"</f>
        <v>#VALUE!</v>
      </c>
      <c r="BS87" t="e">
        <f>'2.4.Функции'!II175+"BYw!%m("</f>
        <v>#VALUE!</v>
      </c>
      <c r="BT87" t="e">
        <f>'2.4.Функции'!IJ175+"BYw!%m)"</f>
        <v>#VALUE!</v>
      </c>
      <c r="BU87" t="e">
        <f>'2.4.Функции'!IK175+"BYw!%m."</f>
        <v>#VALUE!</v>
      </c>
      <c r="BV87" t="e">
        <f>'2.4.Функции'!IL175+"BYw!%m/"</f>
        <v>#VALUE!</v>
      </c>
      <c r="BW87" t="e">
        <f>'2.4.Функции'!IM175+"BYw!%m0"</f>
        <v>#VALUE!</v>
      </c>
      <c r="BX87" t="e">
        <f>'2.4.Функции'!IN175+"BYw!%m1"</f>
        <v>#VALUE!</v>
      </c>
      <c r="BY87" t="e">
        <f>'2.4.Функции'!IO175+"BYw!%m2"</f>
        <v>#VALUE!</v>
      </c>
      <c r="BZ87" t="e">
        <f>'2.4.Функции'!IP175+"BYw!%m3"</f>
        <v>#VALUE!</v>
      </c>
      <c r="CA87" t="e">
        <f>'2.4.Функции'!IQ175+"BYw!%m4"</f>
        <v>#VALUE!</v>
      </c>
      <c r="CB87" t="e">
        <f>'2.4.Функции'!IR175+"BYw!%m5"</f>
        <v>#VALUE!</v>
      </c>
      <c r="CC87" t="e">
        <f>'2.4.Функции'!IS175+"BYw!%m6"</f>
        <v>#VALUE!</v>
      </c>
      <c r="CD87" t="e">
        <f>'2.4.Функции'!IT175+"BYw!%m7"</f>
        <v>#VALUE!</v>
      </c>
      <c r="CE87" t="e">
        <f>'2.4.Функции'!IU175+"BYw!%m8"</f>
        <v>#VALUE!</v>
      </c>
      <c r="CF87" t="e">
        <f>'2.4.Функции'!IV175+"BYw!%m9"</f>
        <v>#VALUE!</v>
      </c>
      <c r="CG87" t="e">
        <f>'2.4.Функции'!IW175+"BYw!%m:"</f>
        <v>#VALUE!</v>
      </c>
      <c r="CH87" t="e">
        <f>'2.4.Функции'!IX175+"BYw!%m;"</f>
        <v>#VALUE!</v>
      </c>
      <c r="CI87" t="e">
        <f>'2.4.Функции'!IY175+"BYw!%m&lt;"</f>
        <v>#VALUE!</v>
      </c>
      <c r="CJ87" t="e">
        <f>'2.4.Функции'!IZ175+"BYw!%m="</f>
        <v>#VALUE!</v>
      </c>
      <c r="CK87" t="e">
        <f>'2.4.Функции'!JA175+"BYw!%m&gt;"</f>
        <v>#VALUE!</v>
      </c>
      <c r="CL87" t="e">
        <f>'2.4.Функции'!JB175+"BYw!%m?"</f>
        <v>#VALUE!</v>
      </c>
      <c r="CM87" t="e">
        <f>'2.4.Функции'!JC175+"BYw!%m@"</f>
        <v>#VALUE!</v>
      </c>
      <c r="CN87" t="e">
        <f>'2.4.Функции'!JD175+"BYw!%mA"</f>
        <v>#VALUE!</v>
      </c>
      <c r="CO87" t="e">
        <f>'2.4.Функции'!JE175+"BYw!%mB"</f>
        <v>#VALUE!</v>
      </c>
      <c r="CP87" t="e">
        <f>'2.4.Функции'!JF175+"BYw!%mC"</f>
        <v>#VALUE!</v>
      </c>
      <c r="CQ87" t="e">
        <f>'2.4.Функции'!JG175+"BYw!%mD"</f>
        <v>#VALUE!</v>
      </c>
      <c r="CR87" t="e">
        <f>'2.4.Функции'!JH175+"BYw!%mE"</f>
        <v>#VALUE!</v>
      </c>
      <c r="CS87" t="e">
        <f>'2.4.Функции'!JI175+"BYw!%mF"</f>
        <v>#VALUE!</v>
      </c>
      <c r="CT87" t="e">
        <f>'2.4.Функции'!JJ175+"BYw!%mG"</f>
        <v>#VALUE!</v>
      </c>
      <c r="CU87" t="e">
        <f>'2.4.Функции'!JK175+"BYw!%mH"</f>
        <v>#VALUE!</v>
      </c>
      <c r="CV87" t="e">
        <f>'2.4.Функции'!JL175+"BYw!%mI"</f>
        <v>#VALUE!</v>
      </c>
      <c r="CW87" t="e">
        <f>'2.4.Функции'!JM175+"BYw!%mJ"</f>
        <v>#VALUE!</v>
      </c>
      <c r="CX87" t="e">
        <f>'2.4.Функции'!JN175+"BYw!%mK"</f>
        <v>#VALUE!</v>
      </c>
      <c r="CY87" t="e">
        <f>'2.4.Функции'!JO175+"BYw!%mL"</f>
        <v>#VALUE!</v>
      </c>
      <c r="CZ87" t="e">
        <f>'2.4.Функции'!JP175+"BYw!%mM"</f>
        <v>#VALUE!</v>
      </c>
      <c r="DA87" t="e">
        <f>'2.4.Функции'!JQ175+"BYw!%mN"</f>
        <v>#VALUE!</v>
      </c>
      <c r="DB87" t="e">
        <f>'2.4.Функции'!JR175+"BYw!%mO"</f>
        <v>#VALUE!</v>
      </c>
      <c r="DC87" t="e">
        <f>'2.4.Функции'!JS175+"BYw!%mP"</f>
        <v>#VALUE!</v>
      </c>
      <c r="DD87" t="e">
        <f>'2.4.Функции'!JT175+"BYw!%mQ"</f>
        <v>#VALUE!</v>
      </c>
      <c r="DE87" t="e">
        <f>'2.4.Функции'!JU175+"BYw!%mR"</f>
        <v>#VALUE!</v>
      </c>
      <c r="DF87" t="e">
        <f>'2.4.Функции'!JV175+"BYw!%mS"</f>
        <v>#VALUE!</v>
      </c>
      <c r="DG87" t="e">
        <f>'2.4.Функции'!JW175+"BYw!%mT"</f>
        <v>#VALUE!</v>
      </c>
      <c r="DH87" t="e">
        <f>'2.4.Функции'!JX175+"BYw!%mU"</f>
        <v>#VALUE!</v>
      </c>
      <c r="DI87" t="e">
        <f>'2.4.Функции'!JY175+"BYw!%mV"</f>
        <v>#VALUE!</v>
      </c>
      <c r="DJ87" t="e">
        <f>'2.4.Функции'!JZ175+"BYw!%mW"</f>
        <v>#VALUE!</v>
      </c>
      <c r="DK87" t="e">
        <f>'2.4.Функции'!KA175+"BYw!%mX"</f>
        <v>#VALUE!</v>
      </c>
      <c r="DL87" t="e">
        <f>'2.4.Функции'!KB175+"BYw!%mY"</f>
        <v>#VALUE!</v>
      </c>
      <c r="DM87" t="e">
        <f>'2.4.Функции'!KC175+"BYw!%mZ"</f>
        <v>#VALUE!</v>
      </c>
      <c r="DN87" t="e">
        <f>'2.4.Функции'!KD175+"BYw!%m["</f>
        <v>#VALUE!</v>
      </c>
      <c r="DO87" t="e">
        <f>'2.4.Функции'!KE175+"BYw!%m\"</f>
        <v>#VALUE!</v>
      </c>
      <c r="DP87" t="e">
        <f>'2.4.Функции'!KF175+"BYw!%m]"</f>
        <v>#VALUE!</v>
      </c>
      <c r="DQ87" t="e">
        <f>'2.4.Функции'!KG175+"BYw!%m^"</f>
        <v>#VALUE!</v>
      </c>
      <c r="DR87" t="e">
        <f>'2.4.Функции'!KH175+"BYw!%m_"</f>
        <v>#VALUE!</v>
      </c>
      <c r="DS87" t="e">
        <f>'2.4.Функции'!KI175+"BYw!%m`"</f>
        <v>#VALUE!</v>
      </c>
      <c r="DT87" t="e">
        <f>'2.4.Функции'!KJ175+"BYw!%ma"</f>
        <v>#VALUE!</v>
      </c>
      <c r="DU87" t="e">
        <f>'2.4.Функции'!KK175+"BYw!%mb"</f>
        <v>#VALUE!</v>
      </c>
      <c r="DV87" t="e">
        <f>'2.4.Функции'!KL175+"BYw!%mc"</f>
        <v>#VALUE!</v>
      </c>
      <c r="DW87" t="e">
        <f>'2.4.Функции'!KM175+"BYw!%md"</f>
        <v>#VALUE!</v>
      </c>
      <c r="DX87" t="e">
        <f>'2.4.Функции'!KN175+"BYw!%me"</f>
        <v>#VALUE!</v>
      </c>
      <c r="DY87" t="e">
        <f>'2.4.Функции'!KO175+"BYw!%mf"</f>
        <v>#VALUE!</v>
      </c>
      <c r="DZ87" t="e">
        <f>'2.4.Функции'!KP175+"BYw!%mg"</f>
        <v>#VALUE!</v>
      </c>
      <c r="EA87" t="e">
        <f>'2.4.Функции'!KQ175+"BYw!%mh"</f>
        <v>#VALUE!</v>
      </c>
      <c r="EB87" t="e">
        <f>'2.4.Функции'!KR175+"BYw!%mi"</f>
        <v>#VALUE!</v>
      </c>
      <c r="EC87" t="e">
        <f>'2.4.Функции'!KS175+"BYw!%mj"</f>
        <v>#VALUE!</v>
      </c>
      <c r="ED87" t="e">
        <f>'2.4.Функции'!KT175+"BYw!%mk"</f>
        <v>#VALUE!</v>
      </c>
      <c r="EE87" t="e">
        <f>'2.4.Функции'!KU175+"BYw!%ml"</f>
        <v>#VALUE!</v>
      </c>
      <c r="EF87" t="e">
        <f>'2.4.Функции'!KV175+"BYw!%mm"</f>
        <v>#VALUE!</v>
      </c>
      <c r="EG87" t="e">
        <f>'2.4.Функции'!KW175+"BYw!%mn"</f>
        <v>#VALUE!</v>
      </c>
      <c r="EH87" t="e">
        <f>'2.4.Функции'!KX175+"BYw!%mo"</f>
        <v>#VALUE!</v>
      </c>
      <c r="EI87" t="e">
        <f>'2.4.Функции'!KY175+"BYw!%mp"</f>
        <v>#VALUE!</v>
      </c>
      <c r="EJ87" t="e">
        <f>'2.4.Функции'!KZ175+"BYw!%mq"</f>
        <v>#VALUE!</v>
      </c>
      <c r="EK87" t="e">
        <f>'2.4.Функции'!LA175+"BYw!%mr"</f>
        <v>#VALUE!</v>
      </c>
      <c r="EL87" t="e">
        <f>'2.4.Функции'!LB175+"BYw!%ms"</f>
        <v>#VALUE!</v>
      </c>
      <c r="EM87" t="e">
        <f>'2.4.Функции'!LC175+"BYw!%mt"</f>
        <v>#VALUE!</v>
      </c>
      <c r="EN87" t="e">
        <f>'2.4.Функции'!LD175+"BYw!%mu"</f>
        <v>#VALUE!</v>
      </c>
      <c r="EO87" t="e">
        <f>'2.4.Функции'!LE175+"BYw!%mv"</f>
        <v>#VALUE!</v>
      </c>
      <c r="EP87" t="e">
        <f>'2.4.Функции'!LF175+"BYw!%mw"</f>
        <v>#VALUE!</v>
      </c>
      <c r="EQ87" t="e">
        <f>'2.4.Функции'!LG175+"BYw!%mx"</f>
        <v>#VALUE!</v>
      </c>
      <c r="ER87" t="e">
        <f>'2.4.Функции'!LH175+"BYw!%my"</f>
        <v>#VALUE!</v>
      </c>
      <c r="ES87" t="e">
        <f>'2.4.Функции'!LI175+"BYw!%mz"</f>
        <v>#VALUE!</v>
      </c>
      <c r="ET87" t="e">
        <f>'2.4.Функции'!LJ175+"BYw!%m{"</f>
        <v>#VALUE!</v>
      </c>
      <c r="EU87" t="e">
        <f>'2.4.Функции'!LK175+"BYw!%m|"</f>
        <v>#VALUE!</v>
      </c>
      <c r="EV87" t="e">
        <f>'2.4.Функции'!LL175+"BYw!%m}"</f>
        <v>#VALUE!</v>
      </c>
      <c r="EW87" t="e">
        <f>'2.4.Функции'!LM175+"BYw!%m~"</f>
        <v>#VALUE!</v>
      </c>
      <c r="EX87" t="e">
        <f>'2.4.Функции'!LN175+"BYw!%n#"</f>
        <v>#VALUE!</v>
      </c>
      <c r="EY87" t="e">
        <f>'2.4.Функции'!LO175+"BYw!%n$"</f>
        <v>#VALUE!</v>
      </c>
      <c r="EZ87" t="e">
        <f>'2.4.Функции'!LP175+"BYw!%n%"</f>
        <v>#VALUE!</v>
      </c>
      <c r="FA87" t="e">
        <f>'2.4.Функции'!LQ175+"BYw!%n&amp;"</f>
        <v>#VALUE!</v>
      </c>
      <c r="FB87" t="e">
        <f>'2.4.Функции'!LR175+"BYw!%n'"</f>
        <v>#VALUE!</v>
      </c>
      <c r="FC87" t="e">
        <f>'2.4.Функции'!LS175+"BYw!%n("</f>
        <v>#VALUE!</v>
      </c>
      <c r="FD87" t="e">
        <f>'2.4.Функции'!LT175+"BYw!%n)"</f>
        <v>#VALUE!</v>
      </c>
      <c r="FE87" t="e">
        <f>'2.4.Функции'!LU175+"BYw!%n."</f>
        <v>#VALUE!</v>
      </c>
      <c r="FF87" t="e">
        <f>'2.4.Функции'!LV175+"BYw!%n/"</f>
        <v>#VALUE!</v>
      </c>
      <c r="FG87" t="e">
        <f>'2.4.Функции'!LW175+"BYw!%n0"</f>
        <v>#VALUE!</v>
      </c>
      <c r="FH87" t="e">
        <f>'2.4.Функции'!LX175+"BYw!%n1"</f>
        <v>#VALUE!</v>
      </c>
      <c r="FI87" t="e">
        <f>'2.4.Функции'!LY175+"BYw!%n2"</f>
        <v>#VALUE!</v>
      </c>
      <c r="FJ87" t="e">
        <f>'2.4.Функции'!LZ175+"BYw!%n3"</f>
        <v>#VALUE!</v>
      </c>
      <c r="FK87" t="e">
        <f>'2.4.Функции'!MA175+"BYw!%n4"</f>
        <v>#VALUE!</v>
      </c>
      <c r="FL87" t="e">
        <f>'2.4.Функции'!MB175+"BYw!%n5"</f>
        <v>#VALUE!</v>
      </c>
      <c r="FM87" t="e">
        <f>'2.4.Функции'!MC175+"BYw!%n6"</f>
        <v>#VALUE!</v>
      </c>
      <c r="FN87" t="e">
        <f>'2.4.Функции'!MD175+"BYw!%n7"</f>
        <v>#VALUE!</v>
      </c>
      <c r="FO87" t="e">
        <f>'2.4.Функции'!ME175+"BYw!%n8"</f>
        <v>#VALUE!</v>
      </c>
      <c r="FP87" t="e">
        <f>'2.4.Функции'!MF175+"BYw!%n9"</f>
        <v>#VALUE!</v>
      </c>
      <c r="FQ87" t="e">
        <f>'2.4.Функции'!MG175+"BYw!%n:"</f>
        <v>#VALUE!</v>
      </c>
      <c r="FR87" t="e">
        <f>'2.4.Функции'!MH175+"BYw!%n;"</f>
        <v>#VALUE!</v>
      </c>
      <c r="FS87" t="e">
        <f>'2.4.Функции'!MI175+"BYw!%n&lt;"</f>
        <v>#VALUE!</v>
      </c>
      <c r="FT87" t="e">
        <f>'2.4.Функции'!MJ175+"BYw!%n="</f>
        <v>#VALUE!</v>
      </c>
      <c r="FU87" t="e">
        <f>'2.4.Функции'!MK175+"BYw!%n&gt;"</f>
        <v>#VALUE!</v>
      </c>
      <c r="FV87" t="e">
        <f>'2.4.Функции'!ML175+"BYw!%n?"</f>
        <v>#VALUE!</v>
      </c>
      <c r="FW87" t="e">
        <f>'2.4.Функции'!MM175+"BYw!%n@"</f>
        <v>#VALUE!</v>
      </c>
      <c r="FX87" t="e">
        <f>'2.4.Функции'!MN175+"BYw!%nA"</f>
        <v>#VALUE!</v>
      </c>
      <c r="FY87" t="e">
        <f>'2.4.Функции'!MO175+"BYw!%nB"</f>
        <v>#VALUE!</v>
      </c>
      <c r="FZ87" t="e">
        <f>'2.4.Функции'!MP175+"BYw!%nC"</f>
        <v>#VALUE!</v>
      </c>
      <c r="GA87" t="e">
        <f>'2.4.Функции'!MQ175+"BYw!%nD"</f>
        <v>#VALUE!</v>
      </c>
      <c r="GB87" t="e">
        <f>'2.4.Функции'!MR175+"BYw!%nE"</f>
        <v>#VALUE!</v>
      </c>
      <c r="GC87" t="e">
        <f>'2.4.Функции'!MS175+"BYw!%nF"</f>
        <v>#VALUE!</v>
      </c>
      <c r="GD87" t="e">
        <f>'2.4.Функции'!MT175+"BYw!%nG"</f>
        <v>#VALUE!</v>
      </c>
      <c r="GE87" t="e">
        <f>'2.4.Функции'!MU175+"BYw!%nH"</f>
        <v>#VALUE!</v>
      </c>
      <c r="GF87" t="e">
        <f>'2.4.Функции'!MV175+"BYw!%nI"</f>
        <v>#VALUE!</v>
      </c>
      <c r="GG87" t="e">
        <f>'2.4.Функции'!MW175+"BYw!%nJ"</f>
        <v>#VALUE!</v>
      </c>
      <c r="GH87" t="e">
        <f>'2.4.Функции'!MX175+"BYw!%nK"</f>
        <v>#VALUE!</v>
      </c>
      <c r="GI87" t="e">
        <f>'2.4.Функции'!MY175+"BYw!%nL"</f>
        <v>#VALUE!</v>
      </c>
      <c r="GJ87" t="e">
        <f>'2.4.Функции'!MZ175+"BYw!%nM"</f>
        <v>#VALUE!</v>
      </c>
      <c r="GK87" t="e">
        <f>'2.4.Функции'!NA175+"BYw!%nN"</f>
        <v>#VALUE!</v>
      </c>
      <c r="GL87" t="e">
        <f>'2.4.Функции'!NB175+"BYw!%nO"</f>
        <v>#VALUE!</v>
      </c>
      <c r="GM87" t="e">
        <f>'2.4.Функции'!NC175+"BYw!%nP"</f>
        <v>#VALUE!</v>
      </c>
      <c r="GN87" t="e">
        <f>'2.4.Функции'!ND175+"BYw!%nQ"</f>
        <v>#VALUE!</v>
      </c>
      <c r="GO87" t="e">
        <f>'2.4.Функции'!NE175+"BYw!%nR"</f>
        <v>#VALUE!</v>
      </c>
      <c r="GP87" t="e">
        <f>'2.4.Функции'!NF175+"BYw!%nS"</f>
        <v>#VALUE!</v>
      </c>
      <c r="GQ87" t="e">
        <f>'2.4.Функции'!NG175+"BYw!%nT"</f>
        <v>#VALUE!</v>
      </c>
      <c r="GR87" t="e">
        <f>'2.4.Функции'!NH175+"BYw!%nU"</f>
        <v>#VALUE!</v>
      </c>
      <c r="GS87" t="e">
        <f>'2.4.Функции'!NI175+"BYw!%nV"</f>
        <v>#VALUE!</v>
      </c>
      <c r="GT87" t="e">
        <f>'2.4.Функции'!NJ175+"BYw!%nW"</f>
        <v>#VALUE!</v>
      </c>
      <c r="GU87" t="e">
        <f>'2.4.Функции'!NK175+"BYw!%nX"</f>
        <v>#VALUE!</v>
      </c>
      <c r="GV87" t="e">
        <f>'2.4.Функции'!NL175+"BYw!%nY"</f>
        <v>#VALUE!</v>
      </c>
      <c r="GW87" t="e">
        <f>'2.4.Функции'!NM175+"BYw!%nZ"</f>
        <v>#VALUE!</v>
      </c>
      <c r="GX87" t="e">
        <f>'2.4.Функции'!NN175+"BYw!%n["</f>
        <v>#VALUE!</v>
      </c>
      <c r="GY87" t="e">
        <f>'2.4.Функции'!NO175+"BYw!%n\"</f>
        <v>#VALUE!</v>
      </c>
      <c r="GZ87" t="e">
        <f>'2.4.Функции'!NP175+"BYw!%n]"</f>
        <v>#VALUE!</v>
      </c>
      <c r="HA87" t="e">
        <f>'2.4.Функции'!NQ175+"BYw!%n^"</f>
        <v>#VALUE!</v>
      </c>
      <c r="HB87" t="e">
        <f>'2.4.Функции'!NR175+"BYw!%n_"</f>
        <v>#VALUE!</v>
      </c>
      <c r="HC87" t="e">
        <f>'2.4.Функции'!NS175+"BYw!%n`"</f>
        <v>#VALUE!</v>
      </c>
      <c r="HD87" t="e">
        <f>'2.4.Функции'!NT175+"BYw!%na"</f>
        <v>#VALUE!</v>
      </c>
      <c r="HE87" t="e">
        <f>'2.4.Функции'!NU175+"BYw!%nb"</f>
        <v>#VALUE!</v>
      </c>
      <c r="HF87" t="e">
        <f>'2.4.Функции'!NV175+"BYw!%nc"</f>
        <v>#VALUE!</v>
      </c>
      <c r="HG87" t="e">
        <f>'2.4.Функции'!NW175+"BYw!%nd"</f>
        <v>#VALUE!</v>
      </c>
      <c r="HH87" t="e">
        <f>'2.4.Функции'!NX175+"BYw!%ne"</f>
        <v>#VALUE!</v>
      </c>
      <c r="HI87" t="e">
        <f>'2.4.Функции'!NY175+"BYw!%nf"</f>
        <v>#VALUE!</v>
      </c>
      <c r="HJ87" t="e">
        <f>'2.4.Функции'!NZ175+"BYw!%ng"</f>
        <v>#VALUE!</v>
      </c>
      <c r="HK87" t="e">
        <f>'2.4.Функции'!OA175+"BYw!%nh"</f>
        <v>#VALUE!</v>
      </c>
      <c r="HL87" t="e">
        <f>'2.4.Функции'!OB175+"BYw!%ni"</f>
        <v>#VALUE!</v>
      </c>
      <c r="HM87" t="e">
        <f>'2.4.Функции'!OC175+"BYw!%nj"</f>
        <v>#VALUE!</v>
      </c>
      <c r="HN87" t="e">
        <f>'2.4.Функции'!OD175+"BYw!%nk"</f>
        <v>#VALUE!</v>
      </c>
      <c r="HO87" t="e">
        <f>'2.4.Функции'!OE175+"BYw!%nl"</f>
        <v>#VALUE!</v>
      </c>
      <c r="HP87" t="e">
        <f>'2.4.Функции'!OF175+"BYw!%nm"</f>
        <v>#VALUE!</v>
      </c>
      <c r="HQ87" t="e">
        <f>'2.4.Функции'!OG175+"BYw!%nn"</f>
        <v>#VALUE!</v>
      </c>
      <c r="HR87" t="e">
        <f>'2.4.Функции'!OH175+"BYw!%no"</f>
        <v>#VALUE!</v>
      </c>
      <c r="HS87" t="e">
        <f>'2.4.Функции'!OI175+"BYw!%np"</f>
        <v>#VALUE!</v>
      </c>
      <c r="HT87" t="e">
        <f>'2.4.Функции'!OJ175+"BYw!%nq"</f>
        <v>#VALUE!</v>
      </c>
      <c r="HU87" t="e">
        <f>'2.4.Функции'!OK175+"BYw!%nr"</f>
        <v>#VALUE!</v>
      </c>
      <c r="HV87" t="e">
        <f>'2.4.Функции'!OL175+"BYw!%ns"</f>
        <v>#VALUE!</v>
      </c>
      <c r="HW87" t="e">
        <f>'2.4.Функции'!OM175+"BYw!%nt"</f>
        <v>#VALUE!</v>
      </c>
      <c r="HX87" t="e">
        <f>'2.4.Функции'!ON175+"BYw!%nu"</f>
        <v>#VALUE!</v>
      </c>
      <c r="HY87" t="e">
        <f>'2.4.Функции'!OO175+"BYw!%nv"</f>
        <v>#VALUE!</v>
      </c>
      <c r="HZ87" t="e">
        <f>'2.4.Функции'!OP175+"BYw!%nw"</f>
        <v>#VALUE!</v>
      </c>
      <c r="IA87" t="e">
        <f>'2.4.Функции'!OQ175+"BYw!%nx"</f>
        <v>#VALUE!</v>
      </c>
      <c r="IB87" t="e">
        <f>'2.4.Функции'!OR175+"BYw!%ny"</f>
        <v>#VALUE!</v>
      </c>
      <c r="IC87" t="e">
        <f>'2.4.Функции'!OS175+"BYw!%nz"</f>
        <v>#VALUE!</v>
      </c>
      <c r="ID87" t="e">
        <f>'2.4.Функции'!OT175+"BYw!%n{"</f>
        <v>#VALUE!</v>
      </c>
      <c r="IE87" t="e">
        <f>'2.4.Функции'!OU175+"BYw!%n|"</f>
        <v>#VALUE!</v>
      </c>
      <c r="IF87" t="e">
        <f>'2.4.Функции'!OV175+"BYw!%n}"</f>
        <v>#VALUE!</v>
      </c>
      <c r="IG87" t="e">
        <f>'2.4.Функции'!OW175+"BYw!%n~"</f>
        <v>#VALUE!</v>
      </c>
      <c r="IH87" t="e">
        <f>'2.4.Функции'!OX175+"BYw!%o#"</f>
        <v>#VALUE!</v>
      </c>
      <c r="II87" t="e">
        <f>'2.4.Функции'!OY175+"BYw!%o$"</f>
        <v>#VALUE!</v>
      </c>
      <c r="IJ87" t="e">
        <f>'2.4.Функции'!OZ175+"BYw!%o%"</f>
        <v>#VALUE!</v>
      </c>
      <c r="IK87" t="e">
        <f>'2.4.Функции'!PA175+"BYw!%o&amp;"</f>
        <v>#VALUE!</v>
      </c>
      <c r="IL87" t="e">
        <f>'2.4.Функции'!PB175+"BYw!%o'"</f>
        <v>#VALUE!</v>
      </c>
      <c r="IM87" t="e">
        <f>'2.4.Функции'!PC175+"BYw!%o("</f>
        <v>#VALUE!</v>
      </c>
      <c r="IN87" t="e">
        <f>'2.4.Функции'!PD175+"BYw!%o)"</f>
        <v>#VALUE!</v>
      </c>
      <c r="IO87" t="e">
        <f>'2.4.Функции'!PE175+"BYw!%o."</f>
        <v>#VALUE!</v>
      </c>
      <c r="IP87" t="e">
        <f>'2.4.Функции'!PF175+"BYw!%o/"</f>
        <v>#VALUE!</v>
      </c>
      <c r="IQ87" t="e">
        <f>'2.4.Функции'!PG175+"BYw!%o0"</f>
        <v>#VALUE!</v>
      </c>
      <c r="IR87" t="e">
        <f>'2.4.Функции'!PH175+"BYw!%o1"</f>
        <v>#VALUE!</v>
      </c>
      <c r="IS87" t="e">
        <f>'2.4.Функции'!PI175+"BYw!%o2"</f>
        <v>#VALUE!</v>
      </c>
      <c r="IT87" t="e">
        <f>'2.4.Функции'!PJ175+"BYw!%o3"</f>
        <v>#VALUE!</v>
      </c>
      <c r="IU87" t="e">
        <f>'2.4.Функции'!PK175+"BYw!%o4"</f>
        <v>#VALUE!</v>
      </c>
      <c r="IV87" t="e">
        <f>'2.4.Функции'!PL175+"BYw!%o5"</f>
        <v>#VALUE!</v>
      </c>
    </row>
    <row r="88" spans="6:256" x14ac:dyDescent="0.2">
      <c r="F88" t="e">
        <f>'2.4.Функции'!PM175+"BYw!%o6"</f>
        <v>#VALUE!</v>
      </c>
      <c r="G88" t="e">
        <f>'2.4.Функции'!PN175+"BYw!%o7"</f>
        <v>#VALUE!</v>
      </c>
      <c r="H88" t="e">
        <f>'2.4.Функции'!PO175+"BYw!%o8"</f>
        <v>#VALUE!</v>
      </c>
      <c r="I88" t="e">
        <f>'2.4.Функции'!PP175+"BYw!%o9"</f>
        <v>#VALUE!</v>
      </c>
      <c r="J88" t="e">
        <f>'2.4.Функции'!PQ175+"BYw!%o:"</f>
        <v>#VALUE!</v>
      </c>
      <c r="K88" t="e">
        <f>'2.4.Функции'!PR175+"BYw!%o;"</f>
        <v>#VALUE!</v>
      </c>
      <c r="L88" t="e">
        <f>'2.4.Функции'!PS175+"BYw!%o&lt;"</f>
        <v>#VALUE!</v>
      </c>
      <c r="M88" t="e">
        <f>'2.4.Функции'!PT175+"BYw!%o="</f>
        <v>#VALUE!</v>
      </c>
      <c r="N88" t="e">
        <f>'2.4.Функции'!PU175+"BYw!%o&gt;"</f>
        <v>#VALUE!</v>
      </c>
      <c r="O88" t="e">
        <f>'2.4.Функции'!PV175+"BYw!%o?"</f>
        <v>#VALUE!</v>
      </c>
      <c r="P88" t="e">
        <f>'2.4.Функции'!PW175+"BYw!%o@"</f>
        <v>#VALUE!</v>
      </c>
      <c r="Q88" t="e">
        <f>'2.4.Функции'!PX175+"BYw!%oA"</f>
        <v>#VALUE!</v>
      </c>
      <c r="R88" t="e">
        <f>'2.4.Функции'!PY175+"BYw!%oB"</f>
        <v>#VALUE!</v>
      </c>
      <c r="S88" t="e">
        <f>'2.4.Функции'!PZ175+"BYw!%oC"</f>
        <v>#VALUE!</v>
      </c>
      <c r="T88" t="e">
        <f>'2.4.Функции'!QA175+"BYw!%oD"</f>
        <v>#VALUE!</v>
      </c>
      <c r="U88" t="e">
        <f>'2.4.Функции'!QB175+"BYw!%oE"</f>
        <v>#VALUE!</v>
      </c>
      <c r="V88" t="e">
        <f>'2.4.Функции'!QC175+"BYw!%oF"</f>
        <v>#VALUE!</v>
      </c>
      <c r="W88" t="e">
        <f>'2.4.Функции'!QD175+"BYw!%oG"</f>
        <v>#VALUE!</v>
      </c>
      <c r="X88" t="e">
        <f>'2.4.Функции'!QE175+"BYw!%oH"</f>
        <v>#VALUE!</v>
      </c>
      <c r="Y88" t="e">
        <f>'2.4.Функции'!QF175+"BYw!%oI"</f>
        <v>#VALUE!</v>
      </c>
      <c r="Z88" t="e">
        <f>'2.4.Функции'!QG175+"BYw!%oJ"</f>
        <v>#VALUE!</v>
      </c>
      <c r="AA88" t="e">
        <f>'2.4.Функции'!QH175+"BYw!%oK"</f>
        <v>#VALUE!</v>
      </c>
      <c r="AB88" t="e">
        <f>'2.4.Функции'!QI175+"BYw!%oL"</f>
        <v>#VALUE!</v>
      </c>
      <c r="AC88" t="e">
        <f>'2.4.Функции'!QJ175+"BYw!%oM"</f>
        <v>#VALUE!</v>
      </c>
      <c r="AD88" t="e">
        <f>'2.4.Функции'!QK175+"BYw!%oN"</f>
        <v>#VALUE!</v>
      </c>
      <c r="AE88" t="e">
        <f>'2.4.Функции'!QL175+"BYw!%oO"</f>
        <v>#VALUE!</v>
      </c>
      <c r="AF88" t="e">
        <f>'2.4.Функции'!QM175+"BYw!%oP"</f>
        <v>#VALUE!</v>
      </c>
      <c r="AG88" t="e">
        <f>'2.4.Функции'!QN175+"BYw!%oQ"</f>
        <v>#VALUE!</v>
      </c>
      <c r="AH88" t="e">
        <f>'2.4.Функции'!QO175+"BYw!%oR"</f>
        <v>#VALUE!</v>
      </c>
      <c r="AI88" t="e">
        <f>'2.4.Функции'!QP175+"BYw!%oS"</f>
        <v>#VALUE!</v>
      </c>
      <c r="AJ88" t="e">
        <f>'2.4.Функции'!QQ175+"BYw!%oT"</f>
        <v>#VALUE!</v>
      </c>
      <c r="AK88" t="e">
        <f>'2.4.Функции'!QR175+"BYw!%oU"</f>
        <v>#VALUE!</v>
      </c>
      <c r="AL88" t="e">
        <f>'2.4.Функции'!QS175+"BYw!%oV"</f>
        <v>#VALUE!</v>
      </c>
      <c r="AM88" t="e">
        <f>'2.4.Функции'!QT175+"BYw!%oW"</f>
        <v>#VALUE!</v>
      </c>
      <c r="AN88" t="e">
        <f>'2.4.Функции'!QU175+"BYw!%oX"</f>
        <v>#VALUE!</v>
      </c>
      <c r="AO88" t="e">
        <f>'2.4.Функции'!QV175+"BYw!%oY"</f>
        <v>#VALUE!</v>
      </c>
      <c r="AP88" t="e">
        <f>'2.4.Функции'!QW175+"BYw!%oZ"</f>
        <v>#VALUE!</v>
      </c>
      <c r="AQ88" t="e">
        <f>'2.4.Функции'!QX175+"BYw!%o["</f>
        <v>#VALUE!</v>
      </c>
      <c r="AR88" t="e">
        <f>'2.4.Функции'!QY175+"BYw!%o\"</f>
        <v>#VALUE!</v>
      </c>
      <c r="AS88" t="e">
        <f>'2.4.Функции'!QZ175+"BYw!%o]"</f>
        <v>#VALUE!</v>
      </c>
      <c r="AT88" t="e">
        <f>'2.4.Функции'!RA175+"BYw!%o^"</f>
        <v>#VALUE!</v>
      </c>
      <c r="AU88" t="e">
        <f>'2.4.Функции'!RB175+"BYw!%o_"</f>
        <v>#VALUE!</v>
      </c>
      <c r="AV88" t="e">
        <f>'2.4.Функции'!RC175+"BYw!%o`"</f>
        <v>#VALUE!</v>
      </c>
      <c r="AW88" t="e">
        <f>'2.4.Функции'!RD175+"BYw!%oa"</f>
        <v>#VALUE!</v>
      </c>
      <c r="AX88" t="e">
        <f>'2.4.Функции'!RE175+"BYw!%ob"</f>
        <v>#VALUE!</v>
      </c>
      <c r="AY88" t="e">
        <f>'2.4.Функции'!RF175+"BYw!%oc"</f>
        <v>#VALUE!</v>
      </c>
      <c r="AZ88" t="e">
        <f>'2.4.Функции'!RG175+"BYw!%od"</f>
        <v>#VALUE!</v>
      </c>
      <c r="BA88" t="e">
        <f>'2.4.Функции'!RH175+"BYw!%oe"</f>
        <v>#VALUE!</v>
      </c>
      <c r="BB88" t="e">
        <f>'2.4.Функции'!RI175+"BYw!%of"</f>
        <v>#VALUE!</v>
      </c>
      <c r="BC88" t="e">
        <f>'2.4.Функции'!RJ175+"BYw!%og"</f>
        <v>#VALUE!</v>
      </c>
      <c r="BD88" t="e">
        <f>'2.4.Функции'!RK175+"BYw!%oh"</f>
        <v>#VALUE!</v>
      </c>
      <c r="BE88" t="e">
        <f>'2.4.Функции'!RL175+"BYw!%oi"</f>
        <v>#VALUE!</v>
      </c>
      <c r="BF88" t="e">
        <f>'2.4.Функции'!RM175+"BYw!%oj"</f>
        <v>#VALUE!</v>
      </c>
      <c r="BG88" t="e">
        <f>'2.4.Функции'!RN175+"BYw!%ok"</f>
        <v>#VALUE!</v>
      </c>
      <c r="BH88" t="e">
        <f>'2.4.Функции'!RO175+"BYw!%ol"</f>
        <v>#VALUE!</v>
      </c>
      <c r="BI88" t="e">
        <f>'2.4.Функции'!RP175+"BYw!%om"</f>
        <v>#VALUE!</v>
      </c>
      <c r="BJ88" t="e">
        <f>'2.4.Функции'!RQ175+"BYw!%on"</f>
        <v>#VALUE!</v>
      </c>
      <c r="BK88" t="e">
        <f>'2.4.Функции'!RR175+"BYw!%oo"</f>
        <v>#VALUE!</v>
      </c>
      <c r="BL88" t="e">
        <f>'2.4.Функции'!RS175+"BYw!%op"</f>
        <v>#VALUE!</v>
      </c>
      <c r="BM88" t="e">
        <f>'2.4.Функции'!RT175+"BYw!%oq"</f>
        <v>#VALUE!</v>
      </c>
      <c r="BN88" t="e">
        <f>'2.4.Функции'!RU175+"BYw!%or"</f>
        <v>#VALUE!</v>
      </c>
      <c r="BO88" t="e">
        <f>'2.4.Функции'!RV175+"BYw!%os"</f>
        <v>#VALUE!</v>
      </c>
      <c r="BP88" t="e">
        <f>'2.4.Функции'!RW175+"BYw!%ot"</f>
        <v>#VALUE!</v>
      </c>
      <c r="BQ88" t="e">
        <f>'2.4.Функции'!RX175+"BYw!%ou"</f>
        <v>#VALUE!</v>
      </c>
      <c r="BR88" t="e">
        <f>'2.4.Функции'!RY175+"BYw!%ov"</f>
        <v>#VALUE!</v>
      </c>
      <c r="BS88" t="e">
        <f>'2.4.Функции'!RZ175+"BYw!%ow"</f>
        <v>#VALUE!</v>
      </c>
      <c r="BT88" t="e">
        <f>'2.4.Функции'!SA175+"BYw!%ox"</f>
        <v>#VALUE!</v>
      </c>
      <c r="BU88" t="e">
        <f>'2.4.Функции'!SB175+"BYw!%oy"</f>
        <v>#VALUE!</v>
      </c>
      <c r="BV88" t="e">
        <f>'2.4.Функции'!SC175+"BYw!%oz"</f>
        <v>#VALUE!</v>
      </c>
      <c r="BW88" t="e">
        <f>'2.4.Функции'!SD175+"BYw!%o{"</f>
        <v>#VALUE!</v>
      </c>
      <c r="BX88" t="e">
        <f>'2.4.Функции'!SE175+"BYw!%o|"</f>
        <v>#VALUE!</v>
      </c>
      <c r="BY88" t="e">
        <f>'2.4.Функции'!SF175+"BYw!%o}"</f>
        <v>#VALUE!</v>
      </c>
      <c r="BZ88" t="e">
        <f>'2.4.Функции'!SG175+"BYw!%o~"</f>
        <v>#VALUE!</v>
      </c>
      <c r="CA88" t="e">
        <f>'2.4.Функции'!SH175+"BYw!%p#"</f>
        <v>#VALUE!</v>
      </c>
      <c r="CB88" t="e">
        <f>'2.4.Функции'!SI175+"BYw!%p$"</f>
        <v>#VALUE!</v>
      </c>
      <c r="CC88" t="e">
        <f>'2.4.Функции'!SJ175+"BYw!%p%"</f>
        <v>#VALUE!</v>
      </c>
      <c r="CD88" t="e">
        <f>'2.4.Функции'!SK175+"BYw!%p&amp;"</f>
        <v>#VALUE!</v>
      </c>
      <c r="CE88" t="e">
        <f>'2.4.Функции'!SL175+"BYw!%p'"</f>
        <v>#VALUE!</v>
      </c>
      <c r="CF88" t="e">
        <f>'2.4.Функции'!SM175+"BYw!%p("</f>
        <v>#VALUE!</v>
      </c>
      <c r="CG88" t="e">
        <f>'2.4.Функции'!SN175+"BYw!%p)"</f>
        <v>#VALUE!</v>
      </c>
      <c r="CH88" t="e">
        <f>'2.4.Функции'!SO175+"BYw!%p."</f>
        <v>#VALUE!</v>
      </c>
      <c r="CI88" t="e">
        <f>'2.4.Функции'!SP175+"BYw!%p/"</f>
        <v>#VALUE!</v>
      </c>
      <c r="CJ88" t="e">
        <f>'2.4.Функции'!SQ175+"BYw!%p0"</f>
        <v>#VALUE!</v>
      </c>
      <c r="CK88" t="e">
        <f>'2.4.Функции'!SR175+"BYw!%p1"</f>
        <v>#VALUE!</v>
      </c>
      <c r="CL88" t="e">
        <f>'2.4.Функции'!SS175+"BYw!%p2"</f>
        <v>#VALUE!</v>
      </c>
      <c r="CM88" t="e">
        <f>'2.4.Функции'!ST175+"BYw!%p3"</f>
        <v>#VALUE!</v>
      </c>
      <c r="CN88" t="e">
        <f>'2.4.Функции'!SU175+"BYw!%p4"</f>
        <v>#VALUE!</v>
      </c>
      <c r="CO88" t="e">
        <f>'2.4.Функции'!SV175+"BYw!%p5"</f>
        <v>#VALUE!</v>
      </c>
      <c r="CP88" t="e">
        <f>'2.4.Функции'!SW175+"BYw!%p6"</f>
        <v>#VALUE!</v>
      </c>
      <c r="CQ88" t="e">
        <f>'2.4.Функции'!SX175+"BYw!%p7"</f>
        <v>#VALUE!</v>
      </c>
      <c r="CR88" t="e">
        <f>'2.4.Функции'!SY175+"BYw!%p8"</f>
        <v>#VALUE!</v>
      </c>
      <c r="CS88" t="e">
        <f>'2.4.Функции'!SZ175+"BYw!%p9"</f>
        <v>#VALUE!</v>
      </c>
      <c r="CT88" t="e">
        <f>'2.4.Функции'!TA175+"BYw!%p:"</f>
        <v>#VALUE!</v>
      </c>
      <c r="CU88" t="e">
        <f>'2.4.Функции'!TB175+"BYw!%p;"</f>
        <v>#VALUE!</v>
      </c>
      <c r="CV88" t="e">
        <f>'2.4.Функции'!TC175+"BYw!%p&lt;"</f>
        <v>#VALUE!</v>
      </c>
      <c r="CW88" t="e">
        <f>'2.4.Функции'!TD175+"BYw!%p="</f>
        <v>#VALUE!</v>
      </c>
      <c r="CX88" t="e">
        <f>'2.4.Функции'!TE175+"BYw!%p&gt;"</f>
        <v>#VALUE!</v>
      </c>
      <c r="CY88" t="e">
        <f>'2.4.Функции'!TF175+"BYw!%p?"</f>
        <v>#VALUE!</v>
      </c>
      <c r="CZ88" t="e">
        <f>'2.4.Функции'!TG175+"BYw!%p@"</f>
        <v>#VALUE!</v>
      </c>
      <c r="DA88" t="e">
        <f>'2.4.Функции'!TH175+"BYw!%pA"</f>
        <v>#VALUE!</v>
      </c>
      <c r="DB88" t="e">
        <f>'2.4.Функции'!TI175+"BYw!%pB"</f>
        <v>#VALUE!</v>
      </c>
      <c r="DC88" t="e">
        <f>'2.4.Функции'!TJ175+"BYw!%pC"</f>
        <v>#VALUE!</v>
      </c>
      <c r="DD88" t="e">
        <f>'2.4.Функции'!TK175+"BYw!%pD"</f>
        <v>#VALUE!</v>
      </c>
      <c r="DE88" t="e">
        <f>'2.4.Функции'!TL175+"BYw!%pE"</f>
        <v>#VALUE!</v>
      </c>
      <c r="DF88" t="e">
        <f>'2.4.Функции'!TM175+"BYw!%pF"</f>
        <v>#VALUE!</v>
      </c>
      <c r="DG88" t="e">
        <f>'2.4.Функции'!TN175+"BYw!%pG"</f>
        <v>#VALUE!</v>
      </c>
      <c r="DH88" t="e">
        <f>'2.4.Функции'!TO175+"BYw!%pH"</f>
        <v>#VALUE!</v>
      </c>
      <c r="DI88" t="e">
        <f>'2.4.Функции'!TP175+"BYw!%pI"</f>
        <v>#VALUE!</v>
      </c>
      <c r="DJ88" t="e">
        <f>'2.4.Функции'!TQ175+"BYw!%pJ"</f>
        <v>#VALUE!</v>
      </c>
      <c r="DK88" t="e">
        <f>'2.4.Функции'!TR175+"BYw!%pK"</f>
        <v>#VALUE!</v>
      </c>
      <c r="DL88" t="e">
        <f>'2.4.Функции'!TS175+"BYw!%pL"</f>
        <v>#VALUE!</v>
      </c>
      <c r="DM88" t="e">
        <f>'2.4.Функции'!TT175+"BYw!%pM"</f>
        <v>#VALUE!</v>
      </c>
      <c r="DN88" t="e">
        <f>'2.4.Функции'!TU175+"BYw!%pN"</f>
        <v>#VALUE!</v>
      </c>
      <c r="DO88" t="e">
        <f>'2.4.Функции'!TV175+"BYw!%pO"</f>
        <v>#VALUE!</v>
      </c>
      <c r="DP88" t="e">
        <f>'2.4.Функции'!TW175+"BYw!%pP"</f>
        <v>#VALUE!</v>
      </c>
      <c r="DQ88" t="e">
        <f>'2.4.Функции'!TX175+"BYw!%pQ"</f>
        <v>#VALUE!</v>
      </c>
      <c r="DR88" t="e">
        <f>'2.4.Функции'!TY175+"BYw!%pR"</f>
        <v>#VALUE!</v>
      </c>
      <c r="DS88" t="e">
        <f>'2.4.Функции'!TZ175+"BYw!%pS"</f>
        <v>#VALUE!</v>
      </c>
      <c r="DT88" t="e">
        <f>'2.4.Функции'!UA175+"BYw!%pT"</f>
        <v>#VALUE!</v>
      </c>
      <c r="DU88" t="e">
        <f>'2.4.Функции'!UB175+"BYw!%pU"</f>
        <v>#VALUE!</v>
      </c>
      <c r="DV88" t="e">
        <f>'2.4.Функции'!UC175+"BYw!%pV"</f>
        <v>#VALUE!</v>
      </c>
      <c r="DW88" t="e">
        <f>'2.4.Функции'!UD175+"BYw!%pW"</f>
        <v>#VALUE!</v>
      </c>
      <c r="DX88" t="e">
        <f>'2.4.Функции'!UE175+"BYw!%pX"</f>
        <v>#VALUE!</v>
      </c>
      <c r="DY88" t="e">
        <f>'2.4.Функции'!UF175+"BYw!%pY"</f>
        <v>#VALUE!</v>
      </c>
      <c r="DZ88" t="e">
        <f>'2.4.Функции'!UG175+"BYw!%pZ"</f>
        <v>#VALUE!</v>
      </c>
      <c r="EA88" t="e">
        <f>'2.4.Функции'!UH175+"BYw!%p["</f>
        <v>#VALUE!</v>
      </c>
      <c r="EB88" t="e">
        <f>'2.4.Функции'!UI175+"BYw!%p\"</f>
        <v>#VALUE!</v>
      </c>
      <c r="EC88" t="e">
        <f>'2.4.Функции'!UJ175+"BYw!%p]"</f>
        <v>#VALUE!</v>
      </c>
      <c r="ED88" t="e">
        <f>'2.4.Функции'!UK175+"BYw!%p^"</f>
        <v>#VALUE!</v>
      </c>
      <c r="EE88" t="e">
        <f>'2.4.Функции'!UL175+"BYw!%p_"</f>
        <v>#VALUE!</v>
      </c>
      <c r="EF88" t="e">
        <f>'2.4.Функции'!UM175+"BYw!%p`"</f>
        <v>#VALUE!</v>
      </c>
      <c r="EG88" t="e">
        <f>'2.4.Функции'!UN175+"BYw!%pa"</f>
        <v>#VALUE!</v>
      </c>
      <c r="EH88" t="e">
        <f>'2.4.Функции'!UO175+"BYw!%pb"</f>
        <v>#VALUE!</v>
      </c>
      <c r="EI88" t="e">
        <f>'2.4.Функции'!UP175+"BYw!%pc"</f>
        <v>#VALUE!</v>
      </c>
      <c r="EJ88" t="e">
        <f>'2.4.Функции'!UQ175+"BYw!%pd"</f>
        <v>#VALUE!</v>
      </c>
      <c r="EK88" t="e">
        <f>'2.4.Функции'!UR175+"BYw!%pe"</f>
        <v>#VALUE!</v>
      </c>
      <c r="EL88" t="e">
        <f>'2.4.Функции'!US175+"BYw!%pf"</f>
        <v>#VALUE!</v>
      </c>
      <c r="EM88" t="e">
        <f>'2.4.Функции'!UT175+"BYw!%pg"</f>
        <v>#VALUE!</v>
      </c>
      <c r="EN88" t="e">
        <f>'2.4.Функции'!UU175+"BYw!%ph"</f>
        <v>#VALUE!</v>
      </c>
      <c r="EO88" t="e">
        <f>'2.4.Функции'!UV175+"BYw!%pi"</f>
        <v>#VALUE!</v>
      </c>
      <c r="EP88" t="e">
        <f>'2.4.Функции'!UW175+"BYw!%pj"</f>
        <v>#VALUE!</v>
      </c>
      <c r="EQ88" t="e">
        <f>'2.4.Функции'!UX175+"BYw!%pk"</f>
        <v>#VALUE!</v>
      </c>
      <c r="ER88" t="e">
        <f>'2.4.Функции'!UY175+"BYw!%pl"</f>
        <v>#VALUE!</v>
      </c>
      <c r="ES88" t="e">
        <f>'2.4.Функции'!UZ175+"BYw!%pm"</f>
        <v>#VALUE!</v>
      </c>
      <c r="ET88" t="e">
        <f>'2.4.Функции'!VA175+"BYw!%pn"</f>
        <v>#VALUE!</v>
      </c>
      <c r="EU88" t="e">
        <f>'2.4.Функции'!VB175+"BYw!%po"</f>
        <v>#VALUE!</v>
      </c>
      <c r="EV88" t="e">
        <f>'2.4.Функции'!VC175+"BYw!%pp"</f>
        <v>#VALUE!</v>
      </c>
      <c r="EW88" t="e">
        <f>'2.4.Функции'!VD175+"BYw!%pq"</f>
        <v>#VALUE!</v>
      </c>
      <c r="EX88" t="e">
        <f>'2.4.Функции'!VE175+"BYw!%pr"</f>
        <v>#VALUE!</v>
      </c>
      <c r="EY88" t="e">
        <f>'2.4.Функции'!VF175+"BYw!%ps"</f>
        <v>#VALUE!</v>
      </c>
      <c r="EZ88" t="e">
        <f>'2.4.Функции'!VG175+"BYw!%pt"</f>
        <v>#VALUE!</v>
      </c>
      <c r="FA88" t="e">
        <f>'2.4.Функции'!VH175+"BYw!%pu"</f>
        <v>#VALUE!</v>
      </c>
      <c r="FB88" t="e">
        <f>'2.4.Функции'!VI175+"BYw!%pv"</f>
        <v>#VALUE!</v>
      </c>
      <c r="FC88" t="e">
        <f>'2.4.Функции'!VJ175+"BYw!%pw"</f>
        <v>#VALUE!</v>
      </c>
      <c r="FD88" t="e">
        <f>'2.4.Функции'!VK175+"BYw!%px"</f>
        <v>#VALUE!</v>
      </c>
      <c r="FE88" t="e">
        <f>'2.4.Функции'!VL175+"BYw!%py"</f>
        <v>#VALUE!</v>
      </c>
      <c r="FF88" t="e">
        <f>'2.4.Функции'!VM175+"BYw!%pz"</f>
        <v>#VALUE!</v>
      </c>
      <c r="FG88" t="e">
        <f>'2.4.Функции'!VN175+"BYw!%p{"</f>
        <v>#VALUE!</v>
      </c>
      <c r="FH88" t="e">
        <f>'2.4.Функции'!VO175+"BYw!%p|"</f>
        <v>#VALUE!</v>
      </c>
      <c r="FI88" t="e">
        <f>'2.4.Функции'!VP175+"BYw!%p}"</f>
        <v>#VALUE!</v>
      </c>
      <c r="FJ88" t="e">
        <f>'2.4.Функции'!VQ175+"BYw!%p~"</f>
        <v>#VALUE!</v>
      </c>
      <c r="FK88" t="e">
        <f>'2.4.Функции'!VR175+"BYw!%q#"</f>
        <v>#VALUE!</v>
      </c>
      <c r="FL88" t="e">
        <f>'2.4.Функции'!VS175+"BYw!%q$"</f>
        <v>#VALUE!</v>
      </c>
      <c r="FM88" t="e">
        <f>'2.4.Функции'!VT175+"BYw!%q%"</f>
        <v>#VALUE!</v>
      </c>
      <c r="FN88" t="e">
        <f>'2.4.Функции'!VU175+"BYw!%q&amp;"</f>
        <v>#VALUE!</v>
      </c>
      <c r="FO88" t="e">
        <f>'2.4.Функции'!VV175+"BYw!%q'"</f>
        <v>#VALUE!</v>
      </c>
      <c r="FP88" t="e">
        <f>'2.4.Функции'!VW175+"BYw!%q("</f>
        <v>#VALUE!</v>
      </c>
      <c r="FQ88" t="e">
        <f>'2.4.Функции'!VX175+"BYw!%q)"</f>
        <v>#VALUE!</v>
      </c>
      <c r="FR88" t="e">
        <f>'2.4.Функции'!VY175+"BYw!%q."</f>
        <v>#VALUE!</v>
      </c>
      <c r="FS88" t="e">
        <f>'2.4.Функции'!VZ175+"BYw!%q/"</f>
        <v>#VALUE!</v>
      </c>
      <c r="FT88" t="e">
        <f>'2.4.Функции'!WA175+"BYw!%q0"</f>
        <v>#VALUE!</v>
      </c>
      <c r="FU88" t="e">
        <f>'2.4.Функции'!WB175+"BYw!%q1"</f>
        <v>#VALUE!</v>
      </c>
      <c r="FV88" t="e">
        <f>'2.4.Функции'!WC175+"BYw!%q2"</f>
        <v>#VALUE!</v>
      </c>
      <c r="FW88" t="e">
        <f>'2.4.Функции'!WD175+"BYw!%q3"</f>
        <v>#VALUE!</v>
      </c>
      <c r="FX88" t="e">
        <f>'2.4.Функции'!WE175+"BYw!%q4"</f>
        <v>#VALUE!</v>
      </c>
      <c r="FY88" t="e">
        <f>'2.4.Функции'!WF175+"BYw!%q5"</f>
        <v>#VALUE!</v>
      </c>
      <c r="FZ88" t="e">
        <f>'2.4.Функции'!WG175+"BYw!%q6"</f>
        <v>#VALUE!</v>
      </c>
      <c r="GA88" t="e">
        <f>'2.4.Функции'!WH175+"BYw!%q7"</f>
        <v>#VALUE!</v>
      </c>
      <c r="GB88" t="e">
        <f>'2.4.Функции'!WI175+"BYw!%q8"</f>
        <v>#VALUE!</v>
      </c>
      <c r="GC88" t="e">
        <f>'2.4.Функции'!WJ175+"BYw!%q9"</f>
        <v>#VALUE!</v>
      </c>
      <c r="GD88" t="e">
        <f>'2.4.Функции'!WK175+"BYw!%q:"</f>
        <v>#VALUE!</v>
      </c>
      <c r="GE88" t="e">
        <f>'2.4.Функции'!WL175+"BYw!%q;"</f>
        <v>#VALUE!</v>
      </c>
      <c r="GF88" t="e">
        <f>'2.4.Функции'!WM175+"BYw!%q&lt;"</f>
        <v>#VALUE!</v>
      </c>
      <c r="GG88" t="e">
        <f>'2.4.Функции'!WN175+"BYw!%q="</f>
        <v>#VALUE!</v>
      </c>
      <c r="GH88" t="e">
        <f>'2.4.Функции'!WO175+"BYw!%q&gt;"</f>
        <v>#VALUE!</v>
      </c>
      <c r="GI88" t="e">
        <f>'2.4.Функции'!WP175+"BYw!%q?"</f>
        <v>#VALUE!</v>
      </c>
      <c r="GJ88" t="e">
        <f>'2.4.Функции'!WQ175+"BYw!%q@"</f>
        <v>#VALUE!</v>
      </c>
      <c r="GK88" t="e">
        <f>'2.4.Функции'!WR175+"BYw!%qA"</f>
        <v>#VALUE!</v>
      </c>
      <c r="GL88" t="e">
        <f>'2.4.Функции'!WS175+"BYw!%qB"</f>
        <v>#VALUE!</v>
      </c>
      <c r="GM88" t="e">
        <f>'2.4.Функции'!WT175+"BYw!%qC"</f>
        <v>#VALUE!</v>
      </c>
      <c r="GN88" t="e">
        <f>'2.4.Функции'!WU175+"BYw!%qD"</f>
        <v>#VALUE!</v>
      </c>
      <c r="GO88" t="e">
        <f>'2.4.Функции'!WV175+"BYw!%qE"</f>
        <v>#VALUE!</v>
      </c>
      <c r="GP88" t="e">
        <f>'2.4.Функции'!WW175+"BYw!%qF"</f>
        <v>#VALUE!</v>
      </c>
      <c r="GQ88" t="e">
        <f>'2.4.Функции'!WX175+"BYw!%qG"</f>
        <v>#VALUE!</v>
      </c>
      <c r="GR88" t="e">
        <f>'2.4.Функции'!WY175+"BYw!%qH"</f>
        <v>#VALUE!</v>
      </c>
      <c r="GS88" t="e">
        <f>'2.4.Функции'!WZ175+"BYw!%qI"</f>
        <v>#VALUE!</v>
      </c>
      <c r="GT88" t="e">
        <f>'2.4.Функции'!XA175+"BYw!%qJ"</f>
        <v>#VALUE!</v>
      </c>
      <c r="GU88" t="e">
        <f>'2.4.Функции'!XB175+"BYw!%qK"</f>
        <v>#VALUE!</v>
      </c>
      <c r="GV88" t="e">
        <f>'2.4.Функции'!XC175+"BYw!%qL"</f>
        <v>#VALUE!</v>
      </c>
      <c r="GW88" t="e">
        <f>'2.4.Функции'!XD175+"BYw!%qM"</f>
        <v>#VALUE!</v>
      </c>
      <c r="GX88" t="e">
        <f>'2.4.Функции'!XE175+"BYw!%qN"</f>
        <v>#VALUE!</v>
      </c>
      <c r="GY88" t="e">
        <f>'2.4.Функции'!XF175+"BYw!%qO"</f>
        <v>#VALUE!</v>
      </c>
      <c r="GZ88" t="e">
        <f>'2.4.Функции'!XG175+"BYw!%qP"</f>
        <v>#VALUE!</v>
      </c>
      <c r="HA88" t="e">
        <f>'2.4.Функции'!XH175+"BYw!%qQ"</f>
        <v>#VALUE!</v>
      </c>
      <c r="HB88" t="e">
        <f>'2.4.Функции'!XI175+"BYw!%qR"</f>
        <v>#VALUE!</v>
      </c>
      <c r="HC88" t="e">
        <f>'2.4.Функции'!XJ175+"BYw!%qS"</f>
        <v>#VALUE!</v>
      </c>
      <c r="HD88" t="e">
        <f>'2.4.Функции'!XK175+"BYw!%qT"</f>
        <v>#VALUE!</v>
      </c>
      <c r="HE88" t="e">
        <f>'2.4.Функции'!XL175+"BYw!%qU"</f>
        <v>#VALUE!</v>
      </c>
      <c r="HF88" t="e">
        <f>'2.4.Функции'!XM175+"BYw!%qV"</f>
        <v>#VALUE!</v>
      </c>
      <c r="HG88" t="e">
        <f>'2.4.Функции'!XN175+"BYw!%qW"</f>
        <v>#VALUE!</v>
      </c>
      <c r="HH88" t="e">
        <f>'2.4.Функции'!XO175+"BYw!%qX"</f>
        <v>#VALUE!</v>
      </c>
      <c r="HI88" t="e">
        <f>'2.4.Функции'!XP175+"BYw!%qY"</f>
        <v>#VALUE!</v>
      </c>
      <c r="HJ88" t="e">
        <f>'2.4.Функции'!XQ175+"BYw!%qZ"</f>
        <v>#VALUE!</v>
      </c>
      <c r="HK88" t="e">
        <f>'2.4.Функции'!XR175+"BYw!%q["</f>
        <v>#VALUE!</v>
      </c>
      <c r="HL88" t="e">
        <f>'2.4.Функции'!XS175+"BYw!%q\"</f>
        <v>#VALUE!</v>
      </c>
      <c r="HM88" t="e">
        <f>'2.4.Функции'!XT175+"BYw!%q]"</f>
        <v>#VALUE!</v>
      </c>
      <c r="HN88" t="e">
        <f>'2.4.Функции'!XU175+"BYw!%q^"</f>
        <v>#VALUE!</v>
      </c>
      <c r="HO88" t="e">
        <f>'2.4.Функции'!XV175+"BYw!%q_"</f>
        <v>#VALUE!</v>
      </c>
      <c r="HP88" t="e">
        <f>'2.4.Функции'!XW175+"BYw!%q`"</f>
        <v>#VALUE!</v>
      </c>
      <c r="HQ88" t="e">
        <f>'2.4.Функции'!XX175+"BYw!%qa"</f>
        <v>#VALUE!</v>
      </c>
      <c r="HR88" t="e">
        <f>'2.4.Функции'!XY175+"BYw!%qb"</f>
        <v>#VALUE!</v>
      </c>
      <c r="HS88" t="e">
        <f>'2.4.Функции'!XZ175+"BYw!%qc"</f>
        <v>#VALUE!</v>
      </c>
      <c r="HT88" t="e">
        <f>'2.4.Функции'!YA175+"BYw!%qd"</f>
        <v>#VALUE!</v>
      </c>
      <c r="HU88" t="e">
        <f>'2.4.Функции'!YB175+"BYw!%qe"</f>
        <v>#VALUE!</v>
      </c>
      <c r="HV88" t="e">
        <f>'2.4.Функции'!YC175+"BYw!%qf"</f>
        <v>#VALUE!</v>
      </c>
      <c r="HW88" t="e">
        <f>'2.4.Функции'!YD175+"BYw!%qg"</f>
        <v>#VALUE!</v>
      </c>
      <c r="HX88" t="e">
        <f>'2.4.Функции'!YE175+"BYw!%qh"</f>
        <v>#VALUE!</v>
      </c>
      <c r="HY88" t="e">
        <f>'2.4.Функции'!YF175+"BYw!%qi"</f>
        <v>#VALUE!</v>
      </c>
      <c r="HZ88" t="e">
        <f>'2.4.Функции'!YG175+"BYw!%qj"</f>
        <v>#VALUE!</v>
      </c>
      <c r="IA88" t="e">
        <f>'2.4.Функции'!YH175+"BYw!%qk"</f>
        <v>#VALUE!</v>
      </c>
      <c r="IB88" t="e">
        <f>'2.4.Функции'!YI175+"BYw!%ql"</f>
        <v>#VALUE!</v>
      </c>
      <c r="IC88" t="e">
        <f>'2.4.Функции'!YJ175+"BYw!%qm"</f>
        <v>#VALUE!</v>
      </c>
      <c r="ID88" t="e">
        <f>'2.4.Функции'!YK175+"BYw!%qn"</f>
        <v>#VALUE!</v>
      </c>
      <c r="IE88" t="e">
        <f>'2.4.Функции'!YL175+"BYw!%qo"</f>
        <v>#VALUE!</v>
      </c>
      <c r="IF88" t="e">
        <f>'2.4.Функции'!YM175+"BYw!%qp"</f>
        <v>#VALUE!</v>
      </c>
      <c r="IG88" t="e">
        <f>'2.4.Функции'!YN175+"BYw!%qq"</f>
        <v>#VALUE!</v>
      </c>
      <c r="IH88" t="e">
        <f>'2.4.Функции'!YO175+"BYw!%qr"</f>
        <v>#VALUE!</v>
      </c>
      <c r="II88" t="e">
        <f>'2.4.Функции'!YP175+"BYw!%qs"</f>
        <v>#VALUE!</v>
      </c>
      <c r="IJ88" t="e">
        <f>'2.4.Функции'!YQ175+"BYw!%qt"</f>
        <v>#VALUE!</v>
      </c>
      <c r="IK88" t="e">
        <f>'2.4.Функции'!YR175+"BYw!%qu"</f>
        <v>#VALUE!</v>
      </c>
      <c r="IL88" t="e">
        <f>'2.4.Функции'!YS175+"BYw!%qv"</f>
        <v>#VALUE!</v>
      </c>
      <c r="IM88" t="e">
        <f>'2.4.Функции'!YT175+"BYw!%qw"</f>
        <v>#VALUE!</v>
      </c>
      <c r="IN88" t="e">
        <f>'2.4.Функции'!YU175+"BYw!%qx"</f>
        <v>#VALUE!</v>
      </c>
      <c r="IO88" t="e">
        <f>'2.4.Функции'!YV175+"BYw!%qy"</f>
        <v>#VALUE!</v>
      </c>
      <c r="IP88" t="e">
        <f>'2.4.Функции'!YW175+"BYw!%qz"</f>
        <v>#VALUE!</v>
      </c>
      <c r="IQ88" t="e">
        <f>'2.4.Функции'!YX175+"BYw!%q{"</f>
        <v>#VALUE!</v>
      </c>
      <c r="IR88" t="e">
        <f>'2.4.Функции'!YY175+"BYw!%q|"</f>
        <v>#VALUE!</v>
      </c>
      <c r="IS88" t="e">
        <f>'2.4.Функции'!YZ175+"BYw!%q}"</f>
        <v>#VALUE!</v>
      </c>
      <c r="IT88" t="e">
        <f>'2.4.Функции'!ZA175+"BYw!%q~"</f>
        <v>#VALUE!</v>
      </c>
      <c r="IU88" t="e">
        <f>'2.4.Функции'!ZB175+"BYw!%r#"</f>
        <v>#VALUE!</v>
      </c>
      <c r="IV88" t="e">
        <f>'2.4.Функции'!ZC175+"BYw!%r$"</f>
        <v>#VALUE!</v>
      </c>
    </row>
    <row r="89" spans="6:256" x14ac:dyDescent="0.2">
      <c r="F89" t="e">
        <f>'2.4.Функции'!ZD175+"BYw!%r%"</f>
        <v>#VALUE!</v>
      </c>
      <c r="G89" t="e">
        <f>'2.4.Функции'!ZE175+"BYw!%r&amp;"</f>
        <v>#VALUE!</v>
      </c>
      <c r="H89" t="e">
        <f>'2.4.Функции'!ZF175+"BYw!%r'"</f>
        <v>#VALUE!</v>
      </c>
      <c r="I89" t="e">
        <f>'2.4.Функции'!ZG175+"BYw!%r("</f>
        <v>#VALUE!</v>
      </c>
      <c r="J89" t="e">
        <f>'2.4.Функции'!ZH175+"BYw!%r)"</f>
        <v>#VALUE!</v>
      </c>
      <c r="K89" t="e">
        <f>'2.4.Функции'!ZI175+"BYw!%r."</f>
        <v>#VALUE!</v>
      </c>
      <c r="L89" t="e">
        <f>'2.4.Функции'!ZJ175+"BYw!%r/"</f>
        <v>#VALUE!</v>
      </c>
      <c r="M89" t="e">
        <f>'2.4.Функции'!ZK175+"BYw!%r0"</f>
        <v>#VALUE!</v>
      </c>
      <c r="N89" t="e">
        <f>'2.4.Функции'!ZL175+"BYw!%r1"</f>
        <v>#VALUE!</v>
      </c>
      <c r="O89" t="e">
        <f>'2.4.Функции'!ZM175+"BYw!%r2"</f>
        <v>#VALUE!</v>
      </c>
      <c r="P89" t="e">
        <f>'2.4.Функции'!ZN175+"BYw!%r3"</f>
        <v>#VALUE!</v>
      </c>
      <c r="Q89" t="e">
        <f>'2.4.Функции'!ZO175+"BYw!%r4"</f>
        <v>#VALUE!</v>
      </c>
      <c r="R89" t="e">
        <f>'2.4.Функции'!ZP175+"BYw!%r5"</f>
        <v>#VALUE!</v>
      </c>
      <c r="S89" t="e">
        <f>'2.4.Функции'!ZQ175+"BYw!%r6"</f>
        <v>#VALUE!</v>
      </c>
      <c r="T89" t="e">
        <f>'2.4.Функции'!ZR175+"BYw!%r7"</f>
        <v>#VALUE!</v>
      </c>
      <c r="U89" t="e">
        <f>'2.4.Функции'!ZS175+"BYw!%r8"</f>
        <v>#VALUE!</v>
      </c>
      <c r="V89" t="e">
        <f>'2.4.Функции'!ZT175+"BYw!%r9"</f>
        <v>#VALUE!</v>
      </c>
      <c r="W89" t="e">
        <f>'2.4.Функции'!ZU175+"BYw!%r:"</f>
        <v>#VALUE!</v>
      </c>
      <c r="X89" t="e">
        <f>'2.4.Функции'!ZV175+"BYw!%r;"</f>
        <v>#VALUE!</v>
      </c>
      <c r="Y89" t="e">
        <f>'2.4.Функции'!ZW175+"BYw!%r&lt;"</f>
        <v>#VALUE!</v>
      </c>
      <c r="Z89" t="e">
        <f>'2.4.Функции'!ZX175+"BYw!%r="</f>
        <v>#VALUE!</v>
      </c>
      <c r="AA89" t="e">
        <f>'2.4.Функции'!ZY175+"BYw!%r&gt;"</f>
        <v>#VALUE!</v>
      </c>
      <c r="AB89" t="e">
        <f>'2.4.Функции'!ZZ175+"BYw!%r?"</f>
        <v>#VALUE!</v>
      </c>
      <c r="AC89" t="e">
        <f>'2.4.Функции'!AAA175+"BYw!%r@"</f>
        <v>#VALUE!</v>
      </c>
      <c r="AD89" t="e">
        <f>'2.4.Функции'!AAB175+"BYw!%rA"</f>
        <v>#VALUE!</v>
      </c>
      <c r="AE89" t="e">
        <f>'2.4.Функции'!AAC175+"BYw!%rB"</f>
        <v>#VALUE!</v>
      </c>
      <c r="AF89" t="e">
        <f>'2.4.Функции'!AAD175+"BYw!%rC"</f>
        <v>#VALUE!</v>
      </c>
      <c r="AG89" t="e">
        <f>'2.4.Функции'!AAE175+"BYw!%rD"</f>
        <v>#VALUE!</v>
      </c>
      <c r="AH89" t="e">
        <f>'2.4.Функции'!AAF175+"BYw!%rE"</f>
        <v>#VALUE!</v>
      </c>
      <c r="AI89" t="e">
        <f>'2.4.Функции'!AAG175+"BYw!%rF"</f>
        <v>#VALUE!</v>
      </c>
      <c r="AJ89" t="e">
        <f>'2.4.Функции'!AAH175+"BYw!%rG"</f>
        <v>#VALUE!</v>
      </c>
      <c r="AK89" t="e">
        <f>'2.4.Функции'!AAI175+"BYw!%rH"</f>
        <v>#VALUE!</v>
      </c>
      <c r="AL89" t="e">
        <f>'2.4.Функции'!AAJ175+"BYw!%rI"</f>
        <v>#VALUE!</v>
      </c>
      <c r="AM89" t="e">
        <f>'2.4.Функции'!AAK175+"BYw!%rJ"</f>
        <v>#VALUE!</v>
      </c>
      <c r="AN89" t="e">
        <f>'2.4.Функции'!AAL175+"BYw!%rK"</f>
        <v>#VALUE!</v>
      </c>
      <c r="AO89" t="e">
        <f>'2.4.Функции'!AAM175+"BYw!%rL"</f>
        <v>#VALUE!</v>
      </c>
      <c r="AP89" t="e">
        <f>'2.4.Функции'!AAN175+"BYw!%rM"</f>
        <v>#VALUE!</v>
      </c>
      <c r="AQ89" t="e">
        <f>'2.4.Функции'!AAO175+"BYw!%rN"</f>
        <v>#VALUE!</v>
      </c>
      <c r="AR89" t="e">
        <f>'2.4.Функции'!AAP175+"BYw!%rO"</f>
        <v>#VALUE!</v>
      </c>
      <c r="AS89" t="e">
        <f>'2.4.Функции'!AAQ175+"BYw!%rP"</f>
        <v>#VALUE!</v>
      </c>
      <c r="AT89" t="e">
        <f>'2.4.Функции'!AAR175+"BYw!%rQ"</f>
        <v>#VALUE!</v>
      </c>
      <c r="AU89" t="e">
        <f>'2.4.Функции'!AAS175+"BYw!%rR"</f>
        <v>#VALUE!</v>
      </c>
      <c r="AV89" t="e">
        <f>'2.4.Функции'!AAT175+"BYw!%rS"</f>
        <v>#VALUE!</v>
      </c>
      <c r="AW89" t="e">
        <f>'2.4.Функции'!AAU175+"BYw!%rT"</f>
        <v>#VALUE!</v>
      </c>
      <c r="AX89" t="e">
        <f>'2.4.Функции'!AAV175+"BYw!%rU"</f>
        <v>#VALUE!</v>
      </c>
      <c r="AY89" t="e">
        <f>'2.4.Функции'!AAW175+"BYw!%rV"</f>
        <v>#VALUE!</v>
      </c>
      <c r="AZ89" t="e">
        <f>'2.4.Функции'!AAX175+"BYw!%rW"</f>
        <v>#VALUE!</v>
      </c>
      <c r="BA89" t="e">
        <f>'2.4.Функции'!AAY175+"BYw!%rX"</f>
        <v>#VALUE!</v>
      </c>
      <c r="BB89" t="e">
        <f>'2.4.Функции'!AAZ175+"BYw!%rY"</f>
        <v>#VALUE!</v>
      </c>
      <c r="BC89" t="e">
        <f>'2.4.Функции'!ABA175+"BYw!%rZ"</f>
        <v>#VALUE!</v>
      </c>
      <c r="BD89" t="e">
        <f>'2.4.Функции'!ABB175+"BYw!%r["</f>
        <v>#VALUE!</v>
      </c>
      <c r="BE89" t="e">
        <f>'2.4.Функции'!ABC175+"BYw!%r\"</f>
        <v>#VALUE!</v>
      </c>
      <c r="BF89" t="e">
        <f>'2.4.Функции'!ABD175+"BYw!%r]"</f>
        <v>#VALUE!</v>
      </c>
      <c r="BG89" t="e">
        <f>'2.4.Функции'!ABE175+"BYw!%r^"</f>
        <v>#VALUE!</v>
      </c>
      <c r="BH89" t="e">
        <f>'2.4.Функции'!ABF175+"BYw!%r_"</f>
        <v>#VALUE!</v>
      </c>
      <c r="BI89" t="e">
        <f>'2.4.Функции'!ABG175+"BYw!%r`"</f>
        <v>#VALUE!</v>
      </c>
      <c r="BJ89" t="e">
        <f>'2.4.Функции'!ABH175+"BYw!%ra"</f>
        <v>#VALUE!</v>
      </c>
      <c r="BK89" t="e">
        <f>'2.4.Функции'!ABI175+"BYw!%rb"</f>
        <v>#VALUE!</v>
      </c>
      <c r="BL89" t="e">
        <f>'2.4.Функции'!ABJ175+"BYw!%rc"</f>
        <v>#VALUE!</v>
      </c>
      <c r="BM89" t="e">
        <f>'2.4.Функции'!ABK175+"BYw!%rd"</f>
        <v>#VALUE!</v>
      </c>
      <c r="BN89" t="e">
        <f>'2.4.Функции'!ABL175+"BYw!%re"</f>
        <v>#VALUE!</v>
      </c>
      <c r="BO89" t="e">
        <f>'2.4.Функции'!ABM175+"BYw!%rf"</f>
        <v>#VALUE!</v>
      </c>
      <c r="BP89" t="e">
        <f>'2.4.Функции'!ABN175+"BYw!%rg"</f>
        <v>#VALUE!</v>
      </c>
      <c r="BQ89" t="e">
        <f>'2.4.Функции'!ABO175+"BYw!%rh"</f>
        <v>#VALUE!</v>
      </c>
      <c r="BR89" t="e">
        <f>'2.4.Функции'!ABP175+"BYw!%ri"</f>
        <v>#VALUE!</v>
      </c>
      <c r="BS89" t="e">
        <f>'2.4.Функции'!ABQ175+"BYw!%rj"</f>
        <v>#VALUE!</v>
      </c>
      <c r="BT89" t="e">
        <f>'2.4.Функции'!ABR175+"BYw!%rk"</f>
        <v>#VALUE!</v>
      </c>
      <c r="BU89" t="e">
        <f>'2.4.Функции'!ABS175+"BYw!%rl"</f>
        <v>#VALUE!</v>
      </c>
      <c r="BV89" t="e">
        <f>'2.4.Функции'!ABT175+"BYw!%rm"</f>
        <v>#VALUE!</v>
      </c>
      <c r="BW89" t="e">
        <f>'2.4.Функции'!ABU175+"BYw!%rn"</f>
        <v>#VALUE!</v>
      </c>
      <c r="BX89" t="e">
        <f>'2.4.Функции'!ABV175+"BYw!%ro"</f>
        <v>#VALUE!</v>
      </c>
      <c r="BY89" t="e">
        <f>'2.4.Функции'!ABW175+"BYw!%rp"</f>
        <v>#VALUE!</v>
      </c>
      <c r="BZ89" t="e">
        <f>'2.4.Функции'!ABX175+"BYw!%rq"</f>
        <v>#VALUE!</v>
      </c>
      <c r="CA89" t="e">
        <f>'2.4.Функции'!ABY175+"BYw!%rr"</f>
        <v>#VALUE!</v>
      </c>
      <c r="CB89" t="e">
        <f>'2.4.Функции'!ABZ175+"BYw!%rs"</f>
        <v>#VALUE!</v>
      </c>
      <c r="CC89" t="e">
        <f>'2.4.Функции'!ACA175+"BYw!%rt"</f>
        <v>#VALUE!</v>
      </c>
      <c r="CD89" t="e">
        <f>'2.4.Функции'!ACB175+"BYw!%ru"</f>
        <v>#VALUE!</v>
      </c>
      <c r="CE89" t="e">
        <f>'2.4.Функции'!ACC175+"BYw!%rv"</f>
        <v>#VALUE!</v>
      </c>
      <c r="CF89" t="e">
        <f>'2.4.Функции'!ACD175+"BYw!%rw"</f>
        <v>#VALUE!</v>
      </c>
      <c r="CG89" t="e">
        <f>'2.4.Функции'!ACE175+"BYw!%rx"</f>
        <v>#VALUE!</v>
      </c>
      <c r="CH89" t="e">
        <f>'2.4.Функции'!ACF175+"BYw!%ry"</f>
        <v>#VALUE!</v>
      </c>
      <c r="CI89" t="e">
        <f>'2.4.Функции'!ACG175+"BYw!%rz"</f>
        <v>#VALUE!</v>
      </c>
      <c r="CJ89" t="e">
        <f>'2.4.Функции'!ACH175+"BYw!%r{"</f>
        <v>#VALUE!</v>
      </c>
      <c r="CK89" t="e">
        <f>'2.4.Функции'!ACI175+"BYw!%r|"</f>
        <v>#VALUE!</v>
      </c>
      <c r="CL89" t="e">
        <f>'2.4.Функции'!ACJ175+"BYw!%r}"</f>
        <v>#VALUE!</v>
      </c>
      <c r="CM89" t="e">
        <f>'2.4.Функции'!ACK175+"BYw!%r~"</f>
        <v>#VALUE!</v>
      </c>
      <c r="CN89" t="e">
        <f>'2.4.Функции'!ACL175+"BYw!%s#"</f>
        <v>#VALUE!</v>
      </c>
      <c r="CO89" t="e">
        <f>'2.4.Функции'!ACM175+"BYw!%s$"</f>
        <v>#VALUE!</v>
      </c>
      <c r="CP89" t="e">
        <f>'2.4.Функции'!ACN175+"BYw!%s%"</f>
        <v>#VALUE!</v>
      </c>
      <c r="CQ89" t="e">
        <f>'2.4.Функции'!ACO175+"BYw!%s&amp;"</f>
        <v>#VALUE!</v>
      </c>
      <c r="CR89" t="e">
        <f>'2.4.Функции'!ACP175+"BYw!%s'"</f>
        <v>#VALUE!</v>
      </c>
      <c r="CS89" t="e">
        <f>'2.4.Функции'!ACQ175+"BYw!%s("</f>
        <v>#VALUE!</v>
      </c>
      <c r="CT89" t="e">
        <f>'2.4.Функции'!ACR175+"BYw!%s)"</f>
        <v>#VALUE!</v>
      </c>
      <c r="CU89" t="e">
        <f>'2.4.Функции'!ACS175+"BYw!%s."</f>
        <v>#VALUE!</v>
      </c>
      <c r="CV89" t="e">
        <f>'2.4.Функции'!ACT175+"BYw!%s/"</f>
        <v>#VALUE!</v>
      </c>
      <c r="CW89" t="e">
        <f>'2.4.Функции'!ACU175+"BYw!%s0"</f>
        <v>#VALUE!</v>
      </c>
      <c r="CX89" t="e">
        <f>'2.4.Функции'!ACV175+"BYw!%s1"</f>
        <v>#VALUE!</v>
      </c>
      <c r="CY89" t="e">
        <f>'2.4.Функции'!ACW175+"BYw!%s2"</f>
        <v>#VALUE!</v>
      </c>
      <c r="CZ89" t="e">
        <f>'2.4.Функции'!ACX175+"BYw!%s3"</f>
        <v>#VALUE!</v>
      </c>
      <c r="DA89" t="e">
        <f>'2.4.Функции'!ACY175+"BYw!%s4"</f>
        <v>#VALUE!</v>
      </c>
      <c r="DB89" t="e">
        <f>'2.4.Функции'!ACZ175+"BYw!%s5"</f>
        <v>#VALUE!</v>
      </c>
      <c r="DC89" t="e">
        <f>'2.4.Функции'!ADA175+"BYw!%s6"</f>
        <v>#VALUE!</v>
      </c>
      <c r="DD89" t="e">
        <f>'2.4.Функции'!ADB175+"BYw!%s7"</f>
        <v>#VALUE!</v>
      </c>
      <c r="DE89" t="e">
        <f>'2.4.Функции'!ADC175+"BYw!%s8"</f>
        <v>#VALUE!</v>
      </c>
      <c r="DF89" t="e">
        <f>'2.4.Функции'!ADD175+"BYw!%s9"</f>
        <v>#VALUE!</v>
      </c>
      <c r="DG89" t="e">
        <f>'2.4.Функции'!ADE175+"BYw!%s:"</f>
        <v>#VALUE!</v>
      </c>
      <c r="DH89" t="e">
        <f>'2.4.Функции'!ADF175+"BYw!%s;"</f>
        <v>#VALUE!</v>
      </c>
      <c r="DI89" t="e">
        <f>'2.4.Функции'!ADG175+"BYw!%s&lt;"</f>
        <v>#VALUE!</v>
      </c>
      <c r="DJ89" t="e">
        <f>'2.4.Функции'!ADH175+"BYw!%s="</f>
        <v>#VALUE!</v>
      </c>
      <c r="DK89" t="e">
        <f>'2.4.Функции'!ADI175+"BYw!%s&gt;"</f>
        <v>#VALUE!</v>
      </c>
      <c r="DL89" t="e">
        <f>'2.4.Функции'!ADJ175+"BYw!%s?"</f>
        <v>#VALUE!</v>
      </c>
      <c r="DM89" t="e">
        <f>'2.4.Функции'!ADK175+"BYw!%s@"</f>
        <v>#VALUE!</v>
      </c>
      <c r="DN89" t="e">
        <f>'2.4.Функции'!ADL175+"BYw!%sA"</f>
        <v>#VALUE!</v>
      </c>
      <c r="DO89" t="e">
        <f>'2.4.Функции'!ADM175+"BYw!%sB"</f>
        <v>#VALUE!</v>
      </c>
      <c r="DP89" t="e">
        <f>'2.4.Функции'!ADN175+"BYw!%sC"</f>
        <v>#VALUE!</v>
      </c>
      <c r="DQ89" t="e">
        <f>'2.4.Функции'!ADO175+"BYw!%sD"</f>
        <v>#VALUE!</v>
      </c>
      <c r="DR89" t="e">
        <f>'2.4.Функции'!ADP175+"BYw!%sE"</f>
        <v>#VALUE!</v>
      </c>
      <c r="DS89" t="e">
        <f>'2.4.Функции'!ADQ175+"BYw!%sF"</f>
        <v>#VALUE!</v>
      </c>
      <c r="DT89" t="e">
        <f>'2.4.Функции'!ADR175+"BYw!%sG"</f>
        <v>#VALUE!</v>
      </c>
      <c r="DU89" t="e">
        <f>'2.4.Функции'!ADS175+"BYw!%sH"</f>
        <v>#VALUE!</v>
      </c>
      <c r="DV89" t="e">
        <f>'2.4.Функции'!ADT175+"BYw!%sI"</f>
        <v>#VALUE!</v>
      </c>
      <c r="DW89" t="e">
        <f>'2.4.Функции'!ADU175+"BYw!%sJ"</f>
        <v>#VALUE!</v>
      </c>
      <c r="DX89" t="e">
        <f>'2.4.Функции'!ADV175+"BYw!%sK"</f>
        <v>#VALUE!</v>
      </c>
      <c r="DY89" t="e">
        <f>'2.4.Функции'!ADW175+"BYw!%sL"</f>
        <v>#VALUE!</v>
      </c>
      <c r="DZ89" t="e">
        <f>'2.4.Функции'!ADX175+"BYw!%sM"</f>
        <v>#VALUE!</v>
      </c>
      <c r="EA89" t="e">
        <f>'2.4.Функции'!ADY175+"BYw!%sN"</f>
        <v>#VALUE!</v>
      </c>
      <c r="EB89" t="e">
        <f>'2.4.Функции'!ADZ175+"BYw!%sO"</f>
        <v>#VALUE!</v>
      </c>
      <c r="EC89" t="e">
        <f>'2.4.Функции'!AEA175+"BYw!%sP"</f>
        <v>#VALUE!</v>
      </c>
      <c r="ED89" t="e">
        <f>'2.4.Функции'!AEB175+"BYw!%sQ"</f>
        <v>#VALUE!</v>
      </c>
      <c r="EE89" t="e">
        <f>'2.4.Функции'!AEC175+"BYw!%sR"</f>
        <v>#VALUE!</v>
      </c>
      <c r="EF89" t="e">
        <f>'2.4.Функции'!AED175+"BYw!%sS"</f>
        <v>#VALUE!</v>
      </c>
      <c r="EG89" t="e">
        <f>'2.4.Функции'!AEE175+"BYw!%sT"</f>
        <v>#VALUE!</v>
      </c>
      <c r="EH89" t="e">
        <f>'2.4.Функции'!AEF175+"BYw!%sU"</f>
        <v>#VALUE!</v>
      </c>
      <c r="EI89" t="e">
        <f>'2.4.Функции'!AEG175+"BYw!%sV"</f>
        <v>#VALUE!</v>
      </c>
      <c r="EJ89" t="e">
        <f>'2.4.Функции'!AEH175+"BYw!%sW"</f>
        <v>#VALUE!</v>
      </c>
      <c r="EK89" t="e">
        <f>'2.4.Функции'!AEI175+"BYw!%sX"</f>
        <v>#VALUE!</v>
      </c>
      <c r="EL89" t="e">
        <f>'2.4.Функции'!AEJ175+"BYw!%sY"</f>
        <v>#VALUE!</v>
      </c>
      <c r="EM89" t="e">
        <f>'2.4.Функции'!AEK175+"BYw!%sZ"</f>
        <v>#VALUE!</v>
      </c>
      <c r="EN89" t="e">
        <f>'2.4.Функции'!AEL175+"BYw!%s["</f>
        <v>#VALUE!</v>
      </c>
      <c r="EO89" t="e">
        <f>'2.4.Функции'!AEM175+"BYw!%s\"</f>
        <v>#VALUE!</v>
      </c>
      <c r="EP89" t="e">
        <f>'2.4.Функции'!AEN175+"BYw!%s]"</f>
        <v>#VALUE!</v>
      </c>
      <c r="EQ89" t="e">
        <f>'2.4.Функции'!AEO175+"BYw!%s^"</f>
        <v>#VALUE!</v>
      </c>
      <c r="ER89" t="e">
        <f>'2.4.Функции'!AEP175+"BYw!%s_"</f>
        <v>#VALUE!</v>
      </c>
      <c r="ES89" t="e">
        <f>'2.4.Функции'!AEQ175+"BYw!%s`"</f>
        <v>#VALUE!</v>
      </c>
      <c r="ET89" t="e">
        <f>'2.4.Функции'!AER175+"BYw!%sa"</f>
        <v>#VALUE!</v>
      </c>
      <c r="EU89" t="e">
        <f>'2.4.Функции'!AES175+"BYw!%sb"</f>
        <v>#VALUE!</v>
      </c>
      <c r="EV89" t="e">
        <f>'2.4.Функции'!AET175+"BYw!%sc"</f>
        <v>#VALUE!</v>
      </c>
      <c r="EW89" t="e">
        <f>'2.4.Функции'!AEU175+"BYw!%sd"</f>
        <v>#VALUE!</v>
      </c>
      <c r="EX89" t="e">
        <f>'2.4.Функции'!AEV175+"BYw!%se"</f>
        <v>#VALUE!</v>
      </c>
      <c r="EY89" t="e">
        <f>'2.4.Функции'!AEW175+"BYw!%sf"</f>
        <v>#VALUE!</v>
      </c>
      <c r="EZ89" t="e">
        <f>'2.4.Функции'!AEX175+"BYw!%sg"</f>
        <v>#VALUE!</v>
      </c>
      <c r="FA89" t="e">
        <f>'2.4.Функции'!AEY175+"BYw!%sh"</f>
        <v>#VALUE!</v>
      </c>
      <c r="FB89" t="e">
        <f>'2.4.Функции'!AEZ175+"BYw!%si"</f>
        <v>#VALUE!</v>
      </c>
      <c r="FC89" t="e">
        <f>'2.4.Функции'!AFA175+"BYw!%sj"</f>
        <v>#VALUE!</v>
      </c>
      <c r="FD89" t="e">
        <f>'2.4.Функции'!AFB175+"BYw!%sk"</f>
        <v>#VALUE!</v>
      </c>
      <c r="FE89" t="e">
        <f>'2.4.Функции'!AFC175+"BYw!%sl"</f>
        <v>#VALUE!</v>
      </c>
      <c r="FF89" t="e">
        <f>'2.4.Функции'!AFD175+"BYw!%sm"</f>
        <v>#VALUE!</v>
      </c>
      <c r="FG89" t="e">
        <f>'2.4.Функции'!AFE175+"BYw!%sn"</f>
        <v>#VALUE!</v>
      </c>
      <c r="FH89" t="e">
        <f>'2.4.Функции'!AFF175+"BYw!%so"</f>
        <v>#VALUE!</v>
      </c>
      <c r="FI89" t="e">
        <f>'2.4.Функции'!AFG175+"BYw!%sp"</f>
        <v>#VALUE!</v>
      </c>
      <c r="FJ89" t="e">
        <f>'2.4.Функции'!AFH175+"BYw!%sq"</f>
        <v>#VALUE!</v>
      </c>
      <c r="FK89" t="e">
        <f>'2.4.Функции'!AFI175+"BYw!%sr"</f>
        <v>#VALUE!</v>
      </c>
      <c r="FL89" t="e">
        <f>'2.4.Функции'!AFJ175+"BYw!%ss"</f>
        <v>#VALUE!</v>
      </c>
      <c r="FM89" t="e">
        <f>'2.4.Функции'!AFK175+"BYw!%st"</f>
        <v>#VALUE!</v>
      </c>
      <c r="FN89" t="e">
        <f>'2.4.Функции'!AFL175+"BYw!%su"</f>
        <v>#VALUE!</v>
      </c>
      <c r="FO89" t="e">
        <f>'2.4.Функции'!AFM175+"BYw!%sv"</f>
        <v>#VALUE!</v>
      </c>
      <c r="FP89" t="e">
        <f>'2.4.Функции'!AFN175+"BYw!%sw"</f>
        <v>#VALUE!</v>
      </c>
      <c r="FQ89" t="e">
        <f>'2.4.Функции'!AFO175+"BYw!%sx"</f>
        <v>#VALUE!</v>
      </c>
      <c r="FR89" t="e">
        <f>'2.4.Функции'!AFP175+"BYw!%sy"</f>
        <v>#VALUE!</v>
      </c>
      <c r="FS89" t="e">
        <f>'2.4.Функции'!AFQ175+"BYw!%sz"</f>
        <v>#VALUE!</v>
      </c>
      <c r="FT89" t="e">
        <f>'2.4.Функции'!AFR175+"BYw!%s{"</f>
        <v>#VALUE!</v>
      </c>
      <c r="FU89" t="e">
        <f>'2.4.Функции'!AFS175+"BYw!%s|"</f>
        <v>#VALUE!</v>
      </c>
      <c r="FV89" t="e">
        <f>'2.4.Функции'!AFT175+"BYw!%s}"</f>
        <v>#VALUE!</v>
      </c>
      <c r="FW89" t="e">
        <f>'2.4.Функции'!AFU175+"BYw!%s~"</f>
        <v>#VALUE!</v>
      </c>
      <c r="FX89" t="e">
        <f>'2.4.Функции'!AFV175+"BYw!%t#"</f>
        <v>#VALUE!</v>
      </c>
      <c r="FY89" t="e">
        <f>'2.4.Функции'!AFW175+"BYw!%t$"</f>
        <v>#VALUE!</v>
      </c>
      <c r="FZ89" t="e">
        <f>'2.4.Функции'!AFX175+"BYw!%t%"</f>
        <v>#VALUE!</v>
      </c>
      <c r="GA89" t="e">
        <f>'2.4.Функции'!AFY175+"BYw!%t&amp;"</f>
        <v>#VALUE!</v>
      </c>
      <c r="GB89" t="e">
        <f>'2.4.Функции'!AFZ175+"BYw!%t'"</f>
        <v>#VALUE!</v>
      </c>
      <c r="GC89" t="e">
        <f>'2.4.Функции'!AGA175+"BYw!%t("</f>
        <v>#VALUE!</v>
      </c>
      <c r="GD89" t="e">
        <f>'2.4.Функции'!AGB175+"BYw!%t)"</f>
        <v>#VALUE!</v>
      </c>
      <c r="GE89" t="e">
        <f>'2.4.Функции'!AGC175+"BYw!%t."</f>
        <v>#VALUE!</v>
      </c>
      <c r="GF89" t="e">
        <f>'2.4.Функции'!AGD175+"BYw!%t/"</f>
        <v>#VALUE!</v>
      </c>
      <c r="GG89" t="e">
        <f>'2.4.Функции'!AGE175+"BYw!%t0"</f>
        <v>#VALUE!</v>
      </c>
      <c r="GH89" t="e">
        <f>'2.4.Функции'!AGF175+"BYw!%t1"</f>
        <v>#VALUE!</v>
      </c>
      <c r="GI89" t="e">
        <f>'2.4.Функции'!AGG175+"BYw!%t2"</f>
        <v>#VALUE!</v>
      </c>
      <c r="GJ89" t="e">
        <f>'2.4.Функции'!AGH175+"BYw!%t3"</f>
        <v>#VALUE!</v>
      </c>
      <c r="GK89" t="e">
        <f>'2.4.Функции'!AGI175+"BYw!%t4"</f>
        <v>#VALUE!</v>
      </c>
      <c r="GL89" t="e">
        <f>'2.4.Функции'!AGJ175+"BYw!%t5"</f>
        <v>#VALUE!</v>
      </c>
      <c r="GM89" t="e">
        <f>'2.4.Функции'!AGK175+"BYw!%t6"</f>
        <v>#VALUE!</v>
      </c>
      <c r="GN89" t="e">
        <f>'2.4.Функции'!AGL175+"BYw!%t7"</f>
        <v>#VALUE!</v>
      </c>
      <c r="GO89" t="e">
        <f>'2.4.Функции'!AGM175+"BYw!%t8"</f>
        <v>#VALUE!</v>
      </c>
      <c r="GP89" t="e">
        <f>'2.4.Функции'!AGN175+"BYw!%t9"</f>
        <v>#VALUE!</v>
      </c>
      <c r="GQ89" t="e">
        <f>'2.4.Функции'!AGO175+"BYw!%t:"</f>
        <v>#VALUE!</v>
      </c>
      <c r="GR89" t="e">
        <f>'2.4.Функции'!AGP175+"BYw!%t;"</f>
        <v>#VALUE!</v>
      </c>
      <c r="GS89" t="e">
        <f>'2.4.Функции'!AGQ175+"BYw!%t&lt;"</f>
        <v>#VALUE!</v>
      </c>
      <c r="GT89" t="e">
        <f>'2.4.Функции'!AGR175+"BYw!%t="</f>
        <v>#VALUE!</v>
      </c>
      <c r="GU89" t="e">
        <f>'2.4.Функции'!AGS175+"BYw!%t&gt;"</f>
        <v>#VALUE!</v>
      </c>
      <c r="GV89" t="e">
        <f>'2.4.Функции'!AGT175+"BYw!%t?"</f>
        <v>#VALUE!</v>
      </c>
      <c r="GW89" t="e">
        <f>'2.4.Функции'!AGU175+"BYw!%t@"</f>
        <v>#VALUE!</v>
      </c>
      <c r="GX89" t="e">
        <f>'2.4.Функции'!AGV175+"BYw!%tA"</f>
        <v>#VALUE!</v>
      </c>
      <c r="GY89" t="e">
        <f>'2.4.Функции'!AGW175+"BYw!%tB"</f>
        <v>#VALUE!</v>
      </c>
      <c r="GZ89" t="e">
        <f>'2.4.Функции'!AGX175+"BYw!%tC"</f>
        <v>#VALUE!</v>
      </c>
      <c r="HA89" t="e">
        <f>'2.4.Функции'!AGY175+"BYw!%tD"</f>
        <v>#VALUE!</v>
      </c>
      <c r="HB89" t="e">
        <f>'2.4.Функции'!AGZ175+"BYw!%tE"</f>
        <v>#VALUE!</v>
      </c>
      <c r="HC89" t="e">
        <f>'2.4.Функции'!AHA175+"BYw!%tF"</f>
        <v>#VALUE!</v>
      </c>
      <c r="HD89" t="e">
        <f>'2.4.Функции'!AHB175+"BYw!%tG"</f>
        <v>#VALUE!</v>
      </c>
      <c r="HE89" t="e">
        <f>'2.4.Функции'!AHC175+"BYw!%tH"</f>
        <v>#VALUE!</v>
      </c>
      <c r="HF89" t="e">
        <f>'2.4.Функции'!AHD175+"BYw!%tI"</f>
        <v>#VALUE!</v>
      </c>
      <c r="HG89" t="e">
        <f>'2.4.Функции'!AHE175+"BYw!%tJ"</f>
        <v>#VALUE!</v>
      </c>
      <c r="HH89" t="e">
        <f>'2.4.Функции'!AHF175+"BYw!%tK"</f>
        <v>#VALUE!</v>
      </c>
      <c r="HI89" t="e">
        <f>'2.4.Функции'!AHG175+"BYw!%tL"</f>
        <v>#VALUE!</v>
      </c>
      <c r="HJ89" t="e">
        <f>'2.4.Функции'!AHH175+"BYw!%tM"</f>
        <v>#VALUE!</v>
      </c>
      <c r="HK89" t="e">
        <f>'2.4.Функции'!AHI175+"BYw!%tN"</f>
        <v>#VALUE!</v>
      </c>
      <c r="HL89" t="e">
        <f>'2.4.Функции'!AHJ175+"BYw!%tO"</f>
        <v>#VALUE!</v>
      </c>
      <c r="HM89" t="e">
        <f>'2.4.Функции'!AHK175+"BYw!%tP"</f>
        <v>#VALUE!</v>
      </c>
      <c r="HN89" t="e">
        <f>'2.4.Функции'!AHL175+"BYw!%tQ"</f>
        <v>#VALUE!</v>
      </c>
      <c r="HO89" t="e">
        <f>'2.4.Функции'!AHM175+"BYw!%tR"</f>
        <v>#VALUE!</v>
      </c>
      <c r="HP89" t="e">
        <f>'2.4.Функции'!AHN175+"BYw!%tS"</f>
        <v>#VALUE!</v>
      </c>
      <c r="HQ89" t="e">
        <f>'2.4.Функции'!AHO175+"BYw!%tT"</f>
        <v>#VALUE!</v>
      </c>
      <c r="HR89" t="e">
        <f>'2.4.Функции'!AHP175+"BYw!%tU"</f>
        <v>#VALUE!</v>
      </c>
      <c r="HS89" t="e">
        <f>'2.4.Функции'!AHQ175+"BYw!%tV"</f>
        <v>#VALUE!</v>
      </c>
      <c r="HT89" t="e">
        <f>'2.4.Функции'!AHR175+"BYw!%tW"</f>
        <v>#VALUE!</v>
      </c>
      <c r="HU89" t="e">
        <f>'2.4.Функции'!AHS175+"BYw!%tX"</f>
        <v>#VALUE!</v>
      </c>
      <c r="HV89" t="e">
        <f>'2.4.Функции'!AHT175+"BYw!%tY"</f>
        <v>#VALUE!</v>
      </c>
      <c r="HW89" t="e">
        <f>'2.4.Функции'!AHU175+"BYw!%tZ"</f>
        <v>#VALUE!</v>
      </c>
      <c r="HX89" t="e">
        <f>'2.4.Функции'!AHV175+"BYw!%t["</f>
        <v>#VALUE!</v>
      </c>
      <c r="HY89" t="e">
        <f>'2.4.Функции'!AHW175+"BYw!%t\"</f>
        <v>#VALUE!</v>
      </c>
      <c r="HZ89" t="e">
        <f>'2.4.Функции'!AHX175+"BYw!%t]"</f>
        <v>#VALUE!</v>
      </c>
      <c r="IA89" t="e">
        <f>'2.4.Функции'!AHY175+"BYw!%t^"</f>
        <v>#VALUE!</v>
      </c>
      <c r="IB89" t="e">
        <f>'2.4.Функции'!AHZ175+"BYw!%t_"</f>
        <v>#VALUE!</v>
      </c>
      <c r="IC89" t="e">
        <f>'2.4.Функции'!AIA175+"BYw!%t`"</f>
        <v>#VALUE!</v>
      </c>
      <c r="ID89" t="e">
        <f>'2.4.Функции'!AIB175+"BYw!%ta"</f>
        <v>#VALUE!</v>
      </c>
      <c r="IE89" t="e">
        <f>'2.4.Функции'!AIC175+"BYw!%tb"</f>
        <v>#VALUE!</v>
      </c>
      <c r="IF89" t="e">
        <f>'2.4.Функции'!AID175+"BYw!%tc"</f>
        <v>#VALUE!</v>
      </c>
      <c r="IG89" t="e">
        <f>'2.4.Функции'!AIE175+"BYw!%td"</f>
        <v>#VALUE!</v>
      </c>
      <c r="IH89" t="e">
        <f>'2.4.Функции'!AIF175+"BYw!%te"</f>
        <v>#VALUE!</v>
      </c>
      <c r="II89" t="e">
        <f>'2.4.Функции'!AIG175+"BYw!%tf"</f>
        <v>#VALUE!</v>
      </c>
      <c r="IJ89" t="e">
        <f>'2.4.Функции'!AIH175+"BYw!%tg"</f>
        <v>#VALUE!</v>
      </c>
      <c r="IK89" t="e">
        <f>'2.4.Функции'!A176+"BYw!%th"</f>
        <v>#VALUE!</v>
      </c>
      <c r="IL89" s="116" t="e">
        <f>'2.4.Функции'!B176+"BYw!%ti"</f>
        <v>#VALUE!</v>
      </c>
      <c r="IM89" t="e">
        <f>'2.4.Функции'!C176+"BYw!%tj"</f>
        <v>#VALUE!</v>
      </c>
      <c r="IN89" t="e">
        <f>'2.4.Функции'!D176+"BYw!%tk"</f>
        <v>#VALUE!</v>
      </c>
      <c r="IO89" s="119" t="e">
        <f>'2.4.Функции'!E176+"BYw!%tl"</f>
        <v>#VALUE!</v>
      </c>
      <c r="IP89" s="119" t="e">
        <f>'2.4.Функции'!F176+"BYw!%tm"</f>
        <v>#VALUE!</v>
      </c>
      <c r="IQ89" s="119" t="e">
        <f>'2.4.Функции'!G176+"BYw!%tn"</f>
        <v>#VALUE!</v>
      </c>
      <c r="IR89" s="119" t="e">
        <f>'2.4.Функции'!H176+"BYw!%to"</f>
        <v>#VALUE!</v>
      </c>
      <c r="IS89" s="119" t="e">
        <f>'2.4.Функции'!I176+"BYw!%tp"</f>
        <v>#VALUE!</v>
      </c>
      <c r="IT89" s="119" t="e">
        <f>'2.4.Функции'!J176+"BYw!%tq"</f>
        <v>#VALUE!</v>
      </c>
      <c r="IU89" s="119" t="e">
        <f>'2.4.Функции'!K176+"BYw!%tr"</f>
        <v>#VALUE!</v>
      </c>
      <c r="IV89" t="e">
        <f>'2.4.Функции'!L176+"BYw!%ts"</f>
        <v>#VALUE!</v>
      </c>
    </row>
    <row r="90" spans="6:256" x14ac:dyDescent="0.2">
      <c r="F90" t="e">
        <f>'2.4.Функции'!M176+"BYw!%tt"</f>
        <v>#VALUE!</v>
      </c>
      <c r="G90" t="e">
        <f>'2.4.Функции'!N176+"BYw!%tu"</f>
        <v>#VALUE!</v>
      </c>
      <c r="H90" t="e">
        <f>'2.4.Функции'!O176+"BYw!%tv"</f>
        <v>#VALUE!</v>
      </c>
      <c r="I90" t="e">
        <f>'2.4.Функции'!P176+"BYw!%tw"</f>
        <v>#VALUE!</v>
      </c>
      <c r="J90" t="e">
        <f>'2.4.Функции'!Q176+"BYw!%tx"</f>
        <v>#VALUE!</v>
      </c>
      <c r="K90" t="e">
        <f>'2.4.Функции'!R176+"BYw!%ty"</f>
        <v>#VALUE!</v>
      </c>
      <c r="L90" t="e">
        <f>'2.4.Функции'!S176+"BYw!%tz"</f>
        <v>#VALUE!</v>
      </c>
      <c r="M90" t="e">
        <f>'2.4.Функции'!T176+"BYw!%t{"</f>
        <v>#VALUE!</v>
      </c>
      <c r="N90" t="e">
        <f>'2.4.Функции'!U176+"BYw!%t|"</f>
        <v>#VALUE!</v>
      </c>
      <c r="O90" t="e">
        <f>'2.4.Функции'!V176+"BYw!%t}"</f>
        <v>#VALUE!</v>
      </c>
      <c r="P90" t="e">
        <f>'2.4.Функции'!W176+"BYw!%t~"</f>
        <v>#VALUE!</v>
      </c>
      <c r="Q90" t="e">
        <f>'2.4.Функции'!X176+"BYw!%u#"</f>
        <v>#VALUE!</v>
      </c>
      <c r="R90" t="e">
        <f>'2.4.Функции'!Y176+"BYw!%u$"</f>
        <v>#VALUE!</v>
      </c>
      <c r="S90" t="e">
        <f>'2.4.Функции'!Z176+"BYw!%u%"</f>
        <v>#VALUE!</v>
      </c>
      <c r="T90" t="e">
        <f>'2.4.Функции'!AA176+"BYw!%u&amp;"</f>
        <v>#VALUE!</v>
      </c>
      <c r="U90" t="e">
        <f>'2.4.Функции'!AB176+"BYw!%u'"</f>
        <v>#VALUE!</v>
      </c>
      <c r="V90" t="e">
        <f>'2.4.Функции'!AC176+"BYw!%u("</f>
        <v>#VALUE!</v>
      </c>
      <c r="W90" t="e">
        <f>'2.4.Функции'!AD176+"BYw!%u)"</f>
        <v>#VALUE!</v>
      </c>
      <c r="X90" t="e">
        <f>'2.4.Функции'!AE176+"BYw!%u."</f>
        <v>#VALUE!</v>
      </c>
      <c r="Y90" t="e">
        <f>'2.4.Функции'!AF176+"BYw!%u/"</f>
        <v>#VALUE!</v>
      </c>
      <c r="Z90" t="e">
        <f>'2.4.Функции'!AG176+"BYw!%u0"</f>
        <v>#VALUE!</v>
      </c>
      <c r="AA90" t="e">
        <f>'2.4.Функции'!AH176+"BYw!%u1"</f>
        <v>#VALUE!</v>
      </c>
      <c r="AB90" t="e">
        <f>'2.4.Функции'!AI176+"BYw!%u2"</f>
        <v>#VALUE!</v>
      </c>
      <c r="AC90" t="e">
        <f>'2.4.Функции'!AJ176+"BYw!%u3"</f>
        <v>#VALUE!</v>
      </c>
      <c r="AD90" t="e">
        <f>'2.4.Функции'!AK176+"BYw!%u4"</f>
        <v>#VALUE!</v>
      </c>
      <c r="AE90" t="e">
        <f>'2.4.Функции'!AL176+"BYw!%u5"</f>
        <v>#VALUE!</v>
      </c>
      <c r="AF90" t="e">
        <f>'2.4.Функции'!AM176+"BYw!%u6"</f>
        <v>#VALUE!</v>
      </c>
      <c r="AG90" t="e">
        <f>'2.4.Функции'!AN176+"BYw!%u7"</f>
        <v>#VALUE!</v>
      </c>
      <c r="AH90" t="e">
        <f>'2.4.Функции'!AO176+"BYw!%u8"</f>
        <v>#VALUE!</v>
      </c>
      <c r="AI90" t="e">
        <f>'2.4.Функции'!AP176+"BYw!%u9"</f>
        <v>#VALUE!</v>
      </c>
      <c r="AJ90" t="e">
        <f>'2.4.Функции'!AQ176+"BYw!%u:"</f>
        <v>#VALUE!</v>
      </c>
      <c r="AK90" t="e">
        <f>'2.4.Функции'!AR176+"BYw!%u;"</f>
        <v>#VALUE!</v>
      </c>
      <c r="AL90" t="e">
        <f>'2.4.Функции'!AS176+"BYw!%u&lt;"</f>
        <v>#VALUE!</v>
      </c>
      <c r="AM90" t="e">
        <f>'2.4.Функции'!AT176+"BYw!%u="</f>
        <v>#VALUE!</v>
      </c>
      <c r="AN90" t="e">
        <f>'2.4.Функции'!AU176+"BYw!%u&gt;"</f>
        <v>#VALUE!</v>
      </c>
      <c r="AO90" t="e">
        <f>'2.4.Функции'!AV176+"BYw!%u?"</f>
        <v>#VALUE!</v>
      </c>
      <c r="AP90" t="e">
        <f>'2.4.Функции'!AW176+"BYw!%u@"</f>
        <v>#VALUE!</v>
      </c>
      <c r="AQ90" t="e">
        <f>'2.4.Функции'!AX176+"BYw!%uA"</f>
        <v>#VALUE!</v>
      </c>
      <c r="AR90" t="e">
        <f>'2.4.Функции'!AY176+"BYw!%uB"</f>
        <v>#VALUE!</v>
      </c>
      <c r="AS90" t="e">
        <f>'2.4.Функции'!AZ176+"BYw!%uC"</f>
        <v>#VALUE!</v>
      </c>
      <c r="AT90" t="e">
        <f>'2.4.Функции'!BA176+"BYw!%uD"</f>
        <v>#VALUE!</v>
      </c>
      <c r="AU90" t="e">
        <f>'2.4.Функции'!BB176+"BYw!%uE"</f>
        <v>#VALUE!</v>
      </c>
      <c r="AV90" t="e">
        <f>'2.4.Функции'!BC176+"BYw!%uF"</f>
        <v>#VALUE!</v>
      </c>
      <c r="AW90" t="e">
        <f>'2.4.Функции'!BD176+"BYw!%uG"</f>
        <v>#VALUE!</v>
      </c>
      <c r="AX90" t="e">
        <f>'2.4.Функции'!BE176+"BYw!%uH"</f>
        <v>#VALUE!</v>
      </c>
      <c r="AY90" t="e">
        <f>'2.4.Функции'!BF176+"BYw!%uI"</f>
        <v>#VALUE!</v>
      </c>
      <c r="AZ90" t="e">
        <f>'2.4.Функции'!BG176+"BYw!%uJ"</f>
        <v>#VALUE!</v>
      </c>
      <c r="BA90" t="e">
        <f>'2.4.Функции'!BH176+"BYw!%uK"</f>
        <v>#VALUE!</v>
      </c>
      <c r="BB90" t="e">
        <f>'2.4.Функции'!BI176+"BYw!%uL"</f>
        <v>#VALUE!</v>
      </c>
      <c r="BC90" t="e">
        <f>'2.4.Функции'!BJ176+"BYw!%uM"</f>
        <v>#VALUE!</v>
      </c>
      <c r="BD90" t="e">
        <f>'2.4.Функции'!BK176+"BYw!%uN"</f>
        <v>#VALUE!</v>
      </c>
      <c r="BE90" t="e">
        <f>'2.4.Функции'!BL176+"BYw!%uO"</f>
        <v>#VALUE!</v>
      </c>
      <c r="BF90" t="e">
        <f>'2.4.Функции'!BM176+"BYw!%uP"</f>
        <v>#VALUE!</v>
      </c>
      <c r="BG90" t="e">
        <f>'2.4.Функции'!BN176+"BYw!%uQ"</f>
        <v>#VALUE!</v>
      </c>
      <c r="BH90" t="e">
        <f>'2.4.Функции'!BO176+"BYw!%uR"</f>
        <v>#VALUE!</v>
      </c>
      <c r="BI90" t="e">
        <f>'2.4.Функции'!BP176+"BYw!%uS"</f>
        <v>#VALUE!</v>
      </c>
      <c r="BJ90" t="e">
        <f>'2.4.Функции'!BQ176+"BYw!%uT"</f>
        <v>#VALUE!</v>
      </c>
      <c r="BK90" t="e">
        <f>'2.4.Функции'!BR176+"BYw!%uU"</f>
        <v>#VALUE!</v>
      </c>
      <c r="BL90" t="e">
        <f>'2.4.Функции'!BS176+"BYw!%uV"</f>
        <v>#VALUE!</v>
      </c>
      <c r="BM90" t="e">
        <f>'2.4.Функции'!BT176+"BYw!%uW"</f>
        <v>#VALUE!</v>
      </c>
      <c r="BN90" t="e">
        <f>'2.4.Функции'!BU176+"BYw!%uX"</f>
        <v>#VALUE!</v>
      </c>
      <c r="BO90" t="e">
        <f>'2.4.Функции'!BV176+"BYw!%uY"</f>
        <v>#VALUE!</v>
      </c>
      <c r="BP90" t="e">
        <f>'2.4.Функции'!BW176+"BYw!%uZ"</f>
        <v>#VALUE!</v>
      </c>
      <c r="BQ90" t="e">
        <f>'2.4.Функции'!BX176+"BYw!%u["</f>
        <v>#VALUE!</v>
      </c>
      <c r="BR90" t="e">
        <f>'2.4.Функции'!BY176+"BYw!%u\"</f>
        <v>#VALUE!</v>
      </c>
      <c r="BS90" t="e">
        <f>'2.4.Функции'!BZ176+"BYw!%u]"</f>
        <v>#VALUE!</v>
      </c>
      <c r="BT90" t="e">
        <f>'2.4.Функции'!CA176+"BYw!%u^"</f>
        <v>#VALUE!</v>
      </c>
      <c r="BU90" t="e">
        <f>'2.4.Функции'!CB176+"BYw!%u_"</f>
        <v>#VALUE!</v>
      </c>
      <c r="BV90" t="e">
        <f>'2.4.Функции'!CC176+"BYw!%u`"</f>
        <v>#VALUE!</v>
      </c>
      <c r="BW90" t="e">
        <f>'2.4.Функции'!CD176+"BYw!%ua"</f>
        <v>#VALUE!</v>
      </c>
      <c r="BX90" t="e">
        <f>'2.4.Функции'!CE176+"BYw!%ub"</f>
        <v>#VALUE!</v>
      </c>
      <c r="BY90" t="e">
        <f>'2.4.Функции'!CF176+"BYw!%uc"</f>
        <v>#VALUE!</v>
      </c>
      <c r="BZ90" t="e">
        <f>'2.4.Функции'!CG176+"BYw!%ud"</f>
        <v>#VALUE!</v>
      </c>
      <c r="CA90" t="e">
        <f>'2.4.Функции'!CH176+"BYw!%ue"</f>
        <v>#VALUE!</v>
      </c>
      <c r="CB90" t="e">
        <f>'2.4.Функции'!CI176+"BYw!%uf"</f>
        <v>#VALUE!</v>
      </c>
      <c r="CC90" t="e">
        <f>'2.4.Функции'!CJ176+"BYw!%ug"</f>
        <v>#VALUE!</v>
      </c>
      <c r="CD90" t="e">
        <f>'2.4.Функции'!CK176+"BYw!%uh"</f>
        <v>#VALUE!</v>
      </c>
      <c r="CE90" t="e">
        <f>'2.4.Функции'!CL176+"BYw!%ui"</f>
        <v>#VALUE!</v>
      </c>
      <c r="CF90" t="e">
        <f>'2.4.Функции'!CM176+"BYw!%uj"</f>
        <v>#VALUE!</v>
      </c>
      <c r="CG90" t="e">
        <f>'2.4.Функции'!CN176+"BYw!%uk"</f>
        <v>#VALUE!</v>
      </c>
      <c r="CH90" t="e">
        <f>'2.4.Функции'!CO176+"BYw!%ul"</f>
        <v>#VALUE!</v>
      </c>
      <c r="CI90" t="e">
        <f>'2.4.Функции'!CP176+"BYw!%um"</f>
        <v>#VALUE!</v>
      </c>
      <c r="CJ90" t="e">
        <f>'2.4.Функции'!CQ176+"BYw!%un"</f>
        <v>#VALUE!</v>
      </c>
      <c r="CK90" t="e">
        <f>'2.4.Функции'!CR176+"BYw!%uo"</f>
        <v>#VALUE!</v>
      </c>
      <c r="CL90" t="e">
        <f>'2.4.Функции'!CS176+"BYw!%up"</f>
        <v>#VALUE!</v>
      </c>
      <c r="CM90" t="e">
        <f>'2.4.Функции'!CT176+"BYw!%uq"</f>
        <v>#VALUE!</v>
      </c>
      <c r="CN90" t="e">
        <f>'2.4.Функции'!CU176+"BYw!%ur"</f>
        <v>#VALUE!</v>
      </c>
      <c r="CO90" t="e">
        <f>'2.4.Функции'!CV176+"BYw!%us"</f>
        <v>#VALUE!</v>
      </c>
      <c r="CP90" t="e">
        <f>'2.4.Функции'!CW176+"BYw!%ut"</f>
        <v>#VALUE!</v>
      </c>
      <c r="CQ90" t="e">
        <f>'2.4.Функции'!CX176+"BYw!%uu"</f>
        <v>#VALUE!</v>
      </c>
      <c r="CR90" t="e">
        <f>'2.4.Функции'!CY176+"BYw!%uv"</f>
        <v>#VALUE!</v>
      </c>
      <c r="CS90" t="e">
        <f>'2.4.Функции'!CZ176+"BYw!%uw"</f>
        <v>#VALUE!</v>
      </c>
      <c r="CT90" t="e">
        <f>'2.4.Функции'!DA176+"BYw!%ux"</f>
        <v>#VALUE!</v>
      </c>
      <c r="CU90" t="e">
        <f>'2.4.Функции'!DB176+"BYw!%uy"</f>
        <v>#VALUE!</v>
      </c>
      <c r="CV90" t="e">
        <f>'2.4.Функции'!DC176+"BYw!%uz"</f>
        <v>#VALUE!</v>
      </c>
      <c r="CW90" t="e">
        <f>'2.4.Функции'!DD176+"BYw!%u{"</f>
        <v>#VALUE!</v>
      </c>
      <c r="CX90" t="e">
        <f>'2.4.Функции'!DE176+"BYw!%u|"</f>
        <v>#VALUE!</v>
      </c>
      <c r="CY90" t="e">
        <f>'2.4.Функции'!DF176+"BYw!%u}"</f>
        <v>#VALUE!</v>
      </c>
      <c r="CZ90" t="e">
        <f>'2.4.Функции'!DG176+"BYw!%u~"</f>
        <v>#VALUE!</v>
      </c>
      <c r="DA90" t="e">
        <f>'2.4.Функции'!DH176+"BYw!%v#"</f>
        <v>#VALUE!</v>
      </c>
      <c r="DB90" t="e">
        <f>'2.4.Функции'!DI176+"BYw!%v$"</f>
        <v>#VALUE!</v>
      </c>
      <c r="DC90" t="e">
        <f>'2.4.Функции'!DJ176+"BYw!%v%"</f>
        <v>#VALUE!</v>
      </c>
      <c r="DD90" t="e">
        <f>'2.4.Функции'!DK176+"BYw!%v&amp;"</f>
        <v>#VALUE!</v>
      </c>
      <c r="DE90" t="e">
        <f>'2.4.Функции'!DL176+"BYw!%v'"</f>
        <v>#VALUE!</v>
      </c>
      <c r="DF90" t="e">
        <f>'2.4.Функции'!DM176+"BYw!%v("</f>
        <v>#VALUE!</v>
      </c>
      <c r="DG90" t="e">
        <f>'2.4.Функции'!DN176+"BYw!%v)"</f>
        <v>#VALUE!</v>
      </c>
      <c r="DH90" t="e">
        <f>'2.4.Функции'!DO176+"BYw!%v."</f>
        <v>#VALUE!</v>
      </c>
      <c r="DI90" t="e">
        <f>'2.4.Функции'!DP176+"BYw!%v/"</f>
        <v>#VALUE!</v>
      </c>
      <c r="DJ90" t="e">
        <f>'2.4.Функции'!DQ176+"BYw!%v0"</f>
        <v>#VALUE!</v>
      </c>
      <c r="DK90" t="e">
        <f>'2.4.Функции'!DR176+"BYw!%v1"</f>
        <v>#VALUE!</v>
      </c>
      <c r="DL90" t="e">
        <f>'2.4.Функции'!DS176+"BYw!%v2"</f>
        <v>#VALUE!</v>
      </c>
      <c r="DM90" t="e">
        <f>'2.4.Функции'!DT176+"BYw!%v3"</f>
        <v>#VALUE!</v>
      </c>
      <c r="DN90" t="e">
        <f>'2.4.Функции'!DU176+"BYw!%v4"</f>
        <v>#VALUE!</v>
      </c>
      <c r="DO90" t="e">
        <f>'2.4.Функции'!DV176+"BYw!%v5"</f>
        <v>#VALUE!</v>
      </c>
      <c r="DP90" t="e">
        <f>'2.4.Функции'!DW176+"BYw!%v6"</f>
        <v>#VALUE!</v>
      </c>
      <c r="DQ90" t="e">
        <f>'2.4.Функции'!DX176+"BYw!%v7"</f>
        <v>#VALUE!</v>
      </c>
      <c r="DR90" t="e">
        <f>'2.4.Функции'!DY176+"BYw!%v8"</f>
        <v>#VALUE!</v>
      </c>
      <c r="DS90" t="e">
        <f>'2.4.Функции'!DZ176+"BYw!%v9"</f>
        <v>#VALUE!</v>
      </c>
      <c r="DT90" t="e">
        <f>'2.4.Функции'!EA176+"BYw!%v:"</f>
        <v>#VALUE!</v>
      </c>
      <c r="DU90" t="e">
        <f>'2.4.Функции'!EB176+"BYw!%v;"</f>
        <v>#VALUE!</v>
      </c>
      <c r="DV90" t="e">
        <f>'2.4.Функции'!EC176+"BYw!%v&lt;"</f>
        <v>#VALUE!</v>
      </c>
      <c r="DW90" t="e">
        <f>'2.4.Функции'!ED176+"BYw!%v="</f>
        <v>#VALUE!</v>
      </c>
      <c r="DX90" t="e">
        <f>'2.4.Функции'!EE176+"BYw!%v&gt;"</f>
        <v>#VALUE!</v>
      </c>
      <c r="DY90" t="e">
        <f>'2.4.Функции'!EF176+"BYw!%v?"</f>
        <v>#VALUE!</v>
      </c>
      <c r="DZ90" t="e">
        <f>'2.4.Функции'!EG176+"BYw!%v@"</f>
        <v>#VALUE!</v>
      </c>
      <c r="EA90" t="e">
        <f>'2.4.Функции'!EH176+"BYw!%vA"</f>
        <v>#VALUE!</v>
      </c>
      <c r="EB90" t="e">
        <f>'2.4.Функции'!EI176+"BYw!%vB"</f>
        <v>#VALUE!</v>
      </c>
      <c r="EC90" t="e">
        <f>'2.4.Функции'!EJ176+"BYw!%vC"</f>
        <v>#VALUE!</v>
      </c>
      <c r="ED90" t="e">
        <f>'2.4.Функции'!EK176+"BYw!%vD"</f>
        <v>#VALUE!</v>
      </c>
      <c r="EE90" t="e">
        <f>'2.4.Функции'!EL176+"BYw!%vE"</f>
        <v>#VALUE!</v>
      </c>
      <c r="EF90" t="e">
        <f>'2.4.Функции'!EM176+"BYw!%vF"</f>
        <v>#VALUE!</v>
      </c>
      <c r="EG90" t="e">
        <f>'2.4.Функции'!EN176+"BYw!%vG"</f>
        <v>#VALUE!</v>
      </c>
      <c r="EH90" t="e">
        <f>'2.4.Функции'!EO176+"BYw!%vH"</f>
        <v>#VALUE!</v>
      </c>
      <c r="EI90" t="e">
        <f>'2.4.Функции'!EP176+"BYw!%vI"</f>
        <v>#VALUE!</v>
      </c>
      <c r="EJ90" t="e">
        <f>'2.4.Функции'!EQ176+"BYw!%vJ"</f>
        <v>#VALUE!</v>
      </c>
      <c r="EK90" t="e">
        <f>'2.4.Функции'!ER176+"BYw!%vK"</f>
        <v>#VALUE!</v>
      </c>
      <c r="EL90" t="e">
        <f>'2.4.Функции'!ES176+"BYw!%vL"</f>
        <v>#VALUE!</v>
      </c>
      <c r="EM90" t="e">
        <f>'2.4.Функции'!ET176+"BYw!%vM"</f>
        <v>#VALUE!</v>
      </c>
      <c r="EN90" t="e">
        <f>'2.4.Функции'!EU176+"BYw!%vN"</f>
        <v>#VALUE!</v>
      </c>
      <c r="EO90" t="e">
        <f>'2.4.Функции'!EV176+"BYw!%vO"</f>
        <v>#VALUE!</v>
      </c>
      <c r="EP90" t="e">
        <f>'2.4.Функции'!EW176+"BYw!%vP"</f>
        <v>#VALUE!</v>
      </c>
      <c r="EQ90" t="e">
        <f>'2.4.Функции'!EX176+"BYw!%vQ"</f>
        <v>#VALUE!</v>
      </c>
      <c r="ER90" t="e">
        <f>'2.4.Функции'!EY176+"BYw!%vR"</f>
        <v>#VALUE!</v>
      </c>
      <c r="ES90" t="e">
        <f>'2.4.Функции'!EZ176+"BYw!%vS"</f>
        <v>#VALUE!</v>
      </c>
      <c r="ET90" t="e">
        <f>'2.4.Функции'!FA176+"BYw!%vT"</f>
        <v>#VALUE!</v>
      </c>
      <c r="EU90" t="e">
        <f>'2.4.Функции'!FB176+"BYw!%vU"</f>
        <v>#VALUE!</v>
      </c>
      <c r="EV90" t="e">
        <f>'2.4.Функции'!FC176+"BYw!%vV"</f>
        <v>#VALUE!</v>
      </c>
      <c r="EW90" t="e">
        <f>'2.4.Функции'!FD176+"BYw!%vW"</f>
        <v>#VALUE!</v>
      </c>
      <c r="EX90" t="e">
        <f>'2.4.Функции'!FE176+"BYw!%vX"</f>
        <v>#VALUE!</v>
      </c>
      <c r="EY90" t="e">
        <f>'2.4.Функции'!FF176+"BYw!%vY"</f>
        <v>#VALUE!</v>
      </c>
      <c r="EZ90" t="e">
        <f>'2.4.Функции'!FG176+"BYw!%vZ"</f>
        <v>#VALUE!</v>
      </c>
      <c r="FA90" t="e">
        <f>'2.4.Функции'!FH176+"BYw!%v["</f>
        <v>#VALUE!</v>
      </c>
      <c r="FB90" t="e">
        <f>'2.4.Функции'!FI176+"BYw!%v\"</f>
        <v>#VALUE!</v>
      </c>
      <c r="FC90" t="e">
        <f>'2.4.Функции'!FJ176+"BYw!%v]"</f>
        <v>#VALUE!</v>
      </c>
      <c r="FD90" t="e">
        <f>'2.4.Функции'!FK176+"BYw!%v^"</f>
        <v>#VALUE!</v>
      </c>
      <c r="FE90" t="e">
        <f>'2.4.Функции'!FL176+"BYw!%v_"</f>
        <v>#VALUE!</v>
      </c>
      <c r="FF90" t="e">
        <f>'2.4.Функции'!FM176+"BYw!%v`"</f>
        <v>#VALUE!</v>
      </c>
      <c r="FG90" t="e">
        <f>'2.4.Функции'!FN176+"BYw!%va"</f>
        <v>#VALUE!</v>
      </c>
      <c r="FH90" t="e">
        <f>'2.4.Функции'!FO176+"BYw!%vb"</f>
        <v>#VALUE!</v>
      </c>
      <c r="FI90" t="e">
        <f>'2.4.Функции'!FP176+"BYw!%vc"</f>
        <v>#VALUE!</v>
      </c>
      <c r="FJ90" t="e">
        <f>'2.4.Функции'!FQ176+"BYw!%vd"</f>
        <v>#VALUE!</v>
      </c>
      <c r="FK90" t="e">
        <f>'2.4.Функции'!FR176+"BYw!%ve"</f>
        <v>#VALUE!</v>
      </c>
      <c r="FL90" t="e">
        <f>'2.4.Функции'!FS176+"BYw!%vf"</f>
        <v>#VALUE!</v>
      </c>
      <c r="FM90" t="e">
        <f>'2.4.Функции'!FT176+"BYw!%vg"</f>
        <v>#VALUE!</v>
      </c>
      <c r="FN90" t="e">
        <f>'2.4.Функции'!FU176+"BYw!%vh"</f>
        <v>#VALUE!</v>
      </c>
      <c r="FO90" t="e">
        <f>'2.4.Функции'!FV176+"BYw!%vi"</f>
        <v>#VALUE!</v>
      </c>
      <c r="FP90" t="e">
        <f>'2.4.Функции'!FW176+"BYw!%vj"</f>
        <v>#VALUE!</v>
      </c>
      <c r="FQ90" t="e">
        <f>'2.4.Функции'!FX176+"BYw!%vk"</f>
        <v>#VALUE!</v>
      </c>
      <c r="FR90" t="e">
        <f>'2.4.Функции'!FY176+"BYw!%vl"</f>
        <v>#VALUE!</v>
      </c>
      <c r="FS90" t="e">
        <f>'2.4.Функции'!FZ176+"BYw!%vm"</f>
        <v>#VALUE!</v>
      </c>
      <c r="FT90" t="e">
        <f>'2.4.Функции'!GA176+"BYw!%vn"</f>
        <v>#VALUE!</v>
      </c>
      <c r="FU90" t="e">
        <f>'2.4.Функции'!GB176+"BYw!%vo"</f>
        <v>#VALUE!</v>
      </c>
      <c r="FV90" t="e">
        <f>'2.4.Функции'!GC176+"BYw!%vp"</f>
        <v>#VALUE!</v>
      </c>
      <c r="FW90" t="e">
        <f>'2.4.Функции'!GD176+"BYw!%vq"</f>
        <v>#VALUE!</v>
      </c>
      <c r="FX90" t="e">
        <f>'2.4.Функции'!GE176+"BYw!%vr"</f>
        <v>#VALUE!</v>
      </c>
      <c r="FY90" t="e">
        <f>'2.4.Функции'!GF176+"BYw!%vs"</f>
        <v>#VALUE!</v>
      </c>
      <c r="FZ90" t="e">
        <f>'2.4.Функции'!GG176+"BYw!%vt"</f>
        <v>#VALUE!</v>
      </c>
      <c r="GA90" t="e">
        <f>'2.4.Функции'!GH176+"BYw!%vu"</f>
        <v>#VALUE!</v>
      </c>
      <c r="GB90" t="e">
        <f>'2.4.Функции'!GI176+"BYw!%vv"</f>
        <v>#VALUE!</v>
      </c>
      <c r="GC90" t="e">
        <f>'2.4.Функции'!GJ176+"BYw!%vw"</f>
        <v>#VALUE!</v>
      </c>
      <c r="GD90" t="e">
        <f>'2.4.Функции'!GK176+"BYw!%vx"</f>
        <v>#VALUE!</v>
      </c>
      <c r="GE90" t="e">
        <f>'2.4.Функции'!GL176+"BYw!%vy"</f>
        <v>#VALUE!</v>
      </c>
      <c r="GF90" t="e">
        <f>'2.4.Функции'!GM176+"BYw!%vz"</f>
        <v>#VALUE!</v>
      </c>
      <c r="GG90" t="e">
        <f>'2.4.Функции'!GN176+"BYw!%v{"</f>
        <v>#VALUE!</v>
      </c>
      <c r="GH90" t="e">
        <f>'2.4.Функции'!GO176+"BYw!%v|"</f>
        <v>#VALUE!</v>
      </c>
      <c r="GI90" t="e">
        <f>'2.4.Функции'!GP176+"BYw!%v}"</f>
        <v>#VALUE!</v>
      </c>
      <c r="GJ90" t="e">
        <f>'2.4.Функции'!GQ176+"BYw!%v~"</f>
        <v>#VALUE!</v>
      </c>
      <c r="GK90" t="e">
        <f>'2.4.Функции'!GR176+"BYw!%w#"</f>
        <v>#VALUE!</v>
      </c>
      <c r="GL90" t="e">
        <f>'2.4.Функции'!GS176+"BYw!%w$"</f>
        <v>#VALUE!</v>
      </c>
      <c r="GM90" t="e">
        <f>'2.4.Функции'!GT176+"BYw!%w%"</f>
        <v>#VALUE!</v>
      </c>
      <c r="GN90" t="e">
        <f>'2.4.Функции'!GU176+"BYw!%w&amp;"</f>
        <v>#VALUE!</v>
      </c>
      <c r="GO90" t="e">
        <f>'2.4.Функции'!GV176+"BYw!%w'"</f>
        <v>#VALUE!</v>
      </c>
      <c r="GP90" t="e">
        <f>'2.4.Функции'!GW176+"BYw!%w("</f>
        <v>#VALUE!</v>
      </c>
      <c r="GQ90" t="e">
        <f>'2.4.Функции'!GX176+"BYw!%w)"</f>
        <v>#VALUE!</v>
      </c>
      <c r="GR90" t="e">
        <f>'2.4.Функции'!GY176+"BYw!%w."</f>
        <v>#VALUE!</v>
      </c>
      <c r="GS90" t="e">
        <f>'2.4.Функции'!GZ176+"BYw!%w/"</f>
        <v>#VALUE!</v>
      </c>
      <c r="GT90" t="e">
        <f>'2.4.Функции'!HA176+"BYw!%w0"</f>
        <v>#VALUE!</v>
      </c>
      <c r="GU90" t="e">
        <f>'2.4.Функции'!HB176+"BYw!%w1"</f>
        <v>#VALUE!</v>
      </c>
      <c r="GV90" t="e">
        <f>'2.4.Функции'!HC176+"BYw!%w2"</f>
        <v>#VALUE!</v>
      </c>
      <c r="GW90" t="e">
        <f>'2.4.Функции'!HD176+"BYw!%w3"</f>
        <v>#VALUE!</v>
      </c>
      <c r="GX90" t="e">
        <f>'2.4.Функции'!HE176+"BYw!%w4"</f>
        <v>#VALUE!</v>
      </c>
      <c r="GY90" t="e">
        <f>'2.4.Функции'!HF176+"BYw!%w5"</f>
        <v>#VALUE!</v>
      </c>
      <c r="GZ90" t="e">
        <f>'2.4.Функции'!HG176+"BYw!%w6"</f>
        <v>#VALUE!</v>
      </c>
      <c r="HA90" t="e">
        <f>'2.4.Функции'!HH176+"BYw!%w7"</f>
        <v>#VALUE!</v>
      </c>
      <c r="HB90" t="e">
        <f>'2.4.Функции'!HI176+"BYw!%w8"</f>
        <v>#VALUE!</v>
      </c>
      <c r="HC90" t="e">
        <f>'2.4.Функции'!HJ176+"BYw!%w9"</f>
        <v>#VALUE!</v>
      </c>
      <c r="HD90" t="e">
        <f>'2.4.Функции'!HK176+"BYw!%w:"</f>
        <v>#VALUE!</v>
      </c>
      <c r="HE90" t="e">
        <f>'2.4.Функции'!HL176+"BYw!%w;"</f>
        <v>#VALUE!</v>
      </c>
      <c r="HF90" t="e">
        <f>'2.4.Функции'!HM176+"BYw!%w&lt;"</f>
        <v>#VALUE!</v>
      </c>
      <c r="HG90" t="e">
        <f>'2.4.Функции'!HN176+"BYw!%w="</f>
        <v>#VALUE!</v>
      </c>
      <c r="HH90" t="e">
        <f>'2.4.Функции'!HO176+"BYw!%w&gt;"</f>
        <v>#VALUE!</v>
      </c>
      <c r="HI90" t="e">
        <f>'2.4.Функции'!HP176+"BYw!%w?"</f>
        <v>#VALUE!</v>
      </c>
      <c r="HJ90" t="e">
        <f>'2.4.Функции'!HQ176+"BYw!%w@"</f>
        <v>#VALUE!</v>
      </c>
      <c r="HK90" t="e">
        <f>'2.4.Функции'!HR176+"BYw!%wA"</f>
        <v>#VALUE!</v>
      </c>
      <c r="HL90" t="e">
        <f>'2.4.Функции'!HS176+"BYw!%wB"</f>
        <v>#VALUE!</v>
      </c>
      <c r="HM90" t="e">
        <f>'2.4.Функции'!HT176+"BYw!%wC"</f>
        <v>#VALUE!</v>
      </c>
      <c r="HN90" t="e">
        <f>'2.4.Функции'!HU176+"BYw!%wD"</f>
        <v>#VALUE!</v>
      </c>
      <c r="HO90" t="e">
        <f>'2.4.Функции'!HV176+"BYw!%wE"</f>
        <v>#VALUE!</v>
      </c>
      <c r="HP90" t="e">
        <f>'2.4.Функции'!HW176+"BYw!%wF"</f>
        <v>#VALUE!</v>
      </c>
      <c r="HQ90" t="e">
        <f>'2.4.Функции'!HX176+"BYw!%wG"</f>
        <v>#VALUE!</v>
      </c>
      <c r="HR90" t="e">
        <f>'2.4.Функции'!HY176+"BYw!%wH"</f>
        <v>#VALUE!</v>
      </c>
      <c r="HS90" t="e">
        <f>'2.4.Функции'!HZ176+"BYw!%wI"</f>
        <v>#VALUE!</v>
      </c>
      <c r="HT90" t="e">
        <f>'2.4.Функции'!IA176+"BYw!%wJ"</f>
        <v>#VALUE!</v>
      </c>
      <c r="HU90" t="e">
        <f>'2.4.Функции'!IB176+"BYw!%wK"</f>
        <v>#VALUE!</v>
      </c>
      <c r="HV90" t="e">
        <f>'2.4.Функции'!IC176+"BYw!%wL"</f>
        <v>#VALUE!</v>
      </c>
      <c r="HW90" t="e">
        <f>'2.4.Функции'!ID176+"BYw!%wM"</f>
        <v>#VALUE!</v>
      </c>
      <c r="HX90" t="e">
        <f>'2.4.Функции'!IE176+"BYw!%wN"</f>
        <v>#VALUE!</v>
      </c>
      <c r="HY90" t="e">
        <f>'2.4.Функции'!IF176+"BYw!%wO"</f>
        <v>#VALUE!</v>
      </c>
      <c r="HZ90" t="e">
        <f>'2.4.Функции'!IG176+"BYw!%wP"</f>
        <v>#VALUE!</v>
      </c>
      <c r="IA90" t="e">
        <f>'2.4.Функции'!IH176+"BYw!%wQ"</f>
        <v>#VALUE!</v>
      </c>
      <c r="IB90" t="e">
        <f>'2.4.Функции'!II176+"BYw!%wR"</f>
        <v>#VALUE!</v>
      </c>
      <c r="IC90" t="e">
        <f>'2.4.Функции'!IJ176+"BYw!%wS"</f>
        <v>#VALUE!</v>
      </c>
      <c r="ID90" t="e">
        <f>'2.4.Функции'!IK176+"BYw!%wT"</f>
        <v>#VALUE!</v>
      </c>
      <c r="IE90" t="e">
        <f>'2.4.Функции'!IL176+"BYw!%wU"</f>
        <v>#VALUE!</v>
      </c>
      <c r="IF90" t="e">
        <f>'2.4.Функции'!IM176+"BYw!%wV"</f>
        <v>#VALUE!</v>
      </c>
      <c r="IG90" t="e">
        <f>'2.4.Функции'!IN176+"BYw!%wW"</f>
        <v>#VALUE!</v>
      </c>
      <c r="IH90" t="e">
        <f>'2.4.Функции'!IO176+"BYw!%wX"</f>
        <v>#VALUE!</v>
      </c>
      <c r="II90" t="e">
        <f>'2.4.Функции'!IP176+"BYw!%wY"</f>
        <v>#VALUE!</v>
      </c>
      <c r="IJ90" t="e">
        <f>'2.4.Функции'!IQ176+"BYw!%wZ"</f>
        <v>#VALUE!</v>
      </c>
      <c r="IK90" t="e">
        <f>'2.4.Функции'!IR176+"BYw!%w["</f>
        <v>#VALUE!</v>
      </c>
      <c r="IL90" t="e">
        <f>'2.4.Функции'!IS176+"BYw!%w\"</f>
        <v>#VALUE!</v>
      </c>
      <c r="IM90" t="e">
        <f>'2.4.Функции'!IT176+"BYw!%w]"</f>
        <v>#VALUE!</v>
      </c>
      <c r="IN90" t="e">
        <f>'2.4.Функции'!IU176+"BYw!%w^"</f>
        <v>#VALUE!</v>
      </c>
      <c r="IO90" t="e">
        <f>'2.4.Функции'!IV176+"BYw!%w_"</f>
        <v>#VALUE!</v>
      </c>
      <c r="IP90" t="e">
        <f>'2.4.Функции'!IW176+"BYw!%w`"</f>
        <v>#VALUE!</v>
      </c>
      <c r="IQ90" t="e">
        <f>'2.4.Функции'!IX176+"BYw!%wa"</f>
        <v>#VALUE!</v>
      </c>
      <c r="IR90" t="e">
        <f>'2.4.Функции'!IY176+"BYw!%wb"</f>
        <v>#VALUE!</v>
      </c>
      <c r="IS90" t="e">
        <f>'2.4.Функции'!IZ176+"BYw!%wc"</f>
        <v>#VALUE!</v>
      </c>
      <c r="IT90" t="e">
        <f>'2.4.Функции'!JA176+"BYw!%wd"</f>
        <v>#VALUE!</v>
      </c>
      <c r="IU90" t="e">
        <f>'2.4.Функции'!JB176+"BYw!%we"</f>
        <v>#VALUE!</v>
      </c>
      <c r="IV90" t="e">
        <f>'2.4.Функции'!JC176+"BYw!%wf"</f>
        <v>#VALUE!</v>
      </c>
    </row>
    <row r="91" spans="6:256" x14ac:dyDescent="0.2">
      <c r="F91" t="e">
        <f>'2.4.Функции'!JD176+"BYw!%wg"</f>
        <v>#VALUE!</v>
      </c>
      <c r="G91" t="e">
        <f>'2.4.Функции'!JE176+"BYw!%wh"</f>
        <v>#VALUE!</v>
      </c>
      <c r="H91" t="e">
        <f>'2.4.Функции'!JF176+"BYw!%wi"</f>
        <v>#VALUE!</v>
      </c>
      <c r="I91" t="e">
        <f>'2.4.Функции'!JG176+"BYw!%wj"</f>
        <v>#VALUE!</v>
      </c>
      <c r="J91" t="e">
        <f>'2.4.Функции'!JH176+"BYw!%wk"</f>
        <v>#VALUE!</v>
      </c>
      <c r="K91" t="e">
        <f>'2.4.Функции'!JI176+"BYw!%wl"</f>
        <v>#VALUE!</v>
      </c>
      <c r="L91" t="e">
        <f>'2.4.Функции'!JJ176+"BYw!%wm"</f>
        <v>#VALUE!</v>
      </c>
      <c r="M91" t="e">
        <f>'2.4.Функции'!JK176+"BYw!%wn"</f>
        <v>#VALUE!</v>
      </c>
      <c r="N91" t="e">
        <f>'2.4.Функции'!JL176+"BYw!%wo"</f>
        <v>#VALUE!</v>
      </c>
      <c r="O91" t="e">
        <f>'2.4.Функции'!JM176+"BYw!%wp"</f>
        <v>#VALUE!</v>
      </c>
      <c r="P91" t="e">
        <f>'2.4.Функции'!JN176+"BYw!%wq"</f>
        <v>#VALUE!</v>
      </c>
      <c r="Q91" t="e">
        <f>'2.4.Функции'!JO176+"BYw!%wr"</f>
        <v>#VALUE!</v>
      </c>
      <c r="R91" t="e">
        <f>'2.4.Функции'!JP176+"BYw!%ws"</f>
        <v>#VALUE!</v>
      </c>
      <c r="S91" t="e">
        <f>'2.4.Функции'!JQ176+"BYw!%wt"</f>
        <v>#VALUE!</v>
      </c>
      <c r="T91" t="e">
        <f>'2.4.Функции'!JR176+"BYw!%wu"</f>
        <v>#VALUE!</v>
      </c>
      <c r="U91" t="e">
        <f>'2.4.Функции'!JS176+"BYw!%wv"</f>
        <v>#VALUE!</v>
      </c>
      <c r="V91" t="e">
        <f>'2.4.Функции'!JT176+"BYw!%ww"</f>
        <v>#VALUE!</v>
      </c>
      <c r="W91" t="e">
        <f>'2.4.Функции'!JU176+"BYw!%wx"</f>
        <v>#VALUE!</v>
      </c>
      <c r="X91" t="e">
        <f>'2.4.Функции'!JV176+"BYw!%wy"</f>
        <v>#VALUE!</v>
      </c>
      <c r="Y91" t="e">
        <f>'2.4.Функции'!JW176+"BYw!%wz"</f>
        <v>#VALUE!</v>
      </c>
      <c r="Z91" t="e">
        <f>'2.4.Функции'!JX176+"BYw!%w{"</f>
        <v>#VALUE!</v>
      </c>
      <c r="AA91" t="e">
        <f>'2.4.Функции'!JY176+"BYw!%w|"</f>
        <v>#VALUE!</v>
      </c>
      <c r="AB91" t="e">
        <f>'2.4.Функции'!JZ176+"BYw!%w}"</f>
        <v>#VALUE!</v>
      </c>
      <c r="AC91" t="e">
        <f>'2.4.Функции'!KA176+"BYw!%w~"</f>
        <v>#VALUE!</v>
      </c>
      <c r="AD91" t="e">
        <f>'2.4.Функции'!KB176+"BYw!%x#"</f>
        <v>#VALUE!</v>
      </c>
      <c r="AE91" t="e">
        <f>'2.4.Функции'!KC176+"BYw!%x$"</f>
        <v>#VALUE!</v>
      </c>
      <c r="AF91" t="e">
        <f>'2.4.Функции'!KD176+"BYw!%x%"</f>
        <v>#VALUE!</v>
      </c>
      <c r="AG91" t="e">
        <f>'2.4.Функции'!KE176+"BYw!%x&amp;"</f>
        <v>#VALUE!</v>
      </c>
      <c r="AH91" t="e">
        <f>'2.4.Функции'!KF176+"BYw!%x'"</f>
        <v>#VALUE!</v>
      </c>
      <c r="AI91" t="e">
        <f>'2.4.Функции'!KG176+"BYw!%x("</f>
        <v>#VALUE!</v>
      </c>
      <c r="AJ91" t="e">
        <f>'2.4.Функции'!KH176+"BYw!%x)"</f>
        <v>#VALUE!</v>
      </c>
      <c r="AK91" t="e">
        <f>'2.4.Функции'!KI176+"BYw!%x."</f>
        <v>#VALUE!</v>
      </c>
      <c r="AL91" t="e">
        <f>'2.4.Функции'!KJ176+"BYw!%x/"</f>
        <v>#VALUE!</v>
      </c>
      <c r="AM91" t="e">
        <f>'2.4.Функции'!KK176+"BYw!%x0"</f>
        <v>#VALUE!</v>
      </c>
      <c r="AN91" t="e">
        <f>'2.4.Функции'!KL176+"BYw!%x1"</f>
        <v>#VALUE!</v>
      </c>
      <c r="AO91" t="e">
        <f>'2.4.Функции'!KM176+"BYw!%x2"</f>
        <v>#VALUE!</v>
      </c>
      <c r="AP91" t="e">
        <f>'2.4.Функции'!KN176+"BYw!%x3"</f>
        <v>#VALUE!</v>
      </c>
      <c r="AQ91" t="e">
        <f>'2.4.Функции'!KO176+"BYw!%x4"</f>
        <v>#VALUE!</v>
      </c>
      <c r="AR91" t="e">
        <f>'2.4.Функции'!KP176+"BYw!%x5"</f>
        <v>#VALUE!</v>
      </c>
      <c r="AS91" t="e">
        <f>'2.4.Функции'!KQ176+"BYw!%x6"</f>
        <v>#VALUE!</v>
      </c>
      <c r="AT91" t="e">
        <f>'2.4.Функции'!KR176+"BYw!%x7"</f>
        <v>#VALUE!</v>
      </c>
      <c r="AU91" t="e">
        <f>'2.4.Функции'!KS176+"BYw!%x8"</f>
        <v>#VALUE!</v>
      </c>
      <c r="AV91" t="e">
        <f>'2.4.Функции'!KT176+"BYw!%x9"</f>
        <v>#VALUE!</v>
      </c>
      <c r="AW91" t="e">
        <f>'2.4.Функции'!KU176+"BYw!%x:"</f>
        <v>#VALUE!</v>
      </c>
      <c r="AX91" t="e">
        <f>'2.4.Функции'!KV176+"BYw!%x;"</f>
        <v>#VALUE!</v>
      </c>
      <c r="AY91" t="e">
        <f>'2.4.Функции'!KW176+"BYw!%x&lt;"</f>
        <v>#VALUE!</v>
      </c>
      <c r="AZ91" t="e">
        <f>'2.4.Функции'!KX176+"BYw!%x="</f>
        <v>#VALUE!</v>
      </c>
      <c r="BA91" t="e">
        <f>'2.4.Функции'!KY176+"BYw!%x&gt;"</f>
        <v>#VALUE!</v>
      </c>
      <c r="BB91" t="e">
        <f>'2.4.Функции'!KZ176+"BYw!%x?"</f>
        <v>#VALUE!</v>
      </c>
      <c r="BC91" t="e">
        <f>'2.4.Функции'!LA176+"BYw!%x@"</f>
        <v>#VALUE!</v>
      </c>
      <c r="BD91" t="e">
        <f>'2.4.Функции'!LB176+"BYw!%xA"</f>
        <v>#VALUE!</v>
      </c>
      <c r="BE91" t="e">
        <f>'2.4.Функции'!LC176+"BYw!%xB"</f>
        <v>#VALUE!</v>
      </c>
      <c r="BF91" t="e">
        <f>'2.4.Функции'!LD176+"BYw!%xC"</f>
        <v>#VALUE!</v>
      </c>
      <c r="BG91" t="e">
        <f>'2.4.Функции'!LE176+"BYw!%xD"</f>
        <v>#VALUE!</v>
      </c>
      <c r="BH91" t="e">
        <f>'2.4.Функции'!LF176+"BYw!%xE"</f>
        <v>#VALUE!</v>
      </c>
      <c r="BI91" t="e">
        <f>'2.4.Функции'!LG176+"BYw!%xF"</f>
        <v>#VALUE!</v>
      </c>
      <c r="BJ91" t="e">
        <f>'2.4.Функции'!LH176+"BYw!%xG"</f>
        <v>#VALUE!</v>
      </c>
      <c r="BK91" t="e">
        <f>'2.4.Функции'!LI176+"BYw!%xH"</f>
        <v>#VALUE!</v>
      </c>
      <c r="BL91" t="e">
        <f>'2.4.Функции'!LJ176+"BYw!%xI"</f>
        <v>#VALUE!</v>
      </c>
      <c r="BM91" t="e">
        <f>'2.4.Функции'!LK176+"BYw!%xJ"</f>
        <v>#VALUE!</v>
      </c>
      <c r="BN91" t="e">
        <f>'2.4.Функции'!LL176+"BYw!%xK"</f>
        <v>#VALUE!</v>
      </c>
      <c r="BO91" t="e">
        <f>'2.4.Функции'!LM176+"BYw!%xL"</f>
        <v>#VALUE!</v>
      </c>
      <c r="BP91" t="e">
        <f>'2.4.Функции'!LN176+"BYw!%xM"</f>
        <v>#VALUE!</v>
      </c>
      <c r="BQ91" t="e">
        <f>'2.4.Функции'!LO176+"BYw!%xN"</f>
        <v>#VALUE!</v>
      </c>
      <c r="BR91" t="e">
        <f>'2.4.Функции'!LP176+"BYw!%xO"</f>
        <v>#VALUE!</v>
      </c>
      <c r="BS91" t="e">
        <f>'2.4.Функции'!LQ176+"BYw!%xP"</f>
        <v>#VALUE!</v>
      </c>
      <c r="BT91" t="e">
        <f>'2.4.Функции'!LR176+"BYw!%xQ"</f>
        <v>#VALUE!</v>
      </c>
      <c r="BU91" t="e">
        <f>'2.4.Функции'!LS176+"BYw!%xR"</f>
        <v>#VALUE!</v>
      </c>
      <c r="BV91" t="e">
        <f>'2.4.Функции'!LT176+"BYw!%xS"</f>
        <v>#VALUE!</v>
      </c>
      <c r="BW91" t="e">
        <f>'2.4.Функции'!LU176+"BYw!%xT"</f>
        <v>#VALUE!</v>
      </c>
      <c r="BX91" t="e">
        <f>'2.4.Функции'!LV176+"BYw!%xU"</f>
        <v>#VALUE!</v>
      </c>
      <c r="BY91" t="e">
        <f>'2.4.Функции'!LW176+"BYw!%xV"</f>
        <v>#VALUE!</v>
      </c>
      <c r="BZ91" t="e">
        <f>'2.4.Функции'!LX176+"BYw!%xW"</f>
        <v>#VALUE!</v>
      </c>
      <c r="CA91" t="e">
        <f>'2.4.Функции'!LY176+"BYw!%xX"</f>
        <v>#VALUE!</v>
      </c>
      <c r="CB91" t="e">
        <f>'2.4.Функции'!LZ176+"BYw!%xY"</f>
        <v>#VALUE!</v>
      </c>
      <c r="CC91" t="e">
        <f>'2.4.Функции'!MA176+"BYw!%xZ"</f>
        <v>#VALUE!</v>
      </c>
      <c r="CD91" t="e">
        <f>'2.4.Функции'!MB176+"BYw!%x["</f>
        <v>#VALUE!</v>
      </c>
      <c r="CE91" t="e">
        <f>'2.4.Функции'!MC176+"BYw!%x\"</f>
        <v>#VALUE!</v>
      </c>
      <c r="CF91" t="e">
        <f>'2.4.Функции'!MD176+"BYw!%x]"</f>
        <v>#VALUE!</v>
      </c>
      <c r="CG91" t="e">
        <f>'2.4.Функции'!ME176+"BYw!%x^"</f>
        <v>#VALUE!</v>
      </c>
      <c r="CH91" t="e">
        <f>'2.4.Функции'!MF176+"BYw!%x_"</f>
        <v>#VALUE!</v>
      </c>
      <c r="CI91" t="e">
        <f>'2.4.Функции'!MG176+"BYw!%x`"</f>
        <v>#VALUE!</v>
      </c>
      <c r="CJ91" t="e">
        <f>'2.4.Функции'!MH176+"BYw!%xa"</f>
        <v>#VALUE!</v>
      </c>
      <c r="CK91" t="e">
        <f>'2.4.Функции'!MI176+"BYw!%xb"</f>
        <v>#VALUE!</v>
      </c>
      <c r="CL91" t="e">
        <f>'2.4.Функции'!MJ176+"BYw!%xc"</f>
        <v>#VALUE!</v>
      </c>
      <c r="CM91" t="e">
        <f>'2.4.Функции'!MK176+"BYw!%xd"</f>
        <v>#VALUE!</v>
      </c>
      <c r="CN91" t="e">
        <f>'2.4.Функции'!ML176+"BYw!%xe"</f>
        <v>#VALUE!</v>
      </c>
      <c r="CO91" t="e">
        <f>'2.4.Функции'!MM176+"BYw!%xf"</f>
        <v>#VALUE!</v>
      </c>
      <c r="CP91" t="e">
        <f>'2.4.Функции'!MN176+"BYw!%xg"</f>
        <v>#VALUE!</v>
      </c>
      <c r="CQ91" t="e">
        <f>'2.4.Функции'!MO176+"BYw!%xh"</f>
        <v>#VALUE!</v>
      </c>
      <c r="CR91" t="e">
        <f>'2.4.Функции'!MP176+"BYw!%xi"</f>
        <v>#VALUE!</v>
      </c>
      <c r="CS91" t="e">
        <f>'2.4.Функции'!MQ176+"BYw!%xj"</f>
        <v>#VALUE!</v>
      </c>
      <c r="CT91" t="e">
        <f>'2.4.Функции'!MR176+"BYw!%xk"</f>
        <v>#VALUE!</v>
      </c>
      <c r="CU91" t="e">
        <f>'2.4.Функции'!MS176+"BYw!%xl"</f>
        <v>#VALUE!</v>
      </c>
      <c r="CV91" t="e">
        <f>'2.4.Функции'!MT176+"BYw!%xm"</f>
        <v>#VALUE!</v>
      </c>
      <c r="CW91" t="e">
        <f>'2.4.Функции'!MU176+"BYw!%xn"</f>
        <v>#VALUE!</v>
      </c>
      <c r="CX91" t="e">
        <f>'2.4.Функции'!MV176+"BYw!%xo"</f>
        <v>#VALUE!</v>
      </c>
      <c r="CY91" t="e">
        <f>'2.4.Функции'!MW176+"BYw!%xp"</f>
        <v>#VALUE!</v>
      </c>
      <c r="CZ91" t="e">
        <f>'2.4.Функции'!MX176+"BYw!%xq"</f>
        <v>#VALUE!</v>
      </c>
      <c r="DA91" t="e">
        <f>'2.4.Функции'!MY176+"BYw!%xr"</f>
        <v>#VALUE!</v>
      </c>
      <c r="DB91" t="e">
        <f>'2.4.Функции'!MZ176+"BYw!%xs"</f>
        <v>#VALUE!</v>
      </c>
      <c r="DC91" t="e">
        <f>'2.4.Функции'!NA176+"BYw!%xt"</f>
        <v>#VALUE!</v>
      </c>
      <c r="DD91" t="e">
        <f>'2.4.Функции'!NB176+"BYw!%xu"</f>
        <v>#VALUE!</v>
      </c>
      <c r="DE91" t="e">
        <f>'2.4.Функции'!NC176+"BYw!%xv"</f>
        <v>#VALUE!</v>
      </c>
      <c r="DF91" t="e">
        <f>'2.4.Функции'!ND176+"BYw!%xw"</f>
        <v>#VALUE!</v>
      </c>
      <c r="DG91" t="e">
        <f>'2.4.Функции'!NE176+"BYw!%xx"</f>
        <v>#VALUE!</v>
      </c>
      <c r="DH91" t="e">
        <f>'2.4.Функции'!NF176+"BYw!%xy"</f>
        <v>#VALUE!</v>
      </c>
      <c r="DI91" t="e">
        <f>'2.4.Функции'!NG176+"BYw!%xz"</f>
        <v>#VALUE!</v>
      </c>
      <c r="DJ91" t="e">
        <f>'2.4.Функции'!NH176+"BYw!%x{"</f>
        <v>#VALUE!</v>
      </c>
      <c r="DK91" t="e">
        <f>'2.4.Функции'!NI176+"BYw!%x|"</f>
        <v>#VALUE!</v>
      </c>
      <c r="DL91" t="e">
        <f>'2.4.Функции'!NJ176+"BYw!%x}"</f>
        <v>#VALUE!</v>
      </c>
      <c r="DM91" t="e">
        <f>'2.4.Функции'!NK176+"BYw!%x~"</f>
        <v>#VALUE!</v>
      </c>
      <c r="DN91" t="e">
        <f>'2.4.Функции'!NL176+"BYw!%y#"</f>
        <v>#VALUE!</v>
      </c>
      <c r="DO91" t="e">
        <f>'2.4.Функции'!NM176+"BYw!%y$"</f>
        <v>#VALUE!</v>
      </c>
      <c r="DP91" t="e">
        <f>'2.4.Функции'!NN176+"BYw!%y%"</f>
        <v>#VALUE!</v>
      </c>
      <c r="DQ91" t="e">
        <f>'2.4.Функции'!NO176+"BYw!%y&amp;"</f>
        <v>#VALUE!</v>
      </c>
      <c r="DR91" t="e">
        <f>'2.4.Функции'!NP176+"BYw!%y'"</f>
        <v>#VALUE!</v>
      </c>
      <c r="DS91" t="e">
        <f>'2.4.Функции'!NQ176+"BYw!%y("</f>
        <v>#VALUE!</v>
      </c>
      <c r="DT91" t="e">
        <f>'2.4.Функции'!NR176+"BYw!%y)"</f>
        <v>#VALUE!</v>
      </c>
      <c r="DU91" t="e">
        <f>'2.4.Функции'!NS176+"BYw!%y."</f>
        <v>#VALUE!</v>
      </c>
      <c r="DV91" t="e">
        <f>'2.4.Функции'!NT176+"BYw!%y/"</f>
        <v>#VALUE!</v>
      </c>
      <c r="DW91" t="e">
        <f>'2.4.Функции'!NU176+"BYw!%y0"</f>
        <v>#VALUE!</v>
      </c>
      <c r="DX91" t="e">
        <f>'2.4.Функции'!NV176+"BYw!%y1"</f>
        <v>#VALUE!</v>
      </c>
      <c r="DY91" t="e">
        <f>'2.4.Функции'!NW176+"BYw!%y2"</f>
        <v>#VALUE!</v>
      </c>
      <c r="DZ91" t="e">
        <f>'2.4.Функции'!NX176+"BYw!%y3"</f>
        <v>#VALUE!</v>
      </c>
      <c r="EA91" t="e">
        <f>'2.4.Функции'!NY176+"BYw!%y4"</f>
        <v>#VALUE!</v>
      </c>
      <c r="EB91" t="e">
        <f>'2.4.Функции'!NZ176+"BYw!%y5"</f>
        <v>#VALUE!</v>
      </c>
      <c r="EC91" t="e">
        <f>'2.4.Функции'!OA176+"BYw!%y6"</f>
        <v>#VALUE!</v>
      </c>
      <c r="ED91" t="e">
        <f>'2.4.Функции'!OB176+"BYw!%y7"</f>
        <v>#VALUE!</v>
      </c>
      <c r="EE91" t="e">
        <f>'2.4.Функции'!OC176+"BYw!%y8"</f>
        <v>#VALUE!</v>
      </c>
      <c r="EF91" t="e">
        <f>'2.4.Функции'!OD176+"BYw!%y9"</f>
        <v>#VALUE!</v>
      </c>
      <c r="EG91" t="e">
        <f>'2.4.Функции'!OE176+"BYw!%y:"</f>
        <v>#VALUE!</v>
      </c>
      <c r="EH91" t="e">
        <f>'2.4.Функции'!OF176+"BYw!%y;"</f>
        <v>#VALUE!</v>
      </c>
      <c r="EI91" t="e">
        <f>'2.4.Функции'!OG176+"BYw!%y&lt;"</f>
        <v>#VALUE!</v>
      </c>
      <c r="EJ91" t="e">
        <f>'2.4.Функции'!OH176+"BYw!%y="</f>
        <v>#VALUE!</v>
      </c>
      <c r="EK91" t="e">
        <f>'2.4.Функции'!OI176+"BYw!%y&gt;"</f>
        <v>#VALUE!</v>
      </c>
      <c r="EL91" t="e">
        <f>'2.4.Функции'!OJ176+"BYw!%y?"</f>
        <v>#VALUE!</v>
      </c>
      <c r="EM91" t="e">
        <f>'2.4.Функции'!OK176+"BYw!%y@"</f>
        <v>#VALUE!</v>
      </c>
      <c r="EN91" t="e">
        <f>'2.4.Функции'!OL176+"BYw!%yA"</f>
        <v>#VALUE!</v>
      </c>
      <c r="EO91" t="e">
        <f>'2.4.Функции'!OM176+"BYw!%yB"</f>
        <v>#VALUE!</v>
      </c>
      <c r="EP91" t="e">
        <f>'2.4.Функции'!ON176+"BYw!%yC"</f>
        <v>#VALUE!</v>
      </c>
      <c r="EQ91" t="e">
        <f>'2.4.Функции'!OO176+"BYw!%yD"</f>
        <v>#VALUE!</v>
      </c>
      <c r="ER91" t="e">
        <f>'2.4.Функции'!OP176+"BYw!%yE"</f>
        <v>#VALUE!</v>
      </c>
      <c r="ES91" t="e">
        <f>'2.4.Функции'!OQ176+"BYw!%yF"</f>
        <v>#VALUE!</v>
      </c>
      <c r="ET91" t="e">
        <f>'2.4.Функции'!OR176+"BYw!%yG"</f>
        <v>#VALUE!</v>
      </c>
      <c r="EU91" t="e">
        <f>'2.4.Функции'!OS176+"BYw!%yH"</f>
        <v>#VALUE!</v>
      </c>
      <c r="EV91" t="e">
        <f>'2.4.Функции'!OT176+"BYw!%yI"</f>
        <v>#VALUE!</v>
      </c>
      <c r="EW91" t="e">
        <f>'2.4.Функции'!OU176+"BYw!%yJ"</f>
        <v>#VALUE!</v>
      </c>
      <c r="EX91" t="e">
        <f>'2.4.Функции'!OV176+"BYw!%yK"</f>
        <v>#VALUE!</v>
      </c>
      <c r="EY91" t="e">
        <f>'2.4.Функции'!OW176+"BYw!%yL"</f>
        <v>#VALUE!</v>
      </c>
      <c r="EZ91" t="e">
        <f>'2.4.Функции'!OX176+"BYw!%yM"</f>
        <v>#VALUE!</v>
      </c>
      <c r="FA91" t="e">
        <f>'2.4.Функции'!OY176+"BYw!%yN"</f>
        <v>#VALUE!</v>
      </c>
      <c r="FB91" t="e">
        <f>'2.4.Функции'!OZ176+"BYw!%yO"</f>
        <v>#VALUE!</v>
      </c>
      <c r="FC91" t="e">
        <f>'2.4.Функции'!PA176+"BYw!%yP"</f>
        <v>#VALUE!</v>
      </c>
      <c r="FD91" t="e">
        <f>'2.4.Функции'!PB176+"BYw!%yQ"</f>
        <v>#VALUE!</v>
      </c>
      <c r="FE91" t="e">
        <f>'2.4.Функции'!PC176+"BYw!%yR"</f>
        <v>#VALUE!</v>
      </c>
      <c r="FF91" t="e">
        <f>'2.4.Функции'!PD176+"BYw!%yS"</f>
        <v>#VALUE!</v>
      </c>
      <c r="FG91" t="e">
        <f>'2.4.Функции'!PE176+"BYw!%yT"</f>
        <v>#VALUE!</v>
      </c>
      <c r="FH91" t="e">
        <f>'2.4.Функции'!PF176+"BYw!%yU"</f>
        <v>#VALUE!</v>
      </c>
      <c r="FI91" t="e">
        <f>'2.4.Функции'!PG176+"BYw!%yV"</f>
        <v>#VALUE!</v>
      </c>
      <c r="FJ91" t="e">
        <f>'2.4.Функции'!PH176+"BYw!%yW"</f>
        <v>#VALUE!</v>
      </c>
      <c r="FK91" t="e">
        <f>'2.4.Функции'!PI176+"BYw!%yX"</f>
        <v>#VALUE!</v>
      </c>
      <c r="FL91" t="e">
        <f>'2.4.Функции'!PJ176+"BYw!%yY"</f>
        <v>#VALUE!</v>
      </c>
      <c r="FM91" t="e">
        <f>'2.4.Функции'!PK176+"BYw!%yZ"</f>
        <v>#VALUE!</v>
      </c>
      <c r="FN91" t="e">
        <f>'2.4.Функции'!PL176+"BYw!%y["</f>
        <v>#VALUE!</v>
      </c>
      <c r="FO91" t="e">
        <f>'2.4.Функции'!PM176+"BYw!%y\"</f>
        <v>#VALUE!</v>
      </c>
      <c r="FP91" t="e">
        <f>'2.4.Функции'!PN176+"BYw!%y]"</f>
        <v>#VALUE!</v>
      </c>
      <c r="FQ91" t="e">
        <f>'2.4.Функции'!PO176+"BYw!%y^"</f>
        <v>#VALUE!</v>
      </c>
      <c r="FR91" t="e">
        <f>'2.4.Функции'!PP176+"BYw!%y_"</f>
        <v>#VALUE!</v>
      </c>
      <c r="FS91" t="e">
        <f>'2.4.Функции'!PQ176+"BYw!%y`"</f>
        <v>#VALUE!</v>
      </c>
      <c r="FT91" t="e">
        <f>'2.4.Функции'!PR176+"BYw!%ya"</f>
        <v>#VALUE!</v>
      </c>
      <c r="FU91" t="e">
        <f>'2.4.Функции'!PS176+"BYw!%yb"</f>
        <v>#VALUE!</v>
      </c>
      <c r="FV91" t="e">
        <f>'2.4.Функции'!PT176+"BYw!%yc"</f>
        <v>#VALUE!</v>
      </c>
      <c r="FW91" t="e">
        <f>'2.4.Функции'!PU176+"BYw!%yd"</f>
        <v>#VALUE!</v>
      </c>
      <c r="FX91" t="e">
        <f>'2.4.Функции'!PV176+"BYw!%ye"</f>
        <v>#VALUE!</v>
      </c>
      <c r="FY91" t="e">
        <f>'2.4.Функции'!PW176+"BYw!%yf"</f>
        <v>#VALUE!</v>
      </c>
      <c r="FZ91" t="e">
        <f>'2.4.Функции'!PX176+"BYw!%yg"</f>
        <v>#VALUE!</v>
      </c>
      <c r="GA91" t="e">
        <f>'2.4.Функции'!PY176+"BYw!%yh"</f>
        <v>#VALUE!</v>
      </c>
      <c r="GB91" t="e">
        <f>'2.4.Функции'!PZ176+"BYw!%yi"</f>
        <v>#VALUE!</v>
      </c>
      <c r="GC91" t="e">
        <f>'2.4.Функции'!QA176+"BYw!%yj"</f>
        <v>#VALUE!</v>
      </c>
      <c r="GD91" t="e">
        <f>'2.4.Функции'!QB176+"BYw!%yk"</f>
        <v>#VALUE!</v>
      </c>
      <c r="GE91" t="e">
        <f>'2.4.Функции'!QC176+"BYw!%yl"</f>
        <v>#VALUE!</v>
      </c>
      <c r="GF91" t="e">
        <f>'2.4.Функции'!QD176+"BYw!%ym"</f>
        <v>#VALUE!</v>
      </c>
      <c r="GG91" t="e">
        <f>'2.4.Функции'!QE176+"BYw!%yn"</f>
        <v>#VALUE!</v>
      </c>
      <c r="GH91" t="e">
        <f>'2.4.Функции'!QF176+"BYw!%yo"</f>
        <v>#VALUE!</v>
      </c>
      <c r="GI91" t="e">
        <f>'2.4.Функции'!QG176+"BYw!%yp"</f>
        <v>#VALUE!</v>
      </c>
      <c r="GJ91" t="e">
        <f>'2.4.Функции'!QH176+"BYw!%yq"</f>
        <v>#VALUE!</v>
      </c>
      <c r="GK91" t="e">
        <f>'2.4.Функции'!QI176+"BYw!%yr"</f>
        <v>#VALUE!</v>
      </c>
      <c r="GL91" t="e">
        <f>'2.4.Функции'!QJ176+"BYw!%ys"</f>
        <v>#VALUE!</v>
      </c>
      <c r="GM91" t="e">
        <f>'2.4.Функции'!QK176+"BYw!%yt"</f>
        <v>#VALUE!</v>
      </c>
      <c r="GN91" t="e">
        <f>'2.4.Функции'!QL176+"BYw!%yu"</f>
        <v>#VALUE!</v>
      </c>
      <c r="GO91" t="e">
        <f>'2.4.Функции'!QM176+"BYw!%yv"</f>
        <v>#VALUE!</v>
      </c>
      <c r="GP91" t="e">
        <f>'2.4.Функции'!QN176+"BYw!%yw"</f>
        <v>#VALUE!</v>
      </c>
      <c r="GQ91" t="e">
        <f>'2.4.Функции'!QO176+"BYw!%yx"</f>
        <v>#VALUE!</v>
      </c>
      <c r="GR91" t="e">
        <f>'2.4.Функции'!QP176+"BYw!%yy"</f>
        <v>#VALUE!</v>
      </c>
      <c r="GS91" t="e">
        <f>'2.4.Функции'!QQ176+"BYw!%yz"</f>
        <v>#VALUE!</v>
      </c>
      <c r="GT91" t="e">
        <f>'2.4.Функции'!QR176+"BYw!%y{"</f>
        <v>#VALUE!</v>
      </c>
      <c r="GU91" t="e">
        <f>'2.4.Функции'!QS176+"BYw!%y|"</f>
        <v>#VALUE!</v>
      </c>
      <c r="GV91" t="e">
        <f>'2.4.Функции'!QT176+"BYw!%y}"</f>
        <v>#VALUE!</v>
      </c>
      <c r="GW91" t="e">
        <f>'2.4.Функции'!QU176+"BYw!%y~"</f>
        <v>#VALUE!</v>
      </c>
      <c r="GX91" t="e">
        <f>'2.4.Функции'!QV176+"BYw!%z#"</f>
        <v>#VALUE!</v>
      </c>
      <c r="GY91" t="e">
        <f>'2.4.Функции'!QW176+"BYw!%z$"</f>
        <v>#VALUE!</v>
      </c>
      <c r="GZ91" t="e">
        <f>'2.4.Функции'!QX176+"BYw!%z%"</f>
        <v>#VALUE!</v>
      </c>
      <c r="HA91" t="e">
        <f>'2.4.Функции'!QY176+"BYw!%z&amp;"</f>
        <v>#VALUE!</v>
      </c>
      <c r="HB91" t="e">
        <f>'2.4.Функции'!QZ176+"BYw!%z'"</f>
        <v>#VALUE!</v>
      </c>
      <c r="HC91" t="e">
        <f>'2.4.Функции'!RA176+"BYw!%z("</f>
        <v>#VALUE!</v>
      </c>
      <c r="HD91" t="e">
        <f>'2.4.Функции'!RB176+"BYw!%z)"</f>
        <v>#VALUE!</v>
      </c>
      <c r="HE91" t="e">
        <f>'2.4.Функции'!RC176+"BYw!%z."</f>
        <v>#VALUE!</v>
      </c>
      <c r="HF91" t="e">
        <f>'2.4.Функции'!RD176+"BYw!%z/"</f>
        <v>#VALUE!</v>
      </c>
      <c r="HG91" t="e">
        <f>'2.4.Функции'!RE176+"BYw!%z0"</f>
        <v>#VALUE!</v>
      </c>
      <c r="HH91" t="e">
        <f>'2.4.Функции'!RF176+"BYw!%z1"</f>
        <v>#VALUE!</v>
      </c>
      <c r="HI91" t="e">
        <f>'2.4.Функции'!RG176+"BYw!%z2"</f>
        <v>#VALUE!</v>
      </c>
      <c r="HJ91" t="e">
        <f>'2.4.Функции'!RH176+"BYw!%z3"</f>
        <v>#VALUE!</v>
      </c>
      <c r="HK91" t="e">
        <f>'2.4.Функции'!RI176+"BYw!%z4"</f>
        <v>#VALUE!</v>
      </c>
      <c r="HL91" t="e">
        <f>'2.4.Функции'!RJ176+"BYw!%z5"</f>
        <v>#VALUE!</v>
      </c>
      <c r="HM91" t="e">
        <f>'2.4.Функции'!RK176+"BYw!%z6"</f>
        <v>#VALUE!</v>
      </c>
      <c r="HN91" t="e">
        <f>'2.4.Функции'!RL176+"BYw!%z7"</f>
        <v>#VALUE!</v>
      </c>
      <c r="HO91" t="e">
        <f>'2.4.Функции'!RM176+"BYw!%z8"</f>
        <v>#VALUE!</v>
      </c>
      <c r="HP91" t="e">
        <f>'2.4.Функции'!RN176+"BYw!%z9"</f>
        <v>#VALUE!</v>
      </c>
      <c r="HQ91" t="e">
        <f>'2.4.Функции'!RO176+"BYw!%z:"</f>
        <v>#VALUE!</v>
      </c>
      <c r="HR91" t="e">
        <f>'2.4.Функции'!RP176+"BYw!%z;"</f>
        <v>#VALUE!</v>
      </c>
      <c r="HS91" t="e">
        <f>'2.4.Функции'!RQ176+"BYw!%z&lt;"</f>
        <v>#VALUE!</v>
      </c>
      <c r="HT91" t="e">
        <f>'2.4.Функции'!RR176+"BYw!%z="</f>
        <v>#VALUE!</v>
      </c>
      <c r="HU91" t="e">
        <f>'2.4.Функции'!RS176+"BYw!%z&gt;"</f>
        <v>#VALUE!</v>
      </c>
      <c r="HV91" t="e">
        <f>'2.4.Функции'!RT176+"BYw!%z?"</f>
        <v>#VALUE!</v>
      </c>
      <c r="HW91" t="e">
        <f>'2.4.Функции'!RU176+"BYw!%z@"</f>
        <v>#VALUE!</v>
      </c>
      <c r="HX91" t="e">
        <f>'2.4.Функции'!RV176+"BYw!%zA"</f>
        <v>#VALUE!</v>
      </c>
      <c r="HY91" t="e">
        <f>'2.4.Функции'!RW176+"BYw!%zB"</f>
        <v>#VALUE!</v>
      </c>
      <c r="HZ91" t="e">
        <f>'2.4.Функции'!RX176+"BYw!%zC"</f>
        <v>#VALUE!</v>
      </c>
      <c r="IA91" t="e">
        <f>'2.4.Функции'!RY176+"BYw!%zD"</f>
        <v>#VALUE!</v>
      </c>
      <c r="IB91" t="e">
        <f>'2.4.Функции'!RZ176+"BYw!%zE"</f>
        <v>#VALUE!</v>
      </c>
      <c r="IC91" t="e">
        <f>'2.4.Функции'!SA176+"BYw!%zF"</f>
        <v>#VALUE!</v>
      </c>
      <c r="ID91" t="e">
        <f>'2.4.Функции'!SB176+"BYw!%zG"</f>
        <v>#VALUE!</v>
      </c>
      <c r="IE91" t="e">
        <f>'2.4.Функции'!SC176+"BYw!%zH"</f>
        <v>#VALUE!</v>
      </c>
      <c r="IF91" t="e">
        <f>'2.4.Функции'!SD176+"BYw!%zI"</f>
        <v>#VALUE!</v>
      </c>
      <c r="IG91" t="e">
        <f>'2.4.Функции'!SE176+"BYw!%zJ"</f>
        <v>#VALUE!</v>
      </c>
      <c r="IH91" t="e">
        <f>'2.4.Функции'!SF176+"BYw!%zK"</f>
        <v>#VALUE!</v>
      </c>
      <c r="II91" t="e">
        <f>'2.4.Функции'!SG176+"BYw!%zL"</f>
        <v>#VALUE!</v>
      </c>
      <c r="IJ91" t="e">
        <f>'2.4.Функции'!SH176+"BYw!%zM"</f>
        <v>#VALUE!</v>
      </c>
      <c r="IK91" t="e">
        <f>'2.4.Функции'!SI176+"BYw!%zN"</f>
        <v>#VALUE!</v>
      </c>
      <c r="IL91" t="e">
        <f>'2.4.Функции'!SJ176+"BYw!%zO"</f>
        <v>#VALUE!</v>
      </c>
      <c r="IM91" t="e">
        <f>'2.4.Функции'!SK176+"BYw!%zP"</f>
        <v>#VALUE!</v>
      </c>
      <c r="IN91" t="e">
        <f>'2.4.Функции'!SL176+"BYw!%zQ"</f>
        <v>#VALUE!</v>
      </c>
      <c r="IO91" t="e">
        <f>'2.4.Функции'!SM176+"BYw!%zR"</f>
        <v>#VALUE!</v>
      </c>
      <c r="IP91" t="e">
        <f>'2.4.Функции'!SN176+"BYw!%zS"</f>
        <v>#VALUE!</v>
      </c>
      <c r="IQ91" t="e">
        <f>'2.4.Функции'!SO176+"BYw!%zT"</f>
        <v>#VALUE!</v>
      </c>
      <c r="IR91" t="e">
        <f>'2.4.Функции'!SP176+"BYw!%zU"</f>
        <v>#VALUE!</v>
      </c>
      <c r="IS91" t="e">
        <f>'2.4.Функции'!SQ176+"BYw!%zV"</f>
        <v>#VALUE!</v>
      </c>
      <c r="IT91" t="e">
        <f>'2.4.Функции'!SR176+"BYw!%zW"</f>
        <v>#VALUE!</v>
      </c>
      <c r="IU91" t="e">
        <f>'2.4.Функции'!SS176+"BYw!%zX"</f>
        <v>#VALUE!</v>
      </c>
      <c r="IV91" t="e">
        <f>'2.4.Функции'!ST176+"BYw!%zY"</f>
        <v>#VALUE!</v>
      </c>
    </row>
    <row r="92" spans="6:256" x14ac:dyDescent="0.2">
      <c r="F92" t="e">
        <f>'2.4.Функции'!SU176+"BYw!%zZ"</f>
        <v>#VALUE!</v>
      </c>
      <c r="G92" t="e">
        <f>'2.4.Функции'!SV176+"BYw!%z["</f>
        <v>#VALUE!</v>
      </c>
      <c r="H92" t="e">
        <f>'2.4.Функции'!SW176+"BYw!%z\"</f>
        <v>#VALUE!</v>
      </c>
      <c r="I92" t="e">
        <f>'2.4.Функции'!SX176+"BYw!%z]"</f>
        <v>#VALUE!</v>
      </c>
      <c r="J92" t="e">
        <f>'2.4.Функции'!SY176+"BYw!%z^"</f>
        <v>#VALUE!</v>
      </c>
      <c r="K92" t="e">
        <f>'2.4.Функции'!SZ176+"BYw!%z_"</f>
        <v>#VALUE!</v>
      </c>
      <c r="L92" t="e">
        <f>'2.4.Функции'!TA176+"BYw!%z`"</f>
        <v>#VALUE!</v>
      </c>
      <c r="M92" t="e">
        <f>'2.4.Функции'!TB176+"BYw!%za"</f>
        <v>#VALUE!</v>
      </c>
      <c r="N92" t="e">
        <f>'2.4.Функции'!TC176+"BYw!%zb"</f>
        <v>#VALUE!</v>
      </c>
      <c r="O92" t="e">
        <f>'2.4.Функции'!TD176+"BYw!%zc"</f>
        <v>#VALUE!</v>
      </c>
      <c r="P92" t="e">
        <f>'2.4.Функции'!TE176+"BYw!%zd"</f>
        <v>#VALUE!</v>
      </c>
      <c r="Q92" t="e">
        <f>'2.4.Функции'!TF176+"BYw!%ze"</f>
        <v>#VALUE!</v>
      </c>
      <c r="R92" t="e">
        <f>'2.4.Функции'!TG176+"BYw!%zf"</f>
        <v>#VALUE!</v>
      </c>
      <c r="S92" t="e">
        <f>'2.4.Функции'!TH176+"BYw!%zg"</f>
        <v>#VALUE!</v>
      </c>
      <c r="T92" t="e">
        <f>'2.4.Функции'!TI176+"BYw!%zh"</f>
        <v>#VALUE!</v>
      </c>
      <c r="U92" t="e">
        <f>'2.4.Функции'!TJ176+"BYw!%zi"</f>
        <v>#VALUE!</v>
      </c>
      <c r="V92" t="e">
        <f>'2.4.Функции'!TK176+"BYw!%zj"</f>
        <v>#VALUE!</v>
      </c>
      <c r="W92" t="e">
        <f>'2.4.Функции'!TL176+"BYw!%zk"</f>
        <v>#VALUE!</v>
      </c>
      <c r="X92" t="e">
        <f>'2.4.Функции'!TM176+"BYw!%zl"</f>
        <v>#VALUE!</v>
      </c>
      <c r="Y92" t="e">
        <f>'2.4.Функции'!TN176+"BYw!%zm"</f>
        <v>#VALUE!</v>
      </c>
      <c r="Z92" t="e">
        <f>'2.4.Функции'!TO176+"BYw!%zn"</f>
        <v>#VALUE!</v>
      </c>
      <c r="AA92" t="e">
        <f>'2.4.Функции'!TP176+"BYw!%zo"</f>
        <v>#VALUE!</v>
      </c>
      <c r="AB92" t="e">
        <f>'2.4.Функции'!TQ176+"BYw!%zp"</f>
        <v>#VALUE!</v>
      </c>
      <c r="AC92" t="e">
        <f>'2.4.Функции'!TR176+"BYw!%zq"</f>
        <v>#VALUE!</v>
      </c>
      <c r="AD92" t="e">
        <f>'2.4.Функции'!TS176+"BYw!%zr"</f>
        <v>#VALUE!</v>
      </c>
      <c r="AE92" t="e">
        <f>'2.4.Функции'!TT176+"BYw!%zs"</f>
        <v>#VALUE!</v>
      </c>
      <c r="AF92" t="e">
        <f>'2.4.Функции'!TU176+"BYw!%zt"</f>
        <v>#VALUE!</v>
      </c>
      <c r="AG92" t="e">
        <f>'2.4.Функции'!TV176+"BYw!%zu"</f>
        <v>#VALUE!</v>
      </c>
      <c r="AH92" t="e">
        <f>'2.4.Функции'!TW176+"BYw!%zv"</f>
        <v>#VALUE!</v>
      </c>
      <c r="AI92" t="e">
        <f>'2.4.Функции'!TX176+"BYw!%zw"</f>
        <v>#VALUE!</v>
      </c>
      <c r="AJ92" t="e">
        <f>'2.4.Функции'!TY176+"BYw!%zx"</f>
        <v>#VALUE!</v>
      </c>
      <c r="AK92" t="e">
        <f>'2.4.Функции'!TZ176+"BYw!%zy"</f>
        <v>#VALUE!</v>
      </c>
      <c r="AL92" t="e">
        <f>'2.4.Функции'!UA176+"BYw!%zz"</f>
        <v>#VALUE!</v>
      </c>
      <c r="AM92" t="e">
        <f>'2.4.Функции'!UB176+"BYw!%z{"</f>
        <v>#VALUE!</v>
      </c>
      <c r="AN92" t="e">
        <f>'2.4.Функции'!UC176+"BYw!%z|"</f>
        <v>#VALUE!</v>
      </c>
      <c r="AO92" t="e">
        <f>'2.4.Функции'!UD176+"BYw!%z}"</f>
        <v>#VALUE!</v>
      </c>
      <c r="AP92" t="e">
        <f>'2.4.Функции'!UE176+"BYw!%z~"</f>
        <v>#VALUE!</v>
      </c>
      <c r="AQ92" t="e">
        <f>'2.4.Функции'!UF176+"BYw!%{#"</f>
        <v>#VALUE!</v>
      </c>
      <c r="AR92" t="e">
        <f>'2.4.Функции'!UG176+"BYw!%{$"</f>
        <v>#VALUE!</v>
      </c>
      <c r="AS92" t="e">
        <f>'2.4.Функции'!UH176+"BYw!%{%"</f>
        <v>#VALUE!</v>
      </c>
      <c r="AT92" t="e">
        <f>'2.4.Функции'!UI176+"BYw!%{&amp;"</f>
        <v>#VALUE!</v>
      </c>
      <c r="AU92" t="e">
        <f>'2.4.Функции'!UJ176+"BYw!%{'"</f>
        <v>#VALUE!</v>
      </c>
      <c r="AV92" t="e">
        <f>'2.4.Функции'!UK176+"BYw!%{("</f>
        <v>#VALUE!</v>
      </c>
      <c r="AW92" t="e">
        <f>'2.4.Функции'!UL176+"BYw!%{)"</f>
        <v>#VALUE!</v>
      </c>
      <c r="AX92" t="e">
        <f>'2.4.Функции'!UM176+"BYw!%{."</f>
        <v>#VALUE!</v>
      </c>
      <c r="AY92" t="e">
        <f>'2.4.Функции'!UN176+"BYw!%{/"</f>
        <v>#VALUE!</v>
      </c>
      <c r="AZ92" t="e">
        <f>'2.4.Функции'!UO176+"BYw!%{0"</f>
        <v>#VALUE!</v>
      </c>
      <c r="BA92" t="e">
        <f>'2.4.Функции'!UP176+"BYw!%{1"</f>
        <v>#VALUE!</v>
      </c>
      <c r="BB92" t="e">
        <f>'2.4.Функции'!UQ176+"BYw!%{2"</f>
        <v>#VALUE!</v>
      </c>
      <c r="BC92" t="e">
        <f>'2.4.Функции'!UR176+"BYw!%{3"</f>
        <v>#VALUE!</v>
      </c>
      <c r="BD92" t="e">
        <f>'2.4.Функции'!US176+"BYw!%{4"</f>
        <v>#VALUE!</v>
      </c>
      <c r="BE92" t="e">
        <f>'2.4.Функции'!UT176+"BYw!%{5"</f>
        <v>#VALUE!</v>
      </c>
      <c r="BF92" t="e">
        <f>'2.4.Функции'!UU176+"BYw!%{6"</f>
        <v>#VALUE!</v>
      </c>
      <c r="BG92" t="e">
        <f>'2.4.Функции'!UV176+"BYw!%{7"</f>
        <v>#VALUE!</v>
      </c>
      <c r="BH92" t="e">
        <f>'2.4.Функции'!UW176+"BYw!%{8"</f>
        <v>#VALUE!</v>
      </c>
      <c r="BI92" t="e">
        <f>'2.4.Функции'!UX176+"BYw!%{9"</f>
        <v>#VALUE!</v>
      </c>
      <c r="BJ92" t="e">
        <f>'2.4.Функции'!UY176+"BYw!%{:"</f>
        <v>#VALUE!</v>
      </c>
      <c r="BK92" t="e">
        <f>'2.4.Функции'!UZ176+"BYw!%{;"</f>
        <v>#VALUE!</v>
      </c>
      <c r="BL92" t="e">
        <f>'2.4.Функции'!VA176+"BYw!%{&lt;"</f>
        <v>#VALUE!</v>
      </c>
      <c r="BM92" t="e">
        <f>'2.4.Функции'!VB176+"BYw!%{="</f>
        <v>#VALUE!</v>
      </c>
      <c r="BN92" t="e">
        <f>'2.4.Функции'!VC176+"BYw!%{&gt;"</f>
        <v>#VALUE!</v>
      </c>
      <c r="BO92" t="e">
        <f>'2.4.Функции'!VD176+"BYw!%{?"</f>
        <v>#VALUE!</v>
      </c>
      <c r="BP92" t="e">
        <f>'2.4.Функции'!VE176+"BYw!%{@"</f>
        <v>#VALUE!</v>
      </c>
      <c r="BQ92" t="e">
        <f>'2.4.Функции'!VF176+"BYw!%{A"</f>
        <v>#VALUE!</v>
      </c>
      <c r="BR92" t="e">
        <f>'2.4.Функции'!VG176+"BYw!%{B"</f>
        <v>#VALUE!</v>
      </c>
      <c r="BS92" t="e">
        <f>'2.4.Функции'!VH176+"BYw!%{C"</f>
        <v>#VALUE!</v>
      </c>
      <c r="BT92" t="e">
        <f>'2.4.Функции'!VI176+"BYw!%{D"</f>
        <v>#VALUE!</v>
      </c>
      <c r="BU92" t="e">
        <f>'2.4.Функции'!VJ176+"BYw!%{E"</f>
        <v>#VALUE!</v>
      </c>
      <c r="BV92" t="e">
        <f>'2.4.Функции'!VK176+"BYw!%{F"</f>
        <v>#VALUE!</v>
      </c>
      <c r="BW92" t="e">
        <f>'2.4.Функции'!VL176+"BYw!%{G"</f>
        <v>#VALUE!</v>
      </c>
      <c r="BX92" t="e">
        <f>'2.4.Функции'!VM176+"BYw!%{H"</f>
        <v>#VALUE!</v>
      </c>
      <c r="BY92" t="e">
        <f>'2.4.Функции'!VN176+"BYw!%{I"</f>
        <v>#VALUE!</v>
      </c>
      <c r="BZ92" t="e">
        <f>'2.4.Функции'!VO176+"BYw!%{J"</f>
        <v>#VALUE!</v>
      </c>
      <c r="CA92" t="e">
        <f>'2.4.Функции'!VP176+"BYw!%{K"</f>
        <v>#VALUE!</v>
      </c>
      <c r="CB92" t="e">
        <f>'2.4.Функции'!VQ176+"BYw!%{L"</f>
        <v>#VALUE!</v>
      </c>
      <c r="CC92" t="e">
        <f>'2.4.Функции'!VR176+"BYw!%{M"</f>
        <v>#VALUE!</v>
      </c>
      <c r="CD92" t="e">
        <f>'2.4.Функции'!VS176+"BYw!%{N"</f>
        <v>#VALUE!</v>
      </c>
      <c r="CE92" t="e">
        <f>'2.4.Функции'!VT176+"BYw!%{O"</f>
        <v>#VALUE!</v>
      </c>
      <c r="CF92" t="e">
        <f>'2.4.Функции'!VU176+"BYw!%{P"</f>
        <v>#VALUE!</v>
      </c>
      <c r="CG92" t="e">
        <f>'2.4.Функции'!VV176+"BYw!%{Q"</f>
        <v>#VALUE!</v>
      </c>
      <c r="CH92" t="e">
        <f>'2.4.Функции'!VW176+"BYw!%{R"</f>
        <v>#VALUE!</v>
      </c>
      <c r="CI92" t="e">
        <f>'2.4.Функции'!VX176+"BYw!%{S"</f>
        <v>#VALUE!</v>
      </c>
      <c r="CJ92" t="e">
        <f>'2.4.Функции'!VY176+"BYw!%{T"</f>
        <v>#VALUE!</v>
      </c>
      <c r="CK92" t="e">
        <f>'2.4.Функции'!VZ176+"BYw!%{U"</f>
        <v>#VALUE!</v>
      </c>
      <c r="CL92" t="e">
        <f>'2.4.Функции'!WA176+"BYw!%{V"</f>
        <v>#VALUE!</v>
      </c>
      <c r="CM92" t="e">
        <f>'2.4.Функции'!WB176+"BYw!%{W"</f>
        <v>#VALUE!</v>
      </c>
      <c r="CN92" t="e">
        <f>'2.4.Функции'!WC176+"BYw!%{X"</f>
        <v>#VALUE!</v>
      </c>
      <c r="CO92" t="e">
        <f>'2.4.Функции'!WD176+"BYw!%{Y"</f>
        <v>#VALUE!</v>
      </c>
      <c r="CP92" t="e">
        <f>'2.4.Функции'!WE176+"BYw!%{Z"</f>
        <v>#VALUE!</v>
      </c>
      <c r="CQ92" t="e">
        <f>'2.4.Функции'!WF176+"BYw!%{["</f>
        <v>#VALUE!</v>
      </c>
      <c r="CR92" t="e">
        <f>'2.4.Функции'!WG176+"BYw!%{\"</f>
        <v>#VALUE!</v>
      </c>
      <c r="CS92" t="e">
        <f>'2.4.Функции'!WH176+"BYw!%{]"</f>
        <v>#VALUE!</v>
      </c>
      <c r="CT92" t="e">
        <f>'2.4.Функции'!WI176+"BYw!%{^"</f>
        <v>#VALUE!</v>
      </c>
      <c r="CU92" t="e">
        <f>'2.4.Функции'!WJ176+"BYw!%{_"</f>
        <v>#VALUE!</v>
      </c>
      <c r="CV92" t="e">
        <f>'2.4.Функции'!WK176+"BYw!%{`"</f>
        <v>#VALUE!</v>
      </c>
      <c r="CW92" t="e">
        <f>'2.4.Функции'!WL176+"BYw!%{a"</f>
        <v>#VALUE!</v>
      </c>
      <c r="CX92" t="e">
        <f>'2.4.Функции'!WM176+"BYw!%{b"</f>
        <v>#VALUE!</v>
      </c>
      <c r="CY92" t="e">
        <f>'2.4.Функции'!WN176+"BYw!%{c"</f>
        <v>#VALUE!</v>
      </c>
      <c r="CZ92" t="e">
        <f>'2.4.Функции'!WO176+"BYw!%{d"</f>
        <v>#VALUE!</v>
      </c>
      <c r="DA92" t="e">
        <f>'2.4.Функции'!WP176+"BYw!%{e"</f>
        <v>#VALUE!</v>
      </c>
      <c r="DB92" t="e">
        <f>'2.4.Функции'!WQ176+"BYw!%{f"</f>
        <v>#VALUE!</v>
      </c>
      <c r="DC92" t="e">
        <f>'2.4.Функции'!WR176+"BYw!%{g"</f>
        <v>#VALUE!</v>
      </c>
      <c r="DD92" t="e">
        <f>'2.4.Функции'!WS176+"BYw!%{h"</f>
        <v>#VALUE!</v>
      </c>
      <c r="DE92" t="e">
        <f>'2.4.Функции'!WT176+"BYw!%{i"</f>
        <v>#VALUE!</v>
      </c>
      <c r="DF92" t="e">
        <f>'2.4.Функции'!WU176+"BYw!%{j"</f>
        <v>#VALUE!</v>
      </c>
      <c r="DG92" t="e">
        <f>'2.4.Функции'!WV176+"BYw!%{k"</f>
        <v>#VALUE!</v>
      </c>
      <c r="DH92" t="e">
        <f>'2.4.Функции'!WW176+"BYw!%{l"</f>
        <v>#VALUE!</v>
      </c>
      <c r="DI92" t="e">
        <f>'2.4.Функции'!WX176+"BYw!%{m"</f>
        <v>#VALUE!</v>
      </c>
      <c r="DJ92" t="e">
        <f>'2.4.Функции'!WY176+"BYw!%{n"</f>
        <v>#VALUE!</v>
      </c>
      <c r="DK92" t="e">
        <f>'2.4.Функции'!WZ176+"BYw!%{o"</f>
        <v>#VALUE!</v>
      </c>
      <c r="DL92" t="e">
        <f>'2.4.Функции'!XA176+"BYw!%{p"</f>
        <v>#VALUE!</v>
      </c>
      <c r="DM92" t="e">
        <f>'2.4.Функции'!XB176+"BYw!%{q"</f>
        <v>#VALUE!</v>
      </c>
      <c r="DN92" t="e">
        <f>'2.4.Функции'!XC176+"BYw!%{r"</f>
        <v>#VALUE!</v>
      </c>
      <c r="DO92" t="e">
        <f>'2.4.Функции'!XD176+"BYw!%{s"</f>
        <v>#VALUE!</v>
      </c>
      <c r="DP92" t="e">
        <f>'2.4.Функции'!XE176+"BYw!%{t"</f>
        <v>#VALUE!</v>
      </c>
      <c r="DQ92" t="e">
        <f>'2.4.Функции'!XF176+"BYw!%{u"</f>
        <v>#VALUE!</v>
      </c>
      <c r="DR92" t="e">
        <f>'2.4.Функции'!XG176+"BYw!%{v"</f>
        <v>#VALUE!</v>
      </c>
      <c r="DS92" t="e">
        <f>'2.4.Функции'!XH176+"BYw!%{w"</f>
        <v>#VALUE!</v>
      </c>
      <c r="DT92" t="e">
        <f>'2.4.Функции'!XI176+"BYw!%{x"</f>
        <v>#VALUE!</v>
      </c>
      <c r="DU92" t="e">
        <f>'2.4.Функции'!XJ176+"BYw!%{y"</f>
        <v>#VALUE!</v>
      </c>
      <c r="DV92" t="e">
        <f>'2.4.Функции'!XK176+"BYw!%{z"</f>
        <v>#VALUE!</v>
      </c>
      <c r="DW92" t="e">
        <f>'2.4.Функции'!XL176+"BYw!%{{"</f>
        <v>#VALUE!</v>
      </c>
      <c r="DX92" t="e">
        <f>'2.4.Функции'!XM176+"BYw!%{|"</f>
        <v>#VALUE!</v>
      </c>
      <c r="DY92" t="e">
        <f>'2.4.Функции'!XN176+"BYw!%{}"</f>
        <v>#VALUE!</v>
      </c>
      <c r="DZ92" t="e">
        <f>'2.4.Функции'!XO176+"BYw!%{~"</f>
        <v>#VALUE!</v>
      </c>
      <c r="EA92" t="e">
        <f>'2.4.Функции'!XP176+"BYw!%|#"</f>
        <v>#VALUE!</v>
      </c>
      <c r="EB92" t="e">
        <f>'2.4.Функции'!XQ176+"BYw!%|$"</f>
        <v>#VALUE!</v>
      </c>
      <c r="EC92" t="e">
        <f>'2.4.Функции'!XR176+"BYw!%|%"</f>
        <v>#VALUE!</v>
      </c>
      <c r="ED92" t="e">
        <f>'2.4.Функции'!XS176+"BYw!%|&amp;"</f>
        <v>#VALUE!</v>
      </c>
      <c r="EE92" t="e">
        <f>'2.4.Функции'!XT176+"BYw!%|'"</f>
        <v>#VALUE!</v>
      </c>
      <c r="EF92" t="e">
        <f>'2.4.Функции'!XU176+"BYw!%|("</f>
        <v>#VALUE!</v>
      </c>
      <c r="EG92" t="e">
        <f>'2.4.Функции'!XV176+"BYw!%|)"</f>
        <v>#VALUE!</v>
      </c>
      <c r="EH92" t="e">
        <f>'2.4.Функции'!XW176+"BYw!%|."</f>
        <v>#VALUE!</v>
      </c>
      <c r="EI92" t="e">
        <f>'2.4.Функции'!XX176+"BYw!%|/"</f>
        <v>#VALUE!</v>
      </c>
      <c r="EJ92" t="e">
        <f>'2.4.Функции'!XY176+"BYw!%|0"</f>
        <v>#VALUE!</v>
      </c>
      <c r="EK92" t="e">
        <f>'2.4.Функции'!XZ176+"BYw!%|1"</f>
        <v>#VALUE!</v>
      </c>
      <c r="EL92" t="e">
        <f>'2.4.Функции'!YA176+"BYw!%|2"</f>
        <v>#VALUE!</v>
      </c>
      <c r="EM92" t="e">
        <f>'2.4.Функции'!YB176+"BYw!%|3"</f>
        <v>#VALUE!</v>
      </c>
      <c r="EN92" t="e">
        <f>'2.4.Функции'!YC176+"BYw!%|4"</f>
        <v>#VALUE!</v>
      </c>
      <c r="EO92" t="e">
        <f>'2.4.Функции'!YD176+"BYw!%|5"</f>
        <v>#VALUE!</v>
      </c>
      <c r="EP92" t="e">
        <f>'2.4.Функции'!YE176+"BYw!%|6"</f>
        <v>#VALUE!</v>
      </c>
      <c r="EQ92" t="e">
        <f>'2.4.Функции'!YF176+"BYw!%|7"</f>
        <v>#VALUE!</v>
      </c>
      <c r="ER92" t="e">
        <f>'2.4.Функции'!YG176+"BYw!%|8"</f>
        <v>#VALUE!</v>
      </c>
      <c r="ES92" t="e">
        <f>'2.4.Функции'!YH176+"BYw!%|9"</f>
        <v>#VALUE!</v>
      </c>
      <c r="ET92" t="e">
        <f>'2.4.Функции'!YI176+"BYw!%|:"</f>
        <v>#VALUE!</v>
      </c>
      <c r="EU92" t="e">
        <f>'2.4.Функции'!YJ176+"BYw!%|;"</f>
        <v>#VALUE!</v>
      </c>
      <c r="EV92" t="e">
        <f>'2.4.Функции'!YK176+"BYw!%|&lt;"</f>
        <v>#VALUE!</v>
      </c>
      <c r="EW92" t="e">
        <f>'2.4.Функции'!YL176+"BYw!%|="</f>
        <v>#VALUE!</v>
      </c>
      <c r="EX92" t="e">
        <f>'2.4.Функции'!YM176+"BYw!%|&gt;"</f>
        <v>#VALUE!</v>
      </c>
      <c r="EY92" t="e">
        <f>'2.4.Функции'!YN176+"BYw!%|?"</f>
        <v>#VALUE!</v>
      </c>
      <c r="EZ92" t="e">
        <f>'2.4.Функции'!YO176+"BYw!%|@"</f>
        <v>#VALUE!</v>
      </c>
      <c r="FA92" t="e">
        <f>'2.4.Функции'!YP176+"BYw!%|A"</f>
        <v>#VALUE!</v>
      </c>
      <c r="FB92" t="e">
        <f>'2.4.Функции'!YQ176+"BYw!%|B"</f>
        <v>#VALUE!</v>
      </c>
      <c r="FC92" t="e">
        <f>'2.4.Функции'!YR176+"BYw!%|C"</f>
        <v>#VALUE!</v>
      </c>
      <c r="FD92" t="e">
        <f>'2.4.Функции'!YS176+"BYw!%|D"</f>
        <v>#VALUE!</v>
      </c>
      <c r="FE92" t="e">
        <f>'2.4.Функции'!YT176+"BYw!%|E"</f>
        <v>#VALUE!</v>
      </c>
      <c r="FF92" t="e">
        <f>'2.4.Функции'!YU176+"BYw!%|F"</f>
        <v>#VALUE!</v>
      </c>
      <c r="FG92" t="e">
        <f>'2.4.Функции'!YV176+"BYw!%|G"</f>
        <v>#VALUE!</v>
      </c>
      <c r="FH92" t="e">
        <f>'2.4.Функции'!YW176+"BYw!%|H"</f>
        <v>#VALUE!</v>
      </c>
      <c r="FI92" t="e">
        <f>'2.4.Функции'!YX176+"BYw!%|I"</f>
        <v>#VALUE!</v>
      </c>
      <c r="FJ92" t="e">
        <f>'2.4.Функции'!YY176+"BYw!%|J"</f>
        <v>#VALUE!</v>
      </c>
      <c r="FK92" t="e">
        <f>'2.4.Функции'!YZ176+"BYw!%|K"</f>
        <v>#VALUE!</v>
      </c>
      <c r="FL92" t="e">
        <f>'2.4.Функции'!ZA176+"BYw!%|L"</f>
        <v>#VALUE!</v>
      </c>
      <c r="FM92" t="e">
        <f>'2.4.Функции'!ZB176+"BYw!%|M"</f>
        <v>#VALUE!</v>
      </c>
      <c r="FN92" t="e">
        <f>'2.4.Функции'!ZC176+"BYw!%|N"</f>
        <v>#VALUE!</v>
      </c>
      <c r="FO92" t="e">
        <f>'2.4.Функции'!ZD176+"BYw!%|O"</f>
        <v>#VALUE!</v>
      </c>
      <c r="FP92" t="e">
        <f>'2.4.Функции'!ZE176+"BYw!%|P"</f>
        <v>#VALUE!</v>
      </c>
      <c r="FQ92" t="e">
        <f>'2.4.Функции'!ZF176+"BYw!%|Q"</f>
        <v>#VALUE!</v>
      </c>
      <c r="FR92" t="e">
        <f>'2.4.Функции'!ZG176+"BYw!%|R"</f>
        <v>#VALUE!</v>
      </c>
      <c r="FS92" t="e">
        <f>'2.4.Функции'!ZH176+"BYw!%|S"</f>
        <v>#VALUE!</v>
      </c>
      <c r="FT92" t="e">
        <f>'2.4.Функции'!ZI176+"BYw!%|T"</f>
        <v>#VALUE!</v>
      </c>
      <c r="FU92" t="e">
        <f>'2.4.Функции'!ZJ176+"BYw!%|U"</f>
        <v>#VALUE!</v>
      </c>
      <c r="FV92" t="e">
        <f>'2.4.Функции'!ZK176+"BYw!%|V"</f>
        <v>#VALUE!</v>
      </c>
      <c r="FW92" t="e">
        <f>'2.4.Функции'!ZL176+"BYw!%|W"</f>
        <v>#VALUE!</v>
      </c>
      <c r="FX92" t="e">
        <f>'2.4.Функции'!ZM176+"BYw!%|X"</f>
        <v>#VALUE!</v>
      </c>
      <c r="FY92" t="e">
        <f>'2.4.Функции'!ZN176+"BYw!%|Y"</f>
        <v>#VALUE!</v>
      </c>
      <c r="FZ92" t="e">
        <f>'2.4.Функции'!ZO176+"BYw!%|Z"</f>
        <v>#VALUE!</v>
      </c>
      <c r="GA92" t="e">
        <f>'2.4.Функции'!ZP176+"BYw!%|["</f>
        <v>#VALUE!</v>
      </c>
      <c r="GB92" t="e">
        <f>'2.4.Функции'!ZQ176+"BYw!%|\"</f>
        <v>#VALUE!</v>
      </c>
      <c r="GC92" t="e">
        <f>'2.4.Функции'!ZR176+"BYw!%|]"</f>
        <v>#VALUE!</v>
      </c>
      <c r="GD92" t="e">
        <f>'2.4.Функции'!ZS176+"BYw!%|^"</f>
        <v>#VALUE!</v>
      </c>
      <c r="GE92" t="e">
        <f>'2.4.Функции'!ZT176+"BYw!%|_"</f>
        <v>#VALUE!</v>
      </c>
      <c r="GF92" t="e">
        <f>'2.4.Функции'!ZU176+"BYw!%|`"</f>
        <v>#VALUE!</v>
      </c>
      <c r="GG92" t="e">
        <f>'2.4.Функции'!ZV176+"BYw!%|a"</f>
        <v>#VALUE!</v>
      </c>
      <c r="GH92" t="e">
        <f>'2.4.Функции'!ZW176+"BYw!%|b"</f>
        <v>#VALUE!</v>
      </c>
      <c r="GI92" t="e">
        <f>'2.4.Функции'!ZX176+"BYw!%|c"</f>
        <v>#VALUE!</v>
      </c>
      <c r="GJ92" t="e">
        <f>'2.4.Функции'!ZY176+"BYw!%|d"</f>
        <v>#VALUE!</v>
      </c>
      <c r="GK92" t="e">
        <f>'2.4.Функции'!ZZ176+"BYw!%|e"</f>
        <v>#VALUE!</v>
      </c>
      <c r="GL92" t="e">
        <f>'2.4.Функции'!AAA176+"BYw!%|f"</f>
        <v>#VALUE!</v>
      </c>
      <c r="GM92" t="e">
        <f>'2.4.Функции'!AAB176+"BYw!%|g"</f>
        <v>#VALUE!</v>
      </c>
      <c r="GN92" t="e">
        <f>'2.4.Функции'!AAC176+"BYw!%|h"</f>
        <v>#VALUE!</v>
      </c>
      <c r="GO92" t="e">
        <f>'2.4.Функции'!AAD176+"BYw!%|i"</f>
        <v>#VALUE!</v>
      </c>
      <c r="GP92" t="e">
        <f>'2.4.Функции'!AAE176+"BYw!%|j"</f>
        <v>#VALUE!</v>
      </c>
      <c r="GQ92" t="e">
        <f>'2.4.Функции'!AAF176+"BYw!%|k"</f>
        <v>#VALUE!</v>
      </c>
      <c r="GR92" t="e">
        <f>'2.4.Функции'!AAG176+"BYw!%|l"</f>
        <v>#VALUE!</v>
      </c>
      <c r="GS92" t="e">
        <f>'2.4.Функции'!AAH176+"BYw!%|m"</f>
        <v>#VALUE!</v>
      </c>
      <c r="GT92" t="e">
        <f>'2.4.Функции'!AAI176+"BYw!%|n"</f>
        <v>#VALUE!</v>
      </c>
      <c r="GU92" t="e">
        <f>'2.4.Функции'!AAJ176+"BYw!%|o"</f>
        <v>#VALUE!</v>
      </c>
      <c r="GV92" t="e">
        <f>'2.4.Функции'!AAK176+"BYw!%|p"</f>
        <v>#VALUE!</v>
      </c>
      <c r="GW92" t="e">
        <f>'2.4.Функции'!AAL176+"BYw!%|q"</f>
        <v>#VALUE!</v>
      </c>
      <c r="GX92" t="e">
        <f>'2.4.Функции'!AAM176+"BYw!%|r"</f>
        <v>#VALUE!</v>
      </c>
      <c r="GY92" t="e">
        <f>'2.4.Функции'!AAN176+"BYw!%|s"</f>
        <v>#VALUE!</v>
      </c>
      <c r="GZ92" t="e">
        <f>'2.4.Функции'!AAO176+"BYw!%|t"</f>
        <v>#VALUE!</v>
      </c>
      <c r="HA92" t="e">
        <f>'2.4.Функции'!AAP176+"BYw!%|u"</f>
        <v>#VALUE!</v>
      </c>
      <c r="HB92" t="e">
        <f>'2.4.Функции'!AAQ176+"BYw!%|v"</f>
        <v>#VALUE!</v>
      </c>
      <c r="HC92" t="e">
        <f>'2.4.Функции'!AAR176+"BYw!%|w"</f>
        <v>#VALUE!</v>
      </c>
      <c r="HD92" t="e">
        <f>'2.4.Функции'!AAS176+"BYw!%|x"</f>
        <v>#VALUE!</v>
      </c>
      <c r="HE92" t="e">
        <f>'2.4.Функции'!AAT176+"BYw!%|y"</f>
        <v>#VALUE!</v>
      </c>
      <c r="HF92" t="e">
        <f>'2.4.Функции'!AAU176+"BYw!%|z"</f>
        <v>#VALUE!</v>
      </c>
      <c r="HG92" t="e">
        <f>'2.4.Функции'!AAV176+"BYw!%|{"</f>
        <v>#VALUE!</v>
      </c>
      <c r="HH92" t="e">
        <f>'2.4.Функции'!AAW176+"BYw!%||"</f>
        <v>#VALUE!</v>
      </c>
      <c r="HI92" t="e">
        <f>'2.4.Функции'!AAX176+"BYw!%|}"</f>
        <v>#VALUE!</v>
      </c>
      <c r="HJ92" t="e">
        <f>'2.4.Функции'!AAY176+"BYw!%|~"</f>
        <v>#VALUE!</v>
      </c>
      <c r="HK92" t="e">
        <f>'2.4.Функции'!AAZ176+"BYw!%}#"</f>
        <v>#VALUE!</v>
      </c>
      <c r="HL92" t="e">
        <f>'2.4.Функции'!ABA176+"BYw!%}$"</f>
        <v>#VALUE!</v>
      </c>
      <c r="HM92" t="e">
        <f>'2.4.Функции'!ABB176+"BYw!%}%"</f>
        <v>#VALUE!</v>
      </c>
      <c r="HN92" t="e">
        <f>'2.4.Функции'!ABC176+"BYw!%}&amp;"</f>
        <v>#VALUE!</v>
      </c>
      <c r="HO92" t="e">
        <f>'2.4.Функции'!ABD176+"BYw!%}'"</f>
        <v>#VALUE!</v>
      </c>
      <c r="HP92" t="e">
        <f>'2.4.Функции'!ABE176+"BYw!%}("</f>
        <v>#VALUE!</v>
      </c>
      <c r="HQ92" t="e">
        <f>'2.4.Функции'!ABF176+"BYw!%})"</f>
        <v>#VALUE!</v>
      </c>
      <c r="HR92" t="e">
        <f>'2.4.Функции'!ABG176+"BYw!%}."</f>
        <v>#VALUE!</v>
      </c>
      <c r="HS92" t="e">
        <f>'2.4.Функции'!ABH176+"BYw!%}/"</f>
        <v>#VALUE!</v>
      </c>
      <c r="HT92" t="e">
        <f>'2.4.Функции'!ABI176+"BYw!%}0"</f>
        <v>#VALUE!</v>
      </c>
      <c r="HU92" t="e">
        <f>'2.4.Функции'!ABJ176+"BYw!%}1"</f>
        <v>#VALUE!</v>
      </c>
      <c r="HV92" t="e">
        <f>'2.4.Функции'!ABK176+"BYw!%}2"</f>
        <v>#VALUE!</v>
      </c>
      <c r="HW92" t="e">
        <f>'2.4.Функции'!ABL176+"BYw!%}3"</f>
        <v>#VALUE!</v>
      </c>
      <c r="HX92" t="e">
        <f>'2.4.Функции'!ABM176+"BYw!%}4"</f>
        <v>#VALUE!</v>
      </c>
      <c r="HY92" t="e">
        <f>'2.4.Функции'!ABN176+"BYw!%}5"</f>
        <v>#VALUE!</v>
      </c>
      <c r="HZ92" t="e">
        <f>'2.4.Функции'!ABO176+"BYw!%}6"</f>
        <v>#VALUE!</v>
      </c>
      <c r="IA92" t="e">
        <f>'2.4.Функции'!ABP176+"BYw!%}7"</f>
        <v>#VALUE!</v>
      </c>
      <c r="IB92" t="e">
        <f>'2.4.Функции'!ABQ176+"BYw!%}8"</f>
        <v>#VALUE!</v>
      </c>
      <c r="IC92" t="e">
        <f>'2.4.Функции'!ABR176+"BYw!%}9"</f>
        <v>#VALUE!</v>
      </c>
      <c r="ID92" t="e">
        <f>'2.4.Функции'!ABS176+"BYw!%}:"</f>
        <v>#VALUE!</v>
      </c>
      <c r="IE92" t="e">
        <f>'2.4.Функции'!ABT176+"BYw!%};"</f>
        <v>#VALUE!</v>
      </c>
      <c r="IF92" t="e">
        <f>'2.4.Функции'!ABU176+"BYw!%}&lt;"</f>
        <v>#VALUE!</v>
      </c>
      <c r="IG92" t="e">
        <f>'2.4.Функции'!ABV176+"BYw!%}="</f>
        <v>#VALUE!</v>
      </c>
      <c r="IH92" t="e">
        <f>'2.4.Функции'!ABW176+"BYw!%}&gt;"</f>
        <v>#VALUE!</v>
      </c>
      <c r="II92" t="e">
        <f>'2.4.Функции'!ABX176+"BYw!%}?"</f>
        <v>#VALUE!</v>
      </c>
      <c r="IJ92" t="e">
        <f>'2.4.Функции'!ABY176+"BYw!%}@"</f>
        <v>#VALUE!</v>
      </c>
      <c r="IK92" t="e">
        <f>'2.4.Функции'!ABZ176+"BYw!%}A"</f>
        <v>#VALUE!</v>
      </c>
      <c r="IL92" t="e">
        <f>'2.4.Функции'!ACA176+"BYw!%}B"</f>
        <v>#VALUE!</v>
      </c>
      <c r="IM92" t="e">
        <f>'2.4.Функции'!ACB176+"BYw!%}C"</f>
        <v>#VALUE!</v>
      </c>
      <c r="IN92" t="e">
        <f>'2.4.Функции'!ACC176+"BYw!%}D"</f>
        <v>#VALUE!</v>
      </c>
      <c r="IO92" t="e">
        <f>'2.4.Функции'!ACD176+"BYw!%}E"</f>
        <v>#VALUE!</v>
      </c>
      <c r="IP92" t="e">
        <f>'2.4.Функции'!ACE176+"BYw!%}F"</f>
        <v>#VALUE!</v>
      </c>
      <c r="IQ92" t="e">
        <f>'2.4.Функции'!ACF176+"BYw!%}G"</f>
        <v>#VALUE!</v>
      </c>
      <c r="IR92" t="e">
        <f>'2.4.Функции'!ACG176+"BYw!%}H"</f>
        <v>#VALUE!</v>
      </c>
      <c r="IS92" t="e">
        <f>'2.4.Функции'!ACH176+"BYw!%}I"</f>
        <v>#VALUE!</v>
      </c>
      <c r="IT92" t="e">
        <f>'2.4.Функции'!ACI176+"BYw!%}J"</f>
        <v>#VALUE!</v>
      </c>
      <c r="IU92" t="e">
        <f>'2.4.Функции'!ACJ176+"BYw!%}K"</f>
        <v>#VALUE!</v>
      </c>
      <c r="IV92" t="e">
        <f>'2.4.Функции'!ACK176+"BYw!%}L"</f>
        <v>#VALUE!</v>
      </c>
    </row>
    <row r="93" spans="6:256" x14ac:dyDescent="0.2">
      <c r="F93" t="e">
        <f>'2.4.Функции'!ACL176+"BYw!%}M"</f>
        <v>#VALUE!</v>
      </c>
      <c r="G93" t="e">
        <f>'2.4.Функции'!ACM176+"BYw!%}N"</f>
        <v>#VALUE!</v>
      </c>
      <c r="H93" t="e">
        <f>'2.4.Функции'!ACN176+"BYw!%}O"</f>
        <v>#VALUE!</v>
      </c>
      <c r="I93" t="e">
        <f>'2.4.Функции'!ACO176+"BYw!%}P"</f>
        <v>#VALUE!</v>
      </c>
      <c r="J93" t="e">
        <f>'2.4.Функции'!ACP176+"BYw!%}Q"</f>
        <v>#VALUE!</v>
      </c>
      <c r="K93" t="e">
        <f>'2.4.Функции'!ACQ176+"BYw!%}R"</f>
        <v>#VALUE!</v>
      </c>
      <c r="L93" t="e">
        <f>'2.4.Функции'!ACR176+"BYw!%}S"</f>
        <v>#VALUE!</v>
      </c>
      <c r="M93" t="e">
        <f>'2.4.Функции'!ACS176+"BYw!%}T"</f>
        <v>#VALUE!</v>
      </c>
      <c r="N93" t="e">
        <f>'2.4.Функции'!ACT176+"BYw!%}U"</f>
        <v>#VALUE!</v>
      </c>
      <c r="O93" t="e">
        <f>'2.4.Функции'!ACU176+"BYw!%}V"</f>
        <v>#VALUE!</v>
      </c>
      <c r="P93" t="e">
        <f>'2.4.Функции'!ACV176+"BYw!%}W"</f>
        <v>#VALUE!</v>
      </c>
      <c r="Q93" t="e">
        <f>'2.4.Функции'!ACW176+"BYw!%}X"</f>
        <v>#VALUE!</v>
      </c>
      <c r="R93" t="e">
        <f>'2.4.Функции'!ACX176+"BYw!%}Y"</f>
        <v>#VALUE!</v>
      </c>
      <c r="S93" t="e">
        <f>'2.4.Функции'!ACY176+"BYw!%}Z"</f>
        <v>#VALUE!</v>
      </c>
      <c r="T93" t="e">
        <f>'2.4.Функции'!ACZ176+"BYw!%}["</f>
        <v>#VALUE!</v>
      </c>
      <c r="U93" t="e">
        <f>'2.4.Функции'!ADA176+"BYw!%}\"</f>
        <v>#VALUE!</v>
      </c>
      <c r="V93" t="e">
        <f>'2.4.Функции'!ADB176+"BYw!%}]"</f>
        <v>#VALUE!</v>
      </c>
      <c r="W93" t="e">
        <f>'2.4.Функции'!ADC176+"BYw!%}^"</f>
        <v>#VALUE!</v>
      </c>
      <c r="X93" t="e">
        <f>'2.4.Функции'!ADD176+"BYw!%}_"</f>
        <v>#VALUE!</v>
      </c>
      <c r="Y93" t="e">
        <f>'2.4.Функции'!ADE176+"BYw!%}`"</f>
        <v>#VALUE!</v>
      </c>
      <c r="Z93" t="e">
        <f>'2.4.Функции'!ADF176+"BYw!%}a"</f>
        <v>#VALUE!</v>
      </c>
      <c r="AA93" t="e">
        <f>'2.4.Функции'!ADG176+"BYw!%}b"</f>
        <v>#VALUE!</v>
      </c>
      <c r="AB93" t="e">
        <f>'2.4.Функции'!ADH176+"BYw!%}c"</f>
        <v>#VALUE!</v>
      </c>
      <c r="AC93" t="e">
        <f>'2.4.Функции'!ADI176+"BYw!%}d"</f>
        <v>#VALUE!</v>
      </c>
      <c r="AD93" t="e">
        <f>'2.4.Функции'!ADJ176+"BYw!%}e"</f>
        <v>#VALUE!</v>
      </c>
      <c r="AE93" t="e">
        <f>'2.4.Функции'!ADK176+"BYw!%}f"</f>
        <v>#VALUE!</v>
      </c>
      <c r="AF93" t="e">
        <f>'2.4.Функции'!ADL176+"BYw!%}g"</f>
        <v>#VALUE!</v>
      </c>
      <c r="AG93" t="e">
        <f>'2.4.Функции'!ADM176+"BYw!%}h"</f>
        <v>#VALUE!</v>
      </c>
      <c r="AH93" t="e">
        <f>'2.4.Функции'!ADN176+"BYw!%}i"</f>
        <v>#VALUE!</v>
      </c>
      <c r="AI93" t="e">
        <f>'2.4.Функции'!ADO176+"BYw!%}j"</f>
        <v>#VALUE!</v>
      </c>
      <c r="AJ93" t="e">
        <f>'2.4.Функции'!ADP176+"BYw!%}k"</f>
        <v>#VALUE!</v>
      </c>
      <c r="AK93" t="e">
        <f>'2.4.Функции'!ADQ176+"BYw!%}l"</f>
        <v>#VALUE!</v>
      </c>
      <c r="AL93" t="e">
        <f>'2.4.Функции'!ADR176+"BYw!%}m"</f>
        <v>#VALUE!</v>
      </c>
      <c r="AM93" t="e">
        <f>'2.4.Функции'!ADS176+"BYw!%}n"</f>
        <v>#VALUE!</v>
      </c>
      <c r="AN93" t="e">
        <f>'2.4.Функции'!ADT176+"BYw!%}o"</f>
        <v>#VALUE!</v>
      </c>
      <c r="AO93" t="e">
        <f>'2.4.Функции'!ADU176+"BYw!%}p"</f>
        <v>#VALUE!</v>
      </c>
      <c r="AP93" t="e">
        <f>'2.4.Функции'!ADV176+"BYw!%}q"</f>
        <v>#VALUE!</v>
      </c>
      <c r="AQ93" t="e">
        <f>'2.4.Функции'!ADW176+"BYw!%}r"</f>
        <v>#VALUE!</v>
      </c>
      <c r="AR93" t="e">
        <f>'2.4.Функции'!ADX176+"BYw!%}s"</f>
        <v>#VALUE!</v>
      </c>
      <c r="AS93" t="e">
        <f>'2.4.Функции'!ADY176+"BYw!%}t"</f>
        <v>#VALUE!</v>
      </c>
      <c r="AT93" t="e">
        <f>'2.4.Функции'!ADZ176+"BYw!%}u"</f>
        <v>#VALUE!</v>
      </c>
      <c r="AU93" t="e">
        <f>'2.4.Функции'!AEA176+"BYw!%}v"</f>
        <v>#VALUE!</v>
      </c>
      <c r="AV93" t="e">
        <f>'2.4.Функции'!AEB176+"BYw!%}w"</f>
        <v>#VALUE!</v>
      </c>
      <c r="AW93" t="e">
        <f>'2.4.Функции'!AEC176+"BYw!%}x"</f>
        <v>#VALUE!</v>
      </c>
      <c r="AX93" t="e">
        <f>'2.4.Функции'!AED176+"BYw!%}y"</f>
        <v>#VALUE!</v>
      </c>
      <c r="AY93" t="e">
        <f>'2.4.Функции'!AEE176+"BYw!%}z"</f>
        <v>#VALUE!</v>
      </c>
      <c r="AZ93" t="e">
        <f>'2.4.Функции'!AEF176+"BYw!%}{"</f>
        <v>#VALUE!</v>
      </c>
      <c r="BA93" t="e">
        <f>'2.4.Функции'!AEG176+"BYw!%}|"</f>
        <v>#VALUE!</v>
      </c>
      <c r="BB93" t="e">
        <f>'2.4.Функции'!AEH176+"BYw!%}}"</f>
        <v>#VALUE!</v>
      </c>
      <c r="BC93" t="e">
        <f>'2.4.Функции'!AEI176+"BYw!%}~"</f>
        <v>#VALUE!</v>
      </c>
      <c r="BD93" t="e">
        <f>'2.4.Функции'!AEJ176+"BYw!%~#"</f>
        <v>#VALUE!</v>
      </c>
      <c r="BE93" t="e">
        <f>'2.4.Функции'!AEK176+"BYw!%~$"</f>
        <v>#VALUE!</v>
      </c>
      <c r="BF93" t="e">
        <f>'2.4.Функции'!AEL176+"BYw!%~%"</f>
        <v>#VALUE!</v>
      </c>
      <c r="BG93" t="e">
        <f>'2.4.Функции'!AEM176+"BYw!%~&amp;"</f>
        <v>#VALUE!</v>
      </c>
      <c r="BH93" t="e">
        <f>'2.4.Функции'!AEN176+"BYw!%~'"</f>
        <v>#VALUE!</v>
      </c>
      <c r="BI93" t="e">
        <f>'2.4.Функции'!AEO176+"BYw!%~("</f>
        <v>#VALUE!</v>
      </c>
      <c r="BJ93" t="e">
        <f>'2.4.Функции'!AEP176+"BYw!%~)"</f>
        <v>#VALUE!</v>
      </c>
      <c r="BK93" t="e">
        <f>'2.4.Функции'!AEQ176+"BYw!%~."</f>
        <v>#VALUE!</v>
      </c>
      <c r="BL93" t="e">
        <f>'2.4.Функции'!AER176+"BYw!%~/"</f>
        <v>#VALUE!</v>
      </c>
      <c r="BM93" t="e">
        <f>'2.4.Функции'!AES176+"BYw!%~0"</f>
        <v>#VALUE!</v>
      </c>
      <c r="BN93" t="e">
        <f>'2.4.Функции'!AET176+"BYw!%~1"</f>
        <v>#VALUE!</v>
      </c>
      <c r="BO93" t="e">
        <f>'2.4.Функции'!AEU176+"BYw!%~2"</f>
        <v>#VALUE!</v>
      </c>
      <c r="BP93" t="e">
        <f>'2.4.Функции'!AEV176+"BYw!%~3"</f>
        <v>#VALUE!</v>
      </c>
      <c r="BQ93" t="e">
        <f>'2.4.Функции'!AEW176+"BYw!%~4"</f>
        <v>#VALUE!</v>
      </c>
      <c r="BR93" t="e">
        <f>'2.4.Функции'!AEX176+"BYw!%~5"</f>
        <v>#VALUE!</v>
      </c>
      <c r="BS93" t="e">
        <f>'2.4.Функции'!AEY176+"BYw!%~6"</f>
        <v>#VALUE!</v>
      </c>
      <c r="BT93" t="e">
        <f>'2.4.Функции'!AEZ176+"BYw!%~7"</f>
        <v>#VALUE!</v>
      </c>
      <c r="BU93" t="e">
        <f>'2.4.Функции'!AFA176+"BYw!%~8"</f>
        <v>#VALUE!</v>
      </c>
      <c r="BV93" t="e">
        <f>'2.4.Функции'!AFB176+"BYw!%~9"</f>
        <v>#VALUE!</v>
      </c>
      <c r="BW93" t="e">
        <f>'2.4.Функции'!AFC176+"BYw!%~:"</f>
        <v>#VALUE!</v>
      </c>
      <c r="BX93" t="e">
        <f>'2.4.Функции'!AFD176+"BYw!%~;"</f>
        <v>#VALUE!</v>
      </c>
      <c r="BY93" t="e">
        <f>'2.4.Функции'!AFE176+"BYw!%~&lt;"</f>
        <v>#VALUE!</v>
      </c>
      <c r="BZ93" t="e">
        <f>'2.4.Функции'!AFF176+"BYw!%~="</f>
        <v>#VALUE!</v>
      </c>
      <c r="CA93" t="e">
        <f>'2.4.Функции'!AFG176+"BYw!%~&gt;"</f>
        <v>#VALUE!</v>
      </c>
      <c r="CB93" t="e">
        <f>'2.4.Функции'!AFH176+"BYw!%~?"</f>
        <v>#VALUE!</v>
      </c>
      <c r="CC93" t="e">
        <f>'2.4.Функции'!AFI176+"BYw!%~@"</f>
        <v>#VALUE!</v>
      </c>
      <c r="CD93" t="e">
        <f>'2.4.Функции'!AFJ176+"BYw!%~A"</f>
        <v>#VALUE!</v>
      </c>
      <c r="CE93" t="e">
        <f>'2.4.Функции'!AFK176+"BYw!%~B"</f>
        <v>#VALUE!</v>
      </c>
      <c r="CF93" t="e">
        <f>'2.4.Функции'!AFL176+"BYw!%~C"</f>
        <v>#VALUE!</v>
      </c>
      <c r="CG93" t="e">
        <f>'2.4.Функции'!AFM176+"BYw!%~D"</f>
        <v>#VALUE!</v>
      </c>
      <c r="CH93" t="e">
        <f>'2.4.Функции'!AFN176+"BYw!%~E"</f>
        <v>#VALUE!</v>
      </c>
      <c r="CI93" t="e">
        <f>'2.4.Функции'!AFO176+"BYw!%~F"</f>
        <v>#VALUE!</v>
      </c>
      <c r="CJ93" t="e">
        <f>'2.4.Функции'!AFP176+"BYw!%~G"</f>
        <v>#VALUE!</v>
      </c>
      <c r="CK93" t="e">
        <f>'2.4.Функции'!AFQ176+"BYw!%~H"</f>
        <v>#VALUE!</v>
      </c>
      <c r="CL93" t="e">
        <f>'2.4.Функции'!AFR176+"BYw!%~I"</f>
        <v>#VALUE!</v>
      </c>
      <c r="CM93" t="e">
        <f>'2.4.Функции'!AFS176+"BYw!%~J"</f>
        <v>#VALUE!</v>
      </c>
      <c r="CN93" t="e">
        <f>'2.4.Функции'!AFT176+"BYw!%~K"</f>
        <v>#VALUE!</v>
      </c>
      <c r="CO93" t="e">
        <f>'2.4.Функции'!AFU176+"BYw!%~L"</f>
        <v>#VALUE!</v>
      </c>
      <c r="CP93" t="e">
        <f>'2.4.Функции'!AFV176+"BYw!%~M"</f>
        <v>#VALUE!</v>
      </c>
      <c r="CQ93" t="e">
        <f>'2.4.Функции'!AFW176+"BYw!%~N"</f>
        <v>#VALUE!</v>
      </c>
      <c r="CR93" t="e">
        <f>'2.4.Функции'!AFX176+"BYw!%~O"</f>
        <v>#VALUE!</v>
      </c>
      <c r="CS93" t="e">
        <f>'2.4.Функции'!AFY176+"BYw!%~P"</f>
        <v>#VALUE!</v>
      </c>
      <c r="CT93" t="e">
        <f>'2.4.Функции'!AFZ176+"BYw!%~Q"</f>
        <v>#VALUE!</v>
      </c>
      <c r="CU93" t="e">
        <f>'2.4.Функции'!AGA176+"BYw!%~R"</f>
        <v>#VALUE!</v>
      </c>
      <c r="CV93" t="e">
        <f>'2.4.Функции'!AGB176+"BYw!%~S"</f>
        <v>#VALUE!</v>
      </c>
      <c r="CW93" t="e">
        <f>'2.4.Функции'!AGC176+"BYw!%~T"</f>
        <v>#VALUE!</v>
      </c>
      <c r="CX93" t="e">
        <f>'2.4.Функции'!AGD176+"BYw!%~U"</f>
        <v>#VALUE!</v>
      </c>
      <c r="CY93" t="e">
        <f>'2.4.Функции'!AGE176+"BYw!%~V"</f>
        <v>#VALUE!</v>
      </c>
      <c r="CZ93" t="e">
        <f>'2.4.Функции'!AGF176+"BYw!%~W"</f>
        <v>#VALUE!</v>
      </c>
      <c r="DA93" t="e">
        <f>'2.4.Функции'!AGG176+"BYw!%~X"</f>
        <v>#VALUE!</v>
      </c>
      <c r="DB93" t="e">
        <f>'2.4.Функции'!AGH176+"BYw!%~Y"</f>
        <v>#VALUE!</v>
      </c>
      <c r="DC93" t="e">
        <f>'2.4.Функции'!AGI176+"BYw!%~Z"</f>
        <v>#VALUE!</v>
      </c>
      <c r="DD93" t="e">
        <f>'2.4.Функции'!AGJ176+"BYw!%~["</f>
        <v>#VALUE!</v>
      </c>
      <c r="DE93" t="e">
        <f>'2.4.Функции'!AGK176+"BYw!%~\"</f>
        <v>#VALUE!</v>
      </c>
      <c r="DF93" t="e">
        <f>'2.4.Функции'!AGL176+"BYw!%~]"</f>
        <v>#VALUE!</v>
      </c>
      <c r="DG93" t="e">
        <f>'2.4.Функции'!AGM176+"BYw!%~^"</f>
        <v>#VALUE!</v>
      </c>
      <c r="DH93" t="e">
        <f>'2.4.Функции'!AGN176+"BYw!%~_"</f>
        <v>#VALUE!</v>
      </c>
      <c r="DI93" t="e">
        <f>'2.4.Функции'!AGO176+"BYw!%~`"</f>
        <v>#VALUE!</v>
      </c>
      <c r="DJ93" t="e">
        <f>'2.4.Функции'!AGP176+"BYw!%~a"</f>
        <v>#VALUE!</v>
      </c>
      <c r="DK93" t="e">
        <f>'2.4.Функции'!AGQ176+"BYw!%~b"</f>
        <v>#VALUE!</v>
      </c>
      <c r="DL93" t="e">
        <f>'2.4.Функции'!AGR176+"BYw!%~c"</f>
        <v>#VALUE!</v>
      </c>
      <c r="DM93" t="e">
        <f>'2.4.Функции'!AGS176+"BYw!%~d"</f>
        <v>#VALUE!</v>
      </c>
      <c r="DN93" t="e">
        <f>'2.4.Функции'!AGT176+"BYw!%~e"</f>
        <v>#VALUE!</v>
      </c>
      <c r="DO93" t="e">
        <f>'2.4.Функции'!AGU176+"BYw!%~f"</f>
        <v>#VALUE!</v>
      </c>
      <c r="DP93" t="e">
        <f>'2.4.Функции'!AGV176+"BYw!%~g"</f>
        <v>#VALUE!</v>
      </c>
      <c r="DQ93" t="e">
        <f>'2.4.Функции'!AGW176+"BYw!%~h"</f>
        <v>#VALUE!</v>
      </c>
      <c r="DR93" t="e">
        <f>'2.4.Функции'!AGX176+"BYw!%~i"</f>
        <v>#VALUE!</v>
      </c>
      <c r="DS93" t="e">
        <f>'2.4.Функции'!AGY176+"BYw!%~j"</f>
        <v>#VALUE!</v>
      </c>
      <c r="DT93" t="e">
        <f>'2.4.Функции'!AGZ176+"BYw!%~k"</f>
        <v>#VALUE!</v>
      </c>
      <c r="DU93" t="e">
        <f>'2.4.Функции'!AHA176+"BYw!%~l"</f>
        <v>#VALUE!</v>
      </c>
      <c r="DV93" t="e">
        <f>'2.4.Функции'!AHB176+"BYw!%~m"</f>
        <v>#VALUE!</v>
      </c>
      <c r="DW93" t="e">
        <f>'2.4.Функции'!AHC176+"BYw!%~n"</f>
        <v>#VALUE!</v>
      </c>
      <c r="DX93" t="e">
        <f>'2.4.Функции'!AHD176+"BYw!%~o"</f>
        <v>#VALUE!</v>
      </c>
      <c r="DY93" t="e">
        <f>'2.4.Функции'!AHE176+"BYw!%~p"</f>
        <v>#VALUE!</v>
      </c>
      <c r="DZ93" t="e">
        <f>'2.4.Функции'!AHF176+"BYw!%~q"</f>
        <v>#VALUE!</v>
      </c>
      <c r="EA93" t="e">
        <f>'2.4.Функции'!AHG176+"BYw!%~r"</f>
        <v>#VALUE!</v>
      </c>
      <c r="EB93" t="e">
        <f>'2.4.Функции'!AHH176+"BYw!%~s"</f>
        <v>#VALUE!</v>
      </c>
      <c r="EC93" t="e">
        <f>'2.4.Функции'!AHI176+"BYw!%~t"</f>
        <v>#VALUE!</v>
      </c>
      <c r="ED93" t="e">
        <f>'2.4.Функции'!AHJ176+"BYw!%~u"</f>
        <v>#VALUE!</v>
      </c>
      <c r="EE93" t="e">
        <f>'2.4.Функции'!AHK176+"BYw!%~v"</f>
        <v>#VALUE!</v>
      </c>
      <c r="EF93" t="e">
        <f>'2.4.Функции'!AHL176+"BYw!%~w"</f>
        <v>#VALUE!</v>
      </c>
      <c r="EG93" t="e">
        <f>'2.4.Функции'!AHM176+"BYw!%~x"</f>
        <v>#VALUE!</v>
      </c>
      <c r="EH93" t="e">
        <f>'2.4.Функции'!AHN176+"BYw!%~y"</f>
        <v>#VALUE!</v>
      </c>
      <c r="EI93" t="e">
        <f>'2.4.Функции'!AHO176+"BYw!%~z"</f>
        <v>#VALUE!</v>
      </c>
      <c r="EJ93" t="e">
        <f>'2.4.Функции'!AHP176+"BYw!%~{"</f>
        <v>#VALUE!</v>
      </c>
      <c r="EK93" t="e">
        <f>'2.4.Функции'!AHQ176+"BYw!%~|"</f>
        <v>#VALUE!</v>
      </c>
      <c r="EL93" t="e">
        <f>'2.4.Функции'!AHR176+"BYw!%~}"</f>
        <v>#VALUE!</v>
      </c>
      <c r="EM93" t="e">
        <f>'2.4.Функции'!AHS176+"BYw!%~~"</f>
        <v>#VALUE!</v>
      </c>
      <c r="EN93" t="e">
        <f>'2.4.Функции'!AHT176+"BYw!&amp;##"</f>
        <v>#VALUE!</v>
      </c>
      <c r="EO93" t="e">
        <f>'2.4.Функции'!AHU176+"BYw!&amp;#$"</f>
        <v>#VALUE!</v>
      </c>
      <c r="EP93" t="e">
        <f>'2.4.Функции'!AHV176+"BYw!&amp;#%"</f>
        <v>#VALUE!</v>
      </c>
      <c r="EQ93" t="e">
        <f>'2.4.Функции'!AHW176+"BYw!&amp;#&amp;"</f>
        <v>#VALUE!</v>
      </c>
      <c r="ER93" t="e">
        <f>'2.4.Функции'!AHX176+"BYw!&amp;#'"</f>
        <v>#VALUE!</v>
      </c>
      <c r="ES93" t="e">
        <f>'2.4.Функции'!AHY176+"BYw!&amp;#("</f>
        <v>#VALUE!</v>
      </c>
      <c r="ET93" t="e">
        <f>'2.4.Функции'!AHZ176+"BYw!&amp;#)"</f>
        <v>#VALUE!</v>
      </c>
      <c r="EU93" t="e">
        <f>'2.4.Функции'!AIA176+"BYw!&amp;#."</f>
        <v>#VALUE!</v>
      </c>
      <c r="EV93" t="e">
        <f>'2.4.Функции'!AIB176+"BYw!&amp;#/"</f>
        <v>#VALUE!</v>
      </c>
      <c r="EW93" t="e">
        <f>'2.4.Функции'!AIC176+"BYw!&amp;#0"</f>
        <v>#VALUE!</v>
      </c>
      <c r="EX93" t="e">
        <f>'2.4.Функции'!AID176+"BYw!&amp;#1"</f>
        <v>#VALUE!</v>
      </c>
      <c r="EY93" t="e">
        <f>'2.4.Функции'!AIE176+"BYw!&amp;#2"</f>
        <v>#VALUE!</v>
      </c>
      <c r="EZ93" t="e">
        <f>'2.4.Функции'!AIF176+"BYw!&amp;#3"</f>
        <v>#VALUE!</v>
      </c>
      <c r="FA93" t="e">
        <f>'2.4.Функции'!AIG176+"BYw!&amp;#4"</f>
        <v>#VALUE!</v>
      </c>
      <c r="FB93" t="e">
        <f>'2.4.Функции'!AIH176+"BYw!&amp;#5"</f>
        <v>#VALUE!</v>
      </c>
      <c r="FC93" s="116" t="e">
        <f>'2.4.Функции'!B177+"BYw!&amp;#6"</f>
        <v>#VALUE!</v>
      </c>
      <c r="FD93" t="e">
        <f>'2.4.Функции'!C177+"BYw!&amp;#7"</f>
        <v>#VALUE!</v>
      </c>
      <c r="FE93" s="119" t="e">
        <f>'2.4.Функции'!D177+"BYw!&amp;#8"</f>
        <v>#VALUE!</v>
      </c>
      <c r="FF93" s="119" t="e">
        <f>'2.4.Функции'!E177+"BYw!&amp;#9"</f>
        <v>#VALUE!</v>
      </c>
      <c r="FG93" s="119" t="e">
        <f>'2.4.Функции'!F177+"BYw!&amp;#:"</f>
        <v>#VALUE!</v>
      </c>
      <c r="FH93" s="119" t="e">
        <f>'2.4.Функции'!G177+"BYw!&amp;#;"</f>
        <v>#VALUE!</v>
      </c>
      <c r="FI93" s="119" t="e">
        <f>'2.4.Функции'!H177+"BYw!&amp;#&lt;"</f>
        <v>#VALUE!</v>
      </c>
      <c r="FJ93" s="119" t="e">
        <f>'2.4.Функции'!I177+"BYw!&amp;#="</f>
        <v>#VALUE!</v>
      </c>
      <c r="FK93" s="119" t="e">
        <f>'2.4.Функции'!J177+"BYw!&amp;#&gt;"</f>
        <v>#VALUE!</v>
      </c>
      <c r="FL93" s="119" t="e">
        <f>'2.4.Функции'!K177+"BYw!&amp;#?"</f>
        <v>#VALUE!</v>
      </c>
      <c r="FM93" t="e">
        <f>'2.4.Функции'!L177+"BYw!&amp;#@"</f>
        <v>#VALUE!</v>
      </c>
      <c r="FN93" t="e">
        <f>'2.4.Функции'!M177+"BYw!&amp;#A"</f>
        <v>#VALUE!</v>
      </c>
      <c r="FO93" t="e">
        <f>'2.4.Функции'!N177+"BYw!&amp;#B"</f>
        <v>#VALUE!</v>
      </c>
      <c r="FP93" t="e">
        <f>'2.4.Функции'!O177+"BYw!&amp;#C"</f>
        <v>#VALUE!</v>
      </c>
      <c r="FQ93" t="e">
        <f>'2.4.Функции'!P177+"BYw!&amp;#D"</f>
        <v>#VALUE!</v>
      </c>
      <c r="FR93" t="e">
        <f>'2.4.Функции'!Q177+"BYw!&amp;#E"</f>
        <v>#VALUE!</v>
      </c>
      <c r="FS93" t="e">
        <f>'2.4.Функции'!R177+"BYw!&amp;#F"</f>
        <v>#VALUE!</v>
      </c>
      <c r="FT93" t="e">
        <f>'2.4.Функции'!S177+"BYw!&amp;#G"</f>
        <v>#VALUE!</v>
      </c>
      <c r="FU93" t="e">
        <f>'2.4.Функции'!T177+"BYw!&amp;#H"</f>
        <v>#VALUE!</v>
      </c>
      <c r="FV93" t="e">
        <f>'2.4.Функции'!U177+"BYw!&amp;#I"</f>
        <v>#VALUE!</v>
      </c>
      <c r="FW93" t="e">
        <f>'2.4.Функции'!V177+"BYw!&amp;#J"</f>
        <v>#VALUE!</v>
      </c>
      <c r="FX93" t="e">
        <f>'2.4.Функции'!W177+"BYw!&amp;#K"</f>
        <v>#VALUE!</v>
      </c>
      <c r="FY93" t="e">
        <f>'2.4.Функции'!X177+"BYw!&amp;#L"</f>
        <v>#VALUE!</v>
      </c>
      <c r="FZ93" t="e">
        <f>'2.4.Функции'!Y177+"BYw!&amp;#M"</f>
        <v>#VALUE!</v>
      </c>
      <c r="GA93" t="e">
        <f>'2.4.Функции'!Z177+"BYw!&amp;#N"</f>
        <v>#VALUE!</v>
      </c>
      <c r="GB93" t="e">
        <f>'2.4.Функции'!AA177+"BYw!&amp;#O"</f>
        <v>#VALUE!</v>
      </c>
      <c r="GC93" t="e">
        <f>'2.4.Функции'!AB177+"BYw!&amp;#P"</f>
        <v>#VALUE!</v>
      </c>
      <c r="GD93" t="e">
        <f>'2.4.Функции'!AC177+"BYw!&amp;#Q"</f>
        <v>#VALUE!</v>
      </c>
      <c r="GE93" t="e">
        <f>'2.4.Функции'!A178+"BYw!&amp;#R"</f>
        <v>#VALUE!</v>
      </c>
      <c r="GF93" t="e">
        <f>'2.4.Функции'!B178+"BYw!&amp;#S"</f>
        <v>#VALUE!</v>
      </c>
      <c r="GG93" t="e">
        <f>'2.4.Функции'!C178+"BYw!&amp;#T"</f>
        <v>#VALUE!</v>
      </c>
      <c r="GH93" t="e">
        <f>'2.4.Функции'!D178+"BYw!&amp;#U"</f>
        <v>#VALUE!</v>
      </c>
      <c r="GI93" t="e">
        <f>'2.4.Функции'!E178+"BYw!&amp;#V"</f>
        <v>#VALUE!</v>
      </c>
      <c r="GJ93" t="e">
        <f>'2.4.Функции'!F178+"BYw!&amp;#W"</f>
        <v>#VALUE!</v>
      </c>
      <c r="GK93" t="e">
        <f>'2.4.Функции'!G178+"BYw!&amp;#X"</f>
        <v>#VALUE!</v>
      </c>
      <c r="GL93" t="e">
        <f>'2.4.Функции'!H178+"BYw!&amp;#Y"</f>
        <v>#VALUE!</v>
      </c>
      <c r="GM93" t="e">
        <f>'2.4.Функции'!I178+"BYw!&amp;#Z"</f>
        <v>#VALUE!</v>
      </c>
      <c r="GN93" t="e">
        <f>'2.4.Функции'!J178+"BYw!&amp;#["</f>
        <v>#VALUE!</v>
      </c>
      <c r="GO93" t="e">
        <f>'2.4.Функции'!K178+"BYw!&amp;#\"</f>
        <v>#VALUE!</v>
      </c>
      <c r="GP93" t="e">
        <f>'2.4.Функции'!L178+"BYw!&amp;#]"</f>
        <v>#VALUE!</v>
      </c>
      <c r="GQ93" t="e">
        <f>'2.4.Функции'!M178+"BYw!&amp;#^"</f>
        <v>#VALUE!</v>
      </c>
      <c r="GR93" t="e">
        <f>'2.4.Функции'!N178+"BYw!&amp;#_"</f>
        <v>#VALUE!</v>
      </c>
      <c r="GS93" t="e">
        <f>'2.4.Функции'!O178+"BYw!&amp;#`"</f>
        <v>#VALUE!</v>
      </c>
      <c r="GT93" t="e">
        <f>'2.4.Функции'!P178+"BYw!&amp;#a"</f>
        <v>#VALUE!</v>
      </c>
      <c r="GU93" t="e">
        <f>'2.4.Функции'!Q178+"BYw!&amp;#b"</f>
        <v>#VALUE!</v>
      </c>
      <c r="GV93" t="e">
        <f>'2.4.Функции'!R178+"BYw!&amp;#c"</f>
        <v>#VALUE!</v>
      </c>
      <c r="GW93" t="e">
        <f>'2.4.Функции'!S178+"BYw!&amp;#d"</f>
        <v>#VALUE!</v>
      </c>
      <c r="GX93" t="e">
        <f>'2.4.Функции'!T178+"BYw!&amp;#e"</f>
        <v>#VALUE!</v>
      </c>
      <c r="GY93" t="e">
        <f>'2.4.Функции'!U178+"BYw!&amp;#f"</f>
        <v>#VALUE!</v>
      </c>
      <c r="GZ93" t="e">
        <f>'2.4.Функции'!V178+"BYw!&amp;#g"</f>
        <v>#VALUE!</v>
      </c>
      <c r="HA93" t="e">
        <f>'2.4.Функции'!W178+"BYw!&amp;#h"</f>
        <v>#VALUE!</v>
      </c>
      <c r="HB93" t="e">
        <f>'2.4.Функции'!X178+"BYw!&amp;#i"</f>
        <v>#VALUE!</v>
      </c>
      <c r="HC93" t="e">
        <f>'2.4.Функции'!Y178+"BYw!&amp;#j"</f>
        <v>#VALUE!</v>
      </c>
      <c r="HD93" t="e">
        <f>'2.4.Функции'!Z178+"BYw!&amp;#k"</f>
        <v>#VALUE!</v>
      </c>
      <c r="HE93" t="e">
        <f>'2.4.Функции'!AA178+"BYw!&amp;#l"</f>
        <v>#VALUE!</v>
      </c>
      <c r="HF93" t="e">
        <f>'2.4.Функции'!AB178+"BYw!&amp;#m"</f>
        <v>#VALUE!</v>
      </c>
      <c r="HG93" t="e">
        <f>'2.4.Функции'!AC178+"BYw!&amp;#n"</f>
        <v>#VALUE!</v>
      </c>
      <c r="HH93" t="e">
        <f>'2.4.Функции'!AD178+"BYw!&amp;#o"</f>
        <v>#VALUE!</v>
      </c>
      <c r="HI93" t="e">
        <f>'2.4.Функции'!AE178+"BYw!&amp;#p"</f>
        <v>#VALUE!</v>
      </c>
      <c r="HJ93" t="e">
        <f>'2.4.Функции'!AF178+"BYw!&amp;#q"</f>
        <v>#VALUE!</v>
      </c>
      <c r="HK93" t="e">
        <f>'2.4.Функции'!AG178+"BYw!&amp;#r"</f>
        <v>#VALUE!</v>
      </c>
      <c r="HL93" t="e">
        <f>'2.4.Функции'!AH178+"BYw!&amp;#s"</f>
        <v>#VALUE!</v>
      </c>
      <c r="HM93" t="e">
        <f>'2.4.Функции'!AI178+"BYw!&amp;#t"</f>
        <v>#VALUE!</v>
      </c>
      <c r="HN93" t="e">
        <f>'2.4.Функции'!AJ178+"BYw!&amp;#u"</f>
        <v>#VALUE!</v>
      </c>
      <c r="HO93" t="e">
        <f>'2.4.Функции'!AK178+"BYw!&amp;#v"</f>
        <v>#VALUE!</v>
      </c>
      <c r="HP93" t="e">
        <f>'2.4.Функции'!AL178+"BYw!&amp;#w"</f>
        <v>#VALUE!</v>
      </c>
      <c r="HQ93" t="e">
        <f>'2.4.Функции'!AM178+"BYw!&amp;#x"</f>
        <v>#VALUE!</v>
      </c>
      <c r="HR93" t="e">
        <f>'2.4.Функции'!AN178+"BYw!&amp;#y"</f>
        <v>#VALUE!</v>
      </c>
      <c r="HS93" t="e">
        <f>'2.4.Функции'!AO178+"BYw!&amp;#z"</f>
        <v>#VALUE!</v>
      </c>
      <c r="HT93" t="e">
        <f>'2.4.Функции'!AP178+"BYw!&amp;#{"</f>
        <v>#VALUE!</v>
      </c>
      <c r="HU93" t="e">
        <f>'2.4.Функции'!AQ178+"BYw!&amp;#|"</f>
        <v>#VALUE!</v>
      </c>
      <c r="HV93" t="e">
        <f>'2.4.Функции'!AR178+"BYw!&amp;#}"</f>
        <v>#VALUE!</v>
      </c>
      <c r="HW93" t="e">
        <f>'2.4.Функции'!AS178+"BYw!&amp;#~"</f>
        <v>#VALUE!</v>
      </c>
      <c r="HX93" t="e">
        <f>'2.4.Функции'!AT178+"BYw!&amp;$#"</f>
        <v>#VALUE!</v>
      </c>
      <c r="HY93" t="e">
        <f>'2.4.Функции'!AU178+"BYw!&amp;$$"</f>
        <v>#VALUE!</v>
      </c>
      <c r="HZ93" t="e">
        <f>'2.4.Функции'!AV178+"BYw!&amp;$%"</f>
        <v>#VALUE!</v>
      </c>
      <c r="IA93" t="e">
        <f>'2.4.Функции'!AW178+"BYw!&amp;$&amp;"</f>
        <v>#VALUE!</v>
      </c>
      <c r="IB93" t="e">
        <f>'2.4.Функции'!AX178+"BYw!&amp;$'"</f>
        <v>#VALUE!</v>
      </c>
      <c r="IC93" t="e">
        <f>'2.4.Функции'!AY178+"BYw!&amp;$("</f>
        <v>#VALUE!</v>
      </c>
      <c r="ID93" t="e">
        <f>'2.4.Функции'!AZ178+"BYw!&amp;$)"</f>
        <v>#VALUE!</v>
      </c>
      <c r="IE93" t="e">
        <f>'2.4.Функции'!BA178+"BYw!&amp;$."</f>
        <v>#VALUE!</v>
      </c>
      <c r="IF93" t="e">
        <f>'2.4.Функции'!BB178+"BYw!&amp;$/"</f>
        <v>#VALUE!</v>
      </c>
      <c r="IG93" t="e">
        <f>'2.4.Функции'!BC178+"BYw!&amp;$0"</f>
        <v>#VALUE!</v>
      </c>
      <c r="IH93" t="e">
        <f>'2.4.Функции'!BD178+"BYw!&amp;$1"</f>
        <v>#VALUE!</v>
      </c>
      <c r="II93" t="e">
        <f>'2.4.Функции'!BE178+"BYw!&amp;$2"</f>
        <v>#VALUE!</v>
      </c>
      <c r="IJ93" t="e">
        <f>'2.4.Функции'!BF178+"BYw!&amp;$3"</f>
        <v>#VALUE!</v>
      </c>
      <c r="IK93" t="e">
        <f>'2.4.Функции'!BG178+"BYw!&amp;$4"</f>
        <v>#VALUE!</v>
      </c>
      <c r="IL93" t="e">
        <f>'2.4.Функции'!BH178+"BYw!&amp;$5"</f>
        <v>#VALUE!</v>
      </c>
      <c r="IM93" t="e">
        <f>'2.4.Функции'!BI178+"BYw!&amp;$6"</f>
        <v>#VALUE!</v>
      </c>
      <c r="IN93" t="e">
        <f>'2.4.Функции'!BJ178+"BYw!&amp;$7"</f>
        <v>#VALUE!</v>
      </c>
      <c r="IO93" t="e">
        <f>'2.4.Функции'!BK178+"BYw!&amp;$8"</f>
        <v>#VALUE!</v>
      </c>
      <c r="IP93" t="e">
        <f>'2.4.Функции'!BL178+"BYw!&amp;$9"</f>
        <v>#VALUE!</v>
      </c>
      <c r="IQ93" t="e">
        <f>'2.4.Функции'!BM178+"BYw!&amp;$:"</f>
        <v>#VALUE!</v>
      </c>
      <c r="IR93" t="e">
        <f>'2.4.Функции'!BN178+"BYw!&amp;$;"</f>
        <v>#VALUE!</v>
      </c>
      <c r="IS93" t="e">
        <f>'2.4.Функции'!BO178+"BYw!&amp;$&lt;"</f>
        <v>#VALUE!</v>
      </c>
      <c r="IT93" t="e">
        <f>'2.4.Функции'!BP178+"BYw!&amp;$="</f>
        <v>#VALUE!</v>
      </c>
      <c r="IU93" t="e">
        <f>'2.4.Функции'!BQ178+"BYw!&amp;$&gt;"</f>
        <v>#VALUE!</v>
      </c>
      <c r="IV93" t="e">
        <f>'2.4.Функции'!BR178+"BYw!&amp;$?"</f>
        <v>#VALUE!</v>
      </c>
    </row>
    <row r="94" spans="6:256" x14ac:dyDescent="0.2">
      <c r="F94" t="e">
        <f>'2.4.Функции'!BS178+"BYw!&amp;$@"</f>
        <v>#VALUE!</v>
      </c>
      <c r="G94" t="e">
        <f>'2.4.Функции'!BT178+"BYw!&amp;$A"</f>
        <v>#VALUE!</v>
      </c>
      <c r="H94" t="e">
        <f>'2.4.Функции'!BU178+"BYw!&amp;$B"</f>
        <v>#VALUE!</v>
      </c>
      <c r="I94" t="e">
        <f>'2.4.Функции'!BV178+"BYw!&amp;$C"</f>
        <v>#VALUE!</v>
      </c>
      <c r="J94" t="e">
        <f>'2.4.Функции'!BW178+"BYw!&amp;$D"</f>
        <v>#VALUE!</v>
      </c>
      <c r="K94" t="e">
        <f>'2.4.Функции'!BX178+"BYw!&amp;$E"</f>
        <v>#VALUE!</v>
      </c>
      <c r="L94" t="e">
        <f>'2.4.Функции'!BY178+"BYw!&amp;$F"</f>
        <v>#VALUE!</v>
      </c>
      <c r="M94" t="e">
        <f>'2.4.Функции'!BZ178+"BYw!&amp;$G"</f>
        <v>#VALUE!</v>
      </c>
      <c r="N94" t="e">
        <f>'2.4.Функции'!CA178+"BYw!&amp;$H"</f>
        <v>#VALUE!</v>
      </c>
      <c r="O94" t="e">
        <f>'2.4.Функции'!CB178+"BYw!&amp;$I"</f>
        <v>#VALUE!</v>
      </c>
      <c r="P94" t="e">
        <f>'2.4.Функции'!CC178+"BYw!&amp;$J"</f>
        <v>#VALUE!</v>
      </c>
      <c r="Q94" t="e">
        <f>'2.4.Функции'!CD178+"BYw!&amp;$K"</f>
        <v>#VALUE!</v>
      </c>
      <c r="R94" t="e">
        <f>'2.4.Функции'!CE178+"BYw!&amp;$L"</f>
        <v>#VALUE!</v>
      </c>
      <c r="S94" t="e">
        <f>'2.4.Функции'!CF178+"BYw!&amp;$M"</f>
        <v>#VALUE!</v>
      </c>
      <c r="T94" t="e">
        <f>'2.4.Функции'!CG178+"BYw!&amp;$N"</f>
        <v>#VALUE!</v>
      </c>
      <c r="U94" t="e">
        <f>'2.4.Функции'!CH178+"BYw!&amp;$O"</f>
        <v>#VALUE!</v>
      </c>
      <c r="V94" t="e">
        <f>'2.4.Функции'!CI178+"BYw!&amp;$P"</f>
        <v>#VALUE!</v>
      </c>
      <c r="W94" t="e">
        <f>'2.4.Функции'!CJ178+"BYw!&amp;$Q"</f>
        <v>#VALUE!</v>
      </c>
      <c r="X94" t="e">
        <f>'2.4.Функции'!CK178+"BYw!&amp;$R"</f>
        <v>#VALUE!</v>
      </c>
      <c r="Y94" t="e">
        <f>'2.4.Функции'!CL178+"BYw!&amp;$S"</f>
        <v>#VALUE!</v>
      </c>
      <c r="Z94" t="e">
        <f>'2.4.Функции'!CM178+"BYw!&amp;$T"</f>
        <v>#VALUE!</v>
      </c>
      <c r="AA94" t="e">
        <f>'2.4.Функции'!CN178+"BYw!&amp;$U"</f>
        <v>#VALUE!</v>
      </c>
      <c r="AB94" t="e">
        <f>'2.4.Функции'!CO178+"BYw!&amp;$V"</f>
        <v>#VALUE!</v>
      </c>
      <c r="AC94" t="e">
        <f>'2.4.Функции'!CP178+"BYw!&amp;$W"</f>
        <v>#VALUE!</v>
      </c>
      <c r="AD94" t="e">
        <f>'2.4.Функции'!CQ178+"BYw!&amp;$X"</f>
        <v>#VALUE!</v>
      </c>
      <c r="AE94" t="e">
        <f>'2.4.Функции'!CR178+"BYw!&amp;$Y"</f>
        <v>#VALUE!</v>
      </c>
      <c r="AF94" t="e">
        <f>'2.4.Функции'!CS178+"BYw!&amp;$Z"</f>
        <v>#VALUE!</v>
      </c>
      <c r="AG94" t="e">
        <f>'2.4.Функции'!CT178+"BYw!&amp;$["</f>
        <v>#VALUE!</v>
      </c>
      <c r="AH94" t="e">
        <f>'2.4.Функции'!CU178+"BYw!&amp;$\"</f>
        <v>#VALUE!</v>
      </c>
      <c r="AI94" t="e">
        <f>'2.4.Функции'!CV178+"BYw!&amp;$]"</f>
        <v>#VALUE!</v>
      </c>
      <c r="AJ94" t="e">
        <f>'2.4.Функции'!CW178+"BYw!&amp;$^"</f>
        <v>#VALUE!</v>
      </c>
      <c r="AK94" t="e">
        <f>'2.4.Функции'!CX178+"BYw!&amp;$_"</f>
        <v>#VALUE!</v>
      </c>
      <c r="AL94" t="e">
        <f>'2.4.Функции'!CY178+"BYw!&amp;$`"</f>
        <v>#VALUE!</v>
      </c>
      <c r="AM94" t="e">
        <f>'2.4.Функции'!CZ178+"BYw!&amp;$a"</f>
        <v>#VALUE!</v>
      </c>
      <c r="AN94" t="e">
        <f>'2.4.Функции'!DA178+"BYw!&amp;$b"</f>
        <v>#VALUE!</v>
      </c>
      <c r="AO94" t="e">
        <f>'2.4.Функции'!DB178+"BYw!&amp;$c"</f>
        <v>#VALUE!</v>
      </c>
      <c r="AP94" t="e">
        <f>'2.4.Функции'!DC178+"BYw!&amp;$d"</f>
        <v>#VALUE!</v>
      </c>
      <c r="AQ94" t="e">
        <f>'2.4.Функции'!DD178+"BYw!&amp;$e"</f>
        <v>#VALUE!</v>
      </c>
      <c r="AR94" t="e">
        <f>'2.4.Функции'!DE178+"BYw!&amp;$f"</f>
        <v>#VALUE!</v>
      </c>
      <c r="AS94" t="e">
        <f>'2.4.Функции'!DF178+"BYw!&amp;$g"</f>
        <v>#VALUE!</v>
      </c>
      <c r="AT94" t="e">
        <f>'2.4.Функции'!DG178+"BYw!&amp;$h"</f>
        <v>#VALUE!</v>
      </c>
      <c r="AU94" t="e">
        <f>'2.4.Функции'!DH178+"BYw!&amp;$i"</f>
        <v>#VALUE!</v>
      </c>
      <c r="AV94" t="e">
        <f>'2.4.Функции'!DI178+"BYw!&amp;$j"</f>
        <v>#VALUE!</v>
      </c>
      <c r="AW94" t="e">
        <f>'2.4.Функции'!DJ178+"BYw!&amp;$k"</f>
        <v>#VALUE!</v>
      </c>
      <c r="AX94" t="e">
        <f>'2.4.Функции'!DK178+"BYw!&amp;$l"</f>
        <v>#VALUE!</v>
      </c>
      <c r="AY94" t="e">
        <f>'2.4.Функции'!DL178+"BYw!&amp;$m"</f>
        <v>#VALUE!</v>
      </c>
      <c r="AZ94" t="e">
        <f>'2.4.Функции'!DM178+"BYw!&amp;$n"</f>
        <v>#VALUE!</v>
      </c>
      <c r="BA94" t="e">
        <f>'2.4.Функции'!DN178+"BYw!&amp;$o"</f>
        <v>#VALUE!</v>
      </c>
      <c r="BB94" t="e">
        <f>'2.4.Функции'!DO178+"BYw!&amp;$p"</f>
        <v>#VALUE!</v>
      </c>
      <c r="BC94" t="e">
        <f>'2.4.Функции'!DP178+"BYw!&amp;$q"</f>
        <v>#VALUE!</v>
      </c>
      <c r="BD94" t="e">
        <f>'2.4.Функции'!DQ178+"BYw!&amp;$r"</f>
        <v>#VALUE!</v>
      </c>
      <c r="BE94" t="e">
        <f>'2.4.Функции'!DR178+"BYw!&amp;$s"</f>
        <v>#VALUE!</v>
      </c>
      <c r="BF94" t="e">
        <f>'2.4.Функции'!DS178+"BYw!&amp;$t"</f>
        <v>#VALUE!</v>
      </c>
      <c r="BG94" t="e">
        <f>'2.4.Функции'!DT178+"BYw!&amp;$u"</f>
        <v>#VALUE!</v>
      </c>
      <c r="BH94" t="e">
        <f>'2.4.Функции'!DU178+"BYw!&amp;$v"</f>
        <v>#VALUE!</v>
      </c>
      <c r="BI94" t="e">
        <f>'2.4.Функции'!DV178+"BYw!&amp;$w"</f>
        <v>#VALUE!</v>
      </c>
      <c r="BJ94" t="e">
        <f>'2.4.Функции'!DW178+"BYw!&amp;$x"</f>
        <v>#VALUE!</v>
      </c>
      <c r="BK94" t="e">
        <f>'2.4.Функции'!DX178+"BYw!&amp;$y"</f>
        <v>#VALUE!</v>
      </c>
      <c r="BL94" t="e">
        <f>'2.4.Функции'!DY178+"BYw!&amp;$z"</f>
        <v>#VALUE!</v>
      </c>
      <c r="BM94" t="e">
        <f>'2.4.Функции'!DZ178+"BYw!&amp;${"</f>
        <v>#VALUE!</v>
      </c>
      <c r="BN94" t="e">
        <f>'2.4.Функции'!EA178+"BYw!&amp;$|"</f>
        <v>#VALUE!</v>
      </c>
      <c r="BO94" t="e">
        <f>'2.4.Функции'!EB178+"BYw!&amp;$}"</f>
        <v>#VALUE!</v>
      </c>
      <c r="BP94" t="e">
        <f>'2.4.Функции'!EC178+"BYw!&amp;$~"</f>
        <v>#VALUE!</v>
      </c>
      <c r="BQ94" t="e">
        <f>'2.4.Функции'!ED178+"BYw!&amp;%#"</f>
        <v>#VALUE!</v>
      </c>
      <c r="BR94" t="e">
        <f>'2.4.Функции'!EE178+"BYw!&amp;%$"</f>
        <v>#VALUE!</v>
      </c>
      <c r="BS94" t="e">
        <f>'2.4.Функции'!EF178+"BYw!&amp;%%"</f>
        <v>#VALUE!</v>
      </c>
      <c r="BT94" t="e">
        <f>'2.4.Функции'!EG178+"BYw!&amp;%&amp;"</f>
        <v>#VALUE!</v>
      </c>
      <c r="BU94" t="e">
        <f>'2.4.Функции'!EH178+"BYw!&amp;%'"</f>
        <v>#VALUE!</v>
      </c>
      <c r="BV94" t="e">
        <f>'2.4.Функции'!EI178+"BYw!&amp;%("</f>
        <v>#VALUE!</v>
      </c>
      <c r="BW94" t="e">
        <f>'2.4.Функции'!EJ178+"BYw!&amp;%)"</f>
        <v>#VALUE!</v>
      </c>
      <c r="BX94" t="e">
        <f>'2.4.Функции'!EK178+"BYw!&amp;%."</f>
        <v>#VALUE!</v>
      </c>
      <c r="BY94" t="e">
        <f>'2.4.Функции'!EL178+"BYw!&amp;%/"</f>
        <v>#VALUE!</v>
      </c>
      <c r="BZ94" t="e">
        <f>'2.4.Функции'!EM178+"BYw!&amp;%0"</f>
        <v>#VALUE!</v>
      </c>
      <c r="CA94" t="e">
        <f>'2.4.Функции'!EN178+"BYw!&amp;%1"</f>
        <v>#VALUE!</v>
      </c>
      <c r="CB94" t="e">
        <f>'2.4.Функции'!EO178+"BYw!&amp;%2"</f>
        <v>#VALUE!</v>
      </c>
      <c r="CC94" t="e">
        <f>'2.4.Функции'!EP178+"BYw!&amp;%3"</f>
        <v>#VALUE!</v>
      </c>
      <c r="CD94" t="e">
        <f>'2.4.Функции'!EQ178+"BYw!&amp;%4"</f>
        <v>#VALUE!</v>
      </c>
      <c r="CE94" t="e">
        <f>'2.4.Функции'!ER178+"BYw!&amp;%5"</f>
        <v>#VALUE!</v>
      </c>
      <c r="CF94" t="e">
        <f>'2.4.Функции'!ES178+"BYw!&amp;%6"</f>
        <v>#VALUE!</v>
      </c>
      <c r="CG94" t="e">
        <f>'2.4.Функции'!ET178+"BYw!&amp;%7"</f>
        <v>#VALUE!</v>
      </c>
      <c r="CH94" t="e">
        <f>'2.4.Функции'!EU178+"BYw!&amp;%8"</f>
        <v>#VALUE!</v>
      </c>
      <c r="CI94" t="e">
        <f>'2.4.Функции'!EV178+"BYw!&amp;%9"</f>
        <v>#VALUE!</v>
      </c>
      <c r="CJ94" t="e">
        <f>'2.4.Функции'!EW178+"BYw!&amp;%:"</f>
        <v>#VALUE!</v>
      </c>
      <c r="CK94" t="e">
        <f>'2.4.Функции'!EX178+"BYw!&amp;%;"</f>
        <v>#VALUE!</v>
      </c>
      <c r="CL94" t="e">
        <f>'2.4.Функции'!EY178+"BYw!&amp;%&lt;"</f>
        <v>#VALUE!</v>
      </c>
      <c r="CM94" t="e">
        <f>'2.4.Функции'!EZ178+"BYw!&amp;%="</f>
        <v>#VALUE!</v>
      </c>
      <c r="CN94" t="e">
        <f>'2.4.Функции'!FA178+"BYw!&amp;%&gt;"</f>
        <v>#VALUE!</v>
      </c>
      <c r="CO94" t="e">
        <f>'2.4.Функции'!FB178+"BYw!&amp;%?"</f>
        <v>#VALUE!</v>
      </c>
      <c r="CP94" t="e">
        <f>'2.4.Функции'!FC178+"BYw!&amp;%@"</f>
        <v>#VALUE!</v>
      </c>
      <c r="CQ94" t="e">
        <f>'2.4.Функции'!FD178+"BYw!&amp;%A"</f>
        <v>#VALUE!</v>
      </c>
      <c r="CR94" t="e">
        <f>'2.4.Функции'!FE178+"BYw!&amp;%B"</f>
        <v>#VALUE!</v>
      </c>
      <c r="CS94" t="e">
        <f>'2.4.Функции'!FF178+"BYw!&amp;%C"</f>
        <v>#VALUE!</v>
      </c>
      <c r="CT94" t="e">
        <f>'2.4.Функции'!FG178+"BYw!&amp;%D"</f>
        <v>#VALUE!</v>
      </c>
      <c r="CU94" t="e">
        <f>'2.4.Функции'!FH178+"BYw!&amp;%E"</f>
        <v>#VALUE!</v>
      </c>
      <c r="CV94" t="e">
        <f>'2.4.Функции'!FI178+"BYw!&amp;%F"</f>
        <v>#VALUE!</v>
      </c>
      <c r="CW94" t="e">
        <f>'2.4.Функции'!FJ178+"BYw!&amp;%G"</f>
        <v>#VALUE!</v>
      </c>
      <c r="CX94" t="e">
        <f>'2.4.Функции'!FK178+"BYw!&amp;%H"</f>
        <v>#VALUE!</v>
      </c>
      <c r="CY94" t="e">
        <f>'2.4.Функции'!FL178+"BYw!&amp;%I"</f>
        <v>#VALUE!</v>
      </c>
      <c r="CZ94" t="e">
        <f>'2.4.Функции'!FM178+"BYw!&amp;%J"</f>
        <v>#VALUE!</v>
      </c>
      <c r="DA94" t="e">
        <f>'2.4.Функции'!FN178+"BYw!&amp;%K"</f>
        <v>#VALUE!</v>
      </c>
      <c r="DB94" t="e">
        <f>'2.4.Функции'!FO178+"BYw!&amp;%L"</f>
        <v>#VALUE!</v>
      </c>
      <c r="DC94" t="e">
        <f>'2.4.Функции'!FP178+"BYw!&amp;%M"</f>
        <v>#VALUE!</v>
      </c>
      <c r="DD94" t="e">
        <f>'2.4.Функции'!FQ178+"BYw!&amp;%N"</f>
        <v>#VALUE!</v>
      </c>
      <c r="DE94" t="e">
        <f>'2.4.Функции'!FR178+"BYw!&amp;%O"</f>
        <v>#VALUE!</v>
      </c>
      <c r="DF94" t="e">
        <f>'2.4.Функции'!FS178+"BYw!&amp;%P"</f>
        <v>#VALUE!</v>
      </c>
      <c r="DG94" t="e">
        <f>'2.4.Функции'!FT178+"BYw!&amp;%Q"</f>
        <v>#VALUE!</v>
      </c>
      <c r="DH94" t="e">
        <f>'2.4.Функции'!FU178+"BYw!&amp;%R"</f>
        <v>#VALUE!</v>
      </c>
      <c r="DI94" t="e">
        <f>'2.4.Функции'!FV178+"BYw!&amp;%S"</f>
        <v>#VALUE!</v>
      </c>
      <c r="DJ94" t="e">
        <f>'2.4.Функции'!FW178+"BYw!&amp;%T"</f>
        <v>#VALUE!</v>
      </c>
      <c r="DK94" t="e">
        <f>'2.4.Функции'!FX178+"BYw!&amp;%U"</f>
        <v>#VALUE!</v>
      </c>
      <c r="DL94" t="e">
        <f>'2.4.Функции'!FY178+"BYw!&amp;%V"</f>
        <v>#VALUE!</v>
      </c>
      <c r="DM94" t="e">
        <f>'2.4.Функции'!FZ178+"BYw!&amp;%W"</f>
        <v>#VALUE!</v>
      </c>
      <c r="DN94" t="e">
        <f>'2.4.Функции'!GA178+"BYw!&amp;%X"</f>
        <v>#VALUE!</v>
      </c>
      <c r="DO94" t="e">
        <f>'2.4.Функции'!GB178+"BYw!&amp;%Y"</f>
        <v>#VALUE!</v>
      </c>
      <c r="DP94" t="e">
        <f>'2.4.Функции'!GC178+"BYw!&amp;%Z"</f>
        <v>#VALUE!</v>
      </c>
      <c r="DQ94" t="e">
        <f>'2.4.Функции'!GD178+"BYw!&amp;%["</f>
        <v>#VALUE!</v>
      </c>
      <c r="DR94" t="e">
        <f>'2.4.Функции'!GE178+"BYw!&amp;%\"</f>
        <v>#VALUE!</v>
      </c>
      <c r="DS94" t="e">
        <f>'2.4.Функции'!GF178+"BYw!&amp;%]"</f>
        <v>#VALUE!</v>
      </c>
      <c r="DT94" t="e">
        <f>'2.4.Функции'!GG178+"BYw!&amp;%^"</f>
        <v>#VALUE!</v>
      </c>
      <c r="DU94" t="e">
        <f>'2.4.Функции'!GH178+"BYw!&amp;%_"</f>
        <v>#VALUE!</v>
      </c>
      <c r="DV94" t="e">
        <f>'2.4.Функции'!GI178+"BYw!&amp;%`"</f>
        <v>#VALUE!</v>
      </c>
      <c r="DW94" t="e">
        <f>'2.4.Функции'!GJ178+"BYw!&amp;%a"</f>
        <v>#VALUE!</v>
      </c>
      <c r="DX94" t="e">
        <f>'2.4.Функции'!GK178+"BYw!&amp;%b"</f>
        <v>#VALUE!</v>
      </c>
      <c r="DY94" t="e">
        <f>'2.4.Функции'!GL178+"BYw!&amp;%c"</f>
        <v>#VALUE!</v>
      </c>
      <c r="DZ94" t="e">
        <f>'2.4.Функции'!GM178+"BYw!&amp;%d"</f>
        <v>#VALUE!</v>
      </c>
      <c r="EA94" t="e">
        <f>'2.4.Функции'!GN178+"BYw!&amp;%e"</f>
        <v>#VALUE!</v>
      </c>
      <c r="EB94" t="e">
        <f>'2.4.Функции'!GO178+"BYw!&amp;%f"</f>
        <v>#VALUE!</v>
      </c>
      <c r="EC94" t="e">
        <f>'2.4.Функции'!GP178+"BYw!&amp;%g"</f>
        <v>#VALUE!</v>
      </c>
      <c r="ED94" t="e">
        <f>'2.4.Функции'!GQ178+"BYw!&amp;%h"</f>
        <v>#VALUE!</v>
      </c>
      <c r="EE94" t="e">
        <f>'2.4.Функции'!GR178+"BYw!&amp;%i"</f>
        <v>#VALUE!</v>
      </c>
      <c r="EF94" t="e">
        <f>'2.4.Функции'!GS178+"BYw!&amp;%j"</f>
        <v>#VALUE!</v>
      </c>
      <c r="EG94" t="e">
        <f>'2.4.Функции'!GT178+"BYw!&amp;%k"</f>
        <v>#VALUE!</v>
      </c>
      <c r="EH94" t="e">
        <f>'2.4.Функции'!GU178+"BYw!&amp;%l"</f>
        <v>#VALUE!</v>
      </c>
      <c r="EI94" t="e">
        <f>'2.4.Функции'!GV178+"BYw!&amp;%m"</f>
        <v>#VALUE!</v>
      </c>
      <c r="EJ94" t="e">
        <f>'2.4.Функции'!GW178+"BYw!&amp;%n"</f>
        <v>#VALUE!</v>
      </c>
      <c r="EK94" t="e">
        <f>'2.4.Функции'!GX178+"BYw!&amp;%o"</f>
        <v>#VALUE!</v>
      </c>
      <c r="EL94" t="e">
        <f>'2.4.Функции'!GY178+"BYw!&amp;%p"</f>
        <v>#VALUE!</v>
      </c>
      <c r="EM94" t="e">
        <f>'2.4.Функции'!GZ178+"BYw!&amp;%q"</f>
        <v>#VALUE!</v>
      </c>
      <c r="EN94" t="e">
        <f>'2.4.Функции'!HA178+"BYw!&amp;%r"</f>
        <v>#VALUE!</v>
      </c>
      <c r="EO94" t="e">
        <f>'2.4.Функции'!HB178+"BYw!&amp;%s"</f>
        <v>#VALUE!</v>
      </c>
      <c r="EP94" t="e">
        <f>'2.4.Функции'!HC178+"BYw!&amp;%t"</f>
        <v>#VALUE!</v>
      </c>
      <c r="EQ94" t="e">
        <f>'2.4.Функции'!HD178+"BYw!&amp;%u"</f>
        <v>#VALUE!</v>
      </c>
      <c r="ER94" t="e">
        <f>'2.4.Функции'!HE178+"BYw!&amp;%v"</f>
        <v>#VALUE!</v>
      </c>
      <c r="ES94" t="e">
        <f>'2.4.Функции'!HF178+"BYw!&amp;%w"</f>
        <v>#VALUE!</v>
      </c>
      <c r="ET94" t="e">
        <f>'2.4.Функции'!HG178+"BYw!&amp;%x"</f>
        <v>#VALUE!</v>
      </c>
      <c r="EU94" t="e">
        <f>'2.4.Функции'!HH178+"BYw!&amp;%y"</f>
        <v>#VALUE!</v>
      </c>
      <c r="EV94" t="e">
        <f>'2.4.Функции'!HI178+"BYw!&amp;%z"</f>
        <v>#VALUE!</v>
      </c>
      <c r="EW94" t="e">
        <f>'2.4.Функции'!HJ178+"BYw!&amp;%{"</f>
        <v>#VALUE!</v>
      </c>
      <c r="EX94" t="e">
        <f>'2.4.Функции'!HK178+"BYw!&amp;%|"</f>
        <v>#VALUE!</v>
      </c>
      <c r="EY94" t="e">
        <f>'2.4.Функции'!HL178+"BYw!&amp;%}"</f>
        <v>#VALUE!</v>
      </c>
      <c r="EZ94" t="e">
        <f>'2.4.Функции'!HM178+"BYw!&amp;%~"</f>
        <v>#VALUE!</v>
      </c>
      <c r="FA94" t="e">
        <f>'2.4.Функции'!HN178+"BYw!&amp;&amp;#"</f>
        <v>#VALUE!</v>
      </c>
      <c r="FB94" t="e">
        <f>'2.4.Функции'!HO178+"BYw!&amp;&amp;$"</f>
        <v>#VALUE!</v>
      </c>
      <c r="FC94" t="e">
        <f>'2.4.Функции'!HP178+"BYw!&amp;&amp;%"</f>
        <v>#VALUE!</v>
      </c>
      <c r="FD94" t="e">
        <f>'2.4.Функции'!HQ178+"BYw!&amp;&amp;&amp;"</f>
        <v>#VALUE!</v>
      </c>
      <c r="FE94" t="e">
        <f>'2.4.Функции'!HR178+"BYw!&amp;&amp;'"</f>
        <v>#VALUE!</v>
      </c>
      <c r="FF94" t="e">
        <f>'2.4.Функции'!HS178+"BYw!&amp;&amp;("</f>
        <v>#VALUE!</v>
      </c>
      <c r="FG94" t="e">
        <f>'2.4.Функции'!HT178+"BYw!&amp;&amp;)"</f>
        <v>#VALUE!</v>
      </c>
      <c r="FH94" t="e">
        <f>'2.4.Функции'!HU178+"BYw!&amp;&amp;."</f>
        <v>#VALUE!</v>
      </c>
      <c r="FI94" t="e">
        <f>'2.4.Функции'!HV178+"BYw!&amp;&amp;/"</f>
        <v>#VALUE!</v>
      </c>
      <c r="FJ94" t="e">
        <f>'2.4.Функции'!HW178+"BYw!&amp;&amp;0"</f>
        <v>#VALUE!</v>
      </c>
      <c r="FK94" t="e">
        <f>'2.4.Функции'!HX178+"BYw!&amp;&amp;1"</f>
        <v>#VALUE!</v>
      </c>
      <c r="FL94" t="e">
        <f>'2.4.Функции'!HY178+"BYw!&amp;&amp;2"</f>
        <v>#VALUE!</v>
      </c>
      <c r="FM94" t="e">
        <f>'2.4.Функции'!HZ178+"BYw!&amp;&amp;3"</f>
        <v>#VALUE!</v>
      </c>
      <c r="FN94" t="e">
        <f>'2.4.Функции'!IA178+"BYw!&amp;&amp;4"</f>
        <v>#VALUE!</v>
      </c>
      <c r="FO94" t="e">
        <f>'2.4.Функции'!IB178+"BYw!&amp;&amp;5"</f>
        <v>#VALUE!</v>
      </c>
      <c r="FP94" t="e">
        <f>'2.4.Функции'!IC178+"BYw!&amp;&amp;6"</f>
        <v>#VALUE!</v>
      </c>
      <c r="FQ94" t="e">
        <f>'2.4.Функции'!ID178+"BYw!&amp;&amp;7"</f>
        <v>#VALUE!</v>
      </c>
      <c r="FR94" t="e">
        <f>'2.4.Функции'!IE178+"BYw!&amp;&amp;8"</f>
        <v>#VALUE!</v>
      </c>
      <c r="FS94" t="e">
        <f>'2.4.Функции'!IF178+"BYw!&amp;&amp;9"</f>
        <v>#VALUE!</v>
      </c>
      <c r="FT94" t="e">
        <f>'2.4.Функции'!IG178+"BYw!&amp;&amp;:"</f>
        <v>#VALUE!</v>
      </c>
      <c r="FU94" t="e">
        <f>'2.4.Функции'!IH178+"BYw!&amp;&amp;;"</f>
        <v>#VALUE!</v>
      </c>
      <c r="FV94" t="e">
        <f>'2.4.Функции'!II178+"BYw!&amp;&amp;&lt;"</f>
        <v>#VALUE!</v>
      </c>
      <c r="FW94" t="e">
        <f>'2.4.Функции'!IJ178+"BYw!&amp;&amp;="</f>
        <v>#VALUE!</v>
      </c>
      <c r="FX94" t="e">
        <f>'2.4.Функции'!IK178+"BYw!&amp;&amp;&gt;"</f>
        <v>#VALUE!</v>
      </c>
      <c r="FY94" t="e">
        <f>'2.4.Функции'!IL178+"BYw!&amp;&amp;?"</f>
        <v>#VALUE!</v>
      </c>
      <c r="FZ94" t="e">
        <f>'2.4.Функции'!IM178+"BYw!&amp;&amp;@"</f>
        <v>#VALUE!</v>
      </c>
      <c r="GA94" t="e">
        <f>'2.4.Функции'!IN178+"BYw!&amp;&amp;A"</f>
        <v>#VALUE!</v>
      </c>
      <c r="GB94" t="e">
        <f>'2.4.Функции'!IO178+"BYw!&amp;&amp;B"</f>
        <v>#VALUE!</v>
      </c>
      <c r="GC94" t="e">
        <f>'2.4.Функции'!IP178+"BYw!&amp;&amp;C"</f>
        <v>#VALUE!</v>
      </c>
      <c r="GD94" t="e">
        <f>'2.4.Функции'!IQ178+"BYw!&amp;&amp;D"</f>
        <v>#VALUE!</v>
      </c>
      <c r="GE94" t="e">
        <f>'2.4.Функции'!IR178+"BYw!&amp;&amp;E"</f>
        <v>#VALUE!</v>
      </c>
      <c r="GF94" t="e">
        <f>'2.4.Функции'!IS178+"BYw!&amp;&amp;F"</f>
        <v>#VALUE!</v>
      </c>
      <c r="GG94" t="e">
        <f>'2.4.Функции'!IT178+"BYw!&amp;&amp;G"</f>
        <v>#VALUE!</v>
      </c>
      <c r="GH94" t="e">
        <f>'2.4.Функции'!IU178+"BYw!&amp;&amp;H"</f>
        <v>#VALUE!</v>
      </c>
      <c r="GI94" t="e">
        <f>'2.4.Функции'!IV178+"BYw!&amp;&amp;I"</f>
        <v>#VALUE!</v>
      </c>
      <c r="GJ94" t="e">
        <f>'2.4.Функции'!IW178+"BYw!&amp;&amp;J"</f>
        <v>#VALUE!</v>
      </c>
      <c r="GK94" t="e">
        <f>'2.4.Функции'!IX178+"BYw!&amp;&amp;K"</f>
        <v>#VALUE!</v>
      </c>
      <c r="GL94" t="e">
        <f>'2.4.Функции'!IY178+"BYw!&amp;&amp;L"</f>
        <v>#VALUE!</v>
      </c>
      <c r="GM94" t="e">
        <f>'2.4.Функции'!IZ178+"BYw!&amp;&amp;M"</f>
        <v>#VALUE!</v>
      </c>
      <c r="GN94" t="e">
        <f>'2.4.Функции'!JA178+"BYw!&amp;&amp;N"</f>
        <v>#VALUE!</v>
      </c>
      <c r="GO94" t="e">
        <f>'2.4.Функции'!JB178+"BYw!&amp;&amp;O"</f>
        <v>#VALUE!</v>
      </c>
      <c r="GP94" t="e">
        <f>'2.4.Функции'!JC178+"BYw!&amp;&amp;P"</f>
        <v>#VALUE!</v>
      </c>
      <c r="GQ94" t="e">
        <f>'2.4.Функции'!JD178+"BYw!&amp;&amp;Q"</f>
        <v>#VALUE!</v>
      </c>
      <c r="GR94" t="e">
        <f>'2.4.Функции'!JE178+"BYw!&amp;&amp;R"</f>
        <v>#VALUE!</v>
      </c>
      <c r="GS94" t="e">
        <f>'2.4.Функции'!JF178+"BYw!&amp;&amp;S"</f>
        <v>#VALUE!</v>
      </c>
      <c r="GT94" t="e">
        <f>'2.4.Функции'!JG178+"BYw!&amp;&amp;T"</f>
        <v>#VALUE!</v>
      </c>
      <c r="GU94" t="e">
        <f>'2.4.Функции'!JH178+"BYw!&amp;&amp;U"</f>
        <v>#VALUE!</v>
      </c>
      <c r="GV94" t="e">
        <f>'2.4.Функции'!JI178+"BYw!&amp;&amp;V"</f>
        <v>#VALUE!</v>
      </c>
      <c r="GW94" t="e">
        <f>'2.4.Функции'!JJ178+"BYw!&amp;&amp;W"</f>
        <v>#VALUE!</v>
      </c>
      <c r="GX94" t="e">
        <f>'2.4.Функции'!JK178+"BYw!&amp;&amp;X"</f>
        <v>#VALUE!</v>
      </c>
      <c r="GY94" t="e">
        <f>'2.4.Функции'!JL178+"BYw!&amp;&amp;Y"</f>
        <v>#VALUE!</v>
      </c>
      <c r="GZ94" t="e">
        <f>'2.4.Функции'!JM178+"BYw!&amp;&amp;Z"</f>
        <v>#VALUE!</v>
      </c>
      <c r="HA94" t="e">
        <f>'2.4.Функции'!JN178+"BYw!&amp;&amp;["</f>
        <v>#VALUE!</v>
      </c>
      <c r="HB94" t="e">
        <f>'2.4.Функции'!JO178+"BYw!&amp;&amp;\"</f>
        <v>#VALUE!</v>
      </c>
      <c r="HC94" t="e">
        <f>'2.4.Функции'!JP178+"BYw!&amp;&amp;]"</f>
        <v>#VALUE!</v>
      </c>
      <c r="HD94" t="e">
        <f>'2.4.Функции'!JQ178+"BYw!&amp;&amp;^"</f>
        <v>#VALUE!</v>
      </c>
      <c r="HE94" t="e">
        <f>'2.4.Функции'!JR178+"BYw!&amp;&amp;_"</f>
        <v>#VALUE!</v>
      </c>
      <c r="HF94" t="e">
        <f>'2.4.Функции'!JS178+"BYw!&amp;&amp;`"</f>
        <v>#VALUE!</v>
      </c>
      <c r="HG94" t="e">
        <f>'2.4.Функции'!JT178+"BYw!&amp;&amp;a"</f>
        <v>#VALUE!</v>
      </c>
      <c r="HH94" t="e">
        <f>'2.4.Функции'!JU178+"BYw!&amp;&amp;b"</f>
        <v>#VALUE!</v>
      </c>
      <c r="HI94" t="e">
        <f>'2.4.Функции'!JV178+"BYw!&amp;&amp;c"</f>
        <v>#VALUE!</v>
      </c>
      <c r="HJ94" t="e">
        <f>'2.4.Функции'!JW178+"BYw!&amp;&amp;d"</f>
        <v>#VALUE!</v>
      </c>
      <c r="HK94" t="e">
        <f>'2.4.Функции'!JX178+"BYw!&amp;&amp;e"</f>
        <v>#VALUE!</v>
      </c>
      <c r="HL94" t="e">
        <f>'2.4.Функции'!JY178+"BYw!&amp;&amp;f"</f>
        <v>#VALUE!</v>
      </c>
      <c r="HM94" t="e">
        <f>'2.4.Функции'!JZ178+"BYw!&amp;&amp;g"</f>
        <v>#VALUE!</v>
      </c>
      <c r="HN94" t="e">
        <f>'2.4.Функции'!KA178+"BYw!&amp;&amp;h"</f>
        <v>#VALUE!</v>
      </c>
      <c r="HO94" t="e">
        <f>'2.4.Функции'!KB178+"BYw!&amp;&amp;i"</f>
        <v>#VALUE!</v>
      </c>
      <c r="HP94" t="e">
        <f>'2.4.Функции'!KC178+"BYw!&amp;&amp;j"</f>
        <v>#VALUE!</v>
      </c>
      <c r="HQ94" t="e">
        <f>'2.4.Функции'!KD178+"BYw!&amp;&amp;k"</f>
        <v>#VALUE!</v>
      </c>
      <c r="HR94" t="e">
        <f>'2.4.Функции'!KE178+"BYw!&amp;&amp;l"</f>
        <v>#VALUE!</v>
      </c>
      <c r="HS94" t="e">
        <f>'2.4.Функции'!KF178+"BYw!&amp;&amp;m"</f>
        <v>#VALUE!</v>
      </c>
      <c r="HT94" t="e">
        <f>'2.4.Функции'!KG178+"BYw!&amp;&amp;n"</f>
        <v>#VALUE!</v>
      </c>
      <c r="HU94" t="e">
        <f>'2.4.Функции'!KH178+"BYw!&amp;&amp;o"</f>
        <v>#VALUE!</v>
      </c>
      <c r="HV94" t="e">
        <f>'2.4.Функции'!KI178+"BYw!&amp;&amp;p"</f>
        <v>#VALUE!</v>
      </c>
      <c r="HW94" t="e">
        <f>'2.4.Функции'!KJ178+"BYw!&amp;&amp;q"</f>
        <v>#VALUE!</v>
      </c>
      <c r="HX94" t="e">
        <f>'2.4.Функции'!KK178+"BYw!&amp;&amp;r"</f>
        <v>#VALUE!</v>
      </c>
      <c r="HY94" t="e">
        <f>'2.4.Функции'!KL178+"BYw!&amp;&amp;s"</f>
        <v>#VALUE!</v>
      </c>
      <c r="HZ94" t="e">
        <f>'2.4.Функции'!KM178+"BYw!&amp;&amp;t"</f>
        <v>#VALUE!</v>
      </c>
      <c r="IA94" t="e">
        <f>'2.4.Функции'!KN178+"BYw!&amp;&amp;u"</f>
        <v>#VALUE!</v>
      </c>
      <c r="IB94" t="e">
        <f>'2.4.Функции'!KO178+"BYw!&amp;&amp;v"</f>
        <v>#VALUE!</v>
      </c>
      <c r="IC94" t="e">
        <f>'2.4.Функции'!KP178+"BYw!&amp;&amp;w"</f>
        <v>#VALUE!</v>
      </c>
      <c r="ID94" t="e">
        <f>'2.4.Функции'!KQ178+"BYw!&amp;&amp;x"</f>
        <v>#VALUE!</v>
      </c>
      <c r="IE94" t="e">
        <f>'2.4.Функции'!KR178+"BYw!&amp;&amp;y"</f>
        <v>#VALUE!</v>
      </c>
      <c r="IF94" t="e">
        <f>'2.4.Функции'!KS178+"BYw!&amp;&amp;z"</f>
        <v>#VALUE!</v>
      </c>
      <c r="IG94" t="e">
        <f>'2.4.Функции'!KT178+"BYw!&amp;&amp;{"</f>
        <v>#VALUE!</v>
      </c>
      <c r="IH94" t="e">
        <f>'2.4.Функции'!KU178+"BYw!&amp;&amp;|"</f>
        <v>#VALUE!</v>
      </c>
      <c r="II94" t="e">
        <f>'2.4.Функции'!KV178+"BYw!&amp;&amp;}"</f>
        <v>#VALUE!</v>
      </c>
      <c r="IJ94" t="e">
        <f>'2.4.Функции'!KW178+"BYw!&amp;&amp;~"</f>
        <v>#VALUE!</v>
      </c>
      <c r="IK94" t="e">
        <f>'2.4.Функции'!KX178+"BYw!&amp;'#"</f>
        <v>#VALUE!</v>
      </c>
      <c r="IL94" t="e">
        <f>'2.4.Функции'!KY178+"BYw!&amp;'$"</f>
        <v>#VALUE!</v>
      </c>
      <c r="IM94" t="e">
        <f>'2.4.Функции'!KZ178+"BYw!&amp;'%"</f>
        <v>#VALUE!</v>
      </c>
      <c r="IN94" t="e">
        <f>'2.4.Функции'!LA178+"BYw!&amp;'&amp;"</f>
        <v>#VALUE!</v>
      </c>
      <c r="IO94" t="e">
        <f>'2.4.Функции'!LB178+"BYw!&amp;''"</f>
        <v>#VALUE!</v>
      </c>
      <c r="IP94" t="e">
        <f>'2.4.Функции'!LC178+"BYw!&amp;'("</f>
        <v>#VALUE!</v>
      </c>
      <c r="IQ94" t="e">
        <f>'2.4.Функции'!LD178+"BYw!&amp;')"</f>
        <v>#VALUE!</v>
      </c>
      <c r="IR94" t="e">
        <f>'2.4.Функции'!LE178+"BYw!&amp;'."</f>
        <v>#VALUE!</v>
      </c>
      <c r="IS94" t="e">
        <f>'2.4.Функции'!LF178+"BYw!&amp;'/"</f>
        <v>#VALUE!</v>
      </c>
      <c r="IT94" t="e">
        <f>'2.4.Функции'!LG178+"BYw!&amp;'0"</f>
        <v>#VALUE!</v>
      </c>
      <c r="IU94" t="e">
        <f>'2.4.Функции'!LH178+"BYw!&amp;'1"</f>
        <v>#VALUE!</v>
      </c>
      <c r="IV94" t="e">
        <f>'2.4.Функции'!LI178+"BYw!&amp;'2"</f>
        <v>#VALUE!</v>
      </c>
    </row>
    <row r="95" spans="6:256" x14ac:dyDescent="0.2">
      <c r="F95" t="e">
        <f>'2.4.Функции'!LJ178+"BYw!&amp;'3"</f>
        <v>#VALUE!</v>
      </c>
      <c r="G95" t="e">
        <f>'2.4.Функции'!LK178+"BYw!&amp;'4"</f>
        <v>#VALUE!</v>
      </c>
      <c r="H95" t="e">
        <f>'2.4.Функции'!LL178+"BYw!&amp;'5"</f>
        <v>#VALUE!</v>
      </c>
      <c r="I95" t="e">
        <f>'2.4.Функции'!LM178+"BYw!&amp;'6"</f>
        <v>#VALUE!</v>
      </c>
      <c r="J95" t="e">
        <f>'2.4.Функции'!LN178+"BYw!&amp;'7"</f>
        <v>#VALUE!</v>
      </c>
      <c r="K95" t="e">
        <f>'2.4.Функции'!LO178+"BYw!&amp;'8"</f>
        <v>#VALUE!</v>
      </c>
      <c r="L95" t="e">
        <f>'2.4.Функции'!LP178+"BYw!&amp;'9"</f>
        <v>#VALUE!</v>
      </c>
      <c r="M95" t="e">
        <f>'2.4.Функции'!LQ178+"BYw!&amp;':"</f>
        <v>#VALUE!</v>
      </c>
      <c r="N95" t="e">
        <f>'2.4.Функции'!LR178+"BYw!&amp;';"</f>
        <v>#VALUE!</v>
      </c>
      <c r="O95" t="e">
        <f>'2.4.Функции'!LS178+"BYw!&amp;'&lt;"</f>
        <v>#VALUE!</v>
      </c>
      <c r="P95" t="e">
        <f>'2.4.Функции'!LT178+"BYw!&amp;'="</f>
        <v>#VALUE!</v>
      </c>
      <c r="Q95" t="e">
        <f>'2.4.Функции'!LU178+"BYw!&amp;'&gt;"</f>
        <v>#VALUE!</v>
      </c>
      <c r="R95" t="e">
        <f>'2.4.Функции'!LV178+"BYw!&amp;'?"</f>
        <v>#VALUE!</v>
      </c>
      <c r="S95" t="e">
        <f>'2.4.Функции'!LW178+"BYw!&amp;'@"</f>
        <v>#VALUE!</v>
      </c>
      <c r="T95" t="e">
        <f>'2.4.Функции'!LX178+"BYw!&amp;'A"</f>
        <v>#VALUE!</v>
      </c>
      <c r="U95" t="e">
        <f>'2.4.Функции'!LY178+"BYw!&amp;'B"</f>
        <v>#VALUE!</v>
      </c>
      <c r="V95" t="e">
        <f>'2.4.Функции'!LZ178+"BYw!&amp;'C"</f>
        <v>#VALUE!</v>
      </c>
      <c r="W95" t="e">
        <f>'2.4.Функции'!MA178+"BYw!&amp;'D"</f>
        <v>#VALUE!</v>
      </c>
      <c r="X95" t="e">
        <f>'2.4.Функции'!MB178+"BYw!&amp;'E"</f>
        <v>#VALUE!</v>
      </c>
      <c r="Y95" t="e">
        <f>'2.4.Функции'!MC178+"BYw!&amp;'F"</f>
        <v>#VALUE!</v>
      </c>
      <c r="Z95" t="e">
        <f>'2.4.Функции'!MD178+"BYw!&amp;'G"</f>
        <v>#VALUE!</v>
      </c>
      <c r="AA95" t="e">
        <f>'2.4.Функции'!ME178+"BYw!&amp;'H"</f>
        <v>#VALUE!</v>
      </c>
      <c r="AB95" t="e">
        <f>'2.4.Функции'!MF178+"BYw!&amp;'I"</f>
        <v>#VALUE!</v>
      </c>
      <c r="AC95" t="e">
        <f>'2.4.Функции'!MG178+"BYw!&amp;'J"</f>
        <v>#VALUE!</v>
      </c>
      <c r="AD95" t="e">
        <f>'2.4.Функции'!MH178+"BYw!&amp;'K"</f>
        <v>#VALUE!</v>
      </c>
      <c r="AE95" t="e">
        <f>'2.4.Функции'!MI178+"BYw!&amp;'L"</f>
        <v>#VALUE!</v>
      </c>
      <c r="AF95" t="e">
        <f>'2.4.Функции'!MJ178+"BYw!&amp;'M"</f>
        <v>#VALUE!</v>
      </c>
      <c r="AG95" t="e">
        <f>'2.4.Функции'!MK178+"BYw!&amp;'N"</f>
        <v>#VALUE!</v>
      </c>
      <c r="AH95" t="e">
        <f>'2.4.Функции'!ML178+"BYw!&amp;'O"</f>
        <v>#VALUE!</v>
      </c>
      <c r="AI95" t="e">
        <f>'2.4.Функции'!MM178+"BYw!&amp;'P"</f>
        <v>#VALUE!</v>
      </c>
      <c r="AJ95" t="e">
        <f>'2.4.Функции'!MN178+"BYw!&amp;'Q"</f>
        <v>#VALUE!</v>
      </c>
      <c r="AK95" t="e">
        <f>'2.4.Функции'!MO178+"BYw!&amp;'R"</f>
        <v>#VALUE!</v>
      </c>
      <c r="AL95" t="e">
        <f>'2.4.Функции'!MP178+"BYw!&amp;'S"</f>
        <v>#VALUE!</v>
      </c>
      <c r="AM95" t="e">
        <f>'2.4.Функции'!MQ178+"BYw!&amp;'T"</f>
        <v>#VALUE!</v>
      </c>
      <c r="AN95" t="e">
        <f>'2.4.Функции'!MR178+"BYw!&amp;'U"</f>
        <v>#VALUE!</v>
      </c>
      <c r="AO95" t="e">
        <f>'2.4.Функции'!MS178+"BYw!&amp;'V"</f>
        <v>#VALUE!</v>
      </c>
      <c r="AP95" t="e">
        <f>'2.4.Функции'!MT178+"BYw!&amp;'W"</f>
        <v>#VALUE!</v>
      </c>
      <c r="AQ95" t="e">
        <f>'2.4.Функции'!MU178+"BYw!&amp;'X"</f>
        <v>#VALUE!</v>
      </c>
      <c r="AR95" t="e">
        <f>'2.4.Функции'!MV178+"BYw!&amp;'Y"</f>
        <v>#VALUE!</v>
      </c>
      <c r="AS95" t="e">
        <f>'2.4.Функции'!MW178+"BYw!&amp;'Z"</f>
        <v>#VALUE!</v>
      </c>
      <c r="AT95" t="e">
        <f>'2.4.Функции'!MX178+"BYw!&amp;'["</f>
        <v>#VALUE!</v>
      </c>
      <c r="AU95" t="e">
        <f>'2.4.Функции'!MY178+"BYw!&amp;'\"</f>
        <v>#VALUE!</v>
      </c>
      <c r="AV95" t="e">
        <f>'2.4.Функции'!MZ178+"BYw!&amp;']"</f>
        <v>#VALUE!</v>
      </c>
      <c r="AW95" t="e">
        <f>'2.4.Функции'!NA178+"BYw!&amp;'^"</f>
        <v>#VALUE!</v>
      </c>
      <c r="AX95" t="e">
        <f>'2.4.Функции'!NB178+"BYw!&amp;'_"</f>
        <v>#VALUE!</v>
      </c>
      <c r="AY95" t="e">
        <f>'2.4.Функции'!NC178+"BYw!&amp;'`"</f>
        <v>#VALUE!</v>
      </c>
      <c r="AZ95" t="e">
        <f>'2.4.Функции'!ND178+"BYw!&amp;'a"</f>
        <v>#VALUE!</v>
      </c>
      <c r="BA95" t="e">
        <f>'2.4.Функции'!NE178+"BYw!&amp;'b"</f>
        <v>#VALUE!</v>
      </c>
      <c r="BB95" t="e">
        <f>'2.4.Функции'!NF178+"BYw!&amp;'c"</f>
        <v>#VALUE!</v>
      </c>
      <c r="BC95" t="e">
        <f>'2.4.Функции'!NG178+"BYw!&amp;'d"</f>
        <v>#VALUE!</v>
      </c>
      <c r="BD95" t="e">
        <f>'2.4.Функции'!NH178+"BYw!&amp;'e"</f>
        <v>#VALUE!</v>
      </c>
      <c r="BE95" t="e">
        <f>'2.4.Функции'!NI178+"BYw!&amp;'f"</f>
        <v>#VALUE!</v>
      </c>
      <c r="BF95" t="e">
        <f>'2.4.Функции'!NJ178+"BYw!&amp;'g"</f>
        <v>#VALUE!</v>
      </c>
      <c r="BG95" t="e">
        <f>'2.4.Функции'!NK178+"BYw!&amp;'h"</f>
        <v>#VALUE!</v>
      </c>
      <c r="BH95" t="e">
        <f>'2.4.Функции'!NL178+"BYw!&amp;'i"</f>
        <v>#VALUE!</v>
      </c>
      <c r="BI95" t="e">
        <f>'2.4.Функции'!NM178+"BYw!&amp;'j"</f>
        <v>#VALUE!</v>
      </c>
      <c r="BJ95" t="e">
        <f>'2.4.Функции'!NN178+"BYw!&amp;'k"</f>
        <v>#VALUE!</v>
      </c>
      <c r="BK95" t="e">
        <f>'2.4.Функции'!NO178+"BYw!&amp;'l"</f>
        <v>#VALUE!</v>
      </c>
      <c r="BL95" t="e">
        <f>'2.4.Функции'!NP178+"BYw!&amp;'m"</f>
        <v>#VALUE!</v>
      </c>
      <c r="BM95" t="e">
        <f>'2.4.Функции'!NQ178+"BYw!&amp;'n"</f>
        <v>#VALUE!</v>
      </c>
      <c r="BN95" t="e">
        <f>'2.4.Функции'!NR178+"BYw!&amp;'o"</f>
        <v>#VALUE!</v>
      </c>
      <c r="BO95" t="e">
        <f>'2.4.Функции'!NS178+"BYw!&amp;'p"</f>
        <v>#VALUE!</v>
      </c>
      <c r="BP95" t="e">
        <f>'2.4.Функции'!NT178+"BYw!&amp;'q"</f>
        <v>#VALUE!</v>
      </c>
      <c r="BQ95" t="e">
        <f>'2.4.Функции'!NU178+"BYw!&amp;'r"</f>
        <v>#VALUE!</v>
      </c>
      <c r="BR95" t="e">
        <f>'2.4.Функции'!NV178+"BYw!&amp;'s"</f>
        <v>#VALUE!</v>
      </c>
      <c r="BS95" t="e">
        <f>'2.4.Функции'!NW178+"BYw!&amp;'t"</f>
        <v>#VALUE!</v>
      </c>
      <c r="BT95" t="e">
        <f>'2.4.Функции'!NX178+"BYw!&amp;'u"</f>
        <v>#VALUE!</v>
      </c>
      <c r="BU95" t="e">
        <f>'2.4.Функции'!NY178+"BYw!&amp;'v"</f>
        <v>#VALUE!</v>
      </c>
      <c r="BV95" t="e">
        <f>'2.4.Функции'!NZ178+"BYw!&amp;'w"</f>
        <v>#VALUE!</v>
      </c>
      <c r="BW95" t="e">
        <f>'2.4.Функции'!OA178+"BYw!&amp;'x"</f>
        <v>#VALUE!</v>
      </c>
      <c r="BX95" t="e">
        <f>'2.4.Функции'!OB178+"BYw!&amp;'y"</f>
        <v>#VALUE!</v>
      </c>
      <c r="BY95" t="e">
        <f>'2.4.Функции'!OC178+"BYw!&amp;'z"</f>
        <v>#VALUE!</v>
      </c>
      <c r="BZ95" t="e">
        <f>'2.4.Функции'!OD178+"BYw!&amp;'{"</f>
        <v>#VALUE!</v>
      </c>
      <c r="CA95" t="e">
        <f>'2.4.Функции'!OE178+"BYw!&amp;'|"</f>
        <v>#VALUE!</v>
      </c>
      <c r="CB95" t="e">
        <f>'2.4.Функции'!OF178+"BYw!&amp;'}"</f>
        <v>#VALUE!</v>
      </c>
      <c r="CC95" t="e">
        <f>'2.4.Функции'!OG178+"BYw!&amp;'~"</f>
        <v>#VALUE!</v>
      </c>
      <c r="CD95" t="e">
        <f>'2.4.Функции'!OH178+"BYw!&amp;(#"</f>
        <v>#VALUE!</v>
      </c>
      <c r="CE95" t="e">
        <f>'2.4.Функции'!OI178+"BYw!&amp;($"</f>
        <v>#VALUE!</v>
      </c>
      <c r="CF95" t="e">
        <f>'2.4.Функции'!OJ178+"BYw!&amp;(%"</f>
        <v>#VALUE!</v>
      </c>
      <c r="CG95" t="e">
        <f>'2.4.Функции'!OK178+"BYw!&amp;(&amp;"</f>
        <v>#VALUE!</v>
      </c>
      <c r="CH95" t="e">
        <f>'2.4.Функции'!OL178+"BYw!&amp;('"</f>
        <v>#VALUE!</v>
      </c>
      <c r="CI95" t="e">
        <f>'2.4.Функции'!OM178+"BYw!&amp;(("</f>
        <v>#VALUE!</v>
      </c>
      <c r="CJ95" t="e">
        <f>'2.4.Функции'!ON178+"BYw!&amp;()"</f>
        <v>#VALUE!</v>
      </c>
      <c r="CK95" t="e">
        <f>'2.4.Функции'!OO178+"BYw!&amp;(."</f>
        <v>#VALUE!</v>
      </c>
      <c r="CL95" t="e">
        <f>'2.4.Функции'!OP178+"BYw!&amp;(/"</f>
        <v>#VALUE!</v>
      </c>
      <c r="CM95" t="e">
        <f>'2.4.Функции'!OQ178+"BYw!&amp;(0"</f>
        <v>#VALUE!</v>
      </c>
      <c r="CN95" t="e">
        <f>'2.4.Функции'!OR178+"BYw!&amp;(1"</f>
        <v>#VALUE!</v>
      </c>
      <c r="CO95" t="e">
        <f>'2.4.Функции'!OS178+"BYw!&amp;(2"</f>
        <v>#VALUE!</v>
      </c>
      <c r="CP95" t="e">
        <f>'2.4.Функции'!OT178+"BYw!&amp;(3"</f>
        <v>#VALUE!</v>
      </c>
      <c r="CQ95" t="e">
        <f>'2.4.Функции'!OU178+"BYw!&amp;(4"</f>
        <v>#VALUE!</v>
      </c>
      <c r="CR95" t="e">
        <f>'2.4.Функции'!OV178+"BYw!&amp;(5"</f>
        <v>#VALUE!</v>
      </c>
      <c r="CS95" t="e">
        <f>'2.4.Функции'!OW178+"BYw!&amp;(6"</f>
        <v>#VALUE!</v>
      </c>
      <c r="CT95" t="e">
        <f>'2.4.Функции'!OX178+"BYw!&amp;(7"</f>
        <v>#VALUE!</v>
      </c>
      <c r="CU95" t="e">
        <f>'2.4.Функции'!OY178+"BYw!&amp;(8"</f>
        <v>#VALUE!</v>
      </c>
      <c r="CV95" t="e">
        <f>'2.4.Функции'!OZ178+"BYw!&amp;(9"</f>
        <v>#VALUE!</v>
      </c>
      <c r="CW95" t="e">
        <f>'2.4.Функции'!PA178+"BYw!&amp;(:"</f>
        <v>#VALUE!</v>
      </c>
      <c r="CX95" t="e">
        <f>'2.4.Функции'!PB178+"BYw!&amp;(;"</f>
        <v>#VALUE!</v>
      </c>
      <c r="CY95" t="e">
        <f>'2.4.Функции'!PC178+"BYw!&amp;(&lt;"</f>
        <v>#VALUE!</v>
      </c>
      <c r="CZ95" t="e">
        <f>'2.4.Функции'!PD178+"BYw!&amp;(="</f>
        <v>#VALUE!</v>
      </c>
      <c r="DA95" t="e">
        <f>'2.4.Функции'!PE178+"BYw!&amp;(&gt;"</f>
        <v>#VALUE!</v>
      </c>
      <c r="DB95" t="e">
        <f>'2.4.Функции'!PF178+"BYw!&amp;(?"</f>
        <v>#VALUE!</v>
      </c>
      <c r="DC95" t="e">
        <f>'2.4.Функции'!PG178+"BYw!&amp;(@"</f>
        <v>#VALUE!</v>
      </c>
      <c r="DD95" t="e">
        <f>'2.4.Функции'!PH178+"BYw!&amp;(A"</f>
        <v>#VALUE!</v>
      </c>
      <c r="DE95" t="e">
        <f>'2.4.Функции'!PI178+"BYw!&amp;(B"</f>
        <v>#VALUE!</v>
      </c>
      <c r="DF95" t="e">
        <f>'2.4.Функции'!PJ178+"BYw!&amp;(C"</f>
        <v>#VALUE!</v>
      </c>
      <c r="DG95" t="e">
        <f>'2.4.Функции'!PK178+"BYw!&amp;(D"</f>
        <v>#VALUE!</v>
      </c>
      <c r="DH95" t="e">
        <f>'2.4.Функции'!PL178+"BYw!&amp;(E"</f>
        <v>#VALUE!</v>
      </c>
      <c r="DI95" t="e">
        <f>'2.4.Функции'!PM178+"BYw!&amp;(F"</f>
        <v>#VALUE!</v>
      </c>
      <c r="DJ95" t="e">
        <f>'2.4.Функции'!PN178+"BYw!&amp;(G"</f>
        <v>#VALUE!</v>
      </c>
      <c r="DK95" t="e">
        <f>'2.4.Функции'!PO178+"BYw!&amp;(H"</f>
        <v>#VALUE!</v>
      </c>
      <c r="DL95" t="e">
        <f>'2.4.Функции'!PP178+"BYw!&amp;(I"</f>
        <v>#VALUE!</v>
      </c>
      <c r="DM95" t="e">
        <f>'2.4.Функции'!PQ178+"BYw!&amp;(J"</f>
        <v>#VALUE!</v>
      </c>
      <c r="DN95" t="e">
        <f>'2.4.Функции'!PR178+"BYw!&amp;(K"</f>
        <v>#VALUE!</v>
      </c>
      <c r="DO95" t="e">
        <f>'2.4.Функции'!PS178+"BYw!&amp;(L"</f>
        <v>#VALUE!</v>
      </c>
      <c r="DP95" t="e">
        <f>'2.4.Функции'!PT178+"BYw!&amp;(M"</f>
        <v>#VALUE!</v>
      </c>
      <c r="DQ95" t="e">
        <f>'2.4.Функции'!PU178+"BYw!&amp;(N"</f>
        <v>#VALUE!</v>
      </c>
      <c r="DR95" t="e">
        <f>'2.4.Функции'!PV178+"BYw!&amp;(O"</f>
        <v>#VALUE!</v>
      </c>
      <c r="DS95" t="e">
        <f>'2.4.Функции'!PW178+"BYw!&amp;(P"</f>
        <v>#VALUE!</v>
      </c>
      <c r="DT95" t="e">
        <f>'2.4.Функции'!PX178+"BYw!&amp;(Q"</f>
        <v>#VALUE!</v>
      </c>
      <c r="DU95" t="e">
        <f>'2.4.Функции'!PY178+"BYw!&amp;(R"</f>
        <v>#VALUE!</v>
      </c>
      <c r="DV95" t="e">
        <f>'2.4.Функции'!PZ178+"BYw!&amp;(S"</f>
        <v>#VALUE!</v>
      </c>
      <c r="DW95" t="e">
        <f>'2.4.Функции'!QA178+"BYw!&amp;(T"</f>
        <v>#VALUE!</v>
      </c>
      <c r="DX95" t="e">
        <f>'2.4.Функции'!QB178+"BYw!&amp;(U"</f>
        <v>#VALUE!</v>
      </c>
      <c r="DY95" t="e">
        <f>'2.4.Функции'!QC178+"BYw!&amp;(V"</f>
        <v>#VALUE!</v>
      </c>
      <c r="DZ95" t="e">
        <f>'2.4.Функции'!QD178+"BYw!&amp;(W"</f>
        <v>#VALUE!</v>
      </c>
      <c r="EA95" t="e">
        <f>'2.4.Функции'!QE178+"BYw!&amp;(X"</f>
        <v>#VALUE!</v>
      </c>
      <c r="EB95" t="e">
        <f>'2.4.Функции'!QF178+"BYw!&amp;(Y"</f>
        <v>#VALUE!</v>
      </c>
      <c r="EC95" t="e">
        <f>'2.4.Функции'!QG178+"BYw!&amp;(Z"</f>
        <v>#VALUE!</v>
      </c>
      <c r="ED95" t="e">
        <f>'2.4.Функции'!QH178+"BYw!&amp;(["</f>
        <v>#VALUE!</v>
      </c>
      <c r="EE95" t="e">
        <f>'2.4.Функции'!QI178+"BYw!&amp;(\"</f>
        <v>#VALUE!</v>
      </c>
      <c r="EF95" t="e">
        <f>'2.4.Функции'!QJ178+"BYw!&amp;(]"</f>
        <v>#VALUE!</v>
      </c>
      <c r="EG95" t="e">
        <f>'2.4.Функции'!QK178+"BYw!&amp;(^"</f>
        <v>#VALUE!</v>
      </c>
      <c r="EH95" t="e">
        <f>'2.4.Функции'!QL178+"BYw!&amp;(_"</f>
        <v>#VALUE!</v>
      </c>
      <c r="EI95" t="e">
        <f>'2.4.Функции'!QM178+"BYw!&amp;(`"</f>
        <v>#VALUE!</v>
      </c>
      <c r="EJ95" t="e">
        <f>'2.4.Функции'!QN178+"BYw!&amp;(a"</f>
        <v>#VALUE!</v>
      </c>
      <c r="EK95" t="e">
        <f>'2.4.Функции'!QO178+"BYw!&amp;(b"</f>
        <v>#VALUE!</v>
      </c>
      <c r="EL95" t="e">
        <f>'2.4.Функции'!QP178+"BYw!&amp;(c"</f>
        <v>#VALUE!</v>
      </c>
      <c r="EM95" t="e">
        <f>'2.4.Функции'!QQ178+"BYw!&amp;(d"</f>
        <v>#VALUE!</v>
      </c>
      <c r="EN95" t="e">
        <f>'2.4.Функции'!QR178+"BYw!&amp;(e"</f>
        <v>#VALUE!</v>
      </c>
      <c r="EO95" t="e">
        <f>'2.4.Функции'!QS178+"BYw!&amp;(f"</f>
        <v>#VALUE!</v>
      </c>
      <c r="EP95" t="e">
        <f>'2.4.Функции'!QT178+"BYw!&amp;(g"</f>
        <v>#VALUE!</v>
      </c>
      <c r="EQ95" t="e">
        <f>'2.4.Функции'!QU178+"BYw!&amp;(h"</f>
        <v>#VALUE!</v>
      </c>
      <c r="ER95" t="e">
        <f>'2.4.Функции'!QV178+"BYw!&amp;(i"</f>
        <v>#VALUE!</v>
      </c>
      <c r="ES95" t="e">
        <f>'2.4.Функции'!QW178+"BYw!&amp;(j"</f>
        <v>#VALUE!</v>
      </c>
      <c r="ET95" t="e">
        <f>'2.4.Функции'!QX178+"BYw!&amp;(k"</f>
        <v>#VALUE!</v>
      </c>
      <c r="EU95" t="e">
        <f>'2.4.Функции'!QY178+"BYw!&amp;(l"</f>
        <v>#VALUE!</v>
      </c>
      <c r="EV95" t="e">
        <f>'2.4.Функции'!QZ178+"BYw!&amp;(m"</f>
        <v>#VALUE!</v>
      </c>
      <c r="EW95" t="e">
        <f>'2.4.Функции'!RA178+"BYw!&amp;(n"</f>
        <v>#VALUE!</v>
      </c>
      <c r="EX95" t="e">
        <f>'2.4.Функции'!RB178+"BYw!&amp;(o"</f>
        <v>#VALUE!</v>
      </c>
      <c r="EY95" t="e">
        <f>'2.4.Функции'!RC178+"BYw!&amp;(p"</f>
        <v>#VALUE!</v>
      </c>
      <c r="EZ95" t="e">
        <f>'2.4.Функции'!RD178+"BYw!&amp;(q"</f>
        <v>#VALUE!</v>
      </c>
      <c r="FA95" t="e">
        <f>'2.4.Функции'!RE178+"BYw!&amp;(r"</f>
        <v>#VALUE!</v>
      </c>
      <c r="FB95" t="e">
        <f>'2.4.Функции'!RF178+"BYw!&amp;(s"</f>
        <v>#VALUE!</v>
      </c>
      <c r="FC95" t="e">
        <f>'2.4.Функции'!RG178+"BYw!&amp;(t"</f>
        <v>#VALUE!</v>
      </c>
      <c r="FD95" t="e">
        <f>'2.4.Функции'!RH178+"BYw!&amp;(u"</f>
        <v>#VALUE!</v>
      </c>
      <c r="FE95" t="e">
        <f>'2.4.Функции'!RI178+"BYw!&amp;(v"</f>
        <v>#VALUE!</v>
      </c>
      <c r="FF95" t="e">
        <f>'2.4.Функции'!RJ178+"BYw!&amp;(w"</f>
        <v>#VALUE!</v>
      </c>
      <c r="FG95" t="e">
        <f>'2.4.Функции'!RK178+"BYw!&amp;(x"</f>
        <v>#VALUE!</v>
      </c>
      <c r="FH95" t="e">
        <f>'2.4.Функции'!RL178+"BYw!&amp;(y"</f>
        <v>#VALUE!</v>
      </c>
      <c r="FI95" t="e">
        <f>'2.4.Функции'!RM178+"BYw!&amp;(z"</f>
        <v>#VALUE!</v>
      </c>
      <c r="FJ95" t="e">
        <f>'2.4.Функции'!RN178+"BYw!&amp;({"</f>
        <v>#VALUE!</v>
      </c>
      <c r="FK95" t="e">
        <f>'2.4.Функции'!RO178+"BYw!&amp;(|"</f>
        <v>#VALUE!</v>
      </c>
      <c r="FL95" t="e">
        <f>'2.4.Функции'!RP178+"BYw!&amp;(}"</f>
        <v>#VALUE!</v>
      </c>
      <c r="FM95" t="e">
        <f>'2.4.Функции'!RQ178+"BYw!&amp;(~"</f>
        <v>#VALUE!</v>
      </c>
      <c r="FN95" t="e">
        <f>'2.4.Функции'!RR178+"BYw!&amp;)#"</f>
        <v>#VALUE!</v>
      </c>
      <c r="FO95" t="e">
        <f>'2.4.Функции'!RS178+"BYw!&amp;)$"</f>
        <v>#VALUE!</v>
      </c>
      <c r="FP95" t="e">
        <f>'2.4.Функции'!RT178+"BYw!&amp;)%"</f>
        <v>#VALUE!</v>
      </c>
      <c r="FQ95" t="e">
        <f>'2.4.Функции'!RU178+"BYw!&amp;)&amp;"</f>
        <v>#VALUE!</v>
      </c>
      <c r="FR95" t="e">
        <f>'2.4.Функции'!RV178+"BYw!&amp;)'"</f>
        <v>#VALUE!</v>
      </c>
      <c r="FS95" t="e">
        <f>'2.4.Функции'!RW178+"BYw!&amp;)("</f>
        <v>#VALUE!</v>
      </c>
      <c r="FT95" t="e">
        <f>'2.4.Функции'!RX178+"BYw!&amp;))"</f>
        <v>#VALUE!</v>
      </c>
      <c r="FU95" t="e">
        <f>'2.4.Функции'!RY178+"BYw!&amp;)."</f>
        <v>#VALUE!</v>
      </c>
      <c r="FV95" t="e">
        <f>'2.4.Функции'!RZ178+"BYw!&amp;)/"</f>
        <v>#VALUE!</v>
      </c>
      <c r="FW95" t="e">
        <f>'2.4.Функции'!SA178+"BYw!&amp;)0"</f>
        <v>#VALUE!</v>
      </c>
      <c r="FX95" t="e">
        <f>'2.4.Функции'!SB178+"BYw!&amp;)1"</f>
        <v>#VALUE!</v>
      </c>
      <c r="FY95" t="e">
        <f>'2.4.Функции'!SC178+"BYw!&amp;)2"</f>
        <v>#VALUE!</v>
      </c>
      <c r="FZ95" t="e">
        <f>'2.4.Функции'!SD178+"BYw!&amp;)3"</f>
        <v>#VALUE!</v>
      </c>
      <c r="GA95" t="e">
        <f>'2.4.Функции'!SE178+"BYw!&amp;)4"</f>
        <v>#VALUE!</v>
      </c>
      <c r="GB95" t="e">
        <f>'2.4.Функции'!SF178+"BYw!&amp;)5"</f>
        <v>#VALUE!</v>
      </c>
      <c r="GC95" t="e">
        <f>'2.4.Функции'!SG178+"BYw!&amp;)6"</f>
        <v>#VALUE!</v>
      </c>
      <c r="GD95" t="e">
        <f>'2.4.Функции'!SH178+"BYw!&amp;)7"</f>
        <v>#VALUE!</v>
      </c>
      <c r="GE95" t="e">
        <f>'2.4.Функции'!SI178+"BYw!&amp;)8"</f>
        <v>#VALUE!</v>
      </c>
      <c r="GF95" t="e">
        <f>'2.4.Функции'!SJ178+"BYw!&amp;)9"</f>
        <v>#VALUE!</v>
      </c>
      <c r="GG95" t="e">
        <f>'2.4.Функции'!SK178+"BYw!&amp;):"</f>
        <v>#VALUE!</v>
      </c>
      <c r="GH95" t="e">
        <f>'2.4.Функции'!SL178+"BYw!&amp;);"</f>
        <v>#VALUE!</v>
      </c>
      <c r="GI95" t="e">
        <f>'2.4.Функции'!SM178+"BYw!&amp;)&lt;"</f>
        <v>#VALUE!</v>
      </c>
      <c r="GJ95" t="e">
        <f>'2.4.Функции'!SN178+"BYw!&amp;)="</f>
        <v>#VALUE!</v>
      </c>
      <c r="GK95" t="e">
        <f>'2.4.Функции'!SO178+"BYw!&amp;)&gt;"</f>
        <v>#VALUE!</v>
      </c>
      <c r="GL95" t="e">
        <f>'2.4.Функции'!SP178+"BYw!&amp;)?"</f>
        <v>#VALUE!</v>
      </c>
      <c r="GM95" t="e">
        <f>'2.4.Функции'!SQ178+"BYw!&amp;)@"</f>
        <v>#VALUE!</v>
      </c>
      <c r="GN95" t="e">
        <f>'2.4.Функции'!SR178+"BYw!&amp;)A"</f>
        <v>#VALUE!</v>
      </c>
      <c r="GO95" t="e">
        <f>'2.4.Функции'!SS178+"BYw!&amp;)B"</f>
        <v>#VALUE!</v>
      </c>
      <c r="GP95" t="e">
        <f>'2.4.Функции'!ST178+"BYw!&amp;)C"</f>
        <v>#VALUE!</v>
      </c>
      <c r="GQ95" t="e">
        <f>'2.4.Функции'!SU178+"BYw!&amp;)D"</f>
        <v>#VALUE!</v>
      </c>
      <c r="GR95" t="e">
        <f>'2.4.Функции'!SV178+"BYw!&amp;)E"</f>
        <v>#VALUE!</v>
      </c>
      <c r="GS95" t="e">
        <f>'2.4.Функции'!SW178+"BYw!&amp;)F"</f>
        <v>#VALUE!</v>
      </c>
      <c r="GT95" t="e">
        <f>'2.4.Функции'!SX178+"BYw!&amp;)G"</f>
        <v>#VALUE!</v>
      </c>
      <c r="GU95" t="e">
        <f>'2.4.Функции'!SY178+"BYw!&amp;)H"</f>
        <v>#VALUE!</v>
      </c>
      <c r="GV95" t="e">
        <f>'2.4.Функции'!SZ178+"BYw!&amp;)I"</f>
        <v>#VALUE!</v>
      </c>
      <c r="GW95" t="e">
        <f>'2.4.Функции'!TA178+"BYw!&amp;)J"</f>
        <v>#VALUE!</v>
      </c>
      <c r="GX95" t="e">
        <f>'2.4.Функции'!TB178+"BYw!&amp;)K"</f>
        <v>#VALUE!</v>
      </c>
      <c r="GY95" t="e">
        <f>'2.4.Функции'!TC178+"BYw!&amp;)L"</f>
        <v>#VALUE!</v>
      </c>
      <c r="GZ95" t="e">
        <f>'2.4.Функции'!TD178+"BYw!&amp;)M"</f>
        <v>#VALUE!</v>
      </c>
      <c r="HA95" t="e">
        <f>'2.4.Функции'!TE178+"BYw!&amp;)N"</f>
        <v>#VALUE!</v>
      </c>
      <c r="HB95" t="e">
        <f>'2.4.Функции'!TF178+"BYw!&amp;)O"</f>
        <v>#VALUE!</v>
      </c>
      <c r="HC95" t="e">
        <f>'2.4.Функции'!TG178+"BYw!&amp;)P"</f>
        <v>#VALUE!</v>
      </c>
      <c r="HD95" t="e">
        <f>'2.4.Функции'!TH178+"BYw!&amp;)Q"</f>
        <v>#VALUE!</v>
      </c>
      <c r="HE95" t="e">
        <f>'2.4.Функции'!TI178+"BYw!&amp;)R"</f>
        <v>#VALUE!</v>
      </c>
      <c r="HF95" t="e">
        <f>'2.4.Функции'!TJ178+"BYw!&amp;)S"</f>
        <v>#VALUE!</v>
      </c>
      <c r="HG95" t="e">
        <f>'2.4.Функции'!TK178+"BYw!&amp;)T"</f>
        <v>#VALUE!</v>
      </c>
      <c r="HH95" t="e">
        <f>'2.4.Функции'!TL178+"BYw!&amp;)U"</f>
        <v>#VALUE!</v>
      </c>
      <c r="HI95" t="e">
        <f>'2.4.Функции'!TM178+"BYw!&amp;)V"</f>
        <v>#VALUE!</v>
      </c>
      <c r="HJ95" t="e">
        <f>'2.4.Функции'!TN178+"BYw!&amp;)W"</f>
        <v>#VALUE!</v>
      </c>
      <c r="HK95" t="e">
        <f>'2.4.Функции'!TO178+"BYw!&amp;)X"</f>
        <v>#VALUE!</v>
      </c>
      <c r="HL95" t="e">
        <f>'2.4.Функции'!TP178+"BYw!&amp;)Y"</f>
        <v>#VALUE!</v>
      </c>
      <c r="HM95" t="e">
        <f>'2.4.Функции'!TQ178+"BYw!&amp;)Z"</f>
        <v>#VALUE!</v>
      </c>
      <c r="HN95" t="e">
        <f>'2.4.Функции'!TR178+"BYw!&amp;)["</f>
        <v>#VALUE!</v>
      </c>
      <c r="HO95" t="e">
        <f>'2.4.Функции'!TS178+"BYw!&amp;)\"</f>
        <v>#VALUE!</v>
      </c>
      <c r="HP95" t="e">
        <f>'2.4.Функции'!TT178+"BYw!&amp;)]"</f>
        <v>#VALUE!</v>
      </c>
      <c r="HQ95" t="e">
        <f>'2.4.Функции'!TU178+"BYw!&amp;)^"</f>
        <v>#VALUE!</v>
      </c>
      <c r="HR95" t="e">
        <f>'2.4.Функции'!TV178+"BYw!&amp;)_"</f>
        <v>#VALUE!</v>
      </c>
      <c r="HS95" t="e">
        <f>'2.4.Функции'!TW178+"BYw!&amp;)`"</f>
        <v>#VALUE!</v>
      </c>
      <c r="HT95" t="e">
        <f>'2.4.Функции'!TX178+"BYw!&amp;)a"</f>
        <v>#VALUE!</v>
      </c>
      <c r="HU95" t="e">
        <f>'2.4.Функции'!TY178+"BYw!&amp;)b"</f>
        <v>#VALUE!</v>
      </c>
      <c r="HV95" t="e">
        <f>'2.4.Функции'!TZ178+"BYw!&amp;)c"</f>
        <v>#VALUE!</v>
      </c>
      <c r="HW95" t="e">
        <f>'2.4.Функции'!UA178+"BYw!&amp;)d"</f>
        <v>#VALUE!</v>
      </c>
      <c r="HX95" t="e">
        <f>'2.4.Функции'!UB178+"BYw!&amp;)e"</f>
        <v>#VALUE!</v>
      </c>
      <c r="HY95" t="e">
        <f>'2.4.Функции'!UC178+"BYw!&amp;)f"</f>
        <v>#VALUE!</v>
      </c>
      <c r="HZ95" t="e">
        <f>'2.4.Функции'!UD178+"BYw!&amp;)g"</f>
        <v>#VALUE!</v>
      </c>
      <c r="IA95" t="e">
        <f>'2.4.Функции'!UE178+"BYw!&amp;)h"</f>
        <v>#VALUE!</v>
      </c>
      <c r="IB95" t="e">
        <f>'2.4.Функции'!UF178+"BYw!&amp;)i"</f>
        <v>#VALUE!</v>
      </c>
      <c r="IC95" t="e">
        <f>'2.4.Функции'!UG178+"BYw!&amp;)j"</f>
        <v>#VALUE!</v>
      </c>
      <c r="ID95" t="e">
        <f>'2.4.Функции'!UH178+"BYw!&amp;)k"</f>
        <v>#VALUE!</v>
      </c>
      <c r="IE95" t="e">
        <f>'2.4.Функции'!UI178+"BYw!&amp;)l"</f>
        <v>#VALUE!</v>
      </c>
      <c r="IF95" t="e">
        <f>'2.4.Функции'!UJ178+"BYw!&amp;)m"</f>
        <v>#VALUE!</v>
      </c>
      <c r="IG95" t="e">
        <f>'2.4.Функции'!UK178+"BYw!&amp;)n"</f>
        <v>#VALUE!</v>
      </c>
      <c r="IH95" t="e">
        <f>'2.4.Функции'!UL178+"BYw!&amp;)o"</f>
        <v>#VALUE!</v>
      </c>
      <c r="II95" t="e">
        <f>'2.4.Функции'!UM178+"BYw!&amp;)p"</f>
        <v>#VALUE!</v>
      </c>
      <c r="IJ95" t="e">
        <f>'2.4.Функции'!UN178+"BYw!&amp;)q"</f>
        <v>#VALUE!</v>
      </c>
      <c r="IK95" t="e">
        <f>'2.4.Функции'!UO178+"BYw!&amp;)r"</f>
        <v>#VALUE!</v>
      </c>
      <c r="IL95" t="e">
        <f>'2.4.Функции'!UP178+"BYw!&amp;)s"</f>
        <v>#VALUE!</v>
      </c>
      <c r="IM95" t="e">
        <f>'2.4.Функции'!UQ178+"BYw!&amp;)t"</f>
        <v>#VALUE!</v>
      </c>
      <c r="IN95" t="e">
        <f>'2.4.Функции'!UR178+"BYw!&amp;)u"</f>
        <v>#VALUE!</v>
      </c>
      <c r="IO95" t="e">
        <f>'2.4.Функции'!US178+"BYw!&amp;)v"</f>
        <v>#VALUE!</v>
      </c>
      <c r="IP95" t="e">
        <f>'2.4.Функции'!UT178+"BYw!&amp;)w"</f>
        <v>#VALUE!</v>
      </c>
      <c r="IQ95" t="e">
        <f>'2.4.Функции'!UU178+"BYw!&amp;)x"</f>
        <v>#VALUE!</v>
      </c>
      <c r="IR95" t="e">
        <f>'2.4.Функции'!UV178+"BYw!&amp;)y"</f>
        <v>#VALUE!</v>
      </c>
      <c r="IS95" t="e">
        <f>'2.4.Функции'!UW178+"BYw!&amp;)z"</f>
        <v>#VALUE!</v>
      </c>
      <c r="IT95" t="e">
        <f>'2.4.Функции'!UX178+"BYw!&amp;){"</f>
        <v>#VALUE!</v>
      </c>
      <c r="IU95" t="e">
        <f>'2.4.Функции'!UY178+"BYw!&amp;)|"</f>
        <v>#VALUE!</v>
      </c>
      <c r="IV95" t="e">
        <f>'2.4.Функции'!UZ178+"BYw!&amp;)}"</f>
        <v>#VALUE!</v>
      </c>
    </row>
    <row r="96" spans="6:256" x14ac:dyDescent="0.2">
      <c r="F96" t="e">
        <f>'2.4.Функции'!VA178+"BYw!&amp;)~"</f>
        <v>#VALUE!</v>
      </c>
      <c r="G96" t="e">
        <f>'2.4.Функции'!VB178+"BYw!&amp;.#"</f>
        <v>#VALUE!</v>
      </c>
      <c r="H96" t="e">
        <f>'2.4.Функции'!VC178+"BYw!&amp;.$"</f>
        <v>#VALUE!</v>
      </c>
      <c r="I96" t="e">
        <f>'2.4.Функции'!VD178+"BYw!&amp;.%"</f>
        <v>#VALUE!</v>
      </c>
      <c r="J96" t="e">
        <f>'2.4.Функции'!VE178+"BYw!&amp;.&amp;"</f>
        <v>#VALUE!</v>
      </c>
      <c r="K96" t="e">
        <f>'2.4.Функции'!VF178+"BYw!&amp;.'"</f>
        <v>#VALUE!</v>
      </c>
      <c r="L96" t="e">
        <f>'2.4.Функции'!VG178+"BYw!&amp;.("</f>
        <v>#VALUE!</v>
      </c>
      <c r="M96" t="e">
        <f>'2.4.Функции'!VH178+"BYw!&amp;.)"</f>
        <v>#VALUE!</v>
      </c>
      <c r="N96" t="e">
        <f>'2.4.Функции'!VI178+"BYw!&amp;.."</f>
        <v>#VALUE!</v>
      </c>
      <c r="O96" t="e">
        <f>'2.4.Функции'!VJ178+"BYw!&amp;./"</f>
        <v>#VALUE!</v>
      </c>
      <c r="P96" t="e">
        <f>'2.4.Функции'!VK178+"BYw!&amp;.0"</f>
        <v>#VALUE!</v>
      </c>
      <c r="Q96" t="e">
        <f>'2.4.Функции'!VL178+"BYw!&amp;.1"</f>
        <v>#VALUE!</v>
      </c>
      <c r="R96" t="e">
        <f>'2.4.Функции'!VM178+"BYw!&amp;.2"</f>
        <v>#VALUE!</v>
      </c>
      <c r="S96" t="e">
        <f>'2.4.Функции'!VN178+"BYw!&amp;.3"</f>
        <v>#VALUE!</v>
      </c>
      <c r="T96" t="e">
        <f>'2.4.Функции'!VO178+"BYw!&amp;.4"</f>
        <v>#VALUE!</v>
      </c>
      <c r="U96" t="e">
        <f>'2.4.Функции'!VP178+"BYw!&amp;.5"</f>
        <v>#VALUE!</v>
      </c>
      <c r="V96" t="e">
        <f>'2.4.Функции'!VQ178+"BYw!&amp;.6"</f>
        <v>#VALUE!</v>
      </c>
      <c r="W96" t="e">
        <f>'2.4.Функции'!VR178+"BYw!&amp;.7"</f>
        <v>#VALUE!</v>
      </c>
      <c r="X96" t="e">
        <f>'2.4.Функции'!VS178+"BYw!&amp;.8"</f>
        <v>#VALUE!</v>
      </c>
      <c r="Y96" t="e">
        <f>'2.4.Функции'!VT178+"BYw!&amp;.9"</f>
        <v>#VALUE!</v>
      </c>
      <c r="Z96" t="e">
        <f>'2.4.Функции'!VU178+"BYw!&amp;.:"</f>
        <v>#VALUE!</v>
      </c>
      <c r="AA96" t="e">
        <f>'2.4.Функции'!VV178+"BYw!&amp;.;"</f>
        <v>#VALUE!</v>
      </c>
      <c r="AB96" t="e">
        <f>'2.4.Функции'!VW178+"BYw!&amp;.&lt;"</f>
        <v>#VALUE!</v>
      </c>
      <c r="AC96" t="e">
        <f>'2.4.Функции'!VX178+"BYw!&amp;.="</f>
        <v>#VALUE!</v>
      </c>
      <c r="AD96" t="e">
        <f>'2.4.Функции'!VY178+"BYw!&amp;.&gt;"</f>
        <v>#VALUE!</v>
      </c>
      <c r="AE96" t="e">
        <f>'2.4.Функции'!VZ178+"BYw!&amp;.?"</f>
        <v>#VALUE!</v>
      </c>
      <c r="AF96" t="e">
        <f>'2.4.Функции'!WA178+"BYw!&amp;.@"</f>
        <v>#VALUE!</v>
      </c>
      <c r="AG96" t="e">
        <f>'2.4.Функции'!WB178+"BYw!&amp;.A"</f>
        <v>#VALUE!</v>
      </c>
      <c r="AH96" t="e">
        <f>'2.4.Функции'!WC178+"BYw!&amp;.B"</f>
        <v>#VALUE!</v>
      </c>
      <c r="AI96" t="e">
        <f>'2.4.Функции'!WD178+"BYw!&amp;.C"</f>
        <v>#VALUE!</v>
      </c>
      <c r="AJ96" t="e">
        <f>'2.4.Функции'!WE178+"BYw!&amp;.D"</f>
        <v>#VALUE!</v>
      </c>
      <c r="AK96" t="e">
        <f>'2.4.Функции'!WF178+"BYw!&amp;.E"</f>
        <v>#VALUE!</v>
      </c>
      <c r="AL96" t="e">
        <f>'2.4.Функции'!WG178+"BYw!&amp;.F"</f>
        <v>#VALUE!</v>
      </c>
      <c r="AM96" t="e">
        <f>'2.4.Функции'!WH178+"BYw!&amp;.G"</f>
        <v>#VALUE!</v>
      </c>
      <c r="AN96" t="e">
        <f>'2.4.Функции'!WI178+"BYw!&amp;.H"</f>
        <v>#VALUE!</v>
      </c>
      <c r="AO96" t="e">
        <f>'2.4.Функции'!WJ178+"BYw!&amp;.I"</f>
        <v>#VALUE!</v>
      </c>
      <c r="AP96" t="e">
        <f>'2.4.Функции'!WK178+"BYw!&amp;.J"</f>
        <v>#VALUE!</v>
      </c>
      <c r="AQ96" t="e">
        <f>'2.4.Функции'!WL178+"BYw!&amp;.K"</f>
        <v>#VALUE!</v>
      </c>
      <c r="AR96" t="e">
        <f>'2.4.Функции'!WM178+"BYw!&amp;.L"</f>
        <v>#VALUE!</v>
      </c>
      <c r="AS96" t="e">
        <f>'2.4.Функции'!WN178+"BYw!&amp;.M"</f>
        <v>#VALUE!</v>
      </c>
      <c r="AT96" t="e">
        <f>'2.4.Функции'!WO178+"BYw!&amp;.N"</f>
        <v>#VALUE!</v>
      </c>
      <c r="AU96" t="e">
        <f>'2.4.Функции'!WP178+"BYw!&amp;.O"</f>
        <v>#VALUE!</v>
      </c>
      <c r="AV96" t="e">
        <f>'2.4.Функции'!WQ178+"BYw!&amp;.P"</f>
        <v>#VALUE!</v>
      </c>
      <c r="AW96" t="e">
        <f>'2.4.Функции'!WR178+"BYw!&amp;.Q"</f>
        <v>#VALUE!</v>
      </c>
      <c r="AX96" t="e">
        <f>'2.4.Функции'!WS178+"BYw!&amp;.R"</f>
        <v>#VALUE!</v>
      </c>
      <c r="AY96" t="e">
        <f>'2.4.Функции'!WT178+"BYw!&amp;.S"</f>
        <v>#VALUE!</v>
      </c>
      <c r="AZ96" t="e">
        <f>'2.4.Функции'!WU178+"BYw!&amp;.T"</f>
        <v>#VALUE!</v>
      </c>
      <c r="BA96" t="e">
        <f>'2.4.Функции'!WV178+"BYw!&amp;.U"</f>
        <v>#VALUE!</v>
      </c>
      <c r="BB96" t="e">
        <f>'2.4.Функции'!WW178+"BYw!&amp;.V"</f>
        <v>#VALUE!</v>
      </c>
      <c r="BC96" t="e">
        <f>'2.4.Функции'!WX178+"BYw!&amp;.W"</f>
        <v>#VALUE!</v>
      </c>
      <c r="BD96" t="e">
        <f>'2.4.Функции'!WY178+"BYw!&amp;.X"</f>
        <v>#VALUE!</v>
      </c>
      <c r="BE96" t="e">
        <f>'2.4.Функции'!WZ178+"BYw!&amp;.Y"</f>
        <v>#VALUE!</v>
      </c>
      <c r="BF96" t="e">
        <f>'2.4.Функции'!XA178+"BYw!&amp;.Z"</f>
        <v>#VALUE!</v>
      </c>
      <c r="BG96" t="e">
        <f>'2.4.Функции'!XB178+"BYw!&amp;.["</f>
        <v>#VALUE!</v>
      </c>
      <c r="BH96" t="e">
        <f>'2.4.Функции'!XC178+"BYw!&amp;.\"</f>
        <v>#VALUE!</v>
      </c>
      <c r="BI96" t="e">
        <f>'2.4.Функции'!XD178+"BYw!&amp;.]"</f>
        <v>#VALUE!</v>
      </c>
      <c r="BJ96" t="e">
        <f>'2.4.Функции'!XE178+"BYw!&amp;.^"</f>
        <v>#VALUE!</v>
      </c>
      <c r="BK96" t="e">
        <f>'2.4.Функции'!XF178+"BYw!&amp;._"</f>
        <v>#VALUE!</v>
      </c>
      <c r="BL96" t="e">
        <f>'2.4.Функции'!XG178+"BYw!&amp;.`"</f>
        <v>#VALUE!</v>
      </c>
      <c r="BM96" t="e">
        <f>'2.4.Функции'!XH178+"BYw!&amp;.a"</f>
        <v>#VALUE!</v>
      </c>
      <c r="BN96" t="e">
        <f>'2.4.Функции'!XI178+"BYw!&amp;.b"</f>
        <v>#VALUE!</v>
      </c>
      <c r="BO96" t="e">
        <f>'2.4.Функции'!XJ178+"BYw!&amp;.c"</f>
        <v>#VALUE!</v>
      </c>
      <c r="BP96" t="e">
        <f>'2.4.Функции'!XK178+"BYw!&amp;.d"</f>
        <v>#VALUE!</v>
      </c>
      <c r="BQ96" t="e">
        <f>'2.4.Функции'!XL178+"BYw!&amp;.e"</f>
        <v>#VALUE!</v>
      </c>
      <c r="BR96" t="e">
        <f>'2.4.Функции'!XM178+"BYw!&amp;.f"</f>
        <v>#VALUE!</v>
      </c>
      <c r="BS96" t="e">
        <f>'2.4.Функции'!XN178+"BYw!&amp;.g"</f>
        <v>#VALUE!</v>
      </c>
      <c r="BT96" t="e">
        <f>'2.4.Функции'!XO178+"BYw!&amp;.h"</f>
        <v>#VALUE!</v>
      </c>
      <c r="BU96" t="e">
        <f>'2.4.Функции'!XP178+"BYw!&amp;.i"</f>
        <v>#VALUE!</v>
      </c>
      <c r="BV96" t="e">
        <f>'2.4.Функции'!XQ178+"BYw!&amp;.j"</f>
        <v>#VALUE!</v>
      </c>
      <c r="BW96" t="e">
        <f>'2.4.Функции'!XR178+"BYw!&amp;.k"</f>
        <v>#VALUE!</v>
      </c>
      <c r="BX96" t="e">
        <f>'2.4.Функции'!XS178+"BYw!&amp;.l"</f>
        <v>#VALUE!</v>
      </c>
      <c r="BY96" t="e">
        <f>'2.4.Функции'!XT178+"BYw!&amp;.m"</f>
        <v>#VALUE!</v>
      </c>
      <c r="BZ96" t="e">
        <f>'2.4.Функции'!XU178+"BYw!&amp;.n"</f>
        <v>#VALUE!</v>
      </c>
      <c r="CA96" t="e">
        <f>'2.4.Функции'!XV178+"BYw!&amp;.o"</f>
        <v>#VALUE!</v>
      </c>
      <c r="CB96" t="e">
        <f>'2.4.Функции'!XW178+"BYw!&amp;.p"</f>
        <v>#VALUE!</v>
      </c>
      <c r="CC96" t="e">
        <f>'2.4.Функции'!XX178+"BYw!&amp;.q"</f>
        <v>#VALUE!</v>
      </c>
      <c r="CD96" t="e">
        <f>'2.4.Функции'!XY178+"BYw!&amp;.r"</f>
        <v>#VALUE!</v>
      </c>
      <c r="CE96" t="e">
        <f>'2.4.Функции'!XZ178+"BYw!&amp;.s"</f>
        <v>#VALUE!</v>
      </c>
      <c r="CF96" t="e">
        <f>'2.4.Функции'!YA178+"BYw!&amp;.t"</f>
        <v>#VALUE!</v>
      </c>
      <c r="CG96" t="e">
        <f>'2.4.Функции'!YB178+"BYw!&amp;.u"</f>
        <v>#VALUE!</v>
      </c>
      <c r="CH96" t="e">
        <f>'2.4.Функции'!YC178+"BYw!&amp;.v"</f>
        <v>#VALUE!</v>
      </c>
      <c r="CI96" t="e">
        <f>'2.4.Функции'!YD178+"BYw!&amp;.w"</f>
        <v>#VALUE!</v>
      </c>
      <c r="CJ96" t="e">
        <f>'2.4.Функции'!YE178+"BYw!&amp;.x"</f>
        <v>#VALUE!</v>
      </c>
      <c r="CK96" t="e">
        <f>'2.4.Функции'!YF178+"BYw!&amp;.y"</f>
        <v>#VALUE!</v>
      </c>
      <c r="CL96" t="e">
        <f>'2.4.Функции'!YG178+"BYw!&amp;.z"</f>
        <v>#VALUE!</v>
      </c>
      <c r="CM96" t="e">
        <f>'2.4.Функции'!YH178+"BYw!&amp;.{"</f>
        <v>#VALUE!</v>
      </c>
      <c r="CN96" t="e">
        <f>'2.4.Функции'!YI178+"BYw!&amp;.|"</f>
        <v>#VALUE!</v>
      </c>
      <c r="CO96" t="e">
        <f>'2.4.Функции'!YJ178+"BYw!&amp;.}"</f>
        <v>#VALUE!</v>
      </c>
      <c r="CP96" t="e">
        <f>'2.4.Функции'!YK178+"BYw!&amp;.~"</f>
        <v>#VALUE!</v>
      </c>
      <c r="CQ96" t="e">
        <f>'2.4.Функции'!YL178+"BYw!&amp;/#"</f>
        <v>#VALUE!</v>
      </c>
      <c r="CR96" t="e">
        <f>'2.4.Функции'!YM178+"BYw!&amp;/$"</f>
        <v>#VALUE!</v>
      </c>
      <c r="CS96" t="e">
        <f>'2.4.Функции'!YN178+"BYw!&amp;/%"</f>
        <v>#VALUE!</v>
      </c>
      <c r="CT96" t="e">
        <f>'2.4.Функции'!YO178+"BYw!&amp;/&amp;"</f>
        <v>#VALUE!</v>
      </c>
      <c r="CU96" t="e">
        <f>'2.4.Функции'!YP178+"BYw!&amp;/'"</f>
        <v>#VALUE!</v>
      </c>
      <c r="CV96" t="e">
        <f>'2.4.Функции'!YQ178+"BYw!&amp;/("</f>
        <v>#VALUE!</v>
      </c>
      <c r="CW96" t="e">
        <f>'2.4.Функции'!YR178+"BYw!&amp;/)"</f>
        <v>#VALUE!</v>
      </c>
      <c r="CX96" t="e">
        <f>'2.4.Функции'!YS178+"BYw!&amp;/."</f>
        <v>#VALUE!</v>
      </c>
      <c r="CY96" t="e">
        <f>'2.4.Функции'!YT178+"BYw!&amp;//"</f>
        <v>#VALUE!</v>
      </c>
      <c r="CZ96" t="e">
        <f>'2.4.Функции'!YU178+"BYw!&amp;/0"</f>
        <v>#VALUE!</v>
      </c>
      <c r="DA96" t="e">
        <f>'2.4.Функции'!YV178+"BYw!&amp;/1"</f>
        <v>#VALUE!</v>
      </c>
      <c r="DB96" t="e">
        <f>'2.4.Функции'!YW178+"BYw!&amp;/2"</f>
        <v>#VALUE!</v>
      </c>
      <c r="DC96" t="e">
        <f>'2.4.Функции'!YX178+"BYw!&amp;/3"</f>
        <v>#VALUE!</v>
      </c>
      <c r="DD96" t="e">
        <f>'2.4.Функции'!YY178+"BYw!&amp;/4"</f>
        <v>#VALUE!</v>
      </c>
      <c r="DE96" t="e">
        <f>'2.4.Функции'!YZ178+"BYw!&amp;/5"</f>
        <v>#VALUE!</v>
      </c>
      <c r="DF96" t="e">
        <f>'2.4.Функции'!ZA178+"BYw!&amp;/6"</f>
        <v>#VALUE!</v>
      </c>
      <c r="DG96" t="e">
        <f>'2.4.Функции'!ZB178+"BYw!&amp;/7"</f>
        <v>#VALUE!</v>
      </c>
      <c r="DH96" t="e">
        <f>'2.4.Функции'!ZC178+"BYw!&amp;/8"</f>
        <v>#VALUE!</v>
      </c>
      <c r="DI96" t="e">
        <f>'2.4.Функции'!ZD178+"BYw!&amp;/9"</f>
        <v>#VALUE!</v>
      </c>
      <c r="DJ96" t="e">
        <f>'2.4.Функции'!ZE178+"BYw!&amp;/:"</f>
        <v>#VALUE!</v>
      </c>
      <c r="DK96" t="e">
        <f>'2.4.Функции'!ZF178+"BYw!&amp;/;"</f>
        <v>#VALUE!</v>
      </c>
      <c r="DL96" t="e">
        <f>'2.4.Функции'!ZG178+"BYw!&amp;/&lt;"</f>
        <v>#VALUE!</v>
      </c>
      <c r="DM96" t="e">
        <f>'2.4.Функции'!ZH178+"BYw!&amp;/="</f>
        <v>#VALUE!</v>
      </c>
      <c r="DN96" t="e">
        <f>'2.4.Функции'!ZI178+"BYw!&amp;/&gt;"</f>
        <v>#VALUE!</v>
      </c>
      <c r="DO96" t="e">
        <f>'2.4.Функции'!ZJ178+"BYw!&amp;/?"</f>
        <v>#VALUE!</v>
      </c>
      <c r="DP96" t="e">
        <f>'2.4.Функции'!ZK178+"BYw!&amp;/@"</f>
        <v>#VALUE!</v>
      </c>
      <c r="DQ96" t="e">
        <f>'2.4.Функции'!ZL178+"BYw!&amp;/A"</f>
        <v>#VALUE!</v>
      </c>
      <c r="DR96" t="e">
        <f>'2.4.Функции'!ZM178+"BYw!&amp;/B"</f>
        <v>#VALUE!</v>
      </c>
      <c r="DS96" t="e">
        <f>'2.4.Функции'!ZN178+"BYw!&amp;/C"</f>
        <v>#VALUE!</v>
      </c>
      <c r="DT96" t="e">
        <f>'2.4.Функции'!ZO178+"BYw!&amp;/D"</f>
        <v>#VALUE!</v>
      </c>
      <c r="DU96" t="e">
        <f>'2.4.Функции'!ZP178+"BYw!&amp;/E"</f>
        <v>#VALUE!</v>
      </c>
      <c r="DV96" t="e">
        <f>'2.4.Функции'!ZQ178+"BYw!&amp;/F"</f>
        <v>#VALUE!</v>
      </c>
      <c r="DW96" t="e">
        <f>'2.4.Функции'!ZR178+"BYw!&amp;/G"</f>
        <v>#VALUE!</v>
      </c>
      <c r="DX96" t="e">
        <f>'2.4.Функции'!ZS178+"BYw!&amp;/H"</f>
        <v>#VALUE!</v>
      </c>
      <c r="DY96" t="e">
        <f>'2.4.Функции'!ZT178+"BYw!&amp;/I"</f>
        <v>#VALUE!</v>
      </c>
      <c r="DZ96" t="e">
        <f>'2.4.Функции'!ZU178+"BYw!&amp;/J"</f>
        <v>#VALUE!</v>
      </c>
      <c r="EA96" t="e">
        <f>'2.4.Функции'!ZV178+"BYw!&amp;/K"</f>
        <v>#VALUE!</v>
      </c>
      <c r="EB96" t="e">
        <f>'2.4.Функции'!ZW178+"BYw!&amp;/L"</f>
        <v>#VALUE!</v>
      </c>
      <c r="EC96" t="e">
        <f>'2.4.Функции'!ZX178+"BYw!&amp;/M"</f>
        <v>#VALUE!</v>
      </c>
      <c r="ED96" t="e">
        <f>'2.4.Функции'!ZY178+"BYw!&amp;/N"</f>
        <v>#VALUE!</v>
      </c>
      <c r="EE96" t="e">
        <f>'2.4.Функции'!ZZ178+"BYw!&amp;/O"</f>
        <v>#VALUE!</v>
      </c>
      <c r="EF96" t="e">
        <f>'2.4.Функции'!AAA178+"BYw!&amp;/P"</f>
        <v>#VALUE!</v>
      </c>
      <c r="EG96" t="e">
        <f>'2.4.Функции'!AAB178+"BYw!&amp;/Q"</f>
        <v>#VALUE!</v>
      </c>
      <c r="EH96" t="e">
        <f>'2.4.Функции'!AAC178+"BYw!&amp;/R"</f>
        <v>#VALUE!</v>
      </c>
      <c r="EI96" t="e">
        <f>'2.4.Функции'!AAD178+"BYw!&amp;/S"</f>
        <v>#VALUE!</v>
      </c>
      <c r="EJ96" t="e">
        <f>'2.4.Функции'!AAE178+"BYw!&amp;/T"</f>
        <v>#VALUE!</v>
      </c>
      <c r="EK96" t="e">
        <f>'2.4.Функции'!AAF178+"BYw!&amp;/U"</f>
        <v>#VALUE!</v>
      </c>
      <c r="EL96" t="e">
        <f>'2.4.Функции'!AAG178+"BYw!&amp;/V"</f>
        <v>#VALUE!</v>
      </c>
      <c r="EM96" t="e">
        <f>'2.4.Функции'!AAH178+"BYw!&amp;/W"</f>
        <v>#VALUE!</v>
      </c>
      <c r="EN96" t="e">
        <f>'2.4.Функции'!AAI178+"BYw!&amp;/X"</f>
        <v>#VALUE!</v>
      </c>
      <c r="EO96" t="e">
        <f>'2.4.Функции'!AAJ178+"BYw!&amp;/Y"</f>
        <v>#VALUE!</v>
      </c>
      <c r="EP96" t="e">
        <f>'2.4.Функции'!AAK178+"BYw!&amp;/Z"</f>
        <v>#VALUE!</v>
      </c>
      <c r="EQ96" t="e">
        <f>'2.4.Функции'!AAL178+"BYw!&amp;/["</f>
        <v>#VALUE!</v>
      </c>
      <c r="ER96" t="e">
        <f>'2.4.Функции'!AAM178+"BYw!&amp;/\"</f>
        <v>#VALUE!</v>
      </c>
      <c r="ES96" t="e">
        <f>'2.4.Функции'!AAN178+"BYw!&amp;/]"</f>
        <v>#VALUE!</v>
      </c>
      <c r="ET96" t="e">
        <f>'2.4.Функции'!AAO178+"BYw!&amp;/^"</f>
        <v>#VALUE!</v>
      </c>
      <c r="EU96" t="e">
        <f>'2.4.Функции'!AAP178+"BYw!&amp;/_"</f>
        <v>#VALUE!</v>
      </c>
      <c r="EV96" t="e">
        <f>'2.4.Функции'!AAQ178+"BYw!&amp;/`"</f>
        <v>#VALUE!</v>
      </c>
      <c r="EW96" t="e">
        <f>'2.4.Функции'!AAR178+"BYw!&amp;/a"</f>
        <v>#VALUE!</v>
      </c>
      <c r="EX96" t="e">
        <f>'2.4.Функции'!AAS178+"BYw!&amp;/b"</f>
        <v>#VALUE!</v>
      </c>
      <c r="EY96" t="e">
        <f>'2.4.Функции'!AAT178+"BYw!&amp;/c"</f>
        <v>#VALUE!</v>
      </c>
      <c r="EZ96" t="e">
        <f>'2.4.Функции'!AAU178+"BYw!&amp;/d"</f>
        <v>#VALUE!</v>
      </c>
      <c r="FA96" t="e">
        <f>'2.4.Функции'!AAV178+"BYw!&amp;/e"</f>
        <v>#VALUE!</v>
      </c>
      <c r="FB96" t="e">
        <f>'2.4.Функции'!AAW178+"BYw!&amp;/f"</f>
        <v>#VALUE!</v>
      </c>
      <c r="FC96" t="e">
        <f>'2.4.Функции'!AAX178+"BYw!&amp;/g"</f>
        <v>#VALUE!</v>
      </c>
      <c r="FD96" t="e">
        <f>'2.4.Функции'!AAY178+"BYw!&amp;/h"</f>
        <v>#VALUE!</v>
      </c>
      <c r="FE96" t="e">
        <f>'2.4.Функции'!AAZ178+"BYw!&amp;/i"</f>
        <v>#VALUE!</v>
      </c>
      <c r="FF96" t="e">
        <f>'2.4.Функции'!ABA178+"BYw!&amp;/j"</f>
        <v>#VALUE!</v>
      </c>
      <c r="FG96" t="e">
        <f>'2.4.Функции'!ABB178+"BYw!&amp;/k"</f>
        <v>#VALUE!</v>
      </c>
      <c r="FH96" t="e">
        <f>'2.4.Функции'!ABC178+"BYw!&amp;/l"</f>
        <v>#VALUE!</v>
      </c>
      <c r="FI96" t="e">
        <f>'2.4.Функции'!ABD178+"BYw!&amp;/m"</f>
        <v>#VALUE!</v>
      </c>
      <c r="FJ96" t="e">
        <f>'2.4.Функции'!ABE178+"BYw!&amp;/n"</f>
        <v>#VALUE!</v>
      </c>
      <c r="FK96" t="e">
        <f>'2.4.Функции'!ABF178+"BYw!&amp;/o"</f>
        <v>#VALUE!</v>
      </c>
      <c r="FL96" t="e">
        <f>'2.4.Функции'!ABG178+"BYw!&amp;/p"</f>
        <v>#VALUE!</v>
      </c>
      <c r="FM96" t="e">
        <f>'2.4.Функции'!ABH178+"BYw!&amp;/q"</f>
        <v>#VALUE!</v>
      </c>
      <c r="FN96" t="e">
        <f>'2.4.Функции'!ABI178+"BYw!&amp;/r"</f>
        <v>#VALUE!</v>
      </c>
      <c r="FO96" t="e">
        <f>'2.4.Функции'!ABJ178+"BYw!&amp;/s"</f>
        <v>#VALUE!</v>
      </c>
      <c r="FP96" t="e">
        <f>'2.4.Функции'!ABK178+"BYw!&amp;/t"</f>
        <v>#VALUE!</v>
      </c>
      <c r="FQ96" t="e">
        <f>'2.4.Функции'!ABL178+"BYw!&amp;/u"</f>
        <v>#VALUE!</v>
      </c>
      <c r="FR96" t="e">
        <f>'2.4.Функции'!ABM178+"BYw!&amp;/v"</f>
        <v>#VALUE!</v>
      </c>
      <c r="FS96" t="e">
        <f>'2.4.Функции'!ABN178+"BYw!&amp;/w"</f>
        <v>#VALUE!</v>
      </c>
      <c r="FT96" t="e">
        <f>'2.4.Функции'!ABO178+"BYw!&amp;/x"</f>
        <v>#VALUE!</v>
      </c>
      <c r="FU96" t="e">
        <f>'2.4.Функции'!ABP178+"BYw!&amp;/y"</f>
        <v>#VALUE!</v>
      </c>
      <c r="FV96" t="e">
        <f>'2.4.Функции'!ABQ178+"BYw!&amp;/z"</f>
        <v>#VALUE!</v>
      </c>
      <c r="FW96" t="e">
        <f>'2.4.Функции'!ABR178+"BYw!&amp;/{"</f>
        <v>#VALUE!</v>
      </c>
      <c r="FX96" t="e">
        <f>'2.4.Функции'!ABS178+"BYw!&amp;/|"</f>
        <v>#VALUE!</v>
      </c>
      <c r="FY96" t="e">
        <f>'2.4.Функции'!ABT178+"BYw!&amp;/}"</f>
        <v>#VALUE!</v>
      </c>
      <c r="FZ96" t="e">
        <f>'2.4.Функции'!ABU178+"BYw!&amp;/~"</f>
        <v>#VALUE!</v>
      </c>
      <c r="GA96" t="e">
        <f>'2.4.Функции'!ABV178+"BYw!&amp;0#"</f>
        <v>#VALUE!</v>
      </c>
      <c r="GB96" t="e">
        <f>'2.4.Функции'!ABW178+"BYw!&amp;0$"</f>
        <v>#VALUE!</v>
      </c>
      <c r="GC96" t="e">
        <f>'2.4.Функции'!ABX178+"BYw!&amp;0%"</f>
        <v>#VALUE!</v>
      </c>
      <c r="GD96" t="e">
        <f>'2.4.Функции'!ABY178+"BYw!&amp;0&amp;"</f>
        <v>#VALUE!</v>
      </c>
      <c r="GE96" t="e">
        <f>'2.4.Функции'!ABZ178+"BYw!&amp;0'"</f>
        <v>#VALUE!</v>
      </c>
      <c r="GF96" t="e">
        <f>'2.4.Функции'!ACA178+"BYw!&amp;0("</f>
        <v>#VALUE!</v>
      </c>
      <c r="GG96" t="e">
        <f>'2.4.Функции'!ACB178+"BYw!&amp;0)"</f>
        <v>#VALUE!</v>
      </c>
      <c r="GH96" t="e">
        <f>'2.4.Функции'!ACC178+"BYw!&amp;0."</f>
        <v>#VALUE!</v>
      </c>
      <c r="GI96" t="e">
        <f>'2.4.Функции'!ACD178+"BYw!&amp;0/"</f>
        <v>#VALUE!</v>
      </c>
      <c r="GJ96" t="e">
        <f>'2.4.Функции'!ACE178+"BYw!&amp;00"</f>
        <v>#VALUE!</v>
      </c>
      <c r="GK96" t="e">
        <f>'2.4.Функции'!ACF178+"BYw!&amp;01"</f>
        <v>#VALUE!</v>
      </c>
      <c r="GL96" t="e">
        <f>'2.4.Функции'!ACG178+"BYw!&amp;02"</f>
        <v>#VALUE!</v>
      </c>
      <c r="GM96" t="e">
        <f>'2.4.Функции'!ACH178+"BYw!&amp;03"</f>
        <v>#VALUE!</v>
      </c>
      <c r="GN96" t="e">
        <f>'2.4.Функции'!ACI178+"BYw!&amp;04"</f>
        <v>#VALUE!</v>
      </c>
      <c r="GO96" t="e">
        <f>'2.4.Функции'!ACJ178+"BYw!&amp;05"</f>
        <v>#VALUE!</v>
      </c>
      <c r="GP96" t="e">
        <f>'2.4.Функции'!ACK178+"BYw!&amp;06"</f>
        <v>#VALUE!</v>
      </c>
      <c r="GQ96" t="e">
        <f>'2.4.Функции'!ACL178+"BYw!&amp;07"</f>
        <v>#VALUE!</v>
      </c>
      <c r="GR96" t="e">
        <f>'2.4.Функции'!ACM178+"BYw!&amp;08"</f>
        <v>#VALUE!</v>
      </c>
      <c r="GS96" t="e">
        <f>'2.4.Функции'!ACN178+"BYw!&amp;09"</f>
        <v>#VALUE!</v>
      </c>
      <c r="GT96" t="e">
        <f>'2.4.Функции'!ACO178+"BYw!&amp;0:"</f>
        <v>#VALUE!</v>
      </c>
      <c r="GU96" t="e">
        <f>'2.4.Функции'!ACP178+"BYw!&amp;0;"</f>
        <v>#VALUE!</v>
      </c>
      <c r="GV96" t="e">
        <f>'2.4.Функции'!ACQ178+"BYw!&amp;0&lt;"</f>
        <v>#VALUE!</v>
      </c>
      <c r="GW96" t="e">
        <f>'2.4.Функции'!ACR178+"BYw!&amp;0="</f>
        <v>#VALUE!</v>
      </c>
      <c r="GX96" t="e">
        <f>'2.4.Функции'!ACS178+"BYw!&amp;0&gt;"</f>
        <v>#VALUE!</v>
      </c>
      <c r="GY96" t="e">
        <f>'2.4.Функции'!ACT178+"BYw!&amp;0?"</f>
        <v>#VALUE!</v>
      </c>
      <c r="GZ96" t="e">
        <f>'2.4.Функции'!ACU178+"BYw!&amp;0@"</f>
        <v>#VALUE!</v>
      </c>
      <c r="HA96" t="e">
        <f>'2.4.Функции'!ACV178+"BYw!&amp;0A"</f>
        <v>#VALUE!</v>
      </c>
      <c r="HB96" t="e">
        <f>'2.4.Функции'!ACW178+"BYw!&amp;0B"</f>
        <v>#VALUE!</v>
      </c>
      <c r="HC96" t="e">
        <f>'2.4.Функции'!ACX178+"BYw!&amp;0C"</f>
        <v>#VALUE!</v>
      </c>
      <c r="HD96" t="e">
        <f>'2.4.Функции'!ACY178+"BYw!&amp;0D"</f>
        <v>#VALUE!</v>
      </c>
      <c r="HE96" t="e">
        <f>'2.4.Функции'!ACZ178+"BYw!&amp;0E"</f>
        <v>#VALUE!</v>
      </c>
      <c r="HF96" t="e">
        <f>'2.4.Функции'!ADA178+"BYw!&amp;0F"</f>
        <v>#VALUE!</v>
      </c>
      <c r="HG96" t="e">
        <f>'2.4.Функции'!ADB178+"BYw!&amp;0G"</f>
        <v>#VALUE!</v>
      </c>
      <c r="HH96" t="e">
        <f>'2.4.Функции'!ADC178+"BYw!&amp;0H"</f>
        <v>#VALUE!</v>
      </c>
      <c r="HI96" t="e">
        <f>'2.4.Функции'!ADD178+"BYw!&amp;0I"</f>
        <v>#VALUE!</v>
      </c>
      <c r="HJ96" t="e">
        <f>'2.4.Функции'!ADE178+"BYw!&amp;0J"</f>
        <v>#VALUE!</v>
      </c>
      <c r="HK96" t="e">
        <f>'2.4.Функции'!ADF178+"BYw!&amp;0K"</f>
        <v>#VALUE!</v>
      </c>
      <c r="HL96" t="e">
        <f>'2.4.Функции'!ADG178+"BYw!&amp;0L"</f>
        <v>#VALUE!</v>
      </c>
      <c r="HM96" t="e">
        <f>'2.4.Функции'!ADH178+"BYw!&amp;0M"</f>
        <v>#VALUE!</v>
      </c>
      <c r="HN96" t="e">
        <f>'2.4.Функции'!ADI178+"BYw!&amp;0N"</f>
        <v>#VALUE!</v>
      </c>
      <c r="HO96" t="e">
        <f>'2.4.Функции'!ADJ178+"BYw!&amp;0O"</f>
        <v>#VALUE!</v>
      </c>
      <c r="HP96" t="e">
        <f>'2.4.Функции'!ADK178+"BYw!&amp;0P"</f>
        <v>#VALUE!</v>
      </c>
      <c r="HQ96" t="e">
        <f>'2.4.Функции'!ADL178+"BYw!&amp;0Q"</f>
        <v>#VALUE!</v>
      </c>
      <c r="HR96" t="e">
        <f>'2.4.Функции'!ADM178+"BYw!&amp;0R"</f>
        <v>#VALUE!</v>
      </c>
      <c r="HS96" t="e">
        <f>'2.4.Функции'!ADN178+"BYw!&amp;0S"</f>
        <v>#VALUE!</v>
      </c>
      <c r="HT96" t="e">
        <f>'2.4.Функции'!ADO178+"BYw!&amp;0T"</f>
        <v>#VALUE!</v>
      </c>
      <c r="HU96" t="e">
        <f>'2.4.Функции'!ADP178+"BYw!&amp;0U"</f>
        <v>#VALUE!</v>
      </c>
      <c r="HV96" t="e">
        <f>'2.4.Функции'!ADQ178+"BYw!&amp;0V"</f>
        <v>#VALUE!</v>
      </c>
      <c r="HW96" t="e">
        <f>'2.4.Функции'!ADR178+"BYw!&amp;0W"</f>
        <v>#VALUE!</v>
      </c>
      <c r="HX96" t="e">
        <f>'2.4.Функции'!ADS178+"BYw!&amp;0X"</f>
        <v>#VALUE!</v>
      </c>
      <c r="HY96" t="e">
        <f>'2.4.Функции'!ADT178+"BYw!&amp;0Y"</f>
        <v>#VALUE!</v>
      </c>
      <c r="HZ96" t="e">
        <f>'2.4.Функции'!ADU178+"BYw!&amp;0Z"</f>
        <v>#VALUE!</v>
      </c>
      <c r="IA96" t="e">
        <f>'2.4.Функции'!ADV178+"BYw!&amp;0["</f>
        <v>#VALUE!</v>
      </c>
      <c r="IB96" t="e">
        <f>'2.4.Функции'!ADW178+"BYw!&amp;0\"</f>
        <v>#VALUE!</v>
      </c>
      <c r="IC96" t="e">
        <f>'2.4.Функции'!ADX178+"BYw!&amp;0]"</f>
        <v>#VALUE!</v>
      </c>
      <c r="ID96" t="e">
        <f>'2.4.Функции'!ADY178+"BYw!&amp;0^"</f>
        <v>#VALUE!</v>
      </c>
      <c r="IE96" t="e">
        <f>'2.4.Функции'!ADZ178+"BYw!&amp;0_"</f>
        <v>#VALUE!</v>
      </c>
      <c r="IF96" t="e">
        <f>'2.4.Функции'!AEA178+"BYw!&amp;0`"</f>
        <v>#VALUE!</v>
      </c>
      <c r="IG96" t="e">
        <f>'2.4.Функции'!AEB178+"BYw!&amp;0a"</f>
        <v>#VALUE!</v>
      </c>
      <c r="IH96" t="e">
        <f>'2.4.Функции'!AEC178+"BYw!&amp;0b"</f>
        <v>#VALUE!</v>
      </c>
      <c r="II96" t="e">
        <f>'2.4.Функции'!AED178+"BYw!&amp;0c"</f>
        <v>#VALUE!</v>
      </c>
      <c r="IJ96" t="e">
        <f>'2.4.Функции'!AEE178+"BYw!&amp;0d"</f>
        <v>#VALUE!</v>
      </c>
      <c r="IK96" t="e">
        <f>'2.4.Функции'!AEF178+"BYw!&amp;0e"</f>
        <v>#VALUE!</v>
      </c>
      <c r="IL96" t="e">
        <f>'2.4.Функции'!AEG178+"BYw!&amp;0f"</f>
        <v>#VALUE!</v>
      </c>
      <c r="IM96" t="e">
        <f>'2.4.Функции'!AEH178+"BYw!&amp;0g"</f>
        <v>#VALUE!</v>
      </c>
      <c r="IN96" t="e">
        <f>'2.4.Функции'!AEI178+"BYw!&amp;0h"</f>
        <v>#VALUE!</v>
      </c>
      <c r="IO96" t="e">
        <f>'2.4.Функции'!AEJ178+"BYw!&amp;0i"</f>
        <v>#VALUE!</v>
      </c>
      <c r="IP96" t="e">
        <f>'2.4.Функции'!AEK178+"BYw!&amp;0j"</f>
        <v>#VALUE!</v>
      </c>
      <c r="IQ96" t="e">
        <f>'2.4.Функции'!AEL178+"BYw!&amp;0k"</f>
        <v>#VALUE!</v>
      </c>
      <c r="IR96" t="e">
        <f>'2.4.Функции'!AEM178+"BYw!&amp;0l"</f>
        <v>#VALUE!</v>
      </c>
      <c r="IS96" t="e">
        <f>'2.4.Функции'!AEN178+"BYw!&amp;0m"</f>
        <v>#VALUE!</v>
      </c>
      <c r="IT96" t="e">
        <f>'2.4.Функции'!AEO178+"BYw!&amp;0n"</f>
        <v>#VALUE!</v>
      </c>
      <c r="IU96" t="e">
        <f>'2.4.Функции'!AEP178+"BYw!&amp;0o"</f>
        <v>#VALUE!</v>
      </c>
      <c r="IV96" t="e">
        <f>'2.4.Функции'!AEQ178+"BYw!&amp;0p"</f>
        <v>#VALUE!</v>
      </c>
    </row>
    <row r="97" spans="6:256" x14ac:dyDescent="0.2">
      <c r="F97" t="e">
        <f>'2.4.Функции'!AER178+"BYw!&amp;0q"</f>
        <v>#VALUE!</v>
      </c>
      <c r="G97" t="e">
        <f>'2.4.Функции'!AES178+"BYw!&amp;0r"</f>
        <v>#VALUE!</v>
      </c>
      <c r="H97" t="e">
        <f>'2.4.Функции'!AET178+"BYw!&amp;0s"</f>
        <v>#VALUE!</v>
      </c>
      <c r="I97" t="e">
        <f>'2.4.Функции'!AEU178+"BYw!&amp;0t"</f>
        <v>#VALUE!</v>
      </c>
      <c r="J97" t="e">
        <f>'2.4.Функции'!AEV178+"BYw!&amp;0u"</f>
        <v>#VALUE!</v>
      </c>
      <c r="K97" t="e">
        <f>'2.4.Функции'!AEW178+"BYw!&amp;0v"</f>
        <v>#VALUE!</v>
      </c>
      <c r="L97" t="e">
        <f>'2.4.Функции'!AEX178+"BYw!&amp;0w"</f>
        <v>#VALUE!</v>
      </c>
      <c r="M97" t="e">
        <f>'2.4.Функции'!AEY178+"BYw!&amp;0x"</f>
        <v>#VALUE!</v>
      </c>
      <c r="N97" t="e">
        <f>'2.4.Функции'!AEZ178+"BYw!&amp;0y"</f>
        <v>#VALUE!</v>
      </c>
      <c r="O97" t="e">
        <f>'2.4.Функции'!AFA178+"BYw!&amp;0z"</f>
        <v>#VALUE!</v>
      </c>
      <c r="P97" t="e">
        <f>'2.4.Функции'!AFB178+"BYw!&amp;0{"</f>
        <v>#VALUE!</v>
      </c>
      <c r="Q97" t="e">
        <f>'2.4.Функции'!AFC178+"BYw!&amp;0|"</f>
        <v>#VALUE!</v>
      </c>
      <c r="R97" t="e">
        <f>'2.4.Функции'!AFD178+"BYw!&amp;0}"</f>
        <v>#VALUE!</v>
      </c>
      <c r="S97" t="e">
        <f>'2.4.Функции'!AFE178+"BYw!&amp;0~"</f>
        <v>#VALUE!</v>
      </c>
      <c r="T97" t="e">
        <f>'2.4.Функции'!AFF178+"BYw!&amp;1#"</f>
        <v>#VALUE!</v>
      </c>
      <c r="U97" t="e">
        <f>'2.4.Функции'!AFG178+"BYw!&amp;1$"</f>
        <v>#VALUE!</v>
      </c>
      <c r="V97" t="e">
        <f>'2.4.Функции'!AFH178+"BYw!&amp;1%"</f>
        <v>#VALUE!</v>
      </c>
      <c r="W97" t="e">
        <f>'2.4.Функции'!AFI178+"BYw!&amp;1&amp;"</f>
        <v>#VALUE!</v>
      </c>
      <c r="X97" t="e">
        <f>'2.4.Функции'!AFJ178+"BYw!&amp;1'"</f>
        <v>#VALUE!</v>
      </c>
      <c r="Y97" t="e">
        <f>'2.4.Функции'!AFK178+"BYw!&amp;1("</f>
        <v>#VALUE!</v>
      </c>
      <c r="Z97" t="e">
        <f>'2.4.Функции'!AFL178+"BYw!&amp;1)"</f>
        <v>#VALUE!</v>
      </c>
      <c r="AA97" t="e">
        <f>'2.4.Функции'!AFM178+"BYw!&amp;1."</f>
        <v>#VALUE!</v>
      </c>
      <c r="AB97" t="e">
        <f>'2.4.Функции'!AFN178+"BYw!&amp;1/"</f>
        <v>#VALUE!</v>
      </c>
      <c r="AC97" t="e">
        <f>'2.4.Функции'!AFO178+"BYw!&amp;10"</f>
        <v>#VALUE!</v>
      </c>
      <c r="AD97" t="e">
        <f>'2.4.Функции'!AFP178+"BYw!&amp;11"</f>
        <v>#VALUE!</v>
      </c>
      <c r="AE97" t="e">
        <f>'2.4.Функции'!AFQ178+"BYw!&amp;12"</f>
        <v>#VALUE!</v>
      </c>
      <c r="AF97" t="e">
        <f>'2.4.Функции'!AFR178+"BYw!&amp;13"</f>
        <v>#VALUE!</v>
      </c>
      <c r="AG97" t="e">
        <f>'2.4.Функции'!AFS178+"BYw!&amp;14"</f>
        <v>#VALUE!</v>
      </c>
      <c r="AH97" t="e">
        <f>'2.4.Функции'!AFT178+"BYw!&amp;15"</f>
        <v>#VALUE!</v>
      </c>
      <c r="AI97" t="e">
        <f>'2.4.Функции'!AFU178+"BYw!&amp;16"</f>
        <v>#VALUE!</v>
      </c>
      <c r="AJ97" t="e">
        <f>'2.4.Функции'!AFV178+"BYw!&amp;17"</f>
        <v>#VALUE!</v>
      </c>
      <c r="AK97" t="e">
        <f>'2.4.Функции'!AFW178+"BYw!&amp;18"</f>
        <v>#VALUE!</v>
      </c>
      <c r="AL97" t="e">
        <f>'2.4.Функции'!AFX178+"BYw!&amp;19"</f>
        <v>#VALUE!</v>
      </c>
      <c r="AM97" t="e">
        <f>'2.4.Функции'!AFY178+"BYw!&amp;1:"</f>
        <v>#VALUE!</v>
      </c>
      <c r="AN97" t="e">
        <f>'2.4.Функции'!AFZ178+"BYw!&amp;1;"</f>
        <v>#VALUE!</v>
      </c>
      <c r="AO97" t="e">
        <f>'2.4.Функции'!AGA178+"BYw!&amp;1&lt;"</f>
        <v>#VALUE!</v>
      </c>
      <c r="AP97" t="e">
        <f>'2.4.Функции'!AGB178+"BYw!&amp;1="</f>
        <v>#VALUE!</v>
      </c>
      <c r="AQ97" t="e">
        <f>'2.4.Функции'!AGC178+"BYw!&amp;1&gt;"</f>
        <v>#VALUE!</v>
      </c>
      <c r="AR97" t="e">
        <f>'2.4.Функции'!AGD178+"BYw!&amp;1?"</f>
        <v>#VALUE!</v>
      </c>
      <c r="AS97" t="e">
        <f>'2.4.Функции'!AGE178+"BYw!&amp;1@"</f>
        <v>#VALUE!</v>
      </c>
      <c r="AT97" t="e">
        <f>'2.4.Функции'!AGF178+"BYw!&amp;1A"</f>
        <v>#VALUE!</v>
      </c>
      <c r="AU97" t="e">
        <f>'2.4.Функции'!AGG178+"BYw!&amp;1B"</f>
        <v>#VALUE!</v>
      </c>
      <c r="AV97" t="e">
        <f>'2.4.Функции'!AGH178+"BYw!&amp;1C"</f>
        <v>#VALUE!</v>
      </c>
      <c r="AW97" t="e">
        <f>'2.4.Функции'!AGI178+"BYw!&amp;1D"</f>
        <v>#VALUE!</v>
      </c>
      <c r="AX97" t="e">
        <f>'2.4.Функции'!AGJ178+"BYw!&amp;1E"</f>
        <v>#VALUE!</v>
      </c>
      <c r="AY97" t="e">
        <f>'2.4.Функции'!AGK178+"BYw!&amp;1F"</f>
        <v>#VALUE!</v>
      </c>
      <c r="AZ97" t="e">
        <f>'2.4.Функции'!AGL178+"BYw!&amp;1G"</f>
        <v>#VALUE!</v>
      </c>
      <c r="BA97" t="e">
        <f>'2.4.Функции'!AGM178+"BYw!&amp;1H"</f>
        <v>#VALUE!</v>
      </c>
      <c r="BB97" t="e">
        <f>'2.4.Функции'!AGN178+"BYw!&amp;1I"</f>
        <v>#VALUE!</v>
      </c>
      <c r="BC97" t="e">
        <f>'2.4.Функции'!AGO178+"BYw!&amp;1J"</f>
        <v>#VALUE!</v>
      </c>
      <c r="BD97" t="e">
        <f>'2.4.Функции'!AGP178+"BYw!&amp;1K"</f>
        <v>#VALUE!</v>
      </c>
      <c r="BE97" t="e">
        <f>'2.4.Функции'!AGQ178+"BYw!&amp;1L"</f>
        <v>#VALUE!</v>
      </c>
      <c r="BF97" t="e">
        <f>'2.4.Функции'!AGR178+"BYw!&amp;1M"</f>
        <v>#VALUE!</v>
      </c>
      <c r="BG97" t="e">
        <f>'2.4.Функции'!AGS178+"BYw!&amp;1N"</f>
        <v>#VALUE!</v>
      </c>
      <c r="BH97" t="e">
        <f>'2.4.Функции'!AGT178+"BYw!&amp;1O"</f>
        <v>#VALUE!</v>
      </c>
      <c r="BI97" t="e">
        <f>'2.4.Функции'!AGU178+"BYw!&amp;1P"</f>
        <v>#VALUE!</v>
      </c>
      <c r="BJ97" t="e">
        <f>'2.4.Функции'!AGV178+"BYw!&amp;1Q"</f>
        <v>#VALUE!</v>
      </c>
      <c r="BK97" t="e">
        <f>'2.4.Функции'!AGW178+"BYw!&amp;1R"</f>
        <v>#VALUE!</v>
      </c>
      <c r="BL97" t="e">
        <f>'2.4.Функции'!AGX178+"BYw!&amp;1S"</f>
        <v>#VALUE!</v>
      </c>
      <c r="BM97" t="e">
        <f>'2.4.Функции'!AGY178+"BYw!&amp;1T"</f>
        <v>#VALUE!</v>
      </c>
      <c r="BN97" t="e">
        <f>'2.4.Функции'!AGZ178+"BYw!&amp;1U"</f>
        <v>#VALUE!</v>
      </c>
      <c r="BO97" t="e">
        <f>'2.4.Функции'!AHA178+"BYw!&amp;1V"</f>
        <v>#VALUE!</v>
      </c>
      <c r="BP97" t="e">
        <f>'2.4.Функции'!AHB178+"BYw!&amp;1W"</f>
        <v>#VALUE!</v>
      </c>
      <c r="BQ97" t="e">
        <f>'2.4.Функции'!AHC178+"BYw!&amp;1X"</f>
        <v>#VALUE!</v>
      </c>
      <c r="BR97" t="e">
        <f>'2.4.Функции'!AHD178+"BYw!&amp;1Y"</f>
        <v>#VALUE!</v>
      </c>
      <c r="BS97" t="e">
        <f>'2.4.Функции'!AHE178+"BYw!&amp;1Z"</f>
        <v>#VALUE!</v>
      </c>
      <c r="BT97" t="e">
        <f>'2.4.Функции'!AHF178+"BYw!&amp;1["</f>
        <v>#VALUE!</v>
      </c>
      <c r="BU97" t="e">
        <f>'2.4.Функции'!AHG178+"BYw!&amp;1\"</f>
        <v>#VALUE!</v>
      </c>
      <c r="BV97" t="e">
        <f>'2.4.Функции'!AHH178+"BYw!&amp;1]"</f>
        <v>#VALUE!</v>
      </c>
      <c r="BW97" t="e">
        <f>'2.4.Функции'!AHI178+"BYw!&amp;1^"</f>
        <v>#VALUE!</v>
      </c>
      <c r="BX97" t="e">
        <f>'2.4.Функции'!AHJ178+"BYw!&amp;1_"</f>
        <v>#VALUE!</v>
      </c>
      <c r="BY97" t="e">
        <f>'2.4.Функции'!AHK178+"BYw!&amp;1`"</f>
        <v>#VALUE!</v>
      </c>
      <c r="BZ97" t="e">
        <f>'2.4.Функции'!AHL178+"BYw!&amp;1a"</f>
        <v>#VALUE!</v>
      </c>
      <c r="CA97" t="e">
        <f>'2.4.Функции'!AHM178+"BYw!&amp;1b"</f>
        <v>#VALUE!</v>
      </c>
      <c r="CB97" t="e">
        <f>'2.4.Функции'!AHN178+"BYw!&amp;1c"</f>
        <v>#VALUE!</v>
      </c>
      <c r="CC97" t="e">
        <f>'2.4.Функции'!AHO178+"BYw!&amp;1d"</f>
        <v>#VALUE!</v>
      </c>
      <c r="CD97" t="e">
        <f>'2.4.Функции'!AHP178+"BYw!&amp;1e"</f>
        <v>#VALUE!</v>
      </c>
      <c r="CE97" t="e">
        <f>'2.4.Функции'!AHQ178+"BYw!&amp;1f"</f>
        <v>#VALUE!</v>
      </c>
      <c r="CF97" t="e">
        <f>'2.4.Функции'!AHR178+"BYw!&amp;1g"</f>
        <v>#VALUE!</v>
      </c>
      <c r="CG97" t="e">
        <f>'2.4.Функции'!AHS178+"BYw!&amp;1h"</f>
        <v>#VALUE!</v>
      </c>
      <c r="CH97" t="e">
        <f>'2.4.Функции'!AHT178+"BYw!&amp;1i"</f>
        <v>#VALUE!</v>
      </c>
      <c r="CI97" t="e">
        <f>'2.4.Функции'!AHU178+"BYw!&amp;1j"</f>
        <v>#VALUE!</v>
      </c>
      <c r="CJ97" t="e">
        <f>'2.4.Функции'!AHV178+"BYw!&amp;1k"</f>
        <v>#VALUE!</v>
      </c>
      <c r="CK97" t="e">
        <f>'2.4.Функции'!AHW178+"BYw!&amp;1l"</f>
        <v>#VALUE!</v>
      </c>
      <c r="CL97" t="e">
        <f>'2.4.Функции'!AHX178+"BYw!&amp;1m"</f>
        <v>#VALUE!</v>
      </c>
      <c r="CM97" t="e">
        <f>'2.4.Функции'!AHY178+"BYw!&amp;1n"</f>
        <v>#VALUE!</v>
      </c>
      <c r="CN97" t="e">
        <f>'2.4.Функции'!AHZ178+"BYw!&amp;1o"</f>
        <v>#VALUE!</v>
      </c>
      <c r="CO97" t="e">
        <f>'2.4.Функции'!AIA178+"BYw!&amp;1p"</f>
        <v>#VALUE!</v>
      </c>
      <c r="CP97" t="e">
        <f>'2.4.Функции'!AIB178+"BYw!&amp;1q"</f>
        <v>#VALUE!</v>
      </c>
      <c r="CQ97" t="e">
        <f>'2.4.Функции'!AIC178+"BYw!&amp;1r"</f>
        <v>#VALUE!</v>
      </c>
      <c r="CR97" t="e">
        <f>'2.4.Функции'!AID178+"BYw!&amp;1s"</f>
        <v>#VALUE!</v>
      </c>
      <c r="CS97" t="e">
        <f>'2.4.Функции'!AIE178+"BYw!&amp;1t"</f>
        <v>#VALUE!</v>
      </c>
      <c r="CT97" t="e">
        <f>'2.4.Функции'!AIF178+"BYw!&amp;1u"</f>
        <v>#VALUE!</v>
      </c>
      <c r="CU97" t="e">
        <f>'2.4.Функции'!AIG178+"BYw!&amp;1v"</f>
        <v>#VALUE!</v>
      </c>
      <c r="CV97" t="e">
        <f>'2.4.Функции'!AIH178+"BYw!&amp;1w"</f>
        <v>#VALUE!</v>
      </c>
      <c r="CW97" t="e">
        <f>'2.4.Функции'!A179+"BYw!&amp;1x"</f>
        <v>#VALUE!</v>
      </c>
      <c r="CX97" s="116" t="e">
        <f>'2.4.Функции'!B179+"BYw!&amp;1y"</f>
        <v>#VALUE!</v>
      </c>
      <c r="CY97" t="e">
        <f>'2.4.Функции'!C179+"BYw!&amp;1z"</f>
        <v>#VALUE!</v>
      </c>
      <c r="CZ97" s="119" t="e">
        <f>'2.4.Функции'!D179+"BYw!&amp;1{"</f>
        <v>#VALUE!</v>
      </c>
      <c r="DA97" s="119" t="e">
        <f>'2.4.Функции'!E179+"BYw!&amp;1|"</f>
        <v>#VALUE!</v>
      </c>
      <c r="DB97" s="119" t="e">
        <f>'2.4.Функции'!F179+"BYw!&amp;1}"</f>
        <v>#VALUE!</v>
      </c>
      <c r="DC97" s="119" t="e">
        <f>'2.4.Функции'!G179+"BYw!&amp;1~"</f>
        <v>#VALUE!</v>
      </c>
      <c r="DD97" s="119" t="e">
        <f>'2.4.Функции'!H179+"BYw!&amp;2#"</f>
        <v>#VALUE!</v>
      </c>
      <c r="DE97" s="119" t="e">
        <f>'2.4.Функции'!I179+"BYw!&amp;2$"</f>
        <v>#VALUE!</v>
      </c>
      <c r="DF97" s="119" t="e">
        <f>'2.4.Функции'!J179+"BYw!&amp;2%"</f>
        <v>#VALUE!</v>
      </c>
      <c r="DG97" s="119" t="e">
        <f>'2.4.Функции'!K179+"BYw!&amp;2&amp;"</f>
        <v>#VALUE!</v>
      </c>
      <c r="DH97" t="e">
        <f>'2.4.Функции'!L179+"BYw!&amp;2'"</f>
        <v>#VALUE!</v>
      </c>
      <c r="DI97" t="e">
        <f>'2.4.Функции'!M179+"BYw!&amp;2("</f>
        <v>#VALUE!</v>
      </c>
      <c r="DJ97" t="e">
        <f>'2.4.Функции'!N179+"BYw!&amp;2)"</f>
        <v>#VALUE!</v>
      </c>
      <c r="DK97" t="e">
        <f>'2.4.Функции'!O179+"BYw!&amp;2."</f>
        <v>#VALUE!</v>
      </c>
      <c r="DL97" t="e">
        <f>'2.4.Функции'!P179+"BYw!&amp;2/"</f>
        <v>#VALUE!</v>
      </c>
      <c r="DM97" t="e">
        <f>'2.4.Функции'!Q179+"BYw!&amp;20"</f>
        <v>#VALUE!</v>
      </c>
      <c r="DN97" t="e">
        <f>'2.4.Функции'!R179+"BYw!&amp;21"</f>
        <v>#VALUE!</v>
      </c>
      <c r="DO97" t="e">
        <f>'2.4.Функции'!S179+"BYw!&amp;22"</f>
        <v>#VALUE!</v>
      </c>
      <c r="DP97" t="e">
        <f>'2.4.Функции'!T179+"BYw!&amp;23"</f>
        <v>#VALUE!</v>
      </c>
      <c r="DQ97" t="e">
        <f>'2.4.Функции'!U179+"BYw!&amp;24"</f>
        <v>#VALUE!</v>
      </c>
      <c r="DR97" t="e">
        <f>'2.4.Функции'!V179+"BYw!&amp;25"</f>
        <v>#VALUE!</v>
      </c>
      <c r="DS97" t="e">
        <f>'2.4.Функции'!W179+"BYw!&amp;26"</f>
        <v>#VALUE!</v>
      </c>
      <c r="DT97" t="e">
        <f>'2.4.Функции'!X179+"BYw!&amp;27"</f>
        <v>#VALUE!</v>
      </c>
      <c r="DU97" t="e">
        <f>'2.4.Функции'!Y179+"BYw!&amp;28"</f>
        <v>#VALUE!</v>
      </c>
      <c r="DV97" t="e">
        <f>'2.4.Функции'!Z179+"BYw!&amp;29"</f>
        <v>#VALUE!</v>
      </c>
      <c r="DW97" t="e">
        <f>'2.4.Функции'!AA179+"BYw!&amp;2:"</f>
        <v>#VALUE!</v>
      </c>
      <c r="DX97" t="e">
        <f>'2.4.Функции'!AB179+"BYw!&amp;2;"</f>
        <v>#VALUE!</v>
      </c>
      <c r="DY97" t="e">
        <f>'2.4.Функции'!AC179+"BYw!&amp;2&lt;"</f>
        <v>#VALUE!</v>
      </c>
      <c r="DZ97" t="e">
        <f>'2.4.Функции'!AD179+"BYw!&amp;2="</f>
        <v>#VALUE!</v>
      </c>
      <c r="EA97" t="e">
        <f>'2.4.Функции'!AE179+"BYw!&amp;2&gt;"</f>
        <v>#VALUE!</v>
      </c>
      <c r="EB97" t="e">
        <f>'2.4.Функции'!AF179+"BYw!&amp;2?"</f>
        <v>#VALUE!</v>
      </c>
      <c r="EC97" t="e">
        <f>'2.4.Функции'!AG179+"BYw!&amp;2@"</f>
        <v>#VALUE!</v>
      </c>
      <c r="ED97" t="e">
        <f>'2.4.Функции'!AH179+"BYw!&amp;2A"</f>
        <v>#VALUE!</v>
      </c>
      <c r="EE97" t="e">
        <f>'2.4.Функции'!AI179+"BYw!&amp;2B"</f>
        <v>#VALUE!</v>
      </c>
      <c r="EF97" t="e">
        <f>'2.4.Функции'!AJ179+"BYw!&amp;2C"</f>
        <v>#VALUE!</v>
      </c>
      <c r="EG97" t="e">
        <f>'2.4.Функции'!AK179+"BYw!&amp;2D"</f>
        <v>#VALUE!</v>
      </c>
      <c r="EH97" t="e">
        <f>'2.4.Функции'!AL179+"BYw!&amp;2E"</f>
        <v>#VALUE!</v>
      </c>
      <c r="EI97" t="e">
        <f>'2.4.Функции'!AM179+"BYw!&amp;2F"</f>
        <v>#VALUE!</v>
      </c>
      <c r="EJ97" t="e">
        <f>'2.4.Функции'!AN179+"BYw!&amp;2G"</f>
        <v>#VALUE!</v>
      </c>
      <c r="EK97" t="e">
        <f>'2.4.Функции'!AO179+"BYw!&amp;2H"</f>
        <v>#VALUE!</v>
      </c>
      <c r="EL97" t="e">
        <f>'2.4.Функции'!AP179+"BYw!&amp;2I"</f>
        <v>#VALUE!</v>
      </c>
      <c r="EM97" t="e">
        <f>'2.4.Функции'!AQ179+"BYw!&amp;2J"</f>
        <v>#VALUE!</v>
      </c>
      <c r="EN97" t="e">
        <f>'2.4.Функции'!AR179+"BYw!&amp;2K"</f>
        <v>#VALUE!</v>
      </c>
      <c r="EO97" t="e">
        <f>'2.4.Функции'!AS179+"BYw!&amp;2L"</f>
        <v>#VALUE!</v>
      </c>
      <c r="EP97" t="e">
        <f>'2.4.Функции'!AT179+"BYw!&amp;2M"</f>
        <v>#VALUE!</v>
      </c>
      <c r="EQ97" t="e">
        <f>'2.4.Функции'!AU179+"BYw!&amp;2N"</f>
        <v>#VALUE!</v>
      </c>
      <c r="ER97" t="e">
        <f>'2.4.Функции'!AV179+"BYw!&amp;2O"</f>
        <v>#VALUE!</v>
      </c>
      <c r="ES97" t="e">
        <f>'2.4.Функции'!AW179+"BYw!&amp;2P"</f>
        <v>#VALUE!</v>
      </c>
      <c r="ET97" t="e">
        <f>'2.4.Функции'!AX179+"BYw!&amp;2Q"</f>
        <v>#VALUE!</v>
      </c>
      <c r="EU97" t="e">
        <f>'2.4.Функции'!AY179+"BYw!&amp;2R"</f>
        <v>#VALUE!</v>
      </c>
      <c r="EV97" t="e">
        <f>'2.4.Функции'!AZ179+"BYw!&amp;2S"</f>
        <v>#VALUE!</v>
      </c>
      <c r="EW97" t="e">
        <f>'2.4.Функции'!BA179+"BYw!&amp;2T"</f>
        <v>#VALUE!</v>
      </c>
      <c r="EX97" t="e">
        <f>'2.4.Функции'!BB179+"BYw!&amp;2U"</f>
        <v>#VALUE!</v>
      </c>
      <c r="EY97" t="e">
        <f>'2.4.Функции'!BC179+"BYw!&amp;2V"</f>
        <v>#VALUE!</v>
      </c>
      <c r="EZ97" t="e">
        <f>'2.4.Функции'!BD179+"BYw!&amp;2W"</f>
        <v>#VALUE!</v>
      </c>
      <c r="FA97" t="e">
        <f>'2.4.Функции'!BE179+"BYw!&amp;2X"</f>
        <v>#VALUE!</v>
      </c>
      <c r="FB97" t="e">
        <f>'2.4.Функции'!BF179+"BYw!&amp;2Y"</f>
        <v>#VALUE!</v>
      </c>
      <c r="FC97" t="e">
        <f>'2.4.Функции'!BG179+"BYw!&amp;2Z"</f>
        <v>#VALUE!</v>
      </c>
      <c r="FD97" t="e">
        <f>'2.4.Функции'!BH179+"BYw!&amp;2["</f>
        <v>#VALUE!</v>
      </c>
      <c r="FE97" t="e">
        <f>'2.4.Функции'!BI179+"BYw!&amp;2\"</f>
        <v>#VALUE!</v>
      </c>
      <c r="FF97" t="e">
        <f>'2.4.Функции'!BJ179+"BYw!&amp;2]"</f>
        <v>#VALUE!</v>
      </c>
      <c r="FG97" t="e">
        <f>'2.4.Функции'!BK179+"BYw!&amp;2^"</f>
        <v>#VALUE!</v>
      </c>
      <c r="FH97" t="e">
        <f>'2.4.Функции'!BL179+"BYw!&amp;2_"</f>
        <v>#VALUE!</v>
      </c>
      <c r="FI97" t="e">
        <f>'2.4.Функции'!BM179+"BYw!&amp;2`"</f>
        <v>#VALUE!</v>
      </c>
      <c r="FJ97" t="e">
        <f>'2.4.Функции'!BN179+"BYw!&amp;2a"</f>
        <v>#VALUE!</v>
      </c>
      <c r="FK97" t="e">
        <f>'2.4.Функции'!BO179+"BYw!&amp;2b"</f>
        <v>#VALUE!</v>
      </c>
      <c r="FL97" t="e">
        <f>'2.4.Функции'!BP179+"BYw!&amp;2c"</f>
        <v>#VALUE!</v>
      </c>
      <c r="FM97" t="e">
        <f>'2.4.Функции'!BQ179+"BYw!&amp;2d"</f>
        <v>#VALUE!</v>
      </c>
      <c r="FN97" t="e">
        <f>'2.4.Функции'!BR179+"BYw!&amp;2e"</f>
        <v>#VALUE!</v>
      </c>
      <c r="FO97" t="e">
        <f>'2.4.Функции'!BS179+"BYw!&amp;2f"</f>
        <v>#VALUE!</v>
      </c>
      <c r="FP97" t="e">
        <f>'2.4.Функции'!BT179+"BYw!&amp;2g"</f>
        <v>#VALUE!</v>
      </c>
      <c r="FQ97" t="e">
        <f>'2.4.Функции'!BU179+"BYw!&amp;2h"</f>
        <v>#VALUE!</v>
      </c>
      <c r="FR97" t="e">
        <f>'2.4.Функции'!BV179+"BYw!&amp;2i"</f>
        <v>#VALUE!</v>
      </c>
      <c r="FS97" t="e">
        <f>'2.4.Функции'!BW179+"BYw!&amp;2j"</f>
        <v>#VALUE!</v>
      </c>
      <c r="FT97" t="e">
        <f>'2.4.Функции'!BX179+"BYw!&amp;2k"</f>
        <v>#VALUE!</v>
      </c>
      <c r="FU97" t="e">
        <f>'2.4.Функции'!BY179+"BYw!&amp;2l"</f>
        <v>#VALUE!</v>
      </c>
      <c r="FV97" t="e">
        <f>'2.4.Функции'!BZ179+"BYw!&amp;2m"</f>
        <v>#VALUE!</v>
      </c>
      <c r="FW97" t="e">
        <f>'2.4.Функции'!CA179+"BYw!&amp;2n"</f>
        <v>#VALUE!</v>
      </c>
      <c r="FX97" t="e">
        <f>'2.4.Функции'!CB179+"BYw!&amp;2o"</f>
        <v>#VALUE!</v>
      </c>
      <c r="FY97" t="e">
        <f>'2.4.Функции'!CC179+"BYw!&amp;2p"</f>
        <v>#VALUE!</v>
      </c>
      <c r="FZ97" t="e">
        <f>'2.4.Функции'!CD179+"BYw!&amp;2q"</f>
        <v>#VALUE!</v>
      </c>
      <c r="GA97" t="e">
        <f>'2.4.Функции'!CE179+"BYw!&amp;2r"</f>
        <v>#VALUE!</v>
      </c>
      <c r="GB97" t="e">
        <f>'2.4.Функции'!CF179+"BYw!&amp;2s"</f>
        <v>#VALUE!</v>
      </c>
      <c r="GC97" t="e">
        <f>'2.4.Функции'!CG179+"BYw!&amp;2t"</f>
        <v>#VALUE!</v>
      </c>
      <c r="GD97" t="e">
        <f>'2.4.Функции'!CH179+"BYw!&amp;2u"</f>
        <v>#VALUE!</v>
      </c>
      <c r="GE97" t="e">
        <f>'2.4.Функции'!CI179+"BYw!&amp;2v"</f>
        <v>#VALUE!</v>
      </c>
      <c r="GF97" t="e">
        <f>'2.4.Функции'!CJ179+"BYw!&amp;2w"</f>
        <v>#VALUE!</v>
      </c>
      <c r="GG97" t="e">
        <f>'2.4.Функции'!CK179+"BYw!&amp;2x"</f>
        <v>#VALUE!</v>
      </c>
      <c r="GH97" t="e">
        <f>'2.4.Функции'!CL179+"BYw!&amp;2y"</f>
        <v>#VALUE!</v>
      </c>
      <c r="GI97" t="e">
        <f>'2.4.Функции'!CM179+"BYw!&amp;2z"</f>
        <v>#VALUE!</v>
      </c>
      <c r="GJ97" t="e">
        <f>'2.4.Функции'!CN179+"BYw!&amp;2{"</f>
        <v>#VALUE!</v>
      </c>
      <c r="GK97" t="e">
        <f>'2.4.Функции'!CO179+"BYw!&amp;2|"</f>
        <v>#VALUE!</v>
      </c>
      <c r="GL97" t="e">
        <f>'2.4.Функции'!CP179+"BYw!&amp;2}"</f>
        <v>#VALUE!</v>
      </c>
      <c r="GM97" t="e">
        <f>'2.4.Функции'!CQ179+"BYw!&amp;2~"</f>
        <v>#VALUE!</v>
      </c>
      <c r="GN97" t="e">
        <f>'2.4.Функции'!CR179+"BYw!&amp;3#"</f>
        <v>#VALUE!</v>
      </c>
      <c r="GO97" t="e">
        <f>'2.4.Функции'!CS179+"BYw!&amp;3$"</f>
        <v>#VALUE!</v>
      </c>
      <c r="GP97" t="e">
        <f>'2.4.Функции'!CT179+"BYw!&amp;3%"</f>
        <v>#VALUE!</v>
      </c>
      <c r="GQ97" t="e">
        <f>'2.4.Функции'!CU179+"BYw!&amp;3&amp;"</f>
        <v>#VALUE!</v>
      </c>
      <c r="GR97" t="e">
        <f>'2.4.Функции'!CV179+"BYw!&amp;3'"</f>
        <v>#VALUE!</v>
      </c>
      <c r="GS97" t="e">
        <f>'2.4.Функции'!CW179+"BYw!&amp;3("</f>
        <v>#VALUE!</v>
      </c>
      <c r="GT97" t="e">
        <f>'2.4.Функции'!CX179+"BYw!&amp;3)"</f>
        <v>#VALUE!</v>
      </c>
      <c r="GU97" t="e">
        <f>'2.4.Функции'!CY179+"BYw!&amp;3."</f>
        <v>#VALUE!</v>
      </c>
      <c r="GV97" t="e">
        <f>'2.4.Функции'!CZ179+"BYw!&amp;3/"</f>
        <v>#VALUE!</v>
      </c>
      <c r="GW97" t="e">
        <f>'2.4.Функции'!DA179+"BYw!&amp;30"</f>
        <v>#VALUE!</v>
      </c>
      <c r="GX97" t="e">
        <f>'2.4.Функции'!DB179+"BYw!&amp;31"</f>
        <v>#VALUE!</v>
      </c>
      <c r="GY97" t="e">
        <f>'2.4.Функции'!DC179+"BYw!&amp;32"</f>
        <v>#VALUE!</v>
      </c>
      <c r="GZ97" t="e">
        <f>'2.4.Функции'!DD179+"BYw!&amp;33"</f>
        <v>#VALUE!</v>
      </c>
      <c r="HA97" t="e">
        <f>'2.4.Функции'!DE179+"BYw!&amp;34"</f>
        <v>#VALUE!</v>
      </c>
      <c r="HB97" t="e">
        <f>'2.4.Функции'!DF179+"BYw!&amp;35"</f>
        <v>#VALUE!</v>
      </c>
      <c r="HC97" t="e">
        <f>'2.4.Функции'!DG179+"BYw!&amp;36"</f>
        <v>#VALUE!</v>
      </c>
      <c r="HD97" t="e">
        <f>'2.4.Функции'!DH179+"BYw!&amp;37"</f>
        <v>#VALUE!</v>
      </c>
      <c r="HE97" t="e">
        <f>'2.4.Функции'!DI179+"BYw!&amp;38"</f>
        <v>#VALUE!</v>
      </c>
      <c r="HF97" t="e">
        <f>'2.4.Функции'!DJ179+"BYw!&amp;39"</f>
        <v>#VALUE!</v>
      </c>
      <c r="HG97" t="e">
        <f>'2.4.Функции'!DK179+"BYw!&amp;3:"</f>
        <v>#VALUE!</v>
      </c>
      <c r="HH97" t="e">
        <f>'2.4.Функции'!DL179+"BYw!&amp;3;"</f>
        <v>#VALUE!</v>
      </c>
      <c r="HI97" t="e">
        <f>'2.4.Функции'!DM179+"BYw!&amp;3&lt;"</f>
        <v>#VALUE!</v>
      </c>
      <c r="HJ97" t="e">
        <f>'2.4.Функции'!DN179+"BYw!&amp;3="</f>
        <v>#VALUE!</v>
      </c>
      <c r="HK97" t="e">
        <f>'2.4.Функции'!DO179+"BYw!&amp;3&gt;"</f>
        <v>#VALUE!</v>
      </c>
      <c r="HL97" t="e">
        <f>'2.4.Функции'!DP179+"BYw!&amp;3?"</f>
        <v>#VALUE!</v>
      </c>
      <c r="HM97" t="e">
        <f>'2.4.Функции'!DQ179+"BYw!&amp;3@"</f>
        <v>#VALUE!</v>
      </c>
      <c r="HN97" t="e">
        <f>'2.4.Функции'!DR179+"BYw!&amp;3A"</f>
        <v>#VALUE!</v>
      </c>
      <c r="HO97" t="e">
        <f>'2.4.Функции'!DS179+"BYw!&amp;3B"</f>
        <v>#VALUE!</v>
      </c>
      <c r="HP97" t="e">
        <f>'2.4.Функции'!DT179+"BYw!&amp;3C"</f>
        <v>#VALUE!</v>
      </c>
      <c r="HQ97" t="e">
        <f>'2.4.Функции'!DU179+"BYw!&amp;3D"</f>
        <v>#VALUE!</v>
      </c>
      <c r="HR97" t="e">
        <f>'2.4.Функции'!DV179+"BYw!&amp;3E"</f>
        <v>#VALUE!</v>
      </c>
      <c r="HS97" t="e">
        <f>'2.4.Функции'!DW179+"BYw!&amp;3F"</f>
        <v>#VALUE!</v>
      </c>
      <c r="HT97" t="e">
        <f>'2.4.Функции'!DX179+"BYw!&amp;3G"</f>
        <v>#VALUE!</v>
      </c>
      <c r="HU97" t="e">
        <f>'2.4.Функции'!DY179+"BYw!&amp;3H"</f>
        <v>#VALUE!</v>
      </c>
      <c r="HV97" t="e">
        <f>'2.4.Функции'!DZ179+"BYw!&amp;3I"</f>
        <v>#VALUE!</v>
      </c>
      <c r="HW97" t="e">
        <f>'2.4.Функции'!EA179+"BYw!&amp;3J"</f>
        <v>#VALUE!</v>
      </c>
      <c r="HX97" t="e">
        <f>'2.4.Функции'!EB179+"BYw!&amp;3K"</f>
        <v>#VALUE!</v>
      </c>
      <c r="HY97" t="e">
        <f>'2.4.Функции'!EC179+"BYw!&amp;3L"</f>
        <v>#VALUE!</v>
      </c>
      <c r="HZ97" t="e">
        <f>'2.4.Функции'!ED179+"BYw!&amp;3M"</f>
        <v>#VALUE!</v>
      </c>
      <c r="IA97" t="e">
        <f>'2.4.Функции'!EE179+"BYw!&amp;3N"</f>
        <v>#VALUE!</v>
      </c>
      <c r="IB97" t="e">
        <f>'2.4.Функции'!EF179+"BYw!&amp;3O"</f>
        <v>#VALUE!</v>
      </c>
      <c r="IC97" t="e">
        <f>'2.4.Функции'!EG179+"BYw!&amp;3P"</f>
        <v>#VALUE!</v>
      </c>
      <c r="ID97" t="e">
        <f>'2.4.Функции'!EH179+"BYw!&amp;3Q"</f>
        <v>#VALUE!</v>
      </c>
      <c r="IE97" t="e">
        <f>'2.4.Функции'!EI179+"BYw!&amp;3R"</f>
        <v>#VALUE!</v>
      </c>
      <c r="IF97" t="e">
        <f>'2.4.Функции'!EJ179+"BYw!&amp;3S"</f>
        <v>#VALUE!</v>
      </c>
      <c r="IG97" t="e">
        <f>'2.4.Функции'!EK179+"BYw!&amp;3T"</f>
        <v>#VALUE!</v>
      </c>
      <c r="IH97" t="e">
        <f>'2.4.Функции'!EL179+"BYw!&amp;3U"</f>
        <v>#VALUE!</v>
      </c>
      <c r="II97" t="e">
        <f>'2.4.Функции'!EM179+"BYw!&amp;3V"</f>
        <v>#VALUE!</v>
      </c>
      <c r="IJ97" t="e">
        <f>'2.4.Функции'!EN179+"BYw!&amp;3W"</f>
        <v>#VALUE!</v>
      </c>
      <c r="IK97" t="e">
        <f>'2.4.Функции'!EO179+"BYw!&amp;3X"</f>
        <v>#VALUE!</v>
      </c>
      <c r="IL97" t="e">
        <f>'2.4.Функции'!EP179+"BYw!&amp;3Y"</f>
        <v>#VALUE!</v>
      </c>
      <c r="IM97" t="e">
        <f>'2.4.Функции'!EQ179+"BYw!&amp;3Z"</f>
        <v>#VALUE!</v>
      </c>
      <c r="IN97" t="e">
        <f>'2.4.Функции'!ER179+"BYw!&amp;3["</f>
        <v>#VALUE!</v>
      </c>
      <c r="IO97" t="e">
        <f>'2.4.Функции'!ES179+"BYw!&amp;3\"</f>
        <v>#VALUE!</v>
      </c>
      <c r="IP97" t="e">
        <f>'2.4.Функции'!ET179+"BYw!&amp;3]"</f>
        <v>#VALUE!</v>
      </c>
      <c r="IQ97" t="e">
        <f>'2.4.Функции'!EU179+"BYw!&amp;3^"</f>
        <v>#VALUE!</v>
      </c>
      <c r="IR97" t="e">
        <f>'2.4.Функции'!EV179+"BYw!&amp;3_"</f>
        <v>#VALUE!</v>
      </c>
      <c r="IS97" t="e">
        <f>'2.4.Функции'!EW179+"BYw!&amp;3`"</f>
        <v>#VALUE!</v>
      </c>
      <c r="IT97" t="e">
        <f>'2.4.Функции'!EX179+"BYw!&amp;3a"</f>
        <v>#VALUE!</v>
      </c>
      <c r="IU97" t="e">
        <f>'2.4.Функции'!EY179+"BYw!&amp;3b"</f>
        <v>#VALUE!</v>
      </c>
      <c r="IV97" t="e">
        <f>'2.4.Функции'!EZ179+"BYw!&amp;3c"</f>
        <v>#VALUE!</v>
      </c>
    </row>
    <row r="98" spans="6:256" x14ac:dyDescent="0.2">
      <c r="F98" t="e">
        <f>'2.4.Функции'!FA179+"BYw!&amp;3d"</f>
        <v>#VALUE!</v>
      </c>
      <c r="G98" t="e">
        <f>'2.4.Функции'!FB179+"BYw!&amp;3e"</f>
        <v>#VALUE!</v>
      </c>
      <c r="H98" t="e">
        <f>'2.4.Функции'!FC179+"BYw!&amp;3f"</f>
        <v>#VALUE!</v>
      </c>
      <c r="I98" t="e">
        <f>'2.4.Функции'!FD179+"BYw!&amp;3g"</f>
        <v>#VALUE!</v>
      </c>
      <c r="J98" t="e">
        <f>'2.4.Функции'!FE179+"BYw!&amp;3h"</f>
        <v>#VALUE!</v>
      </c>
      <c r="K98" t="e">
        <f>'2.4.Функции'!FF179+"BYw!&amp;3i"</f>
        <v>#VALUE!</v>
      </c>
      <c r="L98" t="e">
        <f>'2.4.Функции'!FG179+"BYw!&amp;3j"</f>
        <v>#VALUE!</v>
      </c>
      <c r="M98" t="e">
        <f>'2.4.Функции'!FH179+"BYw!&amp;3k"</f>
        <v>#VALUE!</v>
      </c>
      <c r="N98" t="e">
        <f>'2.4.Функции'!FI179+"BYw!&amp;3l"</f>
        <v>#VALUE!</v>
      </c>
      <c r="O98" t="e">
        <f>'2.4.Функции'!FJ179+"BYw!&amp;3m"</f>
        <v>#VALUE!</v>
      </c>
      <c r="P98" t="e">
        <f>'2.4.Функции'!FK179+"BYw!&amp;3n"</f>
        <v>#VALUE!</v>
      </c>
      <c r="Q98" t="e">
        <f>'2.4.Функции'!FL179+"BYw!&amp;3o"</f>
        <v>#VALUE!</v>
      </c>
      <c r="R98" t="e">
        <f>'2.4.Функции'!FM179+"BYw!&amp;3p"</f>
        <v>#VALUE!</v>
      </c>
      <c r="S98" t="e">
        <f>'2.4.Функции'!FN179+"BYw!&amp;3q"</f>
        <v>#VALUE!</v>
      </c>
      <c r="T98" t="e">
        <f>'2.4.Функции'!FO179+"BYw!&amp;3r"</f>
        <v>#VALUE!</v>
      </c>
      <c r="U98" t="e">
        <f>'2.4.Функции'!FP179+"BYw!&amp;3s"</f>
        <v>#VALUE!</v>
      </c>
      <c r="V98" t="e">
        <f>'2.4.Функции'!FQ179+"BYw!&amp;3t"</f>
        <v>#VALUE!</v>
      </c>
      <c r="W98" t="e">
        <f>'2.4.Функции'!FR179+"BYw!&amp;3u"</f>
        <v>#VALUE!</v>
      </c>
      <c r="X98" t="e">
        <f>'2.4.Функции'!FS179+"BYw!&amp;3v"</f>
        <v>#VALUE!</v>
      </c>
      <c r="Y98" t="e">
        <f>'2.4.Функции'!FT179+"BYw!&amp;3w"</f>
        <v>#VALUE!</v>
      </c>
      <c r="Z98" t="e">
        <f>'2.4.Функции'!FU179+"BYw!&amp;3x"</f>
        <v>#VALUE!</v>
      </c>
      <c r="AA98" t="e">
        <f>'2.4.Функции'!FV179+"BYw!&amp;3y"</f>
        <v>#VALUE!</v>
      </c>
      <c r="AB98" t="e">
        <f>'2.4.Функции'!FW179+"BYw!&amp;3z"</f>
        <v>#VALUE!</v>
      </c>
      <c r="AC98" t="e">
        <f>'2.4.Функции'!FX179+"BYw!&amp;3{"</f>
        <v>#VALUE!</v>
      </c>
      <c r="AD98" t="e">
        <f>'2.4.Функции'!FY179+"BYw!&amp;3|"</f>
        <v>#VALUE!</v>
      </c>
      <c r="AE98" t="e">
        <f>'2.4.Функции'!FZ179+"BYw!&amp;3}"</f>
        <v>#VALUE!</v>
      </c>
      <c r="AF98" t="e">
        <f>'2.4.Функции'!GA179+"BYw!&amp;3~"</f>
        <v>#VALUE!</v>
      </c>
      <c r="AG98" t="e">
        <f>'2.4.Функции'!GB179+"BYw!&amp;4#"</f>
        <v>#VALUE!</v>
      </c>
      <c r="AH98" t="e">
        <f>'2.4.Функции'!GC179+"BYw!&amp;4$"</f>
        <v>#VALUE!</v>
      </c>
      <c r="AI98" t="e">
        <f>'2.4.Функции'!GD179+"BYw!&amp;4%"</f>
        <v>#VALUE!</v>
      </c>
      <c r="AJ98" t="e">
        <f>'2.4.Функции'!GE179+"BYw!&amp;4&amp;"</f>
        <v>#VALUE!</v>
      </c>
      <c r="AK98" t="e">
        <f>'2.4.Функции'!GF179+"BYw!&amp;4'"</f>
        <v>#VALUE!</v>
      </c>
      <c r="AL98" t="e">
        <f>'2.4.Функции'!GG179+"BYw!&amp;4("</f>
        <v>#VALUE!</v>
      </c>
      <c r="AM98" t="e">
        <f>'2.4.Функции'!GH179+"BYw!&amp;4)"</f>
        <v>#VALUE!</v>
      </c>
      <c r="AN98" t="e">
        <f>'2.4.Функции'!GI179+"BYw!&amp;4."</f>
        <v>#VALUE!</v>
      </c>
      <c r="AO98" t="e">
        <f>'2.4.Функции'!GJ179+"BYw!&amp;4/"</f>
        <v>#VALUE!</v>
      </c>
      <c r="AP98" t="e">
        <f>'2.4.Функции'!GK179+"BYw!&amp;40"</f>
        <v>#VALUE!</v>
      </c>
      <c r="AQ98" t="e">
        <f>'2.4.Функции'!GL179+"BYw!&amp;41"</f>
        <v>#VALUE!</v>
      </c>
      <c r="AR98" t="e">
        <f>'2.4.Функции'!GM179+"BYw!&amp;42"</f>
        <v>#VALUE!</v>
      </c>
      <c r="AS98" t="e">
        <f>'2.4.Функции'!GN179+"BYw!&amp;43"</f>
        <v>#VALUE!</v>
      </c>
      <c r="AT98" t="e">
        <f>'2.4.Функции'!GO179+"BYw!&amp;44"</f>
        <v>#VALUE!</v>
      </c>
      <c r="AU98" t="e">
        <f>'2.4.Функции'!GP179+"BYw!&amp;45"</f>
        <v>#VALUE!</v>
      </c>
      <c r="AV98" t="e">
        <f>'2.4.Функции'!GQ179+"BYw!&amp;46"</f>
        <v>#VALUE!</v>
      </c>
      <c r="AW98" t="e">
        <f>'2.4.Функции'!GR179+"BYw!&amp;47"</f>
        <v>#VALUE!</v>
      </c>
      <c r="AX98" t="e">
        <f>'2.4.Функции'!GS179+"BYw!&amp;48"</f>
        <v>#VALUE!</v>
      </c>
      <c r="AY98" t="e">
        <f>'2.4.Функции'!GT179+"BYw!&amp;49"</f>
        <v>#VALUE!</v>
      </c>
      <c r="AZ98" t="e">
        <f>'2.4.Функции'!GU179+"BYw!&amp;4:"</f>
        <v>#VALUE!</v>
      </c>
      <c r="BA98" t="e">
        <f>'2.4.Функции'!GV179+"BYw!&amp;4;"</f>
        <v>#VALUE!</v>
      </c>
      <c r="BB98" t="e">
        <f>'2.4.Функции'!GW179+"BYw!&amp;4&lt;"</f>
        <v>#VALUE!</v>
      </c>
      <c r="BC98" t="e">
        <f>'2.4.Функции'!GX179+"BYw!&amp;4="</f>
        <v>#VALUE!</v>
      </c>
      <c r="BD98" t="e">
        <f>'2.4.Функции'!GY179+"BYw!&amp;4&gt;"</f>
        <v>#VALUE!</v>
      </c>
      <c r="BE98" t="e">
        <f>'2.4.Функции'!GZ179+"BYw!&amp;4?"</f>
        <v>#VALUE!</v>
      </c>
      <c r="BF98" t="e">
        <f>'2.4.Функции'!HA179+"BYw!&amp;4@"</f>
        <v>#VALUE!</v>
      </c>
      <c r="BG98" t="e">
        <f>'2.4.Функции'!HB179+"BYw!&amp;4A"</f>
        <v>#VALUE!</v>
      </c>
      <c r="BH98" t="e">
        <f>'2.4.Функции'!HC179+"BYw!&amp;4B"</f>
        <v>#VALUE!</v>
      </c>
      <c r="BI98" t="e">
        <f>'2.4.Функции'!HD179+"BYw!&amp;4C"</f>
        <v>#VALUE!</v>
      </c>
      <c r="BJ98" t="e">
        <f>'2.4.Функции'!HE179+"BYw!&amp;4D"</f>
        <v>#VALUE!</v>
      </c>
      <c r="BK98" t="e">
        <f>'2.4.Функции'!HF179+"BYw!&amp;4E"</f>
        <v>#VALUE!</v>
      </c>
      <c r="BL98" t="e">
        <f>'2.4.Функции'!HG179+"BYw!&amp;4F"</f>
        <v>#VALUE!</v>
      </c>
      <c r="BM98" t="e">
        <f>'2.4.Функции'!HH179+"BYw!&amp;4G"</f>
        <v>#VALUE!</v>
      </c>
      <c r="BN98" t="e">
        <f>'2.4.Функции'!HI179+"BYw!&amp;4H"</f>
        <v>#VALUE!</v>
      </c>
      <c r="BO98" t="e">
        <f>'2.4.Функции'!HJ179+"BYw!&amp;4I"</f>
        <v>#VALUE!</v>
      </c>
      <c r="BP98" t="e">
        <f>'2.4.Функции'!HK179+"BYw!&amp;4J"</f>
        <v>#VALUE!</v>
      </c>
      <c r="BQ98" t="e">
        <f>'2.4.Функции'!HL179+"BYw!&amp;4K"</f>
        <v>#VALUE!</v>
      </c>
      <c r="BR98" t="e">
        <f>'2.4.Функции'!HM179+"BYw!&amp;4L"</f>
        <v>#VALUE!</v>
      </c>
      <c r="BS98" t="e">
        <f>'2.4.Функции'!HN179+"BYw!&amp;4M"</f>
        <v>#VALUE!</v>
      </c>
      <c r="BT98" t="e">
        <f>'2.4.Функции'!HO179+"BYw!&amp;4N"</f>
        <v>#VALUE!</v>
      </c>
      <c r="BU98" t="e">
        <f>'2.4.Функции'!HP179+"BYw!&amp;4O"</f>
        <v>#VALUE!</v>
      </c>
      <c r="BV98" t="e">
        <f>'2.4.Функции'!HQ179+"BYw!&amp;4P"</f>
        <v>#VALUE!</v>
      </c>
      <c r="BW98" t="e">
        <f>'2.4.Функции'!HR179+"BYw!&amp;4Q"</f>
        <v>#VALUE!</v>
      </c>
      <c r="BX98" t="e">
        <f>'2.4.Функции'!HS179+"BYw!&amp;4R"</f>
        <v>#VALUE!</v>
      </c>
      <c r="BY98" t="e">
        <f>'2.4.Функции'!HT179+"BYw!&amp;4S"</f>
        <v>#VALUE!</v>
      </c>
      <c r="BZ98" t="e">
        <f>'2.4.Функции'!HU179+"BYw!&amp;4T"</f>
        <v>#VALUE!</v>
      </c>
      <c r="CA98" t="e">
        <f>'2.4.Функции'!HV179+"BYw!&amp;4U"</f>
        <v>#VALUE!</v>
      </c>
      <c r="CB98" t="e">
        <f>'2.4.Функции'!HW179+"BYw!&amp;4V"</f>
        <v>#VALUE!</v>
      </c>
      <c r="CC98" t="e">
        <f>'2.4.Функции'!HX179+"BYw!&amp;4W"</f>
        <v>#VALUE!</v>
      </c>
      <c r="CD98" t="e">
        <f>'2.4.Функции'!HY179+"BYw!&amp;4X"</f>
        <v>#VALUE!</v>
      </c>
      <c r="CE98" t="e">
        <f>'2.4.Функции'!HZ179+"BYw!&amp;4Y"</f>
        <v>#VALUE!</v>
      </c>
      <c r="CF98" t="e">
        <f>'2.4.Функции'!IA179+"BYw!&amp;4Z"</f>
        <v>#VALUE!</v>
      </c>
      <c r="CG98" t="e">
        <f>'2.4.Функции'!IB179+"BYw!&amp;4["</f>
        <v>#VALUE!</v>
      </c>
      <c r="CH98" t="e">
        <f>'2.4.Функции'!IC179+"BYw!&amp;4\"</f>
        <v>#VALUE!</v>
      </c>
      <c r="CI98" t="e">
        <f>'2.4.Функции'!ID179+"BYw!&amp;4]"</f>
        <v>#VALUE!</v>
      </c>
      <c r="CJ98" t="e">
        <f>'2.4.Функции'!IE179+"BYw!&amp;4^"</f>
        <v>#VALUE!</v>
      </c>
      <c r="CK98" t="e">
        <f>'2.4.Функции'!IF179+"BYw!&amp;4_"</f>
        <v>#VALUE!</v>
      </c>
      <c r="CL98" t="e">
        <f>'2.4.Функции'!IG179+"BYw!&amp;4`"</f>
        <v>#VALUE!</v>
      </c>
      <c r="CM98" t="e">
        <f>'2.4.Функции'!IH179+"BYw!&amp;4a"</f>
        <v>#VALUE!</v>
      </c>
      <c r="CN98" t="e">
        <f>'2.4.Функции'!II179+"BYw!&amp;4b"</f>
        <v>#VALUE!</v>
      </c>
      <c r="CO98" t="e">
        <f>'2.4.Функции'!IJ179+"BYw!&amp;4c"</f>
        <v>#VALUE!</v>
      </c>
      <c r="CP98" t="e">
        <f>'2.4.Функции'!IK179+"BYw!&amp;4d"</f>
        <v>#VALUE!</v>
      </c>
      <c r="CQ98" t="e">
        <f>'2.4.Функции'!IL179+"BYw!&amp;4e"</f>
        <v>#VALUE!</v>
      </c>
      <c r="CR98" t="e">
        <f>'2.4.Функции'!IM179+"BYw!&amp;4f"</f>
        <v>#VALUE!</v>
      </c>
      <c r="CS98" t="e">
        <f>'2.4.Функции'!IN179+"BYw!&amp;4g"</f>
        <v>#VALUE!</v>
      </c>
      <c r="CT98" t="e">
        <f>'2.4.Функции'!IO179+"BYw!&amp;4h"</f>
        <v>#VALUE!</v>
      </c>
      <c r="CU98" t="e">
        <f>'2.4.Функции'!IP179+"BYw!&amp;4i"</f>
        <v>#VALUE!</v>
      </c>
      <c r="CV98" t="e">
        <f>'2.4.Функции'!IQ179+"BYw!&amp;4j"</f>
        <v>#VALUE!</v>
      </c>
      <c r="CW98" t="e">
        <f>'2.4.Функции'!IR179+"BYw!&amp;4k"</f>
        <v>#VALUE!</v>
      </c>
      <c r="CX98" t="e">
        <f>'2.4.Функции'!IS179+"BYw!&amp;4l"</f>
        <v>#VALUE!</v>
      </c>
      <c r="CY98" t="e">
        <f>'2.4.Функции'!IT179+"BYw!&amp;4m"</f>
        <v>#VALUE!</v>
      </c>
      <c r="CZ98" t="e">
        <f>'2.4.Функции'!IU179+"BYw!&amp;4n"</f>
        <v>#VALUE!</v>
      </c>
      <c r="DA98" t="e">
        <f>'2.4.Функции'!IV179+"BYw!&amp;4o"</f>
        <v>#VALUE!</v>
      </c>
      <c r="DB98" t="e">
        <f>'2.4.Функции'!IW179+"BYw!&amp;4p"</f>
        <v>#VALUE!</v>
      </c>
      <c r="DC98" t="e">
        <f>'2.4.Функции'!IX179+"BYw!&amp;4q"</f>
        <v>#VALUE!</v>
      </c>
      <c r="DD98" t="e">
        <f>'2.4.Функции'!IY179+"BYw!&amp;4r"</f>
        <v>#VALUE!</v>
      </c>
      <c r="DE98" t="e">
        <f>'2.4.Функции'!IZ179+"BYw!&amp;4s"</f>
        <v>#VALUE!</v>
      </c>
      <c r="DF98" t="e">
        <f>'2.4.Функции'!JA179+"BYw!&amp;4t"</f>
        <v>#VALUE!</v>
      </c>
      <c r="DG98" t="e">
        <f>'2.4.Функции'!JB179+"BYw!&amp;4u"</f>
        <v>#VALUE!</v>
      </c>
      <c r="DH98" t="e">
        <f>'2.4.Функции'!JC179+"BYw!&amp;4v"</f>
        <v>#VALUE!</v>
      </c>
      <c r="DI98" t="e">
        <f>'2.4.Функции'!JD179+"BYw!&amp;4w"</f>
        <v>#VALUE!</v>
      </c>
      <c r="DJ98" t="e">
        <f>'2.4.Функции'!JE179+"BYw!&amp;4x"</f>
        <v>#VALUE!</v>
      </c>
      <c r="DK98" t="e">
        <f>'2.4.Функции'!JF179+"BYw!&amp;4y"</f>
        <v>#VALUE!</v>
      </c>
      <c r="DL98" t="e">
        <f>'2.4.Функции'!JG179+"BYw!&amp;4z"</f>
        <v>#VALUE!</v>
      </c>
      <c r="DM98" t="e">
        <f>'2.4.Функции'!JH179+"BYw!&amp;4{"</f>
        <v>#VALUE!</v>
      </c>
      <c r="DN98" t="e">
        <f>'2.4.Функции'!JI179+"BYw!&amp;4|"</f>
        <v>#VALUE!</v>
      </c>
      <c r="DO98" t="e">
        <f>'2.4.Функции'!JJ179+"BYw!&amp;4}"</f>
        <v>#VALUE!</v>
      </c>
      <c r="DP98" t="e">
        <f>'2.4.Функции'!JK179+"BYw!&amp;4~"</f>
        <v>#VALUE!</v>
      </c>
      <c r="DQ98" t="e">
        <f>'2.4.Функции'!JL179+"BYw!&amp;5#"</f>
        <v>#VALUE!</v>
      </c>
      <c r="DR98" t="e">
        <f>'2.4.Функции'!JM179+"BYw!&amp;5$"</f>
        <v>#VALUE!</v>
      </c>
      <c r="DS98" t="e">
        <f>'2.4.Функции'!JN179+"BYw!&amp;5%"</f>
        <v>#VALUE!</v>
      </c>
      <c r="DT98" t="e">
        <f>'2.4.Функции'!JO179+"BYw!&amp;5&amp;"</f>
        <v>#VALUE!</v>
      </c>
      <c r="DU98" t="e">
        <f>'2.4.Функции'!JP179+"BYw!&amp;5'"</f>
        <v>#VALUE!</v>
      </c>
      <c r="DV98" t="e">
        <f>'2.4.Функции'!JQ179+"BYw!&amp;5("</f>
        <v>#VALUE!</v>
      </c>
      <c r="DW98" t="e">
        <f>'2.4.Функции'!JR179+"BYw!&amp;5)"</f>
        <v>#VALUE!</v>
      </c>
      <c r="DX98" t="e">
        <f>'2.4.Функции'!JS179+"BYw!&amp;5."</f>
        <v>#VALUE!</v>
      </c>
      <c r="DY98" t="e">
        <f>'2.4.Функции'!JT179+"BYw!&amp;5/"</f>
        <v>#VALUE!</v>
      </c>
      <c r="DZ98" t="e">
        <f>'2.4.Функции'!JU179+"BYw!&amp;50"</f>
        <v>#VALUE!</v>
      </c>
      <c r="EA98" t="e">
        <f>'2.4.Функции'!JV179+"BYw!&amp;51"</f>
        <v>#VALUE!</v>
      </c>
      <c r="EB98" t="e">
        <f>'2.4.Функции'!JW179+"BYw!&amp;52"</f>
        <v>#VALUE!</v>
      </c>
      <c r="EC98" t="e">
        <f>'2.4.Функции'!JX179+"BYw!&amp;53"</f>
        <v>#VALUE!</v>
      </c>
      <c r="ED98" t="e">
        <f>'2.4.Функции'!JY179+"BYw!&amp;54"</f>
        <v>#VALUE!</v>
      </c>
      <c r="EE98" t="e">
        <f>'2.4.Функции'!JZ179+"BYw!&amp;55"</f>
        <v>#VALUE!</v>
      </c>
      <c r="EF98" t="e">
        <f>'2.4.Функции'!KA179+"BYw!&amp;56"</f>
        <v>#VALUE!</v>
      </c>
      <c r="EG98" t="e">
        <f>'2.4.Функции'!KB179+"BYw!&amp;57"</f>
        <v>#VALUE!</v>
      </c>
      <c r="EH98" t="e">
        <f>'2.4.Функции'!KC179+"BYw!&amp;58"</f>
        <v>#VALUE!</v>
      </c>
      <c r="EI98" t="e">
        <f>'2.4.Функции'!KD179+"BYw!&amp;59"</f>
        <v>#VALUE!</v>
      </c>
      <c r="EJ98" t="e">
        <f>'2.4.Функции'!KE179+"BYw!&amp;5:"</f>
        <v>#VALUE!</v>
      </c>
      <c r="EK98" t="e">
        <f>'2.4.Функции'!KF179+"BYw!&amp;5;"</f>
        <v>#VALUE!</v>
      </c>
      <c r="EL98" t="e">
        <f>'2.4.Функции'!KG179+"BYw!&amp;5&lt;"</f>
        <v>#VALUE!</v>
      </c>
      <c r="EM98" t="e">
        <f>'2.4.Функции'!KH179+"BYw!&amp;5="</f>
        <v>#VALUE!</v>
      </c>
      <c r="EN98" t="e">
        <f>'2.4.Функции'!KI179+"BYw!&amp;5&gt;"</f>
        <v>#VALUE!</v>
      </c>
      <c r="EO98" t="e">
        <f>'2.4.Функции'!KJ179+"BYw!&amp;5?"</f>
        <v>#VALUE!</v>
      </c>
      <c r="EP98" t="e">
        <f>'2.4.Функции'!KK179+"BYw!&amp;5@"</f>
        <v>#VALUE!</v>
      </c>
      <c r="EQ98" t="e">
        <f>'2.4.Функции'!KL179+"BYw!&amp;5A"</f>
        <v>#VALUE!</v>
      </c>
      <c r="ER98" t="e">
        <f>'2.4.Функции'!KM179+"BYw!&amp;5B"</f>
        <v>#VALUE!</v>
      </c>
      <c r="ES98" t="e">
        <f>'2.4.Функции'!KN179+"BYw!&amp;5C"</f>
        <v>#VALUE!</v>
      </c>
      <c r="ET98" t="e">
        <f>'2.4.Функции'!KO179+"BYw!&amp;5D"</f>
        <v>#VALUE!</v>
      </c>
      <c r="EU98" t="e">
        <f>'2.4.Функции'!KP179+"BYw!&amp;5E"</f>
        <v>#VALUE!</v>
      </c>
      <c r="EV98" t="e">
        <f>'2.4.Функции'!KQ179+"BYw!&amp;5F"</f>
        <v>#VALUE!</v>
      </c>
      <c r="EW98" t="e">
        <f>'2.4.Функции'!KR179+"BYw!&amp;5G"</f>
        <v>#VALUE!</v>
      </c>
      <c r="EX98" t="e">
        <f>'2.4.Функции'!KS179+"BYw!&amp;5H"</f>
        <v>#VALUE!</v>
      </c>
      <c r="EY98" t="e">
        <f>'2.4.Функции'!KT179+"BYw!&amp;5I"</f>
        <v>#VALUE!</v>
      </c>
      <c r="EZ98" t="e">
        <f>'2.4.Функции'!KU179+"BYw!&amp;5J"</f>
        <v>#VALUE!</v>
      </c>
      <c r="FA98" t="e">
        <f>'2.4.Функции'!KV179+"BYw!&amp;5K"</f>
        <v>#VALUE!</v>
      </c>
      <c r="FB98" t="e">
        <f>'2.4.Функции'!KW179+"BYw!&amp;5L"</f>
        <v>#VALUE!</v>
      </c>
      <c r="FC98" t="e">
        <f>'2.4.Функции'!KX179+"BYw!&amp;5M"</f>
        <v>#VALUE!</v>
      </c>
      <c r="FD98" t="e">
        <f>'2.4.Функции'!KY179+"BYw!&amp;5N"</f>
        <v>#VALUE!</v>
      </c>
      <c r="FE98" t="e">
        <f>'2.4.Функции'!KZ179+"BYw!&amp;5O"</f>
        <v>#VALUE!</v>
      </c>
      <c r="FF98" t="e">
        <f>'2.4.Функции'!LA179+"BYw!&amp;5P"</f>
        <v>#VALUE!</v>
      </c>
      <c r="FG98" t="e">
        <f>'2.4.Функции'!LB179+"BYw!&amp;5Q"</f>
        <v>#VALUE!</v>
      </c>
      <c r="FH98" t="e">
        <f>'2.4.Функции'!LC179+"BYw!&amp;5R"</f>
        <v>#VALUE!</v>
      </c>
      <c r="FI98" t="e">
        <f>'2.4.Функции'!LD179+"BYw!&amp;5S"</f>
        <v>#VALUE!</v>
      </c>
      <c r="FJ98" t="e">
        <f>'2.4.Функции'!LE179+"BYw!&amp;5T"</f>
        <v>#VALUE!</v>
      </c>
      <c r="FK98" t="e">
        <f>'2.4.Функции'!LF179+"BYw!&amp;5U"</f>
        <v>#VALUE!</v>
      </c>
      <c r="FL98" t="e">
        <f>'2.4.Функции'!LG179+"BYw!&amp;5V"</f>
        <v>#VALUE!</v>
      </c>
      <c r="FM98" t="e">
        <f>'2.4.Функции'!LH179+"BYw!&amp;5W"</f>
        <v>#VALUE!</v>
      </c>
      <c r="FN98" t="e">
        <f>'2.4.Функции'!LI179+"BYw!&amp;5X"</f>
        <v>#VALUE!</v>
      </c>
      <c r="FO98" t="e">
        <f>'2.4.Функции'!LJ179+"BYw!&amp;5Y"</f>
        <v>#VALUE!</v>
      </c>
      <c r="FP98" t="e">
        <f>'2.4.Функции'!LK179+"BYw!&amp;5Z"</f>
        <v>#VALUE!</v>
      </c>
      <c r="FQ98" t="e">
        <f>'2.4.Функции'!LL179+"BYw!&amp;5["</f>
        <v>#VALUE!</v>
      </c>
      <c r="FR98" t="e">
        <f>'2.4.Функции'!LM179+"BYw!&amp;5\"</f>
        <v>#VALUE!</v>
      </c>
      <c r="FS98" t="e">
        <f>'2.4.Функции'!LN179+"BYw!&amp;5]"</f>
        <v>#VALUE!</v>
      </c>
      <c r="FT98" t="e">
        <f>'2.4.Функции'!LO179+"BYw!&amp;5^"</f>
        <v>#VALUE!</v>
      </c>
      <c r="FU98" t="e">
        <f>'2.4.Функции'!LP179+"BYw!&amp;5_"</f>
        <v>#VALUE!</v>
      </c>
      <c r="FV98" t="e">
        <f>'2.4.Функции'!LQ179+"BYw!&amp;5`"</f>
        <v>#VALUE!</v>
      </c>
      <c r="FW98" t="e">
        <f>'2.4.Функции'!LR179+"BYw!&amp;5a"</f>
        <v>#VALUE!</v>
      </c>
      <c r="FX98" t="e">
        <f>'2.4.Функции'!LS179+"BYw!&amp;5b"</f>
        <v>#VALUE!</v>
      </c>
      <c r="FY98" t="e">
        <f>'2.4.Функции'!LT179+"BYw!&amp;5c"</f>
        <v>#VALUE!</v>
      </c>
      <c r="FZ98" t="e">
        <f>'2.4.Функции'!LU179+"BYw!&amp;5d"</f>
        <v>#VALUE!</v>
      </c>
      <c r="GA98" t="e">
        <f>'2.4.Функции'!LV179+"BYw!&amp;5e"</f>
        <v>#VALUE!</v>
      </c>
      <c r="GB98" t="e">
        <f>'2.4.Функции'!LW179+"BYw!&amp;5f"</f>
        <v>#VALUE!</v>
      </c>
      <c r="GC98" t="e">
        <f>'2.4.Функции'!LX179+"BYw!&amp;5g"</f>
        <v>#VALUE!</v>
      </c>
      <c r="GD98" t="e">
        <f>'2.4.Функции'!LY179+"BYw!&amp;5h"</f>
        <v>#VALUE!</v>
      </c>
      <c r="GE98" t="e">
        <f>'2.4.Функции'!LZ179+"BYw!&amp;5i"</f>
        <v>#VALUE!</v>
      </c>
      <c r="GF98" t="e">
        <f>'2.4.Функции'!MA179+"BYw!&amp;5j"</f>
        <v>#VALUE!</v>
      </c>
      <c r="GG98" t="e">
        <f>'2.4.Функции'!MB179+"BYw!&amp;5k"</f>
        <v>#VALUE!</v>
      </c>
      <c r="GH98" t="e">
        <f>'2.4.Функции'!MC179+"BYw!&amp;5l"</f>
        <v>#VALUE!</v>
      </c>
      <c r="GI98" t="e">
        <f>'2.4.Функции'!MD179+"BYw!&amp;5m"</f>
        <v>#VALUE!</v>
      </c>
      <c r="GJ98" t="e">
        <f>'2.4.Функции'!ME179+"BYw!&amp;5n"</f>
        <v>#VALUE!</v>
      </c>
      <c r="GK98" t="e">
        <f>'2.4.Функции'!MF179+"BYw!&amp;5o"</f>
        <v>#VALUE!</v>
      </c>
      <c r="GL98" t="e">
        <f>'2.4.Функции'!MG179+"BYw!&amp;5p"</f>
        <v>#VALUE!</v>
      </c>
      <c r="GM98" t="e">
        <f>'2.4.Функции'!MH179+"BYw!&amp;5q"</f>
        <v>#VALUE!</v>
      </c>
      <c r="GN98" t="e">
        <f>'2.4.Функции'!MI179+"BYw!&amp;5r"</f>
        <v>#VALUE!</v>
      </c>
      <c r="GO98" t="e">
        <f>'2.4.Функции'!MJ179+"BYw!&amp;5s"</f>
        <v>#VALUE!</v>
      </c>
      <c r="GP98" t="e">
        <f>'2.4.Функции'!MK179+"BYw!&amp;5t"</f>
        <v>#VALUE!</v>
      </c>
      <c r="GQ98" t="e">
        <f>'2.4.Функции'!ML179+"BYw!&amp;5u"</f>
        <v>#VALUE!</v>
      </c>
      <c r="GR98" t="e">
        <f>'2.4.Функции'!MM179+"BYw!&amp;5v"</f>
        <v>#VALUE!</v>
      </c>
      <c r="GS98" t="e">
        <f>'2.4.Функции'!MN179+"BYw!&amp;5w"</f>
        <v>#VALUE!</v>
      </c>
      <c r="GT98" t="e">
        <f>'2.4.Функции'!MO179+"BYw!&amp;5x"</f>
        <v>#VALUE!</v>
      </c>
      <c r="GU98" t="e">
        <f>'2.4.Функции'!MP179+"BYw!&amp;5y"</f>
        <v>#VALUE!</v>
      </c>
      <c r="GV98" t="e">
        <f>'2.4.Функции'!MQ179+"BYw!&amp;5z"</f>
        <v>#VALUE!</v>
      </c>
      <c r="GW98" t="e">
        <f>'2.4.Функции'!MR179+"BYw!&amp;5{"</f>
        <v>#VALUE!</v>
      </c>
      <c r="GX98" t="e">
        <f>'2.4.Функции'!MS179+"BYw!&amp;5|"</f>
        <v>#VALUE!</v>
      </c>
      <c r="GY98" t="e">
        <f>'2.4.Функции'!MT179+"BYw!&amp;5}"</f>
        <v>#VALUE!</v>
      </c>
      <c r="GZ98" t="e">
        <f>'2.4.Функции'!MU179+"BYw!&amp;5~"</f>
        <v>#VALUE!</v>
      </c>
      <c r="HA98" t="e">
        <f>'2.4.Функции'!MV179+"BYw!&amp;6#"</f>
        <v>#VALUE!</v>
      </c>
      <c r="HB98" t="e">
        <f>'2.4.Функции'!MW179+"BYw!&amp;6$"</f>
        <v>#VALUE!</v>
      </c>
      <c r="HC98" t="e">
        <f>'2.4.Функции'!MX179+"BYw!&amp;6%"</f>
        <v>#VALUE!</v>
      </c>
      <c r="HD98" t="e">
        <f>'2.4.Функции'!MY179+"BYw!&amp;6&amp;"</f>
        <v>#VALUE!</v>
      </c>
      <c r="HE98" t="e">
        <f>'2.4.Функции'!MZ179+"BYw!&amp;6'"</f>
        <v>#VALUE!</v>
      </c>
      <c r="HF98" t="e">
        <f>'2.4.Функции'!NA179+"BYw!&amp;6("</f>
        <v>#VALUE!</v>
      </c>
      <c r="HG98" t="e">
        <f>'2.4.Функции'!NB179+"BYw!&amp;6)"</f>
        <v>#VALUE!</v>
      </c>
      <c r="HH98" t="e">
        <f>'2.4.Функции'!NC179+"BYw!&amp;6."</f>
        <v>#VALUE!</v>
      </c>
      <c r="HI98" t="e">
        <f>'2.4.Функции'!ND179+"BYw!&amp;6/"</f>
        <v>#VALUE!</v>
      </c>
      <c r="HJ98" t="e">
        <f>'2.4.Функции'!NE179+"BYw!&amp;60"</f>
        <v>#VALUE!</v>
      </c>
      <c r="HK98" t="e">
        <f>'2.4.Функции'!NF179+"BYw!&amp;61"</f>
        <v>#VALUE!</v>
      </c>
      <c r="HL98" t="e">
        <f>'2.4.Функции'!NG179+"BYw!&amp;62"</f>
        <v>#VALUE!</v>
      </c>
      <c r="HM98" t="e">
        <f>'2.4.Функции'!NH179+"BYw!&amp;63"</f>
        <v>#VALUE!</v>
      </c>
      <c r="HN98" t="e">
        <f>'2.4.Функции'!NI179+"BYw!&amp;64"</f>
        <v>#VALUE!</v>
      </c>
      <c r="HO98" t="e">
        <f>'2.4.Функции'!NJ179+"BYw!&amp;65"</f>
        <v>#VALUE!</v>
      </c>
      <c r="HP98" t="e">
        <f>'2.4.Функции'!NK179+"BYw!&amp;66"</f>
        <v>#VALUE!</v>
      </c>
      <c r="HQ98" t="e">
        <f>'2.4.Функции'!NL179+"BYw!&amp;67"</f>
        <v>#VALUE!</v>
      </c>
      <c r="HR98" t="e">
        <f>'2.4.Функции'!NM179+"BYw!&amp;68"</f>
        <v>#VALUE!</v>
      </c>
      <c r="HS98" t="e">
        <f>'2.4.Функции'!NN179+"BYw!&amp;69"</f>
        <v>#VALUE!</v>
      </c>
      <c r="HT98" t="e">
        <f>'2.4.Функции'!NO179+"BYw!&amp;6:"</f>
        <v>#VALUE!</v>
      </c>
      <c r="HU98" t="e">
        <f>'2.4.Функции'!NP179+"BYw!&amp;6;"</f>
        <v>#VALUE!</v>
      </c>
      <c r="HV98" t="e">
        <f>'2.4.Функции'!NQ179+"BYw!&amp;6&lt;"</f>
        <v>#VALUE!</v>
      </c>
      <c r="HW98" t="e">
        <f>'2.4.Функции'!NR179+"BYw!&amp;6="</f>
        <v>#VALUE!</v>
      </c>
      <c r="HX98" t="e">
        <f>'2.4.Функции'!NS179+"BYw!&amp;6&gt;"</f>
        <v>#VALUE!</v>
      </c>
      <c r="HY98" t="e">
        <f>'2.4.Функции'!NT179+"BYw!&amp;6?"</f>
        <v>#VALUE!</v>
      </c>
      <c r="HZ98" t="e">
        <f>'2.4.Функции'!NU179+"BYw!&amp;6@"</f>
        <v>#VALUE!</v>
      </c>
      <c r="IA98" t="e">
        <f>'2.4.Функции'!NV179+"BYw!&amp;6A"</f>
        <v>#VALUE!</v>
      </c>
      <c r="IB98" t="e">
        <f>'2.4.Функции'!NW179+"BYw!&amp;6B"</f>
        <v>#VALUE!</v>
      </c>
      <c r="IC98" t="e">
        <f>'2.4.Функции'!NX179+"BYw!&amp;6C"</f>
        <v>#VALUE!</v>
      </c>
      <c r="ID98" t="e">
        <f>'2.4.Функции'!NY179+"BYw!&amp;6D"</f>
        <v>#VALUE!</v>
      </c>
      <c r="IE98" t="e">
        <f>'2.4.Функции'!NZ179+"BYw!&amp;6E"</f>
        <v>#VALUE!</v>
      </c>
      <c r="IF98" t="e">
        <f>'2.4.Функции'!OA179+"BYw!&amp;6F"</f>
        <v>#VALUE!</v>
      </c>
      <c r="IG98" t="e">
        <f>'2.4.Функции'!OB179+"BYw!&amp;6G"</f>
        <v>#VALUE!</v>
      </c>
      <c r="IH98" t="e">
        <f>'2.4.Функции'!OC179+"BYw!&amp;6H"</f>
        <v>#VALUE!</v>
      </c>
      <c r="II98" t="e">
        <f>'2.4.Функции'!OD179+"BYw!&amp;6I"</f>
        <v>#VALUE!</v>
      </c>
      <c r="IJ98" t="e">
        <f>'2.4.Функции'!OE179+"BYw!&amp;6J"</f>
        <v>#VALUE!</v>
      </c>
      <c r="IK98" t="e">
        <f>'2.4.Функции'!OF179+"BYw!&amp;6K"</f>
        <v>#VALUE!</v>
      </c>
      <c r="IL98" t="e">
        <f>'2.4.Функции'!OG179+"BYw!&amp;6L"</f>
        <v>#VALUE!</v>
      </c>
      <c r="IM98" t="e">
        <f>'2.4.Функции'!OH179+"BYw!&amp;6M"</f>
        <v>#VALUE!</v>
      </c>
      <c r="IN98" t="e">
        <f>'2.4.Функции'!OI179+"BYw!&amp;6N"</f>
        <v>#VALUE!</v>
      </c>
      <c r="IO98" t="e">
        <f>'2.4.Функции'!OJ179+"BYw!&amp;6O"</f>
        <v>#VALUE!</v>
      </c>
      <c r="IP98" t="e">
        <f>'2.4.Функции'!OK179+"BYw!&amp;6P"</f>
        <v>#VALUE!</v>
      </c>
      <c r="IQ98" t="e">
        <f>'2.4.Функции'!OL179+"BYw!&amp;6Q"</f>
        <v>#VALUE!</v>
      </c>
      <c r="IR98" t="e">
        <f>'2.4.Функции'!OM179+"BYw!&amp;6R"</f>
        <v>#VALUE!</v>
      </c>
      <c r="IS98" t="e">
        <f>'2.4.Функции'!ON179+"BYw!&amp;6S"</f>
        <v>#VALUE!</v>
      </c>
      <c r="IT98" t="e">
        <f>'2.4.Функции'!OO179+"BYw!&amp;6T"</f>
        <v>#VALUE!</v>
      </c>
      <c r="IU98" t="e">
        <f>'2.4.Функции'!OP179+"BYw!&amp;6U"</f>
        <v>#VALUE!</v>
      </c>
      <c r="IV98" t="e">
        <f>'2.4.Функции'!OQ179+"BYw!&amp;6V"</f>
        <v>#VALUE!</v>
      </c>
    </row>
    <row r="99" spans="6:256" x14ac:dyDescent="0.2">
      <c r="F99" t="e">
        <f>'2.4.Функции'!OR179+"BYw!&amp;6W"</f>
        <v>#VALUE!</v>
      </c>
      <c r="G99" t="e">
        <f>'2.4.Функции'!OS179+"BYw!&amp;6X"</f>
        <v>#VALUE!</v>
      </c>
      <c r="H99" t="e">
        <f>'2.4.Функции'!OT179+"BYw!&amp;6Y"</f>
        <v>#VALUE!</v>
      </c>
      <c r="I99" t="e">
        <f>'2.4.Функции'!OU179+"BYw!&amp;6Z"</f>
        <v>#VALUE!</v>
      </c>
      <c r="J99" t="e">
        <f>'2.4.Функции'!OV179+"BYw!&amp;6["</f>
        <v>#VALUE!</v>
      </c>
      <c r="K99" t="e">
        <f>'2.4.Функции'!OW179+"BYw!&amp;6\"</f>
        <v>#VALUE!</v>
      </c>
      <c r="L99" t="e">
        <f>'2.4.Функции'!OX179+"BYw!&amp;6]"</f>
        <v>#VALUE!</v>
      </c>
      <c r="M99" t="e">
        <f>'2.4.Функции'!OY179+"BYw!&amp;6^"</f>
        <v>#VALUE!</v>
      </c>
      <c r="N99" t="e">
        <f>'2.4.Функции'!OZ179+"BYw!&amp;6_"</f>
        <v>#VALUE!</v>
      </c>
      <c r="O99" t="e">
        <f>'2.4.Функции'!PA179+"BYw!&amp;6`"</f>
        <v>#VALUE!</v>
      </c>
      <c r="P99" t="e">
        <f>'2.4.Функции'!PB179+"BYw!&amp;6a"</f>
        <v>#VALUE!</v>
      </c>
      <c r="Q99" t="e">
        <f>'2.4.Функции'!PC179+"BYw!&amp;6b"</f>
        <v>#VALUE!</v>
      </c>
      <c r="R99" t="e">
        <f>'2.4.Функции'!PD179+"BYw!&amp;6c"</f>
        <v>#VALUE!</v>
      </c>
      <c r="S99" t="e">
        <f>'2.4.Функции'!PE179+"BYw!&amp;6d"</f>
        <v>#VALUE!</v>
      </c>
      <c r="T99" t="e">
        <f>'2.4.Функции'!PF179+"BYw!&amp;6e"</f>
        <v>#VALUE!</v>
      </c>
      <c r="U99" t="e">
        <f>'2.4.Функции'!PG179+"BYw!&amp;6f"</f>
        <v>#VALUE!</v>
      </c>
      <c r="V99" t="e">
        <f>'2.4.Функции'!PH179+"BYw!&amp;6g"</f>
        <v>#VALUE!</v>
      </c>
      <c r="W99" t="e">
        <f>'2.4.Функции'!PI179+"BYw!&amp;6h"</f>
        <v>#VALUE!</v>
      </c>
      <c r="X99" t="e">
        <f>'2.4.Функции'!PJ179+"BYw!&amp;6i"</f>
        <v>#VALUE!</v>
      </c>
      <c r="Y99" t="e">
        <f>'2.4.Функции'!PK179+"BYw!&amp;6j"</f>
        <v>#VALUE!</v>
      </c>
      <c r="Z99" t="e">
        <f>'2.4.Функции'!PL179+"BYw!&amp;6k"</f>
        <v>#VALUE!</v>
      </c>
      <c r="AA99" t="e">
        <f>'2.4.Функции'!PM179+"BYw!&amp;6l"</f>
        <v>#VALUE!</v>
      </c>
      <c r="AB99" t="e">
        <f>'2.4.Функции'!PN179+"BYw!&amp;6m"</f>
        <v>#VALUE!</v>
      </c>
      <c r="AC99" t="e">
        <f>'2.4.Функции'!PO179+"BYw!&amp;6n"</f>
        <v>#VALUE!</v>
      </c>
      <c r="AD99" t="e">
        <f>'2.4.Функции'!PP179+"BYw!&amp;6o"</f>
        <v>#VALUE!</v>
      </c>
      <c r="AE99" t="e">
        <f>'2.4.Функции'!PQ179+"BYw!&amp;6p"</f>
        <v>#VALUE!</v>
      </c>
      <c r="AF99" t="e">
        <f>'2.4.Функции'!PR179+"BYw!&amp;6q"</f>
        <v>#VALUE!</v>
      </c>
      <c r="AG99" t="e">
        <f>'2.4.Функции'!PS179+"BYw!&amp;6r"</f>
        <v>#VALUE!</v>
      </c>
      <c r="AH99" t="e">
        <f>'2.4.Функции'!PT179+"BYw!&amp;6s"</f>
        <v>#VALUE!</v>
      </c>
      <c r="AI99" t="e">
        <f>'2.4.Функции'!PU179+"BYw!&amp;6t"</f>
        <v>#VALUE!</v>
      </c>
      <c r="AJ99" t="e">
        <f>'2.4.Функции'!PV179+"BYw!&amp;6u"</f>
        <v>#VALUE!</v>
      </c>
      <c r="AK99" t="e">
        <f>'2.4.Функции'!PW179+"BYw!&amp;6v"</f>
        <v>#VALUE!</v>
      </c>
      <c r="AL99" t="e">
        <f>'2.4.Функции'!PX179+"BYw!&amp;6w"</f>
        <v>#VALUE!</v>
      </c>
      <c r="AM99" t="e">
        <f>'2.4.Функции'!PY179+"BYw!&amp;6x"</f>
        <v>#VALUE!</v>
      </c>
      <c r="AN99" t="e">
        <f>'2.4.Функции'!PZ179+"BYw!&amp;6y"</f>
        <v>#VALUE!</v>
      </c>
      <c r="AO99" t="e">
        <f>'2.4.Функции'!QA179+"BYw!&amp;6z"</f>
        <v>#VALUE!</v>
      </c>
      <c r="AP99" t="e">
        <f>'2.4.Функции'!QB179+"BYw!&amp;6{"</f>
        <v>#VALUE!</v>
      </c>
      <c r="AQ99" t="e">
        <f>'2.4.Функции'!QC179+"BYw!&amp;6|"</f>
        <v>#VALUE!</v>
      </c>
      <c r="AR99" t="e">
        <f>'2.4.Функции'!QD179+"BYw!&amp;6}"</f>
        <v>#VALUE!</v>
      </c>
      <c r="AS99" t="e">
        <f>'2.4.Функции'!QE179+"BYw!&amp;6~"</f>
        <v>#VALUE!</v>
      </c>
      <c r="AT99" t="e">
        <f>'2.4.Функции'!QF179+"BYw!&amp;7#"</f>
        <v>#VALUE!</v>
      </c>
      <c r="AU99" t="e">
        <f>'2.4.Функции'!QG179+"BYw!&amp;7$"</f>
        <v>#VALUE!</v>
      </c>
      <c r="AV99" t="e">
        <f>'2.4.Функции'!QH179+"BYw!&amp;7%"</f>
        <v>#VALUE!</v>
      </c>
      <c r="AW99" t="e">
        <f>'2.4.Функции'!QI179+"BYw!&amp;7&amp;"</f>
        <v>#VALUE!</v>
      </c>
      <c r="AX99" t="e">
        <f>'2.4.Функции'!QJ179+"BYw!&amp;7'"</f>
        <v>#VALUE!</v>
      </c>
      <c r="AY99" t="e">
        <f>'2.4.Функции'!QK179+"BYw!&amp;7("</f>
        <v>#VALUE!</v>
      </c>
      <c r="AZ99" t="e">
        <f>'2.4.Функции'!QL179+"BYw!&amp;7)"</f>
        <v>#VALUE!</v>
      </c>
      <c r="BA99" t="e">
        <f>'2.4.Функции'!QM179+"BYw!&amp;7."</f>
        <v>#VALUE!</v>
      </c>
      <c r="BB99" t="e">
        <f>'2.4.Функции'!QN179+"BYw!&amp;7/"</f>
        <v>#VALUE!</v>
      </c>
      <c r="BC99" t="e">
        <f>'2.4.Функции'!QO179+"BYw!&amp;70"</f>
        <v>#VALUE!</v>
      </c>
      <c r="BD99" t="e">
        <f>'2.4.Функции'!QP179+"BYw!&amp;71"</f>
        <v>#VALUE!</v>
      </c>
      <c r="BE99" t="e">
        <f>'2.4.Функции'!QQ179+"BYw!&amp;72"</f>
        <v>#VALUE!</v>
      </c>
      <c r="BF99" t="e">
        <f>'2.4.Функции'!QR179+"BYw!&amp;73"</f>
        <v>#VALUE!</v>
      </c>
      <c r="BG99" t="e">
        <f>'2.4.Функции'!QS179+"BYw!&amp;74"</f>
        <v>#VALUE!</v>
      </c>
      <c r="BH99" t="e">
        <f>'2.4.Функции'!QT179+"BYw!&amp;75"</f>
        <v>#VALUE!</v>
      </c>
      <c r="BI99" t="e">
        <f>'2.4.Функции'!QU179+"BYw!&amp;76"</f>
        <v>#VALUE!</v>
      </c>
      <c r="BJ99" t="e">
        <f>'2.4.Функции'!QV179+"BYw!&amp;77"</f>
        <v>#VALUE!</v>
      </c>
      <c r="BK99" t="e">
        <f>'2.4.Функции'!QW179+"BYw!&amp;78"</f>
        <v>#VALUE!</v>
      </c>
      <c r="BL99" t="e">
        <f>'2.4.Функции'!QX179+"BYw!&amp;79"</f>
        <v>#VALUE!</v>
      </c>
      <c r="BM99" t="e">
        <f>'2.4.Функции'!QY179+"BYw!&amp;7:"</f>
        <v>#VALUE!</v>
      </c>
      <c r="BN99" t="e">
        <f>'2.4.Функции'!QZ179+"BYw!&amp;7;"</f>
        <v>#VALUE!</v>
      </c>
      <c r="BO99" t="e">
        <f>'2.4.Функции'!RA179+"BYw!&amp;7&lt;"</f>
        <v>#VALUE!</v>
      </c>
      <c r="BP99" t="e">
        <f>'2.4.Функции'!RB179+"BYw!&amp;7="</f>
        <v>#VALUE!</v>
      </c>
      <c r="BQ99" t="e">
        <f>'2.4.Функции'!RC179+"BYw!&amp;7&gt;"</f>
        <v>#VALUE!</v>
      </c>
      <c r="BR99" t="e">
        <f>'2.4.Функции'!RD179+"BYw!&amp;7?"</f>
        <v>#VALUE!</v>
      </c>
      <c r="BS99" t="e">
        <f>'2.4.Функции'!RE179+"BYw!&amp;7@"</f>
        <v>#VALUE!</v>
      </c>
      <c r="BT99" t="e">
        <f>'2.4.Функции'!RF179+"BYw!&amp;7A"</f>
        <v>#VALUE!</v>
      </c>
      <c r="BU99" t="e">
        <f>'2.4.Функции'!RG179+"BYw!&amp;7B"</f>
        <v>#VALUE!</v>
      </c>
      <c r="BV99" t="e">
        <f>'2.4.Функции'!RH179+"BYw!&amp;7C"</f>
        <v>#VALUE!</v>
      </c>
      <c r="BW99" t="e">
        <f>'2.4.Функции'!RI179+"BYw!&amp;7D"</f>
        <v>#VALUE!</v>
      </c>
      <c r="BX99" t="e">
        <f>'2.4.Функции'!RJ179+"BYw!&amp;7E"</f>
        <v>#VALUE!</v>
      </c>
      <c r="BY99" t="e">
        <f>'2.4.Функции'!RK179+"BYw!&amp;7F"</f>
        <v>#VALUE!</v>
      </c>
      <c r="BZ99" t="e">
        <f>'2.4.Функции'!RL179+"BYw!&amp;7G"</f>
        <v>#VALUE!</v>
      </c>
      <c r="CA99" t="e">
        <f>'2.4.Функции'!RM179+"BYw!&amp;7H"</f>
        <v>#VALUE!</v>
      </c>
      <c r="CB99" t="e">
        <f>'2.4.Функции'!RN179+"BYw!&amp;7I"</f>
        <v>#VALUE!</v>
      </c>
      <c r="CC99" t="e">
        <f>'2.4.Функции'!RO179+"BYw!&amp;7J"</f>
        <v>#VALUE!</v>
      </c>
      <c r="CD99" t="e">
        <f>'2.4.Функции'!RP179+"BYw!&amp;7K"</f>
        <v>#VALUE!</v>
      </c>
      <c r="CE99" t="e">
        <f>'2.4.Функции'!RQ179+"BYw!&amp;7L"</f>
        <v>#VALUE!</v>
      </c>
      <c r="CF99" t="e">
        <f>'2.4.Функции'!RR179+"BYw!&amp;7M"</f>
        <v>#VALUE!</v>
      </c>
      <c r="CG99" t="e">
        <f>'2.4.Функции'!RS179+"BYw!&amp;7N"</f>
        <v>#VALUE!</v>
      </c>
      <c r="CH99" t="e">
        <f>'2.4.Функции'!RT179+"BYw!&amp;7O"</f>
        <v>#VALUE!</v>
      </c>
      <c r="CI99" t="e">
        <f>'2.4.Функции'!RU179+"BYw!&amp;7P"</f>
        <v>#VALUE!</v>
      </c>
      <c r="CJ99" t="e">
        <f>'2.4.Функции'!RV179+"BYw!&amp;7Q"</f>
        <v>#VALUE!</v>
      </c>
      <c r="CK99" t="e">
        <f>'2.4.Функции'!RW179+"BYw!&amp;7R"</f>
        <v>#VALUE!</v>
      </c>
      <c r="CL99" t="e">
        <f>'2.4.Функции'!RX179+"BYw!&amp;7S"</f>
        <v>#VALUE!</v>
      </c>
      <c r="CM99" t="e">
        <f>'2.4.Функции'!RY179+"BYw!&amp;7T"</f>
        <v>#VALUE!</v>
      </c>
      <c r="CN99" t="e">
        <f>'2.4.Функции'!RZ179+"BYw!&amp;7U"</f>
        <v>#VALUE!</v>
      </c>
      <c r="CO99" t="e">
        <f>'2.4.Функции'!SA179+"BYw!&amp;7V"</f>
        <v>#VALUE!</v>
      </c>
      <c r="CP99" t="e">
        <f>'2.4.Функции'!SB179+"BYw!&amp;7W"</f>
        <v>#VALUE!</v>
      </c>
      <c r="CQ99" t="e">
        <f>'2.4.Функции'!SC179+"BYw!&amp;7X"</f>
        <v>#VALUE!</v>
      </c>
      <c r="CR99" t="e">
        <f>'2.4.Функции'!SD179+"BYw!&amp;7Y"</f>
        <v>#VALUE!</v>
      </c>
      <c r="CS99" t="e">
        <f>'2.4.Функции'!SE179+"BYw!&amp;7Z"</f>
        <v>#VALUE!</v>
      </c>
      <c r="CT99" t="e">
        <f>'2.4.Функции'!SF179+"BYw!&amp;7["</f>
        <v>#VALUE!</v>
      </c>
      <c r="CU99" t="e">
        <f>'2.4.Функции'!SG179+"BYw!&amp;7\"</f>
        <v>#VALUE!</v>
      </c>
      <c r="CV99" t="e">
        <f>'2.4.Функции'!SH179+"BYw!&amp;7]"</f>
        <v>#VALUE!</v>
      </c>
      <c r="CW99" t="e">
        <f>'2.4.Функции'!SI179+"BYw!&amp;7^"</f>
        <v>#VALUE!</v>
      </c>
      <c r="CX99" t="e">
        <f>'2.4.Функции'!SJ179+"BYw!&amp;7_"</f>
        <v>#VALUE!</v>
      </c>
      <c r="CY99" t="e">
        <f>'2.4.Функции'!SK179+"BYw!&amp;7`"</f>
        <v>#VALUE!</v>
      </c>
      <c r="CZ99" t="e">
        <f>'2.4.Функции'!SL179+"BYw!&amp;7a"</f>
        <v>#VALUE!</v>
      </c>
      <c r="DA99" t="e">
        <f>'2.4.Функции'!SM179+"BYw!&amp;7b"</f>
        <v>#VALUE!</v>
      </c>
      <c r="DB99" t="e">
        <f>'2.4.Функции'!SN179+"BYw!&amp;7c"</f>
        <v>#VALUE!</v>
      </c>
      <c r="DC99" t="e">
        <f>'2.4.Функции'!SO179+"BYw!&amp;7d"</f>
        <v>#VALUE!</v>
      </c>
      <c r="DD99" t="e">
        <f>'2.4.Функции'!SP179+"BYw!&amp;7e"</f>
        <v>#VALUE!</v>
      </c>
      <c r="DE99" t="e">
        <f>'2.4.Функции'!SQ179+"BYw!&amp;7f"</f>
        <v>#VALUE!</v>
      </c>
      <c r="DF99" t="e">
        <f>'2.4.Функции'!SR179+"BYw!&amp;7g"</f>
        <v>#VALUE!</v>
      </c>
      <c r="DG99" t="e">
        <f>'2.4.Функции'!SS179+"BYw!&amp;7h"</f>
        <v>#VALUE!</v>
      </c>
      <c r="DH99" t="e">
        <f>'2.4.Функции'!ST179+"BYw!&amp;7i"</f>
        <v>#VALUE!</v>
      </c>
      <c r="DI99" t="e">
        <f>'2.4.Функции'!SU179+"BYw!&amp;7j"</f>
        <v>#VALUE!</v>
      </c>
      <c r="DJ99" t="e">
        <f>'2.4.Функции'!SV179+"BYw!&amp;7k"</f>
        <v>#VALUE!</v>
      </c>
      <c r="DK99" t="e">
        <f>'2.4.Функции'!SW179+"BYw!&amp;7l"</f>
        <v>#VALUE!</v>
      </c>
      <c r="DL99" t="e">
        <f>'2.4.Функции'!SX179+"BYw!&amp;7m"</f>
        <v>#VALUE!</v>
      </c>
      <c r="DM99" t="e">
        <f>'2.4.Функции'!SY179+"BYw!&amp;7n"</f>
        <v>#VALUE!</v>
      </c>
      <c r="DN99" t="e">
        <f>'2.4.Функции'!SZ179+"BYw!&amp;7o"</f>
        <v>#VALUE!</v>
      </c>
      <c r="DO99" t="e">
        <f>'2.4.Функции'!TA179+"BYw!&amp;7p"</f>
        <v>#VALUE!</v>
      </c>
      <c r="DP99" t="e">
        <f>'2.4.Функции'!TB179+"BYw!&amp;7q"</f>
        <v>#VALUE!</v>
      </c>
      <c r="DQ99" t="e">
        <f>'2.4.Функции'!TC179+"BYw!&amp;7r"</f>
        <v>#VALUE!</v>
      </c>
      <c r="DR99" t="e">
        <f>'2.4.Функции'!TD179+"BYw!&amp;7s"</f>
        <v>#VALUE!</v>
      </c>
      <c r="DS99" t="e">
        <f>'2.4.Функции'!TE179+"BYw!&amp;7t"</f>
        <v>#VALUE!</v>
      </c>
      <c r="DT99" t="e">
        <f>'2.4.Функции'!TF179+"BYw!&amp;7u"</f>
        <v>#VALUE!</v>
      </c>
      <c r="DU99" t="e">
        <f>'2.4.Функции'!TG179+"BYw!&amp;7v"</f>
        <v>#VALUE!</v>
      </c>
      <c r="DV99" t="e">
        <f>'2.4.Функции'!TH179+"BYw!&amp;7w"</f>
        <v>#VALUE!</v>
      </c>
      <c r="DW99" t="e">
        <f>'2.4.Функции'!TI179+"BYw!&amp;7x"</f>
        <v>#VALUE!</v>
      </c>
      <c r="DX99" t="e">
        <f>'2.4.Функции'!TJ179+"BYw!&amp;7y"</f>
        <v>#VALUE!</v>
      </c>
      <c r="DY99" t="e">
        <f>'2.4.Функции'!TK179+"BYw!&amp;7z"</f>
        <v>#VALUE!</v>
      </c>
      <c r="DZ99" t="e">
        <f>'2.4.Функции'!TL179+"BYw!&amp;7{"</f>
        <v>#VALUE!</v>
      </c>
      <c r="EA99" t="e">
        <f>'2.4.Функции'!TM179+"BYw!&amp;7|"</f>
        <v>#VALUE!</v>
      </c>
      <c r="EB99" t="e">
        <f>'2.4.Функции'!TN179+"BYw!&amp;7}"</f>
        <v>#VALUE!</v>
      </c>
      <c r="EC99" t="e">
        <f>'2.4.Функции'!TO179+"BYw!&amp;7~"</f>
        <v>#VALUE!</v>
      </c>
      <c r="ED99" t="e">
        <f>'2.4.Функции'!TP179+"BYw!&amp;8#"</f>
        <v>#VALUE!</v>
      </c>
      <c r="EE99" t="e">
        <f>'2.4.Функции'!TQ179+"BYw!&amp;8$"</f>
        <v>#VALUE!</v>
      </c>
      <c r="EF99" t="e">
        <f>'2.4.Функции'!TR179+"BYw!&amp;8%"</f>
        <v>#VALUE!</v>
      </c>
      <c r="EG99" t="e">
        <f>'2.4.Функции'!TS179+"BYw!&amp;8&amp;"</f>
        <v>#VALUE!</v>
      </c>
      <c r="EH99" t="e">
        <f>'2.4.Функции'!TT179+"BYw!&amp;8'"</f>
        <v>#VALUE!</v>
      </c>
      <c r="EI99" t="e">
        <f>'2.4.Функции'!TU179+"BYw!&amp;8("</f>
        <v>#VALUE!</v>
      </c>
      <c r="EJ99" t="e">
        <f>'2.4.Функции'!TV179+"BYw!&amp;8)"</f>
        <v>#VALUE!</v>
      </c>
      <c r="EK99" t="e">
        <f>'2.4.Функции'!TW179+"BYw!&amp;8."</f>
        <v>#VALUE!</v>
      </c>
      <c r="EL99" t="e">
        <f>'2.4.Функции'!TX179+"BYw!&amp;8/"</f>
        <v>#VALUE!</v>
      </c>
      <c r="EM99" t="e">
        <f>'2.4.Функции'!TY179+"BYw!&amp;80"</f>
        <v>#VALUE!</v>
      </c>
      <c r="EN99" t="e">
        <f>'2.4.Функции'!TZ179+"BYw!&amp;81"</f>
        <v>#VALUE!</v>
      </c>
      <c r="EO99" t="e">
        <f>'2.4.Функции'!UA179+"BYw!&amp;82"</f>
        <v>#VALUE!</v>
      </c>
      <c r="EP99" t="e">
        <f>'2.4.Функции'!UB179+"BYw!&amp;83"</f>
        <v>#VALUE!</v>
      </c>
      <c r="EQ99" t="e">
        <f>'2.4.Функции'!UC179+"BYw!&amp;84"</f>
        <v>#VALUE!</v>
      </c>
      <c r="ER99" t="e">
        <f>'2.4.Функции'!UD179+"BYw!&amp;85"</f>
        <v>#VALUE!</v>
      </c>
      <c r="ES99" t="e">
        <f>'2.4.Функции'!UE179+"BYw!&amp;86"</f>
        <v>#VALUE!</v>
      </c>
      <c r="ET99" t="e">
        <f>'2.4.Функции'!UF179+"BYw!&amp;87"</f>
        <v>#VALUE!</v>
      </c>
      <c r="EU99" t="e">
        <f>'2.4.Функции'!UG179+"BYw!&amp;88"</f>
        <v>#VALUE!</v>
      </c>
      <c r="EV99" t="e">
        <f>'2.4.Функции'!UH179+"BYw!&amp;89"</f>
        <v>#VALUE!</v>
      </c>
      <c r="EW99" t="e">
        <f>'2.4.Функции'!UI179+"BYw!&amp;8:"</f>
        <v>#VALUE!</v>
      </c>
      <c r="EX99" t="e">
        <f>'2.4.Функции'!UJ179+"BYw!&amp;8;"</f>
        <v>#VALUE!</v>
      </c>
      <c r="EY99" t="e">
        <f>'2.4.Функции'!UK179+"BYw!&amp;8&lt;"</f>
        <v>#VALUE!</v>
      </c>
      <c r="EZ99" t="e">
        <f>'2.4.Функции'!UL179+"BYw!&amp;8="</f>
        <v>#VALUE!</v>
      </c>
      <c r="FA99" t="e">
        <f>'2.4.Функции'!UM179+"BYw!&amp;8&gt;"</f>
        <v>#VALUE!</v>
      </c>
      <c r="FB99" t="e">
        <f>'2.4.Функции'!UN179+"BYw!&amp;8?"</f>
        <v>#VALUE!</v>
      </c>
      <c r="FC99" t="e">
        <f>'2.4.Функции'!UO179+"BYw!&amp;8@"</f>
        <v>#VALUE!</v>
      </c>
      <c r="FD99" t="e">
        <f>'2.4.Функции'!UP179+"BYw!&amp;8A"</f>
        <v>#VALUE!</v>
      </c>
      <c r="FE99" t="e">
        <f>'2.4.Функции'!UQ179+"BYw!&amp;8B"</f>
        <v>#VALUE!</v>
      </c>
      <c r="FF99" t="e">
        <f>'2.4.Функции'!UR179+"BYw!&amp;8C"</f>
        <v>#VALUE!</v>
      </c>
      <c r="FG99" t="e">
        <f>'2.4.Функции'!US179+"BYw!&amp;8D"</f>
        <v>#VALUE!</v>
      </c>
      <c r="FH99" t="e">
        <f>'2.4.Функции'!UT179+"BYw!&amp;8E"</f>
        <v>#VALUE!</v>
      </c>
      <c r="FI99" t="e">
        <f>'2.4.Функции'!UU179+"BYw!&amp;8F"</f>
        <v>#VALUE!</v>
      </c>
      <c r="FJ99" t="e">
        <f>'2.4.Функции'!UV179+"BYw!&amp;8G"</f>
        <v>#VALUE!</v>
      </c>
      <c r="FK99" t="e">
        <f>'2.4.Функции'!UW179+"BYw!&amp;8H"</f>
        <v>#VALUE!</v>
      </c>
      <c r="FL99" t="e">
        <f>'2.4.Функции'!UX179+"BYw!&amp;8I"</f>
        <v>#VALUE!</v>
      </c>
      <c r="FM99" t="e">
        <f>'2.4.Функции'!UY179+"BYw!&amp;8J"</f>
        <v>#VALUE!</v>
      </c>
      <c r="FN99" t="e">
        <f>'2.4.Функции'!UZ179+"BYw!&amp;8K"</f>
        <v>#VALUE!</v>
      </c>
      <c r="FO99" t="e">
        <f>'2.4.Функции'!VA179+"BYw!&amp;8L"</f>
        <v>#VALUE!</v>
      </c>
      <c r="FP99" t="e">
        <f>'2.4.Функции'!VB179+"BYw!&amp;8M"</f>
        <v>#VALUE!</v>
      </c>
      <c r="FQ99" t="e">
        <f>'2.4.Функции'!VC179+"BYw!&amp;8N"</f>
        <v>#VALUE!</v>
      </c>
      <c r="FR99" t="e">
        <f>'2.4.Функции'!VD179+"BYw!&amp;8O"</f>
        <v>#VALUE!</v>
      </c>
      <c r="FS99" t="e">
        <f>'2.4.Функции'!VE179+"BYw!&amp;8P"</f>
        <v>#VALUE!</v>
      </c>
      <c r="FT99" t="e">
        <f>'2.4.Функции'!VF179+"BYw!&amp;8Q"</f>
        <v>#VALUE!</v>
      </c>
      <c r="FU99" t="e">
        <f>'2.4.Функции'!VG179+"BYw!&amp;8R"</f>
        <v>#VALUE!</v>
      </c>
      <c r="FV99" t="e">
        <f>'2.4.Функции'!VH179+"BYw!&amp;8S"</f>
        <v>#VALUE!</v>
      </c>
      <c r="FW99" t="e">
        <f>'2.4.Функции'!VI179+"BYw!&amp;8T"</f>
        <v>#VALUE!</v>
      </c>
      <c r="FX99" t="e">
        <f>'2.4.Функции'!VJ179+"BYw!&amp;8U"</f>
        <v>#VALUE!</v>
      </c>
      <c r="FY99" t="e">
        <f>'2.4.Функции'!VK179+"BYw!&amp;8V"</f>
        <v>#VALUE!</v>
      </c>
      <c r="FZ99" t="e">
        <f>'2.4.Функции'!VL179+"BYw!&amp;8W"</f>
        <v>#VALUE!</v>
      </c>
      <c r="GA99" t="e">
        <f>'2.4.Функции'!VM179+"BYw!&amp;8X"</f>
        <v>#VALUE!</v>
      </c>
      <c r="GB99" t="e">
        <f>'2.4.Функции'!VN179+"BYw!&amp;8Y"</f>
        <v>#VALUE!</v>
      </c>
      <c r="GC99" t="e">
        <f>'2.4.Функции'!VO179+"BYw!&amp;8Z"</f>
        <v>#VALUE!</v>
      </c>
      <c r="GD99" t="e">
        <f>'2.4.Функции'!VP179+"BYw!&amp;8["</f>
        <v>#VALUE!</v>
      </c>
      <c r="GE99" t="e">
        <f>'2.4.Функции'!VQ179+"BYw!&amp;8\"</f>
        <v>#VALUE!</v>
      </c>
      <c r="GF99" t="e">
        <f>'2.4.Функции'!VR179+"BYw!&amp;8]"</f>
        <v>#VALUE!</v>
      </c>
      <c r="GG99" t="e">
        <f>'2.4.Функции'!VS179+"BYw!&amp;8^"</f>
        <v>#VALUE!</v>
      </c>
      <c r="GH99" t="e">
        <f>'2.4.Функции'!VT179+"BYw!&amp;8_"</f>
        <v>#VALUE!</v>
      </c>
      <c r="GI99" t="e">
        <f>'2.4.Функции'!VU179+"BYw!&amp;8`"</f>
        <v>#VALUE!</v>
      </c>
      <c r="GJ99" t="e">
        <f>'2.4.Функции'!VV179+"BYw!&amp;8a"</f>
        <v>#VALUE!</v>
      </c>
      <c r="GK99" t="e">
        <f>'2.4.Функции'!VW179+"BYw!&amp;8b"</f>
        <v>#VALUE!</v>
      </c>
      <c r="GL99" t="e">
        <f>'2.4.Функции'!VX179+"BYw!&amp;8c"</f>
        <v>#VALUE!</v>
      </c>
      <c r="GM99" t="e">
        <f>'2.4.Функции'!VY179+"BYw!&amp;8d"</f>
        <v>#VALUE!</v>
      </c>
      <c r="GN99" t="e">
        <f>'2.4.Функции'!VZ179+"BYw!&amp;8e"</f>
        <v>#VALUE!</v>
      </c>
      <c r="GO99" t="e">
        <f>'2.4.Функции'!WA179+"BYw!&amp;8f"</f>
        <v>#VALUE!</v>
      </c>
      <c r="GP99" t="e">
        <f>'2.4.Функции'!WB179+"BYw!&amp;8g"</f>
        <v>#VALUE!</v>
      </c>
      <c r="GQ99" t="e">
        <f>'2.4.Функции'!WC179+"BYw!&amp;8h"</f>
        <v>#VALUE!</v>
      </c>
      <c r="GR99" t="e">
        <f>'2.4.Функции'!WD179+"BYw!&amp;8i"</f>
        <v>#VALUE!</v>
      </c>
      <c r="GS99" t="e">
        <f>'2.4.Функции'!WE179+"BYw!&amp;8j"</f>
        <v>#VALUE!</v>
      </c>
      <c r="GT99" t="e">
        <f>'2.4.Функции'!WF179+"BYw!&amp;8k"</f>
        <v>#VALUE!</v>
      </c>
      <c r="GU99" t="e">
        <f>'2.4.Функции'!WG179+"BYw!&amp;8l"</f>
        <v>#VALUE!</v>
      </c>
      <c r="GV99" t="e">
        <f>'2.4.Функции'!WH179+"BYw!&amp;8m"</f>
        <v>#VALUE!</v>
      </c>
      <c r="GW99" t="e">
        <f>'2.4.Функции'!WI179+"BYw!&amp;8n"</f>
        <v>#VALUE!</v>
      </c>
      <c r="GX99" t="e">
        <f>'2.4.Функции'!WJ179+"BYw!&amp;8o"</f>
        <v>#VALUE!</v>
      </c>
      <c r="GY99" t="e">
        <f>'2.4.Функции'!WK179+"BYw!&amp;8p"</f>
        <v>#VALUE!</v>
      </c>
      <c r="GZ99" t="e">
        <f>'2.4.Функции'!WL179+"BYw!&amp;8q"</f>
        <v>#VALUE!</v>
      </c>
      <c r="HA99" t="e">
        <f>'2.4.Функции'!WM179+"BYw!&amp;8r"</f>
        <v>#VALUE!</v>
      </c>
      <c r="HB99" t="e">
        <f>'2.4.Функции'!WN179+"BYw!&amp;8s"</f>
        <v>#VALUE!</v>
      </c>
      <c r="HC99" t="e">
        <f>'2.4.Функции'!WO179+"BYw!&amp;8t"</f>
        <v>#VALUE!</v>
      </c>
      <c r="HD99" t="e">
        <f>'2.4.Функции'!WP179+"BYw!&amp;8u"</f>
        <v>#VALUE!</v>
      </c>
      <c r="HE99" t="e">
        <f>'2.4.Функции'!WQ179+"BYw!&amp;8v"</f>
        <v>#VALUE!</v>
      </c>
      <c r="HF99" t="e">
        <f>'2.4.Функции'!WR179+"BYw!&amp;8w"</f>
        <v>#VALUE!</v>
      </c>
      <c r="HG99" t="e">
        <f>'2.4.Функции'!WS179+"BYw!&amp;8x"</f>
        <v>#VALUE!</v>
      </c>
      <c r="HH99" t="e">
        <f>'2.4.Функции'!WT179+"BYw!&amp;8y"</f>
        <v>#VALUE!</v>
      </c>
      <c r="HI99" t="e">
        <f>'2.4.Функции'!WU179+"BYw!&amp;8z"</f>
        <v>#VALUE!</v>
      </c>
      <c r="HJ99" t="e">
        <f>'2.4.Функции'!WV179+"BYw!&amp;8{"</f>
        <v>#VALUE!</v>
      </c>
      <c r="HK99" t="e">
        <f>'2.4.Функции'!WW179+"BYw!&amp;8|"</f>
        <v>#VALUE!</v>
      </c>
      <c r="HL99" t="e">
        <f>'2.4.Функции'!WX179+"BYw!&amp;8}"</f>
        <v>#VALUE!</v>
      </c>
      <c r="HM99" t="e">
        <f>'2.4.Функции'!WY179+"BYw!&amp;8~"</f>
        <v>#VALUE!</v>
      </c>
      <c r="HN99" t="e">
        <f>'2.4.Функции'!WZ179+"BYw!&amp;9#"</f>
        <v>#VALUE!</v>
      </c>
      <c r="HO99" t="e">
        <f>'2.4.Функции'!XA179+"BYw!&amp;9$"</f>
        <v>#VALUE!</v>
      </c>
      <c r="HP99" t="e">
        <f>'2.4.Функции'!XB179+"BYw!&amp;9%"</f>
        <v>#VALUE!</v>
      </c>
      <c r="HQ99" t="e">
        <f>'2.4.Функции'!XC179+"BYw!&amp;9&amp;"</f>
        <v>#VALUE!</v>
      </c>
      <c r="HR99" t="e">
        <f>'2.4.Функции'!XD179+"BYw!&amp;9'"</f>
        <v>#VALUE!</v>
      </c>
      <c r="HS99" t="e">
        <f>'2.4.Функции'!XE179+"BYw!&amp;9("</f>
        <v>#VALUE!</v>
      </c>
      <c r="HT99" t="e">
        <f>'2.4.Функции'!XF179+"BYw!&amp;9)"</f>
        <v>#VALUE!</v>
      </c>
      <c r="HU99" t="e">
        <f>'2.4.Функции'!XG179+"BYw!&amp;9."</f>
        <v>#VALUE!</v>
      </c>
      <c r="HV99" t="e">
        <f>'2.4.Функции'!XH179+"BYw!&amp;9/"</f>
        <v>#VALUE!</v>
      </c>
      <c r="HW99" t="e">
        <f>'2.4.Функции'!XI179+"BYw!&amp;90"</f>
        <v>#VALUE!</v>
      </c>
      <c r="HX99" t="e">
        <f>'2.4.Функции'!XJ179+"BYw!&amp;91"</f>
        <v>#VALUE!</v>
      </c>
      <c r="HY99" t="e">
        <f>'2.4.Функции'!XK179+"BYw!&amp;92"</f>
        <v>#VALUE!</v>
      </c>
      <c r="HZ99" t="e">
        <f>'2.4.Функции'!XL179+"BYw!&amp;93"</f>
        <v>#VALUE!</v>
      </c>
      <c r="IA99" t="e">
        <f>'2.4.Функции'!XM179+"BYw!&amp;94"</f>
        <v>#VALUE!</v>
      </c>
      <c r="IB99" t="e">
        <f>'2.4.Функции'!XN179+"BYw!&amp;95"</f>
        <v>#VALUE!</v>
      </c>
      <c r="IC99" t="e">
        <f>'2.4.Функции'!XO179+"BYw!&amp;96"</f>
        <v>#VALUE!</v>
      </c>
      <c r="ID99" t="e">
        <f>'2.4.Функции'!XP179+"BYw!&amp;97"</f>
        <v>#VALUE!</v>
      </c>
      <c r="IE99" t="e">
        <f>'2.4.Функции'!XQ179+"BYw!&amp;98"</f>
        <v>#VALUE!</v>
      </c>
      <c r="IF99" t="e">
        <f>'2.4.Функции'!XR179+"BYw!&amp;99"</f>
        <v>#VALUE!</v>
      </c>
      <c r="IG99" t="e">
        <f>'2.4.Функции'!XS179+"BYw!&amp;9:"</f>
        <v>#VALUE!</v>
      </c>
      <c r="IH99" t="e">
        <f>'2.4.Функции'!XT179+"BYw!&amp;9;"</f>
        <v>#VALUE!</v>
      </c>
      <c r="II99" t="e">
        <f>'2.4.Функции'!XU179+"BYw!&amp;9&lt;"</f>
        <v>#VALUE!</v>
      </c>
      <c r="IJ99" t="e">
        <f>'2.4.Функции'!XV179+"BYw!&amp;9="</f>
        <v>#VALUE!</v>
      </c>
      <c r="IK99" t="e">
        <f>'2.4.Функции'!XW179+"BYw!&amp;9&gt;"</f>
        <v>#VALUE!</v>
      </c>
      <c r="IL99" t="e">
        <f>'2.4.Функции'!XX179+"BYw!&amp;9?"</f>
        <v>#VALUE!</v>
      </c>
      <c r="IM99" t="e">
        <f>'2.4.Функции'!XY179+"BYw!&amp;9@"</f>
        <v>#VALUE!</v>
      </c>
      <c r="IN99" t="e">
        <f>'2.4.Функции'!XZ179+"BYw!&amp;9A"</f>
        <v>#VALUE!</v>
      </c>
      <c r="IO99" t="e">
        <f>'2.4.Функции'!YA179+"BYw!&amp;9B"</f>
        <v>#VALUE!</v>
      </c>
      <c r="IP99" t="e">
        <f>'2.4.Функции'!YB179+"BYw!&amp;9C"</f>
        <v>#VALUE!</v>
      </c>
      <c r="IQ99" t="e">
        <f>'2.4.Функции'!YC179+"BYw!&amp;9D"</f>
        <v>#VALUE!</v>
      </c>
      <c r="IR99" t="e">
        <f>'2.4.Функции'!YD179+"BYw!&amp;9E"</f>
        <v>#VALUE!</v>
      </c>
      <c r="IS99" t="e">
        <f>'2.4.Функции'!YE179+"BYw!&amp;9F"</f>
        <v>#VALUE!</v>
      </c>
      <c r="IT99" t="e">
        <f>'2.4.Функции'!YF179+"BYw!&amp;9G"</f>
        <v>#VALUE!</v>
      </c>
      <c r="IU99" t="e">
        <f>'2.4.Функции'!YG179+"BYw!&amp;9H"</f>
        <v>#VALUE!</v>
      </c>
      <c r="IV99" t="e">
        <f>'2.4.Функции'!YH179+"BYw!&amp;9I"</f>
        <v>#VALUE!</v>
      </c>
    </row>
    <row r="100" spans="6:256" x14ac:dyDescent="0.2">
      <c r="F100" t="e">
        <f>'2.4.Функции'!YI179+"BYw!&amp;9J"</f>
        <v>#VALUE!</v>
      </c>
      <c r="G100" t="e">
        <f>'2.4.Функции'!YJ179+"BYw!&amp;9K"</f>
        <v>#VALUE!</v>
      </c>
      <c r="H100" t="e">
        <f>'2.4.Функции'!YK179+"BYw!&amp;9L"</f>
        <v>#VALUE!</v>
      </c>
      <c r="I100" t="e">
        <f>'2.4.Функции'!YL179+"BYw!&amp;9M"</f>
        <v>#VALUE!</v>
      </c>
      <c r="J100" t="e">
        <f>'2.4.Функции'!YM179+"BYw!&amp;9N"</f>
        <v>#VALUE!</v>
      </c>
      <c r="K100" t="e">
        <f>'2.4.Функции'!YN179+"BYw!&amp;9O"</f>
        <v>#VALUE!</v>
      </c>
      <c r="L100" t="e">
        <f>'2.4.Функции'!YO179+"BYw!&amp;9P"</f>
        <v>#VALUE!</v>
      </c>
      <c r="M100" t="e">
        <f>'2.4.Функции'!YP179+"BYw!&amp;9Q"</f>
        <v>#VALUE!</v>
      </c>
      <c r="N100" t="e">
        <f>'2.4.Функции'!YQ179+"BYw!&amp;9R"</f>
        <v>#VALUE!</v>
      </c>
      <c r="O100" t="e">
        <f>'2.4.Функции'!YR179+"BYw!&amp;9S"</f>
        <v>#VALUE!</v>
      </c>
      <c r="P100" t="e">
        <f>'2.4.Функции'!YS179+"BYw!&amp;9T"</f>
        <v>#VALUE!</v>
      </c>
      <c r="Q100" t="e">
        <f>'2.4.Функции'!YT179+"BYw!&amp;9U"</f>
        <v>#VALUE!</v>
      </c>
      <c r="R100" t="e">
        <f>'2.4.Функции'!YU179+"BYw!&amp;9V"</f>
        <v>#VALUE!</v>
      </c>
      <c r="S100" t="e">
        <f>'2.4.Функции'!YV179+"BYw!&amp;9W"</f>
        <v>#VALUE!</v>
      </c>
      <c r="T100" t="e">
        <f>'2.4.Функции'!YW179+"BYw!&amp;9X"</f>
        <v>#VALUE!</v>
      </c>
      <c r="U100" t="e">
        <f>'2.4.Функции'!YX179+"BYw!&amp;9Y"</f>
        <v>#VALUE!</v>
      </c>
      <c r="V100" t="e">
        <f>'2.4.Функции'!YY179+"BYw!&amp;9Z"</f>
        <v>#VALUE!</v>
      </c>
      <c r="W100" t="e">
        <f>'2.4.Функции'!YZ179+"BYw!&amp;9["</f>
        <v>#VALUE!</v>
      </c>
      <c r="X100" t="e">
        <f>'2.4.Функции'!ZA179+"BYw!&amp;9\"</f>
        <v>#VALUE!</v>
      </c>
      <c r="Y100" t="e">
        <f>'2.4.Функции'!ZB179+"BYw!&amp;9]"</f>
        <v>#VALUE!</v>
      </c>
      <c r="Z100" t="e">
        <f>'2.4.Функции'!ZC179+"BYw!&amp;9^"</f>
        <v>#VALUE!</v>
      </c>
      <c r="AA100" t="e">
        <f>'2.4.Функции'!ZD179+"BYw!&amp;9_"</f>
        <v>#VALUE!</v>
      </c>
      <c r="AB100" t="e">
        <f>'2.4.Функции'!ZE179+"BYw!&amp;9`"</f>
        <v>#VALUE!</v>
      </c>
      <c r="AC100" t="e">
        <f>'2.4.Функции'!ZF179+"BYw!&amp;9a"</f>
        <v>#VALUE!</v>
      </c>
      <c r="AD100" t="e">
        <f>'2.4.Функции'!ZG179+"BYw!&amp;9b"</f>
        <v>#VALUE!</v>
      </c>
      <c r="AE100" t="e">
        <f>'2.4.Функции'!ZH179+"BYw!&amp;9c"</f>
        <v>#VALUE!</v>
      </c>
      <c r="AF100" t="e">
        <f>'2.4.Функции'!ZI179+"BYw!&amp;9d"</f>
        <v>#VALUE!</v>
      </c>
      <c r="AG100" t="e">
        <f>'2.4.Функции'!ZJ179+"BYw!&amp;9e"</f>
        <v>#VALUE!</v>
      </c>
      <c r="AH100" t="e">
        <f>'2.4.Функции'!ZK179+"BYw!&amp;9f"</f>
        <v>#VALUE!</v>
      </c>
      <c r="AI100" t="e">
        <f>'2.4.Функции'!ZL179+"BYw!&amp;9g"</f>
        <v>#VALUE!</v>
      </c>
      <c r="AJ100" t="e">
        <f>'2.4.Функции'!ZM179+"BYw!&amp;9h"</f>
        <v>#VALUE!</v>
      </c>
      <c r="AK100" t="e">
        <f>'2.4.Функции'!ZN179+"BYw!&amp;9i"</f>
        <v>#VALUE!</v>
      </c>
      <c r="AL100" t="e">
        <f>'2.4.Функции'!ZO179+"BYw!&amp;9j"</f>
        <v>#VALUE!</v>
      </c>
      <c r="AM100" t="e">
        <f>'2.4.Функции'!ZP179+"BYw!&amp;9k"</f>
        <v>#VALUE!</v>
      </c>
      <c r="AN100" t="e">
        <f>'2.4.Функции'!ZQ179+"BYw!&amp;9l"</f>
        <v>#VALUE!</v>
      </c>
      <c r="AO100" t="e">
        <f>'2.4.Функции'!ZR179+"BYw!&amp;9m"</f>
        <v>#VALUE!</v>
      </c>
      <c r="AP100" t="e">
        <f>'2.4.Функции'!ZS179+"BYw!&amp;9n"</f>
        <v>#VALUE!</v>
      </c>
      <c r="AQ100" t="e">
        <f>'2.4.Функции'!ZT179+"BYw!&amp;9o"</f>
        <v>#VALUE!</v>
      </c>
      <c r="AR100" t="e">
        <f>'2.4.Функции'!ZU179+"BYw!&amp;9p"</f>
        <v>#VALUE!</v>
      </c>
      <c r="AS100" t="e">
        <f>'2.4.Функции'!ZV179+"BYw!&amp;9q"</f>
        <v>#VALUE!</v>
      </c>
      <c r="AT100" t="e">
        <f>'2.4.Функции'!ZW179+"BYw!&amp;9r"</f>
        <v>#VALUE!</v>
      </c>
      <c r="AU100" t="e">
        <f>'2.4.Функции'!ZX179+"BYw!&amp;9s"</f>
        <v>#VALUE!</v>
      </c>
      <c r="AV100" t="e">
        <f>'2.4.Функции'!ZY179+"BYw!&amp;9t"</f>
        <v>#VALUE!</v>
      </c>
      <c r="AW100" t="e">
        <f>'2.4.Функции'!ZZ179+"BYw!&amp;9u"</f>
        <v>#VALUE!</v>
      </c>
      <c r="AX100" t="e">
        <f>'2.4.Функции'!AAA179+"BYw!&amp;9v"</f>
        <v>#VALUE!</v>
      </c>
      <c r="AY100" t="e">
        <f>'2.4.Функции'!AAB179+"BYw!&amp;9w"</f>
        <v>#VALUE!</v>
      </c>
      <c r="AZ100" t="e">
        <f>'2.4.Функции'!AAC179+"BYw!&amp;9x"</f>
        <v>#VALUE!</v>
      </c>
      <c r="BA100" t="e">
        <f>'2.4.Функции'!AAD179+"BYw!&amp;9y"</f>
        <v>#VALUE!</v>
      </c>
      <c r="BB100" t="e">
        <f>'2.4.Функции'!AAE179+"BYw!&amp;9z"</f>
        <v>#VALUE!</v>
      </c>
      <c r="BC100" t="e">
        <f>'2.4.Функции'!AAF179+"BYw!&amp;9{"</f>
        <v>#VALUE!</v>
      </c>
      <c r="BD100" t="e">
        <f>'2.4.Функции'!AAG179+"BYw!&amp;9|"</f>
        <v>#VALUE!</v>
      </c>
      <c r="BE100" t="e">
        <f>'2.4.Функции'!AAH179+"BYw!&amp;9}"</f>
        <v>#VALUE!</v>
      </c>
      <c r="BF100" t="e">
        <f>'2.4.Функции'!AAI179+"BYw!&amp;9~"</f>
        <v>#VALUE!</v>
      </c>
      <c r="BG100" t="e">
        <f>'2.4.Функции'!AAJ179+"BYw!&amp;:#"</f>
        <v>#VALUE!</v>
      </c>
      <c r="BH100" t="e">
        <f>'2.4.Функции'!AAK179+"BYw!&amp;:$"</f>
        <v>#VALUE!</v>
      </c>
      <c r="BI100" t="e">
        <f>'2.4.Функции'!AAL179+"BYw!&amp;:%"</f>
        <v>#VALUE!</v>
      </c>
      <c r="BJ100" t="e">
        <f>'2.4.Функции'!AAM179+"BYw!&amp;:&amp;"</f>
        <v>#VALUE!</v>
      </c>
      <c r="BK100" t="e">
        <f>'2.4.Функции'!AAN179+"BYw!&amp;:'"</f>
        <v>#VALUE!</v>
      </c>
      <c r="BL100" t="e">
        <f>'2.4.Функции'!AAO179+"BYw!&amp;:("</f>
        <v>#VALUE!</v>
      </c>
      <c r="BM100" t="e">
        <f>'2.4.Функции'!AAP179+"BYw!&amp;:)"</f>
        <v>#VALUE!</v>
      </c>
      <c r="BN100" t="e">
        <f>'2.4.Функции'!AAQ179+"BYw!&amp;:."</f>
        <v>#VALUE!</v>
      </c>
      <c r="BO100" t="e">
        <f>'2.4.Функции'!AAR179+"BYw!&amp;:/"</f>
        <v>#VALUE!</v>
      </c>
      <c r="BP100" t="e">
        <f>'2.4.Функции'!AAS179+"BYw!&amp;:0"</f>
        <v>#VALUE!</v>
      </c>
      <c r="BQ100" t="e">
        <f>'2.4.Функции'!AAT179+"BYw!&amp;:1"</f>
        <v>#VALUE!</v>
      </c>
      <c r="BR100" t="e">
        <f>'2.4.Функции'!AAU179+"BYw!&amp;:2"</f>
        <v>#VALUE!</v>
      </c>
      <c r="BS100" t="e">
        <f>'2.4.Функции'!AAV179+"BYw!&amp;:3"</f>
        <v>#VALUE!</v>
      </c>
      <c r="BT100" t="e">
        <f>'2.4.Функции'!AAW179+"BYw!&amp;:4"</f>
        <v>#VALUE!</v>
      </c>
      <c r="BU100" t="e">
        <f>'2.4.Функции'!AAX179+"BYw!&amp;:5"</f>
        <v>#VALUE!</v>
      </c>
      <c r="BV100" t="e">
        <f>'2.4.Функции'!AAY179+"BYw!&amp;:6"</f>
        <v>#VALUE!</v>
      </c>
      <c r="BW100" t="e">
        <f>'2.4.Функции'!AAZ179+"BYw!&amp;:7"</f>
        <v>#VALUE!</v>
      </c>
      <c r="BX100" t="e">
        <f>'2.4.Функции'!ABA179+"BYw!&amp;:8"</f>
        <v>#VALUE!</v>
      </c>
      <c r="BY100" t="e">
        <f>'2.4.Функции'!ABB179+"BYw!&amp;:9"</f>
        <v>#VALUE!</v>
      </c>
      <c r="BZ100" t="e">
        <f>'2.4.Функции'!ABC179+"BYw!&amp;::"</f>
        <v>#VALUE!</v>
      </c>
      <c r="CA100" t="e">
        <f>'2.4.Функции'!ABD179+"BYw!&amp;:;"</f>
        <v>#VALUE!</v>
      </c>
      <c r="CB100" t="e">
        <f>'2.4.Функции'!ABE179+"BYw!&amp;:&lt;"</f>
        <v>#VALUE!</v>
      </c>
      <c r="CC100" t="e">
        <f>'2.4.Функции'!ABF179+"BYw!&amp;:="</f>
        <v>#VALUE!</v>
      </c>
      <c r="CD100" t="e">
        <f>'2.4.Функции'!ABG179+"BYw!&amp;:&gt;"</f>
        <v>#VALUE!</v>
      </c>
      <c r="CE100" t="e">
        <f>'2.4.Функции'!ABH179+"BYw!&amp;:?"</f>
        <v>#VALUE!</v>
      </c>
      <c r="CF100" t="e">
        <f>'2.4.Функции'!ABI179+"BYw!&amp;:@"</f>
        <v>#VALUE!</v>
      </c>
      <c r="CG100" t="e">
        <f>'2.4.Функции'!ABJ179+"BYw!&amp;:A"</f>
        <v>#VALUE!</v>
      </c>
      <c r="CH100" t="e">
        <f>'2.4.Функции'!ABK179+"BYw!&amp;:B"</f>
        <v>#VALUE!</v>
      </c>
      <c r="CI100" t="e">
        <f>'2.4.Функции'!ABL179+"BYw!&amp;:C"</f>
        <v>#VALUE!</v>
      </c>
      <c r="CJ100" t="e">
        <f>'2.4.Функции'!ABM179+"BYw!&amp;:D"</f>
        <v>#VALUE!</v>
      </c>
      <c r="CK100" t="e">
        <f>'2.4.Функции'!ABN179+"BYw!&amp;:E"</f>
        <v>#VALUE!</v>
      </c>
      <c r="CL100" t="e">
        <f>'2.4.Функции'!ABO179+"BYw!&amp;:F"</f>
        <v>#VALUE!</v>
      </c>
      <c r="CM100" t="e">
        <f>'2.4.Функции'!ABP179+"BYw!&amp;:G"</f>
        <v>#VALUE!</v>
      </c>
      <c r="CN100" t="e">
        <f>'2.4.Функции'!ABQ179+"BYw!&amp;:H"</f>
        <v>#VALUE!</v>
      </c>
      <c r="CO100" t="e">
        <f>'2.4.Функции'!ABR179+"BYw!&amp;:I"</f>
        <v>#VALUE!</v>
      </c>
      <c r="CP100" t="e">
        <f>'2.4.Функции'!ABS179+"BYw!&amp;:J"</f>
        <v>#VALUE!</v>
      </c>
      <c r="CQ100" t="e">
        <f>'2.4.Функции'!ABT179+"BYw!&amp;:K"</f>
        <v>#VALUE!</v>
      </c>
      <c r="CR100" t="e">
        <f>'2.4.Функции'!ABU179+"BYw!&amp;:L"</f>
        <v>#VALUE!</v>
      </c>
      <c r="CS100" t="e">
        <f>'2.4.Функции'!ABV179+"BYw!&amp;:M"</f>
        <v>#VALUE!</v>
      </c>
      <c r="CT100" t="e">
        <f>'2.4.Функции'!ABW179+"BYw!&amp;:N"</f>
        <v>#VALUE!</v>
      </c>
      <c r="CU100" t="e">
        <f>'2.4.Функции'!ABX179+"BYw!&amp;:O"</f>
        <v>#VALUE!</v>
      </c>
      <c r="CV100" t="e">
        <f>'2.4.Функции'!ABY179+"BYw!&amp;:P"</f>
        <v>#VALUE!</v>
      </c>
      <c r="CW100" t="e">
        <f>'2.4.Функции'!ABZ179+"BYw!&amp;:Q"</f>
        <v>#VALUE!</v>
      </c>
      <c r="CX100" t="e">
        <f>'2.4.Функции'!ACA179+"BYw!&amp;:R"</f>
        <v>#VALUE!</v>
      </c>
      <c r="CY100" t="e">
        <f>'2.4.Функции'!ACB179+"BYw!&amp;:S"</f>
        <v>#VALUE!</v>
      </c>
      <c r="CZ100" t="e">
        <f>'2.4.Функции'!ACC179+"BYw!&amp;:T"</f>
        <v>#VALUE!</v>
      </c>
      <c r="DA100" t="e">
        <f>'2.4.Функции'!ACD179+"BYw!&amp;:U"</f>
        <v>#VALUE!</v>
      </c>
      <c r="DB100" t="e">
        <f>'2.4.Функции'!ACE179+"BYw!&amp;:V"</f>
        <v>#VALUE!</v>
      </c>
      <c r="DC100" t="e">
        <f>'2.4.Функции'!ACF179+"BYw!&amp;:W"</f>
        <v>#VALUE!</v>
      </c>
      <c r="DD100" t="e">
        <f>'2.4.Функции'!ACG179+"BYw!&amp;:X"</f>
        <v>#VALUE!</v>
      </c>
      <c r="DE100" t="e">
        <f>'2.4.Функции'!ACH179+"BYw!&amp;:Y"</f>
        <v>#VALUE!</v>
      </c>
      <c r="DF100" t="e">
        <f>'2.4.Функции'!ACI179+"BYw!&amp;:Z"</f>
        <v>#VALUE!</v>
      </c>
      <c r="DG100" t="e">
        <f>'2.4.Функции'!ACJ179+"BYw!&amp;:["</f>
        <v>#VALUE!</v>
      </c>
      <c r="DH100" t="e">
        <f>'2.4.Функции'!ACK179+"BYw!&amp;:\"</f>
        <v>#VALUE!</v>
      </c>
      <c r="DI100" t="e">
        <f>'2.4.Функции'!ACL179+"BYw!&amp;:]"</f>
        <v>#VALUE!</v>
      </c>
      <c r="DJ100" t="e">
        <f>'2.4.Функции'!ACM179+"BYw!&amp;:^"</f>
        <v>#VALUE!</v>
      </c>
      <c r="DK100" t="e">
        <f>'2.4.Функции'!ACN179+"BYw!&amp;:_"</f>
        <v>#VALUE!</v>
      </c>
      <c r="DL100" t="e">
        <f>'2.4.Функции'!ACO179+"BYw!&amp;:`"</f>
        <v>#VALUE!</v>
      </c>
      <c r="DM100" t="e">
        <f>'2.4.Функции'!ACP179+"BYw!&amp;:a"</f>
        <v>#VALUE!</v>
      </c>
      <c r="DN100" t="e">
        <f>'2.4.Функции'!ACQ179+"BYw!&amp;:b"</f>
        <v>#VALUE!</v>
      </c>
      <c r="DO100" t="e">
        <f>'2.4.Функции'!ACR179+"BYw!&amp;:c"</f>
        <v>#VALUE!</v>
      </c>
      <c r="DP100" t="e">
        <f>'2.4.Функции'!ACS179+"BYw!&amp;:d"</f>
        <v>#VALUE!</v>
      </c>
      <c r="DQ100" t="e">
        <f>'2.4.Функции'!ACT179+"BYw!&amp;:e"</f>
        <v>#VALUE!</v>
      </c>
      <c r="DR100" t="e">
        <f>'2.4.Функции'!ACU179+"BYw!&amp;:f"</f>
        <v>#VALUE!</v>
      </c>
      <c r="DS100" t="e">
        <f>'2.4.Функции'!ACV179+"BYw!&amp;:g"</f>
        <v>#VALUE!</v>
      </c>
      <c r="DT100" t="e">
        <f>'2.4.Функции'!ACW179+"BYw!&amp;:h"</f>
        <v>#VALUE!</v>
      </c>
      <c r="DU100" t="e">
        <f>'2.4.Функции'!ACX179+"BYw!&amp;:i"</f>
        <v>#VALUE!</v>
      </c>
      <c r="DV100" t="e">
        <f>'2.4.Функции'!ACY179+"BYw!&amp;:j"</f>
        <v>#VALUE!</v>
      </c>
      <c r="DW100" t="e">
        <f>'2.4.Функции'!ACZ179+"BYw!&amp;:k"</f>
        <v>#VALUE!</v>
      </c>
      <c r="DX100" t="e">
        <f>'2.4.Функции'!ADA179+"BYw!&amp;:l"</f>
        <v>#VALUE!</v>
      </c>
      <c r="DY100" t="e">
        <f>'2.4.Функции'!ADB179+"BYw!&amp;:m"</f>
        <v>#VALUE!</v>
      </c>
      <c r="DZ100" t="e">
        <f>'2.4.Функции'!ADC179+"BYw!&amp;:n"</f>
        <v>#VALUE!</v>
      </c>
      <c r="EA100" t="e">
        <f>'2.4.Функции'!ADD179+"BYw!&amp;:o"</f>
        <v>#VALUE!</v>
      </c>
      <c r="EB100" t="e">
        <f>'2.4.Функции'!ADE179+"BYw!&amp;:p"</f>
        <v>#VALUE!</v>
      </c>
      <c r="EC100" t="e">
        <f>'2.4.Функции'!ADF179+"BYw!&amp;:q"</f>
        <v>#VALUE!</v>
      </c>
      <c r="ED100" t="e">
        <f>'2.4.Функции'!ADG179+"BYw!&amp;:r"</f>
        <v>#VALUE!</v>
      </c>
      <c r="EE100" t="e">
        <f>'2.4.Функции'!ADH179+"BYw!&amp;:s"</f>
        <v>#VALUE!</v>
      </c>
      <c r="EF100" t="e">
        <f>'2.4.Функции'!ADI179+"BYw!&amp;:t"</f>
        <v>#VALUE!</v>
      </c>
      <c r="EG100" t="e">
        <f>'2.4.Функции'!ADJ179+"BYw!&amp;:u"</f>
        <v>#VALUE!</v>
      </c>
      <c r="EH100" t="e">
        <f>'2.4.Функции'!ADK179+"BYw!&amp;:v"</f>
        <v>#VALUE!</v>
      </c>
      <c r="EI100" t="e">
        <f>'2.4.Функции'!ADL179+"BYw!&amp;:w"</f>
        <v>#VALUE!</v>
      </c>
      <c r="EJ100" t="e">
        <f>'2.4.Функции'!ADM179+"BYw!&amp;:x"</f>
        <v>#VALUE!</v>
      </c>
      <c r="EK100" t="e">
        <f>'2.4.Функции'!ADN179+"BYw!&amp;:y"</f>
        <v>#VALUE!</v>
      </c>
      <c r="EL100" t="e">
        <f>'2.4.Функции'!ADO179+"BYw!&amp;:z"</f>
        <v>#VALUE!</v>
      </c>
      <c r="EM100" t="e">
        <f>'2.4.Функции'!ADP179+"BYw!&amp;:{"</f>
        <v>#VALUE!</v>
      </c>
      <c r="EN100" t="e">
        <f>'2.4.Функции'!ADQ179+"BYw!&amp;:|"</f>
        <v>#VALUE!</v>
      </c>
      <c r="EO100" t="e">
        <f>'2.4.Функции'!ADR179+"BYw!&amp;:}"</f>
        <v>#VALUE!</v>
      </c>
      <c r="EP100" t="e">
        <f>'2.4.Функции'!ADS179+"BYw!&amp;:~"</f>
        <v>#VALUE!</v>
      </c>
      <c r="EQ100" t="e">
        <f>'2.4.Функции'!ADT179+"BYw!&amp;;#"</f>
        <v>#VALUE!</v>
      </c>
      <c r="ER100" t="e">
        <f>'2.4.Функции'!ADU179+"BYw!&amp;;$"</f>
        <v>#VALUE!</v>
      </c>
      <c r="ES100" t="e">
        <f>'2.4.Функции'!ADV179+"BYw!&amp;;%"</f>
        <v>#VALUE!</v>
      </c>
      <c r="ET100" t="e">
        <f>'2.4.Функции'!ADW179+"BYw!&amp;;&amp;"</f>
        <v>#VALUE!</v>
      </c>
      <c r="EU100" t="e">
        <f>'2.4.Функции'!ADX179+"BYw!&amp;;'"</f>
        <v>#VALUE!</v>
      </c>
      <c r="EV100" t="e">
        <f>'2.4.Функции'!ADY179+"BYw!&amp;;("</f>
        <v>#VALUE!</v>
      </c>
      <c r="EW100" t="e">
        <f>'2.4.Функции'!ADZ179+"BYw!&amp;;)"</f>
        <v>#VALUE!</v>
      </c>
      <c r="EX100" t="e">
        <f>'2.4.Функции'!AEA179+"BYw!&amp;;."</f>
        <v>#VALUE!</v>
      </c>
      <c r="EY100" t="e">
        <f>'2.4.Функции'!AEB179+"BYw!&amp;;/"</f>
        <v>#VALUE!</v>
      </c>
      <c r="EZ100" t="e">
        <f>'2.4.Функции'!AEC179+"BYw!&amp;;0"</f>
        <v>#VALUE!</v>
      </c>
      <c r="FA100" t="e">
        <f>'2.4.Функции'!AED179+"BYw!&amp;;1"</f>
        <v>#VALUE!</v>
      </c>
      <c r="FB100" t="e">
        <f>'2.4.Функции'!AEE179+"BYw!&amp;;2"</f>
        <v>#VALUE!</v>
      </c>
      <c r="FC100" t="e">
        <f>'2.4.Функции'!AEF179+"BYw!&amp;;3"</f>
        <v>#VALUE!</v>
      </c>
      <c r="FD100" t="e">
        <f>'2.4.Функции'!AEG179+"BYw!&amp;;4"</f>
        <v>#VALUE!</v>
      </c>
      <c r="FE100" t="e">
        <f>'2.4.Функции'!AEH179+"BYw!&amp;;5"</f>
        <v>#VALUE!</v>
      </c>
      <c r="FF100" t="e">
        <f>'2.4.Функции'!AEI179+"BYw!&amp;;6"</f>
        <v>#VALUE!</v>
      </c>
      <c r="FG100" t="e">
        <f>'2.4.Функции'!AEJ179+"BYw!&amp;;7"</f>
        <v>#VALUE!</v>
      </c>
      <c r="FH100" t="e">
        <f>'2.4.Функции'!AEK179+"BYw!&amp;;8"</f>
        <v>#VALUE!</v>
      </c>
      <c r="FI100" t="e">
        <f>'2.4.Функции'!AEL179+"BYw!&amp;;9"</f>
        <v>#VALUE!</v>
      </c>
      <c r="FJ100" t="e">
        <f>'2.4.Функции'!AEM179+"BYw!&amp;;:"</f>
        <v>#VALUE!</v>
      </c>
      <c r="FK100" t="e">
        <f>'2.4.Функции'!AEN179+"BYw!&amp;;;"</f>
        <v>#VALUE!</v>
      </c>
      <c r="FL100" t="e">
        <f>'2.4.Функции'!AEO179+"BYw!&amp;;&lt;"</f>
        <v>#VALUE!</v>
      </c>
      <c r="FM100" t="e">
        <f>'2.4.Функции'!AEP179+"BYw!&amp;;="</f>
        <v>#VALUE!</v>
      </c>
      <c r="FN100" t="e">
        <f>'2.4.Функции'!AEQ179+"BYw!&amp;;&gt;"</f>
        <v>#VALUE!</v>
      </c>
      <c r="FO100" t="e">
        <f>'2.4.Функции'!AER179+"BYw!&amp;;?"</f>
        <v>#VALUE!</v>
      </c>
      <c r="FP100" t="e">
        <f>'2.4.Функции'!AES179+"BYw!&amp;;@"</f>
        <v>#VALUE!</v>
      </c>
      <c r="FQ100" t="e">
        <f>'2.4.Функции'!AET179+"BYw!&amp;;A"</f>
        <v>#VALUE!</v>
      </c>
      <c r="FR100" t="e">
        <f>'2.4.Функции'!AEU179+"BYw!&amp;;B"</f>
        <v>#VALUE!</v>
      </c>
      <c r="FS100" t="e">
        <f>'2.4.Функции'!AEV179+"BYw!&amp;;C"</f>
        <v>#VALUE!</v>
      </c>
      <c r="FT100" t="e">
        <f>'2.4.Функции'!AEW179+"BYw!&amp;;D"</f>
        <v>#VALUE!</v>
      </c>
      <c r="FU100" t="e">
        <f>'2.4.Функции'!AEX179+"BYw!&amp;;E"</f>
        <v>#VALUE!</v>
      </c>
      <c r="FV100" t="e">
        <f>'2.4.Функции'!AEY179+"BYw!&amp;;F"</f>
        <v>#VALUE!</v>
      </c>
      <c r="FW100" t="e">
        <f>'2.4.Функции'!AEZ179+"BYw!&amp;;G"</f>
        <v>#VALUE!</v>
      </c>
      <c r="FX100" t="e">
        <f>'2.4.Функции'!AFA179+"BYw!&amp;;H"</f>
        <v>#VALUE!</v>
      </c>
      <c r="FY100" t="e">
        <f>'2.4.Функции'!AFB179+"BYw!&amp;;I"</f>
        <v>#VALUE!</v>
      </c>
      <c r="FZ100" t="e">
        <f>'2.4.Функции'!AFC179+"BYw!&amp;;J"</f>
        <v>#VALUE!</v>
      </c>
      <c r="GA100" t="e">
        <f>'2.4.Функции'!AFD179+"BYw!&amp;;K"</f>
        <v>#VALUE!</v>
      </c>
      <c r="GB100" t="e">
        <f>'2.4.Функции'!AFE179+"BYw!&amp;;L"</f>
        <v>#VALUE!</v>
      </c>
      <c r="GC100" t="e">
        <f>'2.4.Функции'!AFF179+"BYw!&amp;;M"</f>
        <v>#VALUE!</v>
      </c>
      <c r="GD100" t="e">
        <f>'2.4.Функции'!AFG179+"BYw!&amp;;N"</f>
        <v>#VALUE!</v>
      </c>
      <c r="GE100" t="e">
        <f>'2.4.Функции'!AFH179+"BYw!&amp;;O"</f>
        <v>#VALUE!</v>
      </c>
      <c r="GF100" t="e">
        <f>'2.4.Функции'!AFI179+"BYw!&amp;;P"</f>
        <v>#VALUE!</v>
      </c>
      <c r="GG100" t="e">
        <f>'2.4.Функции'!AFJ179+"BYw!&amp;;Q"</f>
        <v>#VALUE!</v>
      </c>
      <c r="GH100" t="e">
        <f>'2.4.Функции'!AFK179+"BYw!&amp;;R"</f>
        <v>#VALUE!</v>
      </c>
      <c r="GI100" t="e">
        <f>'2.4.Функции'!AFL179+"BYw!&amp;;S"</f>
        <v>#VALUE!</v>
      </c>
      <c r="GJ100" t="e">
        <f>'2.4.Функции'!AFM179+"BYw!&amp;;T"</f>
        <v>#VALUE!</v>
      </c>
      <c r="GK100" t="e">
        <f>'2.4.Функции'!AFN179+"BYw!&amp;;U"</f>
        <v>#VALUE!</v>
      </c>
      <c r="GL100" t="e">
        <f>'2.4.Функции'!AFO179+"BYw!&amp;;V"</f>
        <v>#VALUE!</v>
      </c>
      <c r="GM100" t="e">
        <f>'2.4.Функции'!AFP179+"BYw!&amp;;W"</f>
        <v>#VALUE!</v>
      </c>
      <c r="GN100" t="e">
        <f>'2.4.Функции'!AFQ179+"BYw!&amp;;X"</f>
        <v>#VALUE!</v>
      </c>
      <c r="GO100" t="e">
        <f>'2.4.Функции'!AFR179+"BYw!&amp;;Y"</f>
        <v>#VALUE!</v>
      </c>
      <c r="GP100" t="e">
        <f>'2.4.Функции'!AFS179+"BYw!&amp;;Z"</f>
        <v>#VALUE!</v>
      </c>
      <c r="GQ100" t="e">
        <f>'2.4.Функции'!AFT179+"BYw!&amp;;["</f>
        <v>#VALUE!</v>
      </c>
      <c r="GR100" t="e">
        <f>'2.4.Функции'!AFU179+"BYw!&amp;;\"</f>
        <v>#VALUE!</v>
      </c>
      <c r="GS100" t="e">
        <f>'2.4.Функции'!AFV179+"BYw!&amp;;]"</f>
        <v>#VALUE!</v>
      </c>
      <c r="GT100" t="e">
        <f>'2.4.Функции'!AFW179+"BYw!&amp;;^"</f>
        <v>#VALUE!</v>
      </c>
      <c r="GU100" t="e">
        <f>'2.4.Функции'!AFX179+"BYw!&amp;;_"</f>
        <v>#VALUE!</v>
      </c>
      <c r="GV100" t="e">
        <f>'2.4.Функции'!AFY179+"BYw!&amp;;`"</f>
        <v>#VALUE!</v>
      </c>
      <c r="GW100" t="e">
        <f>'2.4.Функции'!AFZ179+"BYw!&amp;;a"</f>
        <v>#VALUE!</v>
      </c>
      <c r="GX100" t="e">
        <f>'2.4.Функции'!AGA179+"BYw!&amp;;b"</f>
        <v>#VALUE!</v>
      </c>
      <c r="GY100" t="e">
        <f>'2.4.Функции'!AGB179+"BYw!&amp;;c"</f>
        <v>#VALUE!</v>
      </c>
      <c r="GZ100" t="e">
        <f>'2.4.Функции'!AGC179+"BYw!&amp;;d"</f>
        <v>#VALUE!</v>
      </c>
      <c r="HA100" t="e">
        <f>'2.4.Функции'!AGD179+"BYw!&amp;;e"</f>
        <v>#VALUE!</v>
      </c>
      <c r="HB100" t="e">
        <f>'2.4.Функции'!AGE179+"BYw!&amp;;f"</f>
        <v>#VALUE!</v>
      </c>
      <c r="HC100" t="e">
        <f>'2.4.Функции'!AGF179+"BYw!&amp;;g"</f>
        <v>#VALUE!</v>
      </c>
      <c r="HD100" t="e">
        <f>'2.4.Функции'!AGG179+"BYw!&amp;;h"</f>
        <v>#VALUE!</v>
      </c>
      <c r="HE100" t="e">
        <f>'2.4.Функции'!AGH179+"BYw!&amp;;i"</f>
        <v>#VALUE!</v>
      </c>
      <c r="HF100" t="e">
        <f>'2.4.Функции'!AGI179+"BYw!&amp;;j"</f>
        <v>#VALUE!</v>
      </c>
      <c r="HG100" t="e">
        <f>'2.4.Функции'!AGJ179+"BYw!&amp;;k"</f>
        <v>#VALUE!</v>
      </c>
      <c r="HH100" t="e">
        <f>'2.4.Функции'!AGK179+"BYw!&amp;;l"</f>
        <v>#VALUE!</v>
      </c>
      <c r="HI100" t="e">
        <f>'2.4.Функции'!AGL179+"BYw!&amp;;m"</f>
        <v>#VALUE!</v>
      </c>
      <c r="HJ100" t="e">
        <f>'2.4.Функции'!AGM179+"BYw!&amp;;n"</f>
        <v>#VALUE!</v>
      </c>
      <c r="HK100" t="e">
        <f>'2.4.Функции'!AGN179+"BYw!&amp;;o"</f>
        <v>#VALUE!</v>
      </c>
      <c r="HL100" t="e">
        <f>'2.4.Функции'!AGO179+"BYw!&amp;;p"</f>
        <v>#VALUE!</v>
      </c>
      <c r="HM100" t="e">
        <f>'2.4.Функции'!AGP179+"BYw!&amp;;q"</f>
        <v>#VALUE!</v>
      </c>
      <c r="HN100" t="e">
        <f>'2.4.Функции'!AGQ179+"BYw!&amp;;r"</f>
        <v>#VALUE!</v>
      </c>
      <c r="HO100" t="e">
        <f>'2.4.Функции'!AGR179+"BYw!&amp;;s"</f>
        <v>#VALUE!</v>
      </c>
      <c r="HP100" t="e">
        <f>'2.4.Функции'!AGS179+"BYw!&amp;;t"</f>
        <v>#VALUE!</v>
      </c>
      <c r="HQ100" t="e">
        <f>'2.4.Функции'!AGT179+"BYw!&amp;;u"</f>
        <v>#VALUE!</v>
      </c>
      <c r="HR100" t="e">
        <f>'2.4.Функции'!AGU179+"BYw!&amp;;v"</f>
        <v>#VALUE!</v>
      </c>
      <c r="HS100" t="e">
        <f>'2.4.Функции'!AGV179+"BYw!&amp;;w"</f>
        <v>#VALUE!</v>
      </c>
      <c r="HT100" t="e">
        <f>'2.4.Функции'!AGW179+"BYw!&amp;;x"</f>
        <v>#VALUE!</v>
      </c>
      <c r="HU100" t="e">
        <f>'2.4.Функции'!AGX179+"BYw!&amp;;y"</f>
        <v>#VALUE!</v>
      </c>
      <c r="HV100" t="e">
        <f>'2.4.Функции'!AGY179+"BYw!&amp;;z"</f>
        <v>#VALUE!</v>
      </c>
      <c r="HW100" t="e">
        <f>'2.4.Функции'!AGZ179+"BYw!&amp;;{"</f>
        <v>#VALUE!</v>
      </c>
      <c r="HX100" t="e">
        <f>'2.4.Функции'!AHA179+"BYw!&amp;;|"</f>
        <v>#VALUE!</v>
      </c>
      <c r="HY100" t="e">
        <f>'2.4.Функции'!AHB179+"BYw!&amp;;}"</f>
        <v>#VALUE!</v>
      </c>
      <c r="HZ100" t="e">
        <f>'2.4.Функции'!AHC179+"BYw!&amp;;~"</f>
        <v>#VALUE!</v>
      </c>
      <c r="IA100" t="e">
        <f>'2.4.Функции'!AHD179+"BYw!&amp;&lt;#"</f>
        <v>#VALUE!</v>
      </c>
      <c r="IB100" t="e">
        <f>'2.4.Функции'!AHE179+"BYw!&amp;&lt;$"</f>
        <v>#VALUE!</v>
      </c>
      <c r="IC100" t="e">
        <f>'2.4.Функции'!AHF179+"BYw!&amp;&lt;%"</f>
        <v>#VALUE!</v>
      </c>
      <c r="ID100" t="e">
        <f>'2.4.Функции'!AHG179+"BYw!&amp;&lt;&amp;"</f>
        <v>#VALUE!</v>
      </c>
      <c r="IE100" t="e">
        <f>'2.4.Функции'!AHH179+"BYw!&amp;&lt;'"</f>
        <v>#VALUE!</v>
      </c>
      <c r="IF100" t="e">
        <f>'2.4.Функции'!AHI179+"BYw!&amp;&lt;("</f>
        <v>#VALUE!</v>
      </c>
      <c r="IG100" t="e">
        <f>'2.4.Функции'!AHJ179+"BYw!&amp;&lt;)"</f>
        <v>#VALUE!</v>
      </c>
      <c r="IH100" t="e">
        <f>'2.4.Функции'!AHK179+"BYw!&amp;&lt;."</f>
        <v>#VALUE!</v>
      </c>
      <c r="II100" t="e">
        <f>'2.4.Функции'!AHL179+"BYw!&amp;&lt;/"</f>
        <v>#VALUE!</v>
      </c>
      <c r="IJ100" t="e">
        <f>'2.4.Функции'!AHM179+"BYw!&amp;&lt;0"</f>
        <v>#VALUE!</v>
      </c>
      <c r="IK100" t="e">
        <f>'2.4.Функции'!AHN179+"BYw!&amp;&lt;1"</f>
        <v>#VALUE!</v>
      </c>
      <c r="IL100" t="e">
        <f>'2.4.Функции'!AHO179+"BYw!&amp;&lt;2"</f>
        <v>#VALUE!</v>
      </c>
      <c r="IM100" t="e">
        <f>'2.4.Функции'!AHP179+"BYw!&amp;&lt;3"</f>
        <v>#VALUE!</v>
      </c>
      <c r="IN100" t="e">
        <f>'2.4.Функции'!AHQ179+"BYw!&amp;&lt;4"</f>
        <v>#VALUE!</v>
      </c>
      <c r="IO100" t="e">
        <f>'2.4.Функции'!AHR179+"BYw!&amp;&lt;5"</f>
        <v>#VALUE!</v>
      </c>
      <c r="IP100" t="e">
        <f>'2.4.Функции'!AHS179+"BYw!&amp;&lt;6"</f>
        <v>#VALUE!</v>
      </c>
      <c r="IQ100" t="e">
        <f>'2.4.Функции'!AHT179+"BYw!&amp;&lt;7"</f>
        <v>#VALUE!</v>
      </c>
      <c r="IR100" t="e">
        <f>'2.4.Функции'!AHU179+"BYw!&amp;&lt;8"</f>
        <v>#VALUE!</v>
      </c>
      <c r="IS100" t="e">
        <f>'2.4.Функции'!AHV179+"BYw!&amp;&lt;9"</f>
        <v>#VALUE!</v>
      </c>
      <c r="IT100" t="e">
        <f>'2.4.Функции'!AHW179+"BYw!&amp;&lt;:"</f>
        <v>#VALUE!</v>
      </c>
      <c r="IU100" t="e">
        <f>'2.4.Функции'!AHX179+"BYw!&amp;&lt;;"</f>
        <v>#VALUE!</v>
      </c>
      <c r="IV100" t="e">
        <f>'2.4.Функции'!AHY179+"BYw!&amp;&lt;&lt;"</f>
        <v>#VALUE!</v>
      </c>
    </row>
    <row r="101" spans="6:256" x14ac:dyDescent="0.2">
      <c r="F101" t="e">
        <f>'2.4.Функции'!AHZ179+"BYw!&amp;&lt;="</f>
        <v>#VALUE!</v>
      </c>
      <c r="G101" t="e">
        <f>'2.4.Функции'!AIA179+"BYw!&amp;&lt;&gt;"</f>
        <v>#VALUE!</v>
      </c>
      <c r="H101" t="e">
        <f>'2.4.Функции'!AIB179+"BYw!&amp;&lt;?"</f>
        <v>#VALUE!</v>
      </c>
      <c r="I101" t="e">
        <f>'2.4.Функции'!AIC179+"BYw!&amp;&lt;@"</f>
        <v>#VALUE!</v>
      </c>
      <c r="J101" t="e">
        <f>'2.4.Функции'!AID179+"BYw!&amp;&lt;A"</f>
        <v>#VALUE!</v>
      </c>
      <c r="K101" t="e">
        <f>'2.4.Функции'!AIE179+"BYw!&amp;&lt;B"</f>
        <v>#VALUE!</v>
      </c>
      <c r="L101" t="e">
        <f>'2.4.Функции'!AIF179+"BYw!&amp;&lt;C"</f>
        <v>#VALUE!</v>
      </c>
      <c r="M101" t="e">
        <f>'2.4.Функции'!AIG179+"BYw!&amp;&lt;D"</f>
        <v>#VALUE!</v>
      </c>
      <c r="N101" t="e">
        <f>'2.4.Функции'!AIH179+"BYw!&amp;&lt;E"</f>
        <v>#VALUE!</v>
      </c>
      <c r="O101" t="e">
        <f>'2.4.Функции'!A180+"BYw!&amp;&lt;F"</f>
        <v>#VALUE!</v>
      </c>
      <c r="P101" s="116" t="e">
        <f>'2.4.Функции'!B180+"BYw!&amp;&lt;G"</f>
        <v>#VALUE!</v>
      </c>
      <c r="Q101" t="e">
        <f>'2.4.Функции'!C180+"BYw!&amp;&lt;H"</f>
        <v>#VALUE!</v>
      </c>
      <c r="R101" s="119" t="e">
        <f>'2.4.Функции'!D180+"BYw!&amp;&lt;I"</f>
        <v>#VALUE!</v>
      </c>
      <c r="S101" s="119" t="e">
        <f>'2.4.Функции'!E180+"BYw!&amp;&lt;J"</f>
        <v>#VALUE!</v>
      </c>
      <c r="T101" s="119" t="e">
        <f>'2.4.Функции'!F180+"BYw!&amp;&lt;K"</f>
        <v>#VALUE!</v>
      </c>
      <c r="U101" s="119" t="e">
        <f>'2.4.Функции'!G180+"BYw!&amp;&lt;L"</f>
        <v>#VALUE!</v>
      </c>
      <c r="V101" s="119" t="e">
        <f>'2.4.Функции'!H180+"BYw!&amp;&lt;M"</f>
        <v>#VALUE!</v>
      </c>
      <c r="W101" s="119" t="e">
        <f>'2.4.Функции'!I180+"BYw!&amp;&lt;N"</f>
        <v>#VALUE!</v>
      </c>
      <c r="X101" s="119" t="e">
        <f>'2.4.Функции'!J180+"BYw!&amp;&lt;O"</f>
        <v>#VALUE!</v>
      </c>
      <c r="Y101" s="119" t="e">
        <f>'2.4.Функции'!K180+"BYw!&amp;&lt;P"</f>
        <v>#VALUE!</v>
      </c>
      <c r="Z101" t="e">
        <f>'2.4.Функции'!L180+"BYw!&amp;&lt;Q"</f>
        <v>#VALUE!</v>
      </c>
      <c r="AA101" t="e">
        <f>'2.4.Функции'!M180+"BYw!&amp;&lt;R"</f>
        <v>#VALUE!</v>
      </c>
      <c r="AB101" t="e">
        <f>'2.4.Функции'!N180+"BYw!&amp;&lt;S"</f>
        <v>#VALUE!</v>
      </c>
      <c r="AC101" t="e">
        <f>'2.4.Функции'!O180+"BYw!&amp;&lt;T"</f>
        <v>#VALUE!</v>
      </c>
      <c r="AD101" t="e">
        <f>'2.4.Функции'!P180+"BYw!&amp;&lt;U"</f>
        <v>#VALUE!</v>
      </c>
      <c r="AE101" t="e">
        <f>'2.4.Функции'!Q180+"BYw!&amp;&lt;V"</f>
        <v>#VALUE!</v>
      </c>
      <c r="AF101" t="e">
        <f>'2.4.Функции'!R180+"BYw!&amp;&lt;W"</f>
        <v>#VALUE!</v>
      </c>
      <c r="AG101" t="e">
        <f>'2.4.Функции'!S180+"BYw!&amp;&lt;X"</f>
        <v>#VALUE!</v>
      </c>
      <c r="AH101" t="e">
        <f>'2.4.Функции'!T180+"BYw!&amp;&lt;Y"</f>
        <v>#VALUE!</v>
      </c>
      <c r="AI101" t="e">
        <f>'2.4.Функции'!U180+"BYw!&amp;&lt;Z"</f>
        <v>#VALUE!</v>
      </c>
      <c r="AJ101" t="e">
        <f>'2.4.Функции'!V180+"BYw!&amp;&lt;["</f>
        <v>#VALUE!</v>
      </c>
      <c r="AK101" t="e">
        <f>'2.4.Функции'!W180+"BYw!&amp;&lt;\"</f>
        <v>#VALUE!</v>
      </c>
      <c r="AL101" t="e">
        <f>'2.4.Функции'!X180+"BYw!&amp;&lt;]"</f>
        <v>#VALUE!</v>
      </c>
      <c r="AM101" t="e">
        <f>'2.4.Функции'!Y180+"BYw!&amp;&lt;^"</f>
        <v>#VALUE!</v>
      </c>
      <c r="AN101" t="e">
        <f>'2.4.Функции'!Z180+"BYw!&amp;&lt;_"</f>
        <v>#VALUE!</v>
      </c>
      <c r="AO101" t="e">
        <f>'2.4.Функции'!AA180+"BYw!&amp;&lt;`"</f>
        <v>#VALUE!</v>
      </c>
      <c r="AP101" t="e">
        <f>'2.4.Функции'!AB180+"BYw!&amp;&lt;a"</f>
        <v>#VALUE!</v>
      </c>
      <c r="AQ101" t="e">
        <f>'2.4.Функции'!AC180+"BYw!&amp;&lt;b"</f>
        <v>#VALUE!</v>
      </c>
      <c r="AR101" t="e">
        <f>'2.4.Функции'!AD180+"BYw!&amp;&lt;c"</f>
        <v>#VALUE!</v>
      </c>
      <c r="AS101" t="e">
        <f>'2.4.Функции'!AE180+"BYw!&amp;&lt;d"</f>
        <v>#VALUE!</v>
      </c>
      <c r="AT101" t="e">
        <f>'2.4.Функции'!AF180+"BYw!&amp;&lt;e"</f>
        <v>#VALUE!</v>
      </c>
      <c r="AU101" t="e">
        <f>'2.4.Функции'!AG180+"BYw!&amp;&lt;f"</f>
        <v>#VALUE!</v>
      </c>
      <c r="AV101" t="e">
        <f>'2.4.Функции'!AH180+"BYw!&amp;&lt;g"</f>
        <v>#VALUE!</v>
      </c>
      <c r="AW101" t="e">
        <f>'2.4.Функции'!AI180+"BYw!&amp;&lt;h"</f>
        <v>#VALUE!</v>
      </c>
      <c r="AX101" t="e">
        <f>'2.4.Функции'!AJ180+"BYw!&amp;&lt;i"</f>
        <v>#VALUE!</v>
      </c>
      <c r="AY101" t="e">
        <f>'2.4.Функции'!AK180+"BYw!&amp;&lt;j"</f>
        <v>#VALUE!</v>
      </c>
      <c r="AZ101" t="e">
        <f>'2.4.Функции'!AL180+"BYw!&amp;&lt;k"</f>
        <v>#VALUE!</v>
      </c>
      <c r="BA101" t="e">
        <f>'2.4.Функции'!AM180+"BYw!&amp;&lt;l"</f>
        <v>#VALUE!</v>
      </c>
      <c r="BB101" t="e">
        <f>'2.4.Функции'!AN180+"BYw!&amp;&lt;m"</f>
        <v>#VALUE!</v>
      </c>
      <c r="BC101" t="e">
        <f>'2.4.Функции'!AO180+"BYw!&amp;&lt;n"</f>
        <v>#VALUE!</v>
      </c>
      <c r="BD101" t="e">
        <f>'2.4.Функции'!AP180+"BYw!&amp;&lt;o"</f>
        <v>#VALUE!</v>
      </c>
      <c r="BE101" t="e">
        <f>'2.4.Функции'!AQ180+"BYw!&amp;&lt;p"</f>
        <v>#VALUE!</v>
      </c>
      <c r="BF101" t="e">
        <f>'2.4.Функции'!AR180+"BYw!&amp;&lt;q"</f>
        <v>#VALUE!</v>
      </c>
      <c r="BG101" t="e">
        <f>'2.4.Функции'!AS180+"BYw!&amp;&lt;r"</f>
        <v>#VALUE!</v>
      </c>
      <c r="BH101" t="e">
        <f>'2.4.Функции'!AT180+"BYw!&amp;&lt;s"</f>
        <v>#VALUE!</v>
      </c>
      <c r="BI101" t="e">
        <f>'2.4.Функции'!AU180+"BYw!&amp;&lt;t"</f>
        <v>#VALUE!</v>
      </c>
      <c r="BJ101" t="e">
        <f>'2.4.Функции'!AV180+"BYw!&amp;&lt;u"</f>
        <v>#VALUE!</v>
      </c>
      <c r="BK101" t="e">
        <f>'2.4.Функции'!AW180+"BYw!&amp;&lt;v"</f>
        <v>#VALUE!</v>
      </c>
      <c r="BL101" t="e">
        <f>'2.4.Функции'!AX180+"BYw!&amp;&lt;w"</f>
        <v>#VALUE!</v>
      </c>
      <c r="BM101" t="e">
        <f>'2.4.Функции'!AY180+"BYw!&amp;&lt;x"</f>
        <v>#VALUE!</v>
      </c>
      <c r="BN101" t="e">
        <f>'2.4.Функции'!AZ180+"BYw!&amp;&lt;y"</f>
        <v>#VALUE!</v>
      </c>
      <c r="BO101" t="e">
        <f>'2.4.Функции'!BA180+"BYw!&amp;&lt;z"</f>
        <v>#VALUE!</v>
      </c>
      <c r="BP101" t="e">
        <f>'2.4.Функции'!BB180+"BYw!&amp;&lt;{"</f>
        <v>#VALUE!</v>
      </c>
      <c r="BQ101" t="e">
        <f>'2.4.Функции'!BC180+"BYw!&amp;&lt;|"</f>
        <v>#VALUE!</v>
      </c>
      <c r="BR101" t="e">
        <f>'2.4.Функции'!BD180+"BYw!&amp;&lt;}"</f>
        <v>#VALUE!</v>
      </c>
      <c r="BS101" t="e">
        <f>'2.4.Функции'!BE180+"BYw!&amp;&lt;~"</f>
        <v>#VALUE!</v>
      </c>
      <c r="BT101" t="e">
        <f>'2.4.Функции'!BF180+"BYw!&amp;=#"</f>
        <v>#VALUE!</v>
      </c>
      <c r="BU101" t="e">
        <f>'2.4.Функции'!BG180+"BYw!&amp;=$"</f>
        <v>#VALUE!</v>
      </c>
      <c r="BV101" t="e">
        <f>'2.4.Функции'!BH180+"BYw!&amp;=%"</f>
        <v>#VALUE!</v>
      </c>
      <c r="BW101" t="e">
        <f>'2.4.Функции'!BI180+"BYw!&amp;=&amp;"</f>
        <v>#VALUE!</v>
      </c>
      <c r="BX101" t="e">
        <f>'2.4.Функции'!BJ180+"BYw!&amp;='"</f>
        <v>#VALUE!</v>
      </c>
      <c r="BY101" t="e">
        <f>'2.4.Функции'!BK180+"BYw!&amp;=("</f>
        <v>#VALUE!</v>
      </c>
      <c r="BZ101" t="e">
        <f>'2.4.Функции'!BL180+"BYw!&amp;=)"</f>
        <v>#VALUE!</v>
      </c>
      <c r="CA101" t="e">
        <f>'2.4.Функции'!BM180+"BYw!&amp;=."</f>
        <v>#VALUE!</v>
      </c>
      <c r="CB101" t="e">
        <f>'2.4.Функции'!BN180+"BYw!&amp;=/"</f>
        <v>#VALUE!</v>
      </c>
      <c r="CC101" t="e">
        <f>'2.4.Функции'!BO180+"BYw!&amp;=0"</f>
        <v>#VALUE!</v>
      </c>
      <c r="CD101" t="e">
        <f>'2.4.Функции'!BP180+"BYw!&amp;=1"</f>
        <v>#VALUE!</v>
      </c>
      <c r="CE101" t="e">
        <f>'2.4.Функции'!BQ180+"BYw!&amp;=2"</f>
        <v>#VALUE!</v>
      </c>
      <c r="CF101" t="e">
        <f>'2.4.Функции'!BR180+"BYw!&amp;=3"</f>
        <v>#VALUE!</v>
      </c>
      <c r="CG101" t="e">
        <f>'2.4.Функции'!BS180+"BYw!&amp;=4"</f>
        <v>#VALUE!</v>
      </c>
      <c r="CH101" t="e">
        <f>'2.4.Функции'!BT180+"BYw!&amp;=5"</f>
        <v>#VALUE!</v>
      </c>
      <c r="CI101" t="e">
        <f>'2.4.Функции'!BU180+"BYw!&amp;=6"</f>
        <v>#VALUE!</v>
      </c>
      <c r="CJ101" t="e">
        <f>'2.4.Функции'!BV180+"BYw!&amp;=7"</f>
        <v>#VALUE!</v>
      </c>
      <c r="CK101" t="e">
        <f>'2.4.Функции'!BW180+"BYw!&amp;=8"</f>
        <v>#VALUE!</v>
      </c>
      <c r="CL101" t="e">
        <f>'2.4.Функции'!BX180+"BYw!&amp;=9"</f>
        <v>#VALUE!</v>
      </c>
      <c r="CM101" t="e">
        <f>'2.4.Функции'!BY180+"BYw!&amp;=:"</f>
        <v>#VALUE!</v>
      </c>
      <c r="CN101" t="e">
        <f>'2.4.Функции'!BZ180+"BYw!&amp;=;"</f>
        <v>#VALUE!</v>
      </c>
      <c r="CO101" t="e">
        <f>'2.4.Функции'!CA180+"BYw!&amp;=&lt;"</f>
        <v>#VALUE!</v>
      </c>
      <c r="CP101" t="e">
        <f>'2.4.Функции'!CB180+"BYw!&amp;=="</f>
        <v>#VALUE!</v>
      </c>
      <c r="CQ101" t="e">
        <f>'2.4.Функции'!CC180+"BYw!&amp;=&gt;"</f>
        <v>#VALUE!</v>
      </c>
      <c r="CR101" t="e">
        <f>'2.4.Функции'!CD180+"BYw!&amp;=?"</f>
        <v>#VALUE!</v>
      </c>
      <c r="CS101" t="e">
        <f>'2.4.Функции'!CE180+"BYw!&amp;=@"</f>
        <v>#VALUE!</v>
      </c>
      <c r="CT101" t="e">
        <f>'2.4.Функции'!CF180+"BYw!&amp;=A"</f>
        <v>#VALUE!</v>
      </c>
      <c r="CU101" t="e">
        <f>'2.4.Функции'!CG180+"BYw!&amp;=B"</f>
        <v>#VALUE!</v>
      </c>
      <c r="CV101" t="e">
        <f>'2.4.Функции'!CH180+"BYw!&amp;=C"</f>
        <v>#VALUE!</v>
      </c>
      <c r="CW101" t="e">
        <f>'2.4.Функции'!CI180+"BYw!&amp;=D"</f>
        <v>#VALUE!</v>
      </c>
      <c r="CX101" t="e">
        <f>'2.4.Функции'!CJ180+"BYw!&amp;=E"</f>
        <v>#VALUE!</v>
      </c>
      <c r="CY101" t="e">
        <f>'2.4.Функции'!CK180+"BYw!&amp;=F"</f>
        <v>#VALUE!</v>
      </c>
      <c r="CZ101" t="e">
        <f>'2.4.Функции'!CL180+"BYw!&amp;=G"</f>
        <v>#VALUE!</v>
      </c>
      <c r="DA101" t="e">
        <f>'2.4.Функции'!CM180+"BYw!&amp;=H"</f>
        <v>#VALUE!</v>
      </c>
      <c r="DB101" t="e">
        <f>'2.4.Функции'!CN180+"BYw!&amp;=I"</f>
        <v>#VALUE!</v>
      </c>
      <c r="DC101" t="e">
        <f>'2.4.Функции'!CO180+"BYw!&amp;=J"</f>
        <v>#VALUE!</v>
      </c>
      <c r="DD101" t="e">
        <f>'2.4.Функции'!CP180+"BYw!&amp;=K"</f>
        <v>#VALUE!</v>
      </c>
      <c r="DE101" t="e">
        <f>'2.4.Функции'!CQ180+"BYw!&amp;=L"</f>
        <v>#VALUE!</v>
      </c>
      <c r="DF101" t="e">
        <f>'2.4.Функции'!CR180+"BYw!&amp;=M"</f>
        <v>#VALUE!</v>
      </c>
      <c r="DG101" t="e">
        <f>'2.4.Функции'!CS180+"BYw!&amp;=N"</f>
        <v>#VALUE!</v>
      </c>
      <c r="DH101" t="e">
        <f>'2.4.Функции'!CT180+"BYw!&amp;=O"</f>
        <v>#VALUE!</v>
      </c>
      <c r="DI101" t="e">
        <f>'2.4.Функции'!CU180+"BYw!&amp;=P"</f>
        <v>#VALUE!</v>
      </c>
      <c r="DJ101" t="e">
        <f>'2.4.Функции'!CV180+"BYw!&amp;=Q"</f>
        <v>#VALUE!</v>
      </c>
      <c r="DK101" t="e">
        <f>'2.4.Функции'!CW180+"BYw!&amp;=R"</f>
        <v>#VALUE!</v>
      </c>
      <c r="DL101" t="e">
        <f>'2.4.Функции'!CX180+"BYw!&amp;=S"</f>
        <v>#VALUE!</v>
      </c>
      <c r="DM101" t="e">
        <f>'2.4.Функции'!CY180+"BYw!&amp;=T"</f>
        <v>#VALUE!</v>
      </c>
      <c r="DN101" t="e">
        <f>'2.4.Функции'!CZ180+"BYw!&amp;=U"</f>
        <v>#VALUE!</v>
      </c>
      <c r="DO101" t="e">
        <f>'2.4.Функции'!DA180+"BYw!&amp;=V"</f>
        <v>#VALUE!</v>
      </c>
      <c r="DP101" t="e">
        <f>'2.4.Функции'!DB180+"BYw!&amp;=W"</f>
        <v>#VALUE!</v>
      </c>
      <c r="DQ101" t="e">
        <f>'2.4.Функции'!DC180+"BYw!&amp;=X"</f>
        <v>#VALUE!</v>
      </c>
      <c r="DR101" t="e">
        <f>'2.4.Функции'!DD180+"BYw!&amp;=Y"</f>
        <v>#VALUE!</v>
      </c>
      <c r="DS101" t="e">
        <f>'2.4.Функции'!DE180+"BYw!&amp;=Z"</f>
        <v>#VALUE!</v>
      </c>
      <c r="DT101" t="e">
        <f>'2.4.Функции'!DF180+"BYw!&amp;=["</f>
        <v>#VALUE!</v>
      </c>
      <c r="DU101" t="e">
        <f>'2.4.Функции'!DG180+"BYw!&amp;=\"</f>
        <v>#VALUE!</v>
      </c>
      <c r="DV101" t="e">
        <f>'2.4.Функции'!DH180+"BYw!&amp;=]"</f>
        <v>#VALUE!</v>
      </c>
      <c r="DW101" t="e">
        <f>'2.4.Функции'!DI180+"BYw!&amp;=^"</f>
        <v>#VALUE!</v>
      </c>
      <c r="DX101" t="e">
        <f>'2.4.Функции'!DJ180+"BYw!&amp;=_"</f>
        <v>#VALUE!</v>
      </c>
      <c r="DY101" t="e">
        <f>'2.4.Функции'!DK180+"BYw!&amp;=`"</f>
        <v>#VALUE!</v>
      </c>
      <c r="DZ101" t="e">
        <f>'2.4.Функции'!DL180+"BYw!&amp;=a"</f>
        <v>#VALUE!</v>
      </c>
      <c r="EA101" t="e">
        <f>'2.4.Функции'!DM180+"BYw!&amp;=b"</f>
        <v>#VALUE!</v>
      </c>
      <c r="EB101" t="e">
        <f>'2.4.Функции'!DN180+"BYw!&amp;=c"</f>
        <v>#VALUE!</v>
      </c>
      <c r="EC101" t="e">
        <f>'2.4.Функции'!DO180+"BYw!&amp;=d"</f>
        <v>#VALUE!</v>
      </c>
      <c r="ED101" t="e">
        <f>'2.4.Функции'!DP180+"BYw!&amp;=e"</f>
        <v>#VALUE!</v>
      </c>
      <c r="EE101" t="e">
        <f>'2.4.Функции'!DQ180+"BYw!&amp;=f"</f>
        <v>#VALUE!</v>
      </c>
      <c r="EF101" t="e">
        <f>'2.4.Функции'!DR180+"BYw!&amp;=g"</f>
        <v>#VALUE!</v>
      </c>
      <c r="EG101" t="e">
        <f>'2.4.Функции'!DS180+"BYw!&amp;=h"</f>
        <v>#VALUE!</v>
      </c>
      <c r="EH101" t="e">
        <f>'2.4.Функции'!DT180+"BYw!&amp;=i"</f>
        <v>#VALUE!</v>
      </c>
      <c r="EI101" t="e">
        <f>'2.4.Функции'!DU180+"BYw!&amp;=j"</f>
        <v>#VALUE!</v>
      </c>
      <c r="EJ101" t="e">
        <f>'2.4.Функции'!DV180+"BYw!&amp;=k"</f>
        <v>#VALUE!</v>
      </c>
      <c r="EK101" t="e">
        <f>'2.4.Функции'!DW180+"BYw!&amp;=l"</f>
        <v>#VALUE!</v>
      </c>
      <c r="EL101" t="e">
        <f>'2.4.Функции'!DX180+"BYw!&amp;=m"</f>
        <v>#VALUE!</v>
      </c>
      <c r="EM101" t="e">
        <f>'2.4.Функции'!DY180+"BYw!&amp;=n"</f>
        <v>#VALUE!</v>
      </c>
      <c r="EN101" t="e">
        <f>'2.4.Функции'!DZ180+"BYw!&amp;=o"</f>
        <v>#VALUE!</v>
      </c>
      <c r="EO101" t="e">
        <f>'2.4.Функции'!EA180+"BYw!&amp;=p"</f>
        <v>#VALUE!</v>
      </c>
      <c r="EP101" t="e">
        <f>'2.4.Функции'!EB180+"BYw!&amp;=q"</f>
        <v>#VALUE!</v>
      </c>
      <c r="EQ101" t="e">
        <f>'2.4.Функции'!EC180+"BYw!&amp;=r"</f>
        <v>#VALUE!</v>
      </c>
      <c r="ER101" t="e">
        <f>'2.4.Функции'!ED180+"BYw!&amp;=s"</f>
        <v>#VALUE!</v>
      </c>
      <c r="ES101" t="e">
        <f>'2.4.Функции'!EE180+"BYw!&amp;=t"</f>
        <v>#VALUE!</v>
      </c>
      <c r="ET101" t="e">
        <f>'2.4.Функции'!EF180+"BYw!&amp;=u"</f>
        <v>#VALUE!</v>
      </c>
      <c r="EU101" t="e">
        <f>'2.4.Функции'!EG180+"BYw!&amp;=v"</f>
        <v>#VALUE!</v>
      </c>
      <c r="EV101" t="e">
        <f>'2.4.Функции'!EH180+"BYw!&amp;=w"</f>
        <v>#VALUE!</v>
      </c>
      <c r="EW101" t="e">
        <f>'2.4.Функции'!EI180+"BYw!&amp;=x"</f>
        <v>#VALUE!</v>
      </c>
      <c r="EX101" t="e">
        <f>'2.4.Функции'!EJ180+"BYw!&amp;=y"</f>
        <v>#VALUE!</v>
      </c>
      <c r="EY101" t="e">
        <f>'2.4.Функции'!EK180+"BYw!&amp;=z"</f>
        <v>#VALUE!</v>
      </c>
      <c r="EZ101" t="e">
        <f>'2.4.Функции'!EL180+"BYw!&amp;={"</f>
        <v>#VALUE!</v>
      </c>
      <c r="FA101" t="e">
        <f>'2.4.Функции'!EM180+"BYw!&amp;=|"</f>
        <v>#VALUE!</v>
      </c>
      <c r="FB101" t="e">
        <f>'2.4.Функции'!EN180+"BYw!&amp;=}"</f>
        <v>#VALUE!</v>
      </c>
      <c r="FC101" t="e">
        <f>'2.4.Функции'!EO180+"BYw!&amp;=~"</f>
        <v>#VALUE!</v>
      </c>
      <c r="FD101" t="e">
        <f>'2.4.Функции'!EP180+"BYw!&amp;&gt;#"</f>
        <v>#VALUE!</v>
      </c>
      <c r="FE101" t="e">
        <f>'2.4.Функции'!EQ180+"BYw!&amp;&gt;$"</f>
        <v>#VALUE!</v>
      </c>
      <c r="FF101" t="e">
        <f>'2.4.Функции'!ER180+"BYw!&amp;&gt;%"</f>
        <v>#VALUE!</v>
      </c>
      <c r="FG101" t="e">
        <f>'2.4.Функции'!ES180+"BYw!&amp;&gt;&amp;"</f>
        <v>#VALUE!</v>
      </c>
      <c r="FH101" t="e">
        <f>'2.4.Функции'!ET180+"BYw!&amp;&gt;'"</f>
        <v>#VALUE!</v>
      </c>
      <c r="FI101" t="e">
        <f>'2.4.Функции'!EU180+"BYw!&amp;&gt;("</f>
        <v>#VALUE!</v>
      </c>
      <c r="FJ101" t="e">
        <f>'2.4.Функции'!EV180+"BYw!&amp;&gt;)"</f>
        <v>#VALUE!</v>
      </c>
      <c r="FK101" t="e">
        <f>'2.4.Функции'!EW180+"BYw!&amp;&gt;."</f>
        <v>#VALUE!</v>
      </c>
      <c r="FL101" t="e">
        <f>'2.4.Функции'!EX180+"BYw!&amp;&gt;/"</f>
        <v>#VALUE!</v>
      </c>
      <c r="FM101" t="e">
        <f>'2.4.Функции'!EY180+"BYw!&amp;&gt;0"</f>
        <v>#VALUE!</v>
      </c>
      <c r="FN101" t="e">
        <f>'2.4.Функции'!EZ180+"BYw!&amp;&gt;1"</f>
        <v>#VALUE!</v>
      </c>
      <c r="FO101" t="e">
        <f>'2.4.Функции'!FA180+"BYw!&amp;&gt;2"</f>
        <v>#VALUE!</v>
      </c>
      <c r="FP101" t="e">
        <f>'2.4.Функции'!FB180+"BYw!&amp;&gt;3"</f>
        <v>#VALUE!</v>
      </c>
      <c r="FQ101" t="e">
        <f>'2.4.Функции'!FC180+"BYw!&amp;&gt;4"</f>
        <v>#VALUE!</v>
      </c>
      <c r="FR101" t="e">
        <f>'2.4.Функции'!FD180+"BYw!&amp;&gt;5"</f>
        <v>#VALUE!</v>
      </c>
      <c r="FS101" t="e">
        <f>'2.4.Функции'!FE180+"BYw!&amp;&gt;6"</f>
        <v>#VALUE!</v>
      </c>
      <c r="FT101" t="e">
        <f>'2.4.Функции'!FF180+"BYw!&amp;&gt;7"</f>
        <v>#VALUE!</v>
      </c>
      <c r="FU101" t="e">
        <f>'2.4.Функции'!FG180+"BYw!&amp;&gt;8"</f>
        <v>#VALUE!</v>
      </c>
      <c r="FV101" t="e">
        <f>'2.4.Функции'!FH180+"BYw!&amp;&gt;9"</f>
        <v>#VALUE!</v>
      </c>
      <c r="FW101" t="e">
        <f>'2.4.Функции'!FI180+"BYw!&amp;&gt;:"</f>
        <v>#VALUE!</v>
      </c>
      <c r="FX101" t="e">
        <f>'2.4.Функции'!FJ180+"BYw!&amp;&gt;;"</f>
        <v>#VALUE!</v>
      </c>
      <c r="FY101" t="e">
        <f>'2.4.Функции'!FK180+"BYw!&amp;&gt;&lt;"</f>
        <v>#VALUE!</v>
      </c>
      <c r="FZ101" t="e">
        <f>'2.4.Функции'!FL180+"BYw!&amp;&gt;="</f>
        <v>#VALUE!</v>
      </c>
      <c r="GA101" t="e">
        <f>'2.4.Функции'!FM180+"BYw!&amp;&gt;&gt;"</f>
        <v>#VALUE!</v>
      </c>
      <c r="GB101" t="e">
        <f>'2.4.Функции'!FN180+"BYw!&amp;&gt;?"</f>
        <v>#VALUE!</v>
      </c>
      <c r="GC101" t="e">
        <f>'2.4.Функции'!FO180+"BYw!&amp;&gt;@"</f>
        <v>#VALUE!</v>
      </c>
      <c r="GD101" t="e">
        <f>'2.4.Функции'!FP180+"BYw!&amp;&gt;A"</f>
        <v>#VALUE!</v>
      </c>
      <c r="GE101" t="e">
        <f>'2.4.Функции'!FQ180+"BYw!&amp;&gt;B"</f>
        <v>#VALUE!</v>
      </c>
      <c r="GF101" t="e">
        <f>'2.4.Функции'!FR180+"BYw!&amp;&gt;C"</f>
        <v>#VALUE!</v>
      </c>
      <c r="GG101" t="e">
        <f>'2.4.Функции'!FS180+"BYw!&amp;&gt;D"</f>
        <v>#VALUE!</v>
      </c>
      <c r="GH101" t="e">
        <f>'2.4.Функции'!FT180+"BYw!&amp;&gt;E"</f>
        <v>#VALUE!</v>
      </c>
      <c r="GI101" t="e">
        <f>'2.4.Функции'!FU180+"BYw!&amp;&gt;F"</f>
        <v>#VALUE!</v>
      </c>
      <c r="GJ101" t="e">
        <f>'2.4.Функции'!FV180+"BYw!&amp;&gt;G"</f>
        <v>#VALUE!</v>
      </c>
      <c r="GK101" t="e">
        <f>'2.4.Функции'!FW180+"BYw!&amp;&gt;H"</f>
        <v>#VALUE!</v>
      </c>
      <c r="GL101" t="e">
        <f>'2.4.Функции'!FX180+"BYw!&amp;&gt;I"</f>
        <v>#VALUE!</v>
      </c>
      <c r="GM101" t="e">
        <f>'2.4.Функции'!FY180+"BYw!&amp;&gt;J"</f>
        <v>#VALUE!</v>
      </c>
      <c r="GN101" t="e">
        <f>'2.4.Функции'!FZ180+"BYw!&amp;&gt;K"</f>
        <v>#VALUE!</v>
      </c>
      <c r="GO101" t="e">
        <f>'2.4.Функции'!GA180+"BYw!&amp;&gt;L"</f>
        <v>#VALUE!</v>
      </c>
      <c r="GP101" t="e">
        <f>'2.4.Функции'!GB180+"BYw!&amp;&gt;M"</f>
        <v>#VALUE!</v>
      </c>
      <c r="GQ101" t="e">
        <f>'2.4.Функции'!GC180+"BYw!&amp;&gt;N"</f>
        <v>#VALUE!</v>
      </c>
      <c r="GR101" t="e">
        <f>'2.4.Функции'!GD180+"BYw!&amp;&gt;O"</f>
        <v>#VALUE!</v>
      </c>
      <c r="GS101" t="e">
        <f>'2.4.Функции'!GE180+"BYw!&amp;&gt;P"</f>
        <v>#VALUE!</v>
      </c>
      <c r="GT101" t="e">
        <f>'2.4.Функции'!GF180+"BYw!&amp;&gt;Q"</f>
        <v>#VALUE!</v>
      </c>
      <c r="GU101" t="e">
        <f>'2.4.Функции'!GG180+"BYw!&amp;&gt;R"</f>
        <v>#VALUE!</v>
      </c>
      <c r="GV101" t="e">
        <f>'2.4.Функции'!GH180+"BYw!&amp;&gt;S"</f>
        <v>#VALUE!</v>
      </c>
      <c r="GW101" t="e">
        <f>'2.4.Функции'!GI180+"BYw!&amp;&gt;T"</f>
        <v>#VALUE!</v>
      </c>
      <c r="GX101" t="e">
        <f>'2.4.Функции'!GJ180+"BYw!&amp;&gt;U"</f>
        <v>#VALUE!</v>
      </c>
      <c r="GY101" t="e">
        <f>'2.4.Функции'!GK180+"BYw!&amp;&gt;V"</f>
        <v>#VALUE!</v>
      </c>
      <c r="GZ101" t="e">
        <f>'2.4.Функции'!GL180+"BYw!&amp;&gt;W"</f>
        <v>#VALUE!</v>
      </c>
      <c r="HA101" t="e">
        <f>'2.4.Функции'!GM180+"BYw!&amp;&gt;X"</f>
        <v>#VALUE!</v>
      </c>
      <c r="HB101" t="e">
        <f>'2.4.Функции'!GN180+"BYw!&amp;&gt;Y"</f>
        <v>#VALUE!</v>
      </c>
      <c r="HC101" t="e">
        <f>'2.4.Функции'!GO180+"BYw!&amp;&gt;Z"</f>
        <v>#VALUE!</v>
      </c>
      <c r="HD101" t="e">
        <f>'2.4.Функции'!GP180+"BYw!&amp;&gt;["</f>
        <v>#VALUE!</v>
      </c>
      <c r="HE101" t="e">
        <f>'2.4.Функции'!GQ180+"BYw!&amp;&gt;\"</f>
        <v>#VALUE!</v>
      </c>
      <c r="HF101" t="e">
        <f>'2.4.Функции'!GR180+"BYw!&amp;&gt;]"</f>
        <v>#VALUE!</v>
      </c>
      <c r="HG101" t="e">
        <f>'2.4.Функции'!GS180+"BYw!&amp;&gt;^"</f>
        <v>#VALUE!</v>
      </c>
      <c r="HH101" t="e">
        <f>'2.4.Функции'!GT180+"BYw!&amp;&gt;_"</f>
        <v>#VALUE!</v>
      </c>
      <c r="HI101" t="e">
        <f>'2.4.Функции'!GU180+"BYw!&amp;&gt;`"</f>
        <v>#VALUE!</v>
      </c>
      <c r="HJ101" t="e">
        <f>'2.4.Функции'!GV180+"BYw!&amp;&gt;a"</f>
        <v>#VALUE!</v>
      </c>
      <c r="HK101" t="e">
        <f>'2.4.Функции'!GW180+"BYw!&amp;&gt;b"</f>
        <v>#VALUE!</v>
      </c>
      <c r="HL101" t="e">
        <f>'2.4.Функции'!GX180+"BYw!&amp;&gt;c"</f>
        <v>#VALUE!</v>
      </c>
      <c r="HM101" t="e">
        <f>'2.4.Функции'!GY180+"BYw!&amp;&gt;d"</f>
        <v>#VALUE!</v>
      </c>
      <c r="HN101" t="e">
        <f>'2.4.Функции'!GZ180+"BYw!&amp;&gt;e"</f>
        <v>#VALUE!</v>
      </c>
      <c r="HO101" t="e">
        <f>'2.4.Функции'!HA180+"BYw!&amp;&gt;f"</f>
        <v>#VALUE!</v>
      </c>
      <c r="HP101" t="e">
        <f>'2.4.Функции'!HB180+"BYw!&amp;&gt;g"</f>
        <v>#VALUE!</v>
      </c>
      <c r="HQ101" t="e">
        <f>'2.4.Функции'!HC180+"BYw!&amp;&gt;h"</f>
        <v>#VALUE!</v>
      </c>
      <c r="HR101" t="e">
        <f>'2.4.Функции'!HD180+"BYw!&amp;&gt;i"</f>
        <v>#VALUE!</v>
      </c>
      <c r="HS101" t="e">
        <f>'2.4.Функции'!HE180+"BYw!&amp;&gt;j"</f>
        <v>#VALUE!</v>
      </c>
      <c r="HT101" t="e">
        <f>'2.4.Функции'!HF180+"BYw!&amp;&gt;k"</f>
        <v>#VALUE!</v>
      </c>
      <c r="HU101" t="e">
        <f>'2.4.Функции'!HG180+"BYw!&amp;&gt;l"</f>
        <v>#VALUE!</v>
      </c>
      <c r="HV101" t="e">
        <f>'2.4.Функции'!HH180+"BYw!&amp;&gt;m"</f>
        <v>#VALUE!</v>
      </c>
      <c r="HW101" t="e">
        <f>'2.4.Функции'!HI180+"BYw!&amp;&gt;n"</f>
        <v>#VALUE!</v>
      </c>
      <c r="HX101" t="e">
        <f>'2.4.Функции'!HJ180+"BYw!&amp;&gt;o"</f>
        <v>#VALUE!</v>
      </c>
      <c r="HY101" t="e">
        <f>'2.4.Функции'!HK180+"BYw!&amp;&gt;p"</f>
        <v>#VALUE!</v>
      </c>
      <c r="HZ101" t="e">
        <f>'2.4.Функции'!HL180+"BYw!&amp;&gt;q"</f>
        <v>#VALUE!</v>
      </c>
      <c r="IA101" t="e">
        <f>'2.4.Функции'!HM180+"BYw!&amp;&gt;r"</f>
        <v>#VALUE!</v>
      </c>
      <c r="IB101" t="e">
        <f>'2.4.Функции'!HN180+"BYw!&amp;&gt;s"</f>
        <v>#VALUE!</v>
      </c>
      <c r="IC101" t="e">
        <f>'2.4.Функции'!HO180+"BYw!&amp;&gt;t"</f>
        <v>#VALUE!</v>
      </c>
      <c r="ID101" t="e">
        <f>'2.4.Функции'!HP180+"BYw!&amp;&gt;u"</f>
        <v>#VALUE!</v>
      </c>
      <c r="IE101" t="e">
        <f>'2.4.Функции'!HQ180+"BYw!&amp;&gt;v"</f>
        <v>#VALUE!</v>
      </c>
      <c r="IF101" t="e">
        <f>'2.4.Функции'!HR180+"BYw!&amp;&gt;w"</f>
        <v>#VALUE!</v>
      </c>
      <c r="IG101" t="e">
        <f>'2.4.Функции'!HS180+"BYw!&amp;&gt;x"</f>
        <v>#VALUE!</v>
      </c>
      <c r="IH101" t="e">
        <f>'2.4.Функции'!HT180+"BYw!&amp;&gt;y"</f>
        <v>#VALUE!</v>
      </c>
      <c r="II101" t="e">
        <f>'2.4.Функции'!HU180+"BYw!&amp;&gt;z"</f>
        <v>#VALUE!</v>
      </c>
      <c r="IJ101" t="e">
        <f>'2.4.Функции'!HV180+"BYw!&amp;&gt;{"</f>
        <v>#VALUE!</v>
      </c>
      <c r="IK101" t="e">
        <f>'2.4.Функции'!HW180+"BYw!&amp;&gt;|"</f>
        <v>#VALUE!</v>
      </c>
      <c r="IL101" t="e">
        <f>'2.4.Функции'!HX180+"BYw!&amp;&gt;}"</f>
        <v>#VALUE!</v>
      </c>
      <c r="IM101" t="e">
        <f>'2.4.Функции'!HY180+"BYw!&amp;&gt;~"</f>
        <v>#VALUE!</v>
      </c>
      <c r="IN101" t="e">
        <f>'2.4.Функции'!HZ180+"BYw!&amp;?#"</f>
        <v>#VALUE!</v>
      </c>
      <c r="IO101" t="e">
        <f>'2.4.Функции'!IA180+"BYw!&amp;?$"</f>
        <v>#VALUE!</v>
      </c>
      <c r="IP101" t="e">
        <f>'2.4.Функции'!IB180+"BYw!&amp;?%"</f>
        <v>#VALUE!</v>
      </c>
      <c r="IQ101" t="e">
        <f>'2.4.Функции'!IC180+"BYw!&amp;?&amp;"</f>
        <v>#VALUE!</v>
      </c>
      <c r="IR101" t="e">
        <f>'2.4.Функции'!ID180+"BYw!&amp;?'"</f>
        <v>#VALUE!</v>
      </c>
      <c r="IS101" t="e">
        <f>'2.4.Функции'!IE180+"BYw!&amp;?("</f>
        <v>#VALUE!</v>
      </c>
      <c r="IT101" t="e">
        <f>'2.4.Функции'!IF180+"BYw!&amp;?)"</f>
        <v>#VALUE!</v>
      </c>
      <c r="IU101" t="e">
        <f>'2.4.Функции'!IG180+"BYw!&amp;?."</f>
        <v>#VALUE!</v>
      </c>
      <c r="IV101" t="e">
        <f>'2.4.Функции'!IH180+"BYw!&amp;?/"</f>
        <v>#VALUE!</v>
      </c>
    </row>
    <row r="102" spans="6:256" x14ac:dyDescent="0.2">
      <c r="F102" t="e">
        <f>'2.4.Функции'!II180+"BYw!&amp;?0"</f>
        <v>#VALUE!</v>
      </c>
      <c r="G102" t="e">
        <f>'2.4.Функции'!IJ180+"BYw!&amp;?1"</f>
        <v>#VALUE!</v>
      </c>
      <c r="H102" t="e">
        <f>'2.4.Функции'!IK180+"BYw!&amp;?2"</f>
        <v>#VALUE!</v>
      </c>
      <c r="I102" t="e">
        <f>'2.4.Функции'!IL180+"BYw!&amp;?3"</f>
        <v>#VALUE!</v>
      </c>
      <c r="J102" t="e">
        <f>'2.4.Функции'!IM180+"BYw!&amp;?4"</f>
        <v>#VALUE!</v>
      </c>
      <c r="K102" t="e">
        <f>'2.4.Функции'!IN180+"BYw!&amp;?5"</f>
        <v>#VALUE!</v>
      </c>
      <c r="L102" t="e">
        <f>'2.4.Функции'!IO180+"BYw!&amp;?6"</f>
        <v>#VALUE!</v>
      </c>
      <c r="M102" t="e">
        <f>'2.4.Функции'!IP180+"BYw!&amp;?7"</f>
        <v>#VALUE!</v>
      </c>
      <c r="N102" t="e">
        <f>'2.4.Функции'!IQ180+"BYw!&amp;?8"</f>
        <v>#VALUE!</v>
      </c>
      <c r="O102" t="e">
        <f>'2.4.Функции'!IR180+"BYw!&amp;?9"</f>
        <v>#VALUE!</v>
      </c>
      <c r="P102" t="e">
        <f>'2.4.Функции'!IS180+"BYw!&amp;?:"</f>
        <v>#VALUE!</v>
      </c>
      <c r="Q102" t="e">
        <f>'2.4.Функции'!IT180+"BYw!&amp;?;"</f>
        <v>#VALUE!</v>
      </c>
      <c r="R102" t="e">
        <f>'2.4.Функции'!IU180+"BYw!&amp;?&lt;"</f>
        <v>#VALUE!</v>
      </c>
      <c r="S102" t="e">
        <f>'2.4.Функции'!IV180+"BYw!&amp;?="</f>
        <v>#VALUE!</v>
      </c>
      <c r="T102" t="e">
        <f>'2.4.Функции'!IW180+"BYw!&amp;?&gt;"</f>
        <v>#VALUE!</v>
      </c>
      <c r="U102" t="e">
        <f>'2.4.Функции'!IX180+"BYw!&amp;??"</f>
        <v>#VALUE!</v>
      </c>
      <c r="V102" t="e">
        <f>'2.4.Функции'!IY180+"BYw!&amp;?@"</f>
        <v>#VALUE!</v>
      </c>
      <c r="W102" t="e">
        <f>'2.4.Функции'!IZ180+"BYw!&amp;?A"</f>
        <v>#VALUE!</v>
      </c>
      <c r="X102" t="e">
        <f>'2.4.Функции'!JA180+"BYw!&amp;?B"</f>
        <v>#VALUE!</v>
      </c>
      <c r="Y102" t="e">
        <f>'2.4.Функции'!JB180+"BYw!&amp;?C"</f>
        <v>#VALUE!</v>
      </c>
      <c r="Z102" t="e">
        <f>'2.4.Функции'!JC180+"BYw!&amp;?D"</f>
        <v>#VALUE!</v>
      </c>
      <c r="AA102" t="e">
        <f>'2.4.Функции'!JD180+"BYw!&amp;?E"</f>
        <v>#VALUE!</v>
      </c>
      <c r="AB102" t="e">
        <f>'2.4.Функции'!JE180+"BYw!&amp;?F"</f>
        <v>#VALUE!</v>
      </c>
      <c r="AC102" t="e">
        <f>'2.4.Функции'!JF180+"BYw!&amp;?G"</f>
        <v>#VALUE!</v>
      </c>
      <c r="AD102" t="e">
        <f>'2.4.Функции'!JG180+"BYw!&amp;?H"</f>
        <v>#VALUE!</v>
      </c>
      <c r="AE102" t="e">
        <f>'2.4.Функции'!JH180+"BYw!&amp;?I"</f>
        <v>#VALUE!</v>
      </c>
      <c r="AF102" t="e">
        <f>'2.4.Функции'!JI180+"BYw!&amp;?J"</f>
        <v>#VALUE!</v>
      </c>
      <c r="AG102" t="e">
        <f>'2.4.Функции'!JJ180+"BYw!&amp;?K"</f>
        <v>#VALUE!</v>
      </c>
      <c r="AH102" t="e">
        <f>'2.4.Функции'!JK180+"BYw!&amp;?L"</f>
        <v>#VALUE!</v>
      </c>
      <c r="AI102" t="e">
        <f>'2.4.Функции'!JL180+"BYw!&amp;?M"</f>
        <v>#VALUE!</v>
      </c>
      <c r="AJ102" t="e">
        <f>'2.4.Функции'!JM180+"BYw!&amp;?N"</f>
        <v>#VALUE!</v>
      </c>
      <c r="AK102" t="e">
        <f>'2.4.Функции'!JN180+"BYw!&amp;?O"</f>
        <v>#VALUE!</v>
      </c>
      <c r="AL102" t="e">
        <f>'2.4.Функции'!JO180+"BYw!&amp;?P"</f>
        <v>#VALUE!</v>
      </c>
      <c r="AM102" t="e">
        <f>'2.4.Функции'!JP180+"BYw!&amp;?Q"</f>
        <v>#VALUE!</v>
      </c>
      <c r="AN102" t="e">
        <f>'2.4.Функции'!JQ180+"BYw!&amp;?R"</f>
        <v>#VALUE!</v>
      </c>
      <c r="AO102" t="e">
        <f>'2.4.Функции'!JR180+"BYw!&amp;?S"</f>
        <v>#VALUE!</v>
      </c>
      <c r="AP102" t="e">
        <f>'2.4.Функции'!JS180+"BYw!&amp;?T"</f>
        <v>#VALUE!</v>
      </c>
      <c r="AQ102" t="e">
        <f>'2.4.Функции'!JT180+"BYw!&amp;?U"</f>
        <v>#VALUE!</v>
      </c>
      <c r="AR102" t="e">
        <f>'2.4.Функции'!JU180+"BYw!&amp;?V"</f>
        <v>#VALUE!</v>
      </c>
      <c r="AS102" t="e">
        <f>'2.4.Функции'!JV180+"BYw!&amp;?W"</f>
        <v>#VALUE!</v>
      </c>
      <c r="AT102" t="e">
        <f>'2.4.Функции'!JW180+"BYw!&amp;?X"</f>
        <v>#VALUE!</v>
      </c>
      <c r="AU102" t="e">
        <f>'2.4.Функции'!JX180+"BYw!&amp;?Y"</f>
        <v>#VALUE!</v>
      </c>
      <c r="AV102" t="e">
        <f>'2.4.Функции'!JY180+"BYw!&amp;?Z"</f>
        <v>#VALUE!</v>
      </c>
      <c r="AW102" t="e">
        <f>'2.4.Функции'!JZ180+"BYw!&amp;?["</f>
        <v>#VALUE!</v>
      </c>
      <c r="AX102" t="e">
        <f>'2.4.Функции'!KA180+"BYw!&amp;?\"</f>
        <v>#VALUE!</v>
      </c>
      <c r="AY102" t="e">
        <f>'2.4.Функции'!KB180+"BYw!&amp;?]"</f>
        <v>#VALUE!</v>
      </c>
      <c r="AZ102" t="e">
        <f>'2.4.Функции'!KC180+"BYw!&amp;?^"</f>
        <v>#VALUE!</v>
      </c>
      <c r="BA102" t="e">
        <f>'2.4.Функции'!KD180+"BYw!&amp;?_"</f>
        <v>#VALUE!</v>
      </c>
      <c r="BB102" t="e">
        <f>'2.4.Функции'!KE180+"BYw!&amp;?`"</f>
        <v>#VALUE!</v>
      </c>
      <c r="BC102" t="e">
        <f>'2.4.Функции'!KF180+"BYw!&amp;?a"</f>
        <v>#VALUE!</v>
      </c>
      <c r="BD102" t="e">
        <f>'2.4.Функции'!KG180+"BYw!&amp;?b"</f>
        <v>#VALUE!</v>
      </c>
      <c r="BE102" t="e">
        <f>'2.4.Функции'!KH180+"BYw!&amp;?c"</f>
        <v>#VALUE!</v>
      </c>
      <c r="BF102" t="e">
        <f>'2.4.Функции'!KI180+"BYw!&amp;?d"</f>
        <v>#VALUE!</v>
      </c>
      <c r="BG102" t="e">
        <f>'2.4.Функции'!KJ180+"BYw!&amp;?e"</f>
        <v>#VALUE!</v>
      </c>
      <c r="BH102" t="e">
        <f>'2.4.Функции'!KK180+"BYw!&amp;?f"</f>
        <v>#VALUE!</v>
      </c>
      <c r="BI102" t="e">
        <f>'2.4.Функции'!KL180+"BYw!&amp;?g"</f>
        <v>#VALUE!</v>
      </c>
      <c r="BJ102" t="e">
        <f>'2.4.Функции'!KM180+"BYw!&amp;?h"</f>
        <v>#VALUE!</v>
      </c>
      <c r="BK102" t="e">
        <f>'2.4.Функции'!KN180+"BYw!&amp;?i"</f>
        <v>#VALUE!</v>
      </c>
      <c r="BL102" t="e">
        <f>'2.4.Функции'!KO180+"BYw!&amp;?j"</f>
        <v>#VALUE!</v>
      </c>
      <c r="BM102" t="e">
        <f>'2.4.Функции'!KP180+"BYw!&amp;?k"</f>
        <v>#VALUE!</v>
      </c>
      <c r="BN102" t="e">
        <f>'2.4.Функции'!KQ180+"BYw!&amp;?l"</f>
        <v>#VALUE!</v>
      </c>
      <c r="BO102" t="e">
        <f>'2.4.Функции'!KR180+"BYw!&amp;?m"</f>
        <v>#VALUE!</v>
      </c>
      <c r="BP102" t="e">
        <f>'2.4.Функции'!KS180+"BYw!&amp;?n"</f>
        <v>#VALUE!</v>
      </c>
      <c r="BQ102" t="e">
        <f>'2.4.Функции'!KT180+"BYw!&amp;?o"</f>
        <v>#VALUE!</v>
      </c>
      <c r="BR102" t="e">
        <f>'2.4.Функции'!KU180+"BYw!&amp;?p"</f>
        <v>#VALUE!</v>
      </c>
      <c r="BS102" t="e">
        <f>'2.4.Функции'!KV180+"BYw!&amp;?q"</f>
        <v>#VALUE!</v>
      </c>
      <c r="BT102" t="e">
        <f>'2.4.Функции'!KW180+"BYw!&amp;?r"</f>
        <v>#VALUE!</v>
      </c>
      <c r="BU102" t="e">
        <f>'2.4.Функции'!KX180+"BYw!&amp;?s"</f>
        <v>#VALUE!</v>
      </c>
      <c r="BV102" t="e">
        <f>'2.4.Функции'!KY180+"BYw!&amp;?t"</f>
        <v>#VALUE!</v>
      </c>
      <c r="BW102" t="e">
        <f>'2.4.Функции'!KZ180+"BYw!&amp;?u"</f>
        <v>#VALUE!</v>
      </c>
      <c r="BX102" t="e">
        <f>'2.4.Функции'!LA180+"BYw!&amp;?v"</f>
        <v>#VALUE!</v>
      </c>
      <c r="BY102" t="e">
        <f>'2.4.Функции'!LB180+"BYw!&amp;?w"</f>
        <v>#VALUE!</v>
      </c>
      <c r="BZ102" t="e">
        <f>'2.4.Функции'!LC180+"BYw!&amp;?x"</f>
        <v>#VALUE!</v>
      </c>
      <c r="CA102" t="e">
        <f>'2.4.Функции'!LD180+"BYw!&amp;?y"</f>
        <v>#VALUE!</v>
      </c>
      <c r="CB102" t="e">
        <f>'2.4.Функции'!LE180+"BYw!&amp;?z"</f>
        <v>#VALUE!</v>
      </c>
      <c r="CC102" t="e">
        <f>'2.4.Функции'!LF180+"BYw!&amp;?{"</f>
        <v>#VALUE!</v>
      </c>
      <c r="CD102" t="e">
        <f>'2.4.Функции'!LG180+"BYw!&amp;?|"</f>
        <v>#VALUE!</v>
      </c>
      <c r="CE102" t="e">
        <f>'2.4.Функции'!LH180+"BYw!&amp;?}"</f>
        <v>#VALUE!</v>
      </c>
      <c r="CF102" t="e">
        <f>'2.4.Функции'!LI180+"BYw!&amp;?~"</f>
        <v>#VALUE!</v>
      </c>
      <c r="CG102" t="e">
        <f>'2.4.Функции'!LJ180+"BYw!&amp;@#"</f>
        <v>#VALUE!</v>
      </c>
      <c r="CH102" t="e">
        <f>'2.4.Функции'!LK180+"BYw!&amp;@$"</f>
        <v>#VALUE!</v>
      </c>
      <c r="CI102" t="e">
        <f>'2.4.Функции'!LL180+"BYw!&amp;@%"</f>
        <v>#VALUE!</v>
      </c>
      <c r="CJ102" t="e">
        <f>'2.4.Функции'!LM180+"BYw!&amp;@&amp;"</f>
        <v>#VALUE!</v>
      </c>
      <c r="CK102" t="e">
        <f>'2.4.Функции'!LN180+"BYw!&amp;@'"</f>
        <v>#VALUE!</v>
      </c>
      <c r="CL102" t="e">
        <f>'2.4.Функции'!LO180+"BYw!&amp;@("</f>
        <v>#VALUE!</v>
      </c>
      <c r="CM102" t="e">
        <f>'2.4.Функции'!LP180+"BYw!&amp;@)"</f>
        <v>#VALUE!</v>
      </c>
      <c r="CN102" t="e">
        <f>'2.4.Функции'!LQ180+"BYw!&amp;@."</f>
        <v>#VALUE!</v>
      </c>
      <c r="CO102" t="e">
        <f>'2.4.Функции'!LR180+"BYw!&amp;@/"</f>
        <v>#VALUE!</v>
      </c>
      <c r="CP102" t="e">
        <f>'2.4.Функции'!LS180+"BYw!&amp;@0"</f>
        <v>#VALUE!</v>
      </c>
      <c r="CQ102" t="e">
        <f>'2.4.Функции'!LT180+"BYw!&amp;@1"</f>
        <v>#VALUE!</v>
      </c>
      <c r="CR102" t="e">
        <f>'2.4.Функции'!LU180+"BYw!&amp;@2"</f>
        <v>#VALUE!</v>
      </c>
      <c r="CS102" t="e">
        <f>'2.4.Функции'!LV180+"BYw!&amp;@3"</f>
        <v>#VALUE!</v>
      </c>
      <c r="CT102" t="e">
        <f>'2.4.Функции'!LW180+"BYw!&amp;@4"</f>
        <v>#VALUE!</v>
      </c>
      <c r="CU102" t="e">
        <f>'2.4.Функции'!LX180+"BYw!&amp;@5"</f>
        <v>#VALUE!</v>
      </c>
      <c r="CV102" t="e">
        <f>'2.4.Функции'!LY180+"BYw!&amp;@6"</f>
        <v>#VALUE!</v>
      </c>
      <c r="CW102" t="e">
        <f>'2.4.Функции'!LZ180+"BYw!&amp;@7"</f>
        <v>#VALUE!</v>
      </c>
      <c r="CX102" t="e">
        <f>'2.4.Функции'!MA180+"BYw!&amp;@8"</f>
        <v>#VALUE!</v>
      </c>
      <c r="CY102" t="e">
        <f>'2.4.Функции'!MB180+"BYw!&amp;@9"</f>
        <v>#VALUE!</v>
      </c>
      <c r="CZ102" t="e">
        <f>'2.4.Функции'!MC180+"BYw!&amp;@:"</f>
        <v>#VALUE!</v>
      </c>
      <c r="DA102" t="e">
        <f>'2.4.Функции'!MD180+"BYw!&amp;@;"</f>
        <v>#VALUE!</v>
      </c>
      <c r="DB102" t="e">
        <f>'2.4.Функции'!ME180+"BYw!&amp;@&lt;"</f>
        <v>#VALUE!</v>
      </c>
      <c r="DC102" t="e">
        <f>'2.4.Функции'!MF180+"BYw!&amp;@="</f>
        <v>#VALUE!</v>
      </c>
      <c r="DD102" t="e">
        <f>'2.4.Функции'!MG180+"BYw!&amp;@&gt;"</f>
        <v>#VALUE!</v>
      </c>
      <c r="DE102" t="e">
        <f>'2.4.Функции'!MH180+"BYw!&amp;@?"</f>
        <v>#VALUE!</v>
      </c>
      <c r="DF102" t="e">
        <f>'2.4.Функции'!MI180+"BYw!&amp;@@"</f>
        <v>#VALUE!</v>
      </c>
      <c r="DG102" t="e">
        <f>'2.4.Функции'!MJ180+"BYw!&amp;@A"</f>
        <v>#VALUE!</v>
      </c>
      <c r="DH102" t="e">
        <f>'2.4.Функции'!MK180+"BYw!&amp;@B"</f>
        <v>#VALUE!</v>
      </c>
      <c r="DI102" t="e">
        <f>'2.4.Функции'!ML180+"BYw!&amp;@C"</f>
        <v>#VALUE!</v>
      </c>
      <c r="DJ102" t="e">
        <f>'2.4.Функции'!MM180+"BYw!&amp;@D"</f>
        <v>#VALUE!</v>
      </c>
      <c r="DK102" t="e">
        <f>'2.4.Функции'!MN180+"BYw!&amp;@E"</f>
        <v>#VALUE!</v>
      </c>
      <c r="DL102" t="e">
        <f>'2.4.Функции'!MO180+"BYw!&amp;@F"</f>
        <v>#VALUE!</v>
      </c>
      <c r="DM102" t="e">
        <f>'2.4.Функции'!MP180+"BYw!&amp;@G"</f>
        <v>#VALUE!</v>
      </c>
      <c r="DN102" t="e">
        <f>'2.4.Функции'!MQ180+"BYw!&amp;@H"</f>
        <v>#VALUE!</v>
      </c>
      <c r="DO102" t="e">
        <f>'2.4.Функции'!MR180+"BYw!&amp;@I"</f>
        <v>#VALUE!</v>
      </c>
      <c r="DP102" t="e">
        <f>'2.4.Функции'!MS180+"BYw!&amp;@J"</f>
        <v>#VALUE!</v>
      </c>
      <c r="DQ102" t="e">
        <f>'2.4.Функции'!MT180+"BYw!&amp;@K"</f>
        <v>#VALUE!</v>
      </c>
      <c r="DR102" t="e">
        <f>'2.4.Функции'!MU180+"BYw!&amp;@L"</f>
        <v>#VALUE!</v>
      </c>
      <c r="DS102" t="e">
        <f>'2.4.Функции'!MV180+"BYw!&amp;@M"</f>
        <v>#VALUE!</v>
      </c>
      <c r="DT102" t="e">
        <f>'2.4.Функции'!MW180+"BYw!&amp;@N"</f>
        <v>#VALUE!</v>
      </c>
      <c r="DU102" t="e">
        <f>'2.4.Функции'!MX180+"BYw!&amp;@O"</f>
        <v>#VALUE!</v>
      </c>
      <c r="DV102" t="e">
        <f>'2.4.Функции'!MY180+"BYw!&amp;@P"</f>
        <v>#VALUE!</v>
      </c>
      <c r="DW102" t="e">
        <f>'2.4.Функции'!MZ180+"BYw!&amp;@Q"</f>
        <v>#VALUE!</v>
      </c>
      <c r="DX102" t="e">
        <f>'2.4.Функции'!NA180+"BYw!&amp;@R"</f>
        <v>#VALUE!</v>
      </c>
      <c r="DY102" t="e">
        <f>'2.4.Функции'!NB180+"BYw!&amp;@S"</f>
        <v>#VALUE!</v>
      </c>
      <c r="DZ102" t="e">
        <f>'2.4.Функции'!NC180+"BYw!&amp;@T"</f>
        <v>#VALUE!</v>
      </c>
      <c r="EA102" t="e">
        <f>'2.4.Функции'!ND180+"BYw!&amp;@U"</f>
        <v>#VALUE!</v>
      </c>
      <c r="EB102" t="e">
        <f>'2.4.Функции'!NE180+"BYw!&amp;@V"</f>
        <v>#VALUE!</v>
      </c>
      <c r="EC102" t="e">
        <f>'2.4.Функции'!NF180+"BYw!&amp;@W"</f>
        <v>#VALUE!</v>
      </c>
      <c r="ED102" t="e">
        <f>'2.4.Функции'!NG180+"BYw!&amp;@X"</f>
        <v>#VALUE!</v>
      </c>
      <c r="EE102" t="e">
        <f>'2.4.Функции'!NH180+"BYw!&amp;@Y"</f>
        <v>#VALUE!</v>
      </c>
      <c r="EF102" t="e">
        <f>'2.4.Функции'!NI180+"BYw!&amp;@Z"</f>
        <v>#VALUE!</v>
      </c>
      <c r="EG102" t="e">
        <f>'2.4.Функции'!NJ180+"BYw!&amp;@["</f>
        <v>#VALUE!</v>
      </c>
      <c r="EH102" t="e">
        <f>'2.4.Функции'!NK180+"BYw!&amp;@\"</f>
        <v>#VALUE!</v>
      </c>
      <c r="EI102" t="e">
        <f>'2.4.Функции'!NL180+"BYw!&amp;@]"</f>
        <v>#VALUE!</v>
      </c>
      <c r="EJ102" t="e">
        <f>'2.4.Функции'!NM180+"BYw!&amp;@^"</f>
        <v>#VALUE!</v>
      </c>
      <c r="EK102" t="e">
        <f>'2.4.Функции'!NN180+"BYw!&amp;@_"</f>
        <v>#VALUE!</v>
      </c>
      <c r="EL102" t="e">
        <f>'2.4.Функции'!NO180+"BYw!&amp;@`"</f>
        <v>#VALUE!</v>
      </c>
      <c r="EM102" t="e">
        <f>'2.4.Функции'!NP180+"BYw!&amp;@a"</f>
        <v>#VALUE!</v>
      </c>
      <c r="EN102" t="e">
        <f>'2.4.Функции'!NQ180+"BYw!&amp;@b"</f>
        <v>#VALUE!</v>
      </c>
      <c r="EO102" t="e">
        <f>'2.4.Функции'!NR180+"BYw!&amp;@c"</f>
        <v>#VALUE!</v>
      </c>
      <c r="EP102" t="e">
        <f>'2.4.Функции'!NS180+"BYw!&amp;@d"</f>
        <v>#VALUE!</v>
      </c>
      <c r="EQ102" t="e">
        <f>'2.4.Функции'!NT180+"BYw!&amp;@e"</f>
        <v>#VALUE!</v>
      </c>
      <c r="ER102" t="e">
        <f>'2.4.Функции'!NU180+"BYw!&amp;@f"</f>
        <v>#VALUE!</v>
      </c>
      <c r="ES102" t="e">
        <f>'2.4.Функции'!NV180+"BYw!&amp;@g"</f>
        <v>#VALUE!</v>
      </c>
      <c r="ET102" t="e">
        <f>'2.4.Функции'!NW180+"BYw!&amp;@h"</f>
        <v>#VALUE!</v>
      </c>
      <c r="EU102" t="e">
        <f>'2.4.Функции'!NX180+"BYw!&amp;@i"</f>
        <v>#VALUE!</v>
      </c>
      <c r="EV102" t="e">
        <f>'2.4.Функции'!NY180+"BYw!&amp;@j"</f>
        <v>#VALUE!</v>
      </c>
      <c r="EW102" t="e">
        <f>'2.4.Функции'!NZ180+"BYw!&amp;@k"</f>
        <v>#VALUE!</v>
      </c>
      <c r="EX102" t="e">
        <f>'2.4.Функции'!OA180+"BYw!&amp;@l"</f>
        <v>#VALUE!</v>
      </c>
      <c r="EY102" t="e">
        <f>'2.4.Функции'!OB180+"BYw!&amp;@m"</f>
        <v>#VALUE!</v>
      </c>
      <c r="EZ102" t="e">
        <f>'2.4.Функции'!OC180+"BYw!&amp;@n"</f>
        <v>#VALUE!</v>
      </c>
      <c r="FA102" t="e">
        <f>'2.4.Функции'!OD180+"BYw!&amp;@o"</f>
        <v>#VALUE!</v>
      </c>
      <c r="FB102" t="e">
        <f>'2.4.Функции'!OE180+"BYw!&amp;@p"</f>
        <v>#VALUE!</v>
      </c>
      <c r="FC102" t="e">
        <f>'2.4.Функции'!OF180+"BYw!&amp;@q"</f>
        <v>#VALUE!</v>
      </c>
      <c r="FD102" t="e">
        <f>'2.4.Функции'!OG180+"BYw!&amp;@r"</f>
        <v>#VALUE!</v>
      </c>
      <c r="FE102" t="e">
        <f>'2.4.Функции'!OH180+"BYw!&amp;@s"</f>
        <v>#VALUE!</v>
      </c>
      <c r="FF102" t="e">
        <f>'2.4.Функции'!OI180+"BYw!&amp;@t"</f>
        <v>#VALUE!</v>
      </c>
      <c r="FG102" t="e">
        <f>'2.4.Функции'!OJ180+"BYw!&amp;@u"</f>
        <v>#VALUE!</v>
      </c>
      <c r="FH102" t="e">
        <f>'2.4.Функции'!OK180+"BYw!&amp;@v"</f>
        <v>#VALUE!</v>
      </c>
      <c r="FI102" t="e">
        <f>'2.4.Функции'!OL180+"BYw!&amp;@w"</f>
        <v>#VALUE!</v>
      </c>
      <c r="FJ102" t="e">
        <f>'2.4.Функции'!OM180+"BYw!&amp;@x"</f>
        <v>#VALUE!</v>
      </c>
      <c r="FK102" t="e">
        <f>'2.4.Функции'!ON180+"BYw!&amp;@y"</f>
        <v>#VALUE!</v>
      </c>
      <c r="FL102" t="e">
        <f>'2.4.Функции'!OO180+"BYw!&amp;@z"</f>
        <v>#VALUE!</v>
      </c>
      <c r="FM102" t="e">
        <f>'2.4.Функции'!OP180+"BYw!&amp;@{"</f>
        <v>#VALUE!</v>
      </c>
      <c r="FN102" t="e">
        <f>'2.4.Функции'!OQ180+"BYw!&amp;@|"</f>
        <v>#VALUE!</v>
      </c>
      <c r="FO102" t="e">
        <f>'2.4.Функции'!OR180+"BYw!&amp;@}"</f>
        <v>#VALUE!</v>
      </c>
      <c r="FP102" t="e">
        <f>'2.4.Функции'!OS180+"BYw!&amp;@~"</f>
        <v>#VALUE!</v>
      </c>
      <c r="FQ102" t="e">
        <f>'2.4.Функции'!OT180+"BYw!&amp;A#"</f>
        <v>#VALUE!</v>
      </c>
      <c r="FR102" t="e">
        <f>'2.4.Функции'!OU180+"BYw!&amp;A$"</f>
        <v>#VALUE!</v>
      </c>
      <c r="FS102" t="e">
        <f>'2.4.Функции'!OV180+"BYw!&amp;A%"</f>
        <v>#VALUE!</v>
      </c>
      <c r="FT102" t="e">
        <f>'2.4.Функции'!OW180+"BYw!&amp;A&amp;"</f>
        <v>#VALUE!</v>
      </c>
      <c r="FU102" t="e">
        <f>'2.4.Функции'!OX180+"BYw!&amp;A'"</f>
        <v>#VALUE!</v>
      </c>
      <c r="FV102" t="e">
        <f>'2.4.Функции'!OY180+"BYw!&amp;A("</f>
        <v>#VALUE!</v>
      </c>
      <c r="FW102" t="e">
        <f>'2.4.Функции'!OZ180+"BYw!&amp;A)"</f>
        <v>#VALUE!</v>
      </c>
      <c r="FX102" t="e">
        <f>'2.4.Функции'!PA180+"BYw!&amp;A."</f>
        <v>#VALUE!</v>
      </c>
      <c r="FY102" t="e">
        <f>'2.4.Функции'!PB180+"BYw!&amp;A/"</f>
        <v>#VALUE!</v>
      </c>
      <c r="FZ102" t="e">
        <f>'2.4.Функции'!PC180+"BYw!&amp;A0"</f>
        <v>#VALUE!</v>
      </c>
      <c r="GA102" t="e">
        <f>'2.4.Функции'!PD180+"BYw!&amp;A1"</f>
        <v>#VALUE!</v>
      </c>
      <c r="GB102" t="e">
        <f>'2.4.Функции'!PE180+"BYw!&amp;A2"</f>
        <v>#VALUE!</v>
      </c>
      <c r="GC102" t="e">
        <f>'2.4.Функции'!PF180+"BYw!&amp;A3"</f>
        <v>#VALUE!</v>
      </c>
      <c r="GD102" t="e">
        <f>'2.4.Функции'!PG180+"BYw!&amp;A4"</f>
        <v>#VALUE!</v>
      </c>
      <c r="GE102" t="e">
        <f>'2.4.Функции'!PH180+"BYw!&amp;A5"</f>
        <v>#VALUE!</v>
      </c>
      <c r="GF102" t="e">
        <f>'2.4.Функции'!PI180+"BYw!&amp;A6"</f>
        <v>#VALUE!</v>
      </c>
      <c r="GG102" t="e">
        <f>'2.4.Функции'!PJ180+"BYw!&amp;A7"</f>
        <v>#VALUE!</v>
      </c>
      <c r="GH102" t="e">
        <f>'2.4.Функции'!PK180+"BYw!&amp;A8"</f>
        <v>#VALUE!</v>
      </c>
      <c r="GI102" t="e">
        <f>'2.4.Функции'!PL180+"BYw!&amp;A9"</f>
        <v>#VALUE!</v>
      </c>
      <c r="GJ102" t="e">
        <f>'2.4.Функции'!PM180+"BYw!&amp;A:"</f>
        <v>#VALUE!</v>
      </c>
      <c r="GK102" t="e">
        <f>'2.4.Функции'!PN180+"BYw!&amp;A;"</f>
        <v>#VALUE!</v>
      </c>
      <c r="GL102" t="e">
        <f>'2.4.Функции'!PO180+"BYw!&amp;A&lt;"</f>
        <v>#VALUE!</v>
      </c>
      <c r="GM102" t="e">
        <f>'2.4.Функции'!PP180+"BYw!&amp;A="</f>
        <v>#VALUE!</v>
      </c>
      <c r="GN102" t="e">
        <f>'2.4.Функции'!PQ180+"BYw!&amp;A&gt;"</f>
        <v>#VALUE!</v>
      </c>
      <c r="GO102" t="e">
        <f>'2.4.Функции'!PR180+"BYw!&amp;A?"</f>
        <v>#VALUE!</v>
      </c>
      <c r="GP102" t="e">
        <f>'2.4.Функции'!PS180+"BYw!&amp;A@"</f>
        <v>#VALUE!</v>
      </c>
      <c r="GQ102" t="e">
        <f>'2.4.Функции'!PT180+"BYw!&amp;AA"</f>
        <v>#VALUE!</v>
      </c>
      <c r="GR102" t="e">
        <f>'2.4.Функции'!PU180+"BYw!&amp;AB"</f>
        <v>#VALUE!</v>
      </c>
      <c r="GS102" t="e">
        <f>'2.4.Функции'!PV180+"BYw!&amp;AC"</f>
        <v>#VALUE!</v>
      </c>
      <c r="GT102" t="e">
        <f>'2.4.Функции'!PW180+"BYw!&amp;AD"</f>
        <v>#VALUE!</v>
      </c>
      <c r="GU102" t="e">
        <f>'2.4.Функции'!PX180+"BYw!&amp;AE"</f>
        <v>#VALUE!</v>
      </c>
      <c r="GV102" t="e">
        <f>'2.4.Функции'!PY180+"BYw!&amp;AF"</f>
        <v>#VALUE!</v>
      </c>
      <c r="GW102" t="e">
        <f>'2.4.Функции'!PZ180+"BYw!&amp;AG"</f>
        <v>#VALUE!</v>
      </c>
      <c r="GX102" t="e">
        <f>'2.4.Функции'!QA180+"BYw!&amp;AH"</f>
        <v>#VALUE!</v>
      </c>
      <c r="GY102" t="e">
        <f>'2.4.Функции'!QB180+"BYw!&amp;AI"</f>
        <v>#VALUE!</v>
      </c>
      <c r="GZ102" t="e">
        <f>'2.4.Функции'!QC180+"BYw!&amp;AJ"</f>
        <v>#VALUE!</v>
      </c>
      <c r="HA102" t="e">
        <f>'2.4.Функции'!QD180+"BYw!&amp;AK"</f>
        <v>#VALUE!</v>
      </c>
      <c r="HB102" t="e">
        <f>'2.4.Функции'!QE180+"BYw!&amp;AL"</f>
        <v>#VALUE!</v>
      </c>
      <c r="HC102" t="e">
        <f>'2.4.Функции'!QF180+"BYw!&amp;AM"</f>
        <v>#VALUE!</v>
      </c>
      <c r="HD102" t="e">
        <f>'2.4.Функции'!QG180+"BYw!&amp;AN"</f>
        <v>#VALUE!</v>
      </c>
      <c r="HE102" t="e">
        <f>'2.4.Функции'!QH180+"BYw!&amp;AO"</f>
        <v>#VALUE!</v>
      </c>
      <c r="HF102" t="e">
        <f>'2.4.Функции'!QI180+"BYw!&amp;AP"</f>
        <v>#VALUE!</v>
      </c>
      <c r="HG102" t="e">
        <f>'2.4.Функции'!QJ180+"BYw!&amp;AQ"</f>
        <v>#VALUE!</v>
      </c>
      <c r="HH102" t="e">
        <f>'2.4.Функции'!QK180+"BYw!&amp;AR"</f>
        <v>#VALUE!</v>
      </c>
      <c r="HI102" t="e">
        <f>'2.4.Функции'!QL180+"BYw!&amp;AS"</f>
        <v>#VALUE!</v>
      </c>
      <c r="HJ102" t="e">
        <f>'2.4.Функции'!QM180+"BYw!&amp;AT"</f>
        <v>#VALUE!</v>
      </c>
      <c r="HK102" t="e">
        <f>'2.4.Функции'!QN180+"BYw!&amp;AU"</f>
        <v>#VALUE!</v>
      </c>
      <c r="HL102" t="e">
        <f>'2.4.Функции'!QO180+"BYw!&amp;AV"</f>
        <v>#VALUE!</v>
      </c>
      <c r="HM102" t="e">
        <f>'2.4.Функции'!QP180+"BYw!&amp;AW"</f>
        <v>#VALUE!</v>
      </c>
      <c r="HN102" t="e">
        <f>'2.4.Функции'!QQ180+"BYw!&amp;AX"</f>
        <v>#VALUE!</v>
      </c>
      <c r="HO102" t="e">
        <f>'2.4.Функции'!QR180+"BYw!&amp;AY"</f>
        <v>#VALUE!</v>
      </c>
      <c r="HP102" t="e">
        <f>'2.4.Функции'!QS180+"BYw!&amp;AZ"</f>
        <v>#VALUE!</v>
      </c>
      <c r="HQ102" t="e">
        <f>'2.4.Функции'!QT180+"BYw!&amp;A["</f>
        <v>#VALUE!</v>
      </c>
      <c r="HR102" t="e">
        <f>'2.4.Функции'!QU180+"BYw!&amp;A\"</f>
        <v>#VALUE!</v>
      </c>
      <c r="HS102" t="e">
        <f>'2.4.Функции'!QV180+"BYw!&amp;A]"</f>
        <v>#VALUE!</v>
      </c>
      <c r="HT102" t="e">
        <f>'2.4.Функции'!QW180+"BYw!&amp;A^"</f>
        <v>#VALUE!</v>
      </c>
      <c r="HU102" t="e">
        <f>'2.4.Функции'!QX180+"BYw!&amp;A_"</f>
        <v>#VALUE!</v>
      </c>
      <c r="HV102" t="e">
        <f>'2.4.Функции'!QY180+"BYw!&amp;A`"</f>
        <v>#VALUE!</v>
      </c>
      <c r="HW102" t="e">
        <f>'2.4.Функции'!QZ180+"BYw!&amp;Aa"</f>
        <v>#VALUE!</v>
      </c>
      <c r="HX102" t="e">
        <f>'2.4.Функции'!RA180+"BYw!&amp;Ab"</f>
        <v>#VALUE!</v>
      </c>
      <c r="HY102" t="e">
        <f>'2.4.Функции'!RB180+"BYw!&amp;Ac"</f>
        <v>#VALUE!</v>
      </c>
      <c r="HZ102" t="e">
        <f>'2.4.Функции'!RC180+"BYw!&amp;Ad"</f>
        <v>#VALUE!</v>
      </c>
      <c r="IA102" t="e">
        <f>'2.4.Функции'!RD180+"BYw!&amp;Ae"</f>
        <v>#VALUE!</v>
      </c>
      <c r="IB102" t="e">
        <f>'2.4.Функции'!RE180+"BYw!&amp;Af"</f>
        <v>#VALUE!</v>
      </c>
      <c r="IC102" t="e">
        <f>'2.4.Функции'!RF180+"BYw!&amp;Ag"</f>
        <v>#VALUE!</v>
      </c>
      <c r="ID102" t="e">
        <f>'2.4.Функции'!RG180+"BYw!&amp;Ah"</f>
        <v>#VALUE!</v>
      </c>
      <c r="IE102" t="e">
        <f>'2.4.Функции'!RH180+"BYw!&amp;Ai"</f>
        <v>#VALUE!</v>
      </c>
      <c r="IF102" t="e">
        <f>'2.4.Функции'!RI180+"BYw!&amp;Aj"</f>
        <v>#VALUE!</v>
      </c>
      <c r="IG102" t="e">
        <f>'2.4.Функции'!RJ180+"BYw!&amp;Ak"</f>
        <v>#VALUE!</v>
      </c>
      <c r="IH102" t="e">
        <f>'2.4.Функции'!RK180+"BYw!&amp;Al"</f>
        <v>#VALUE!</v>
      </c>
      <c r="II102" t="e">
        <f>'2.4.Функции'!RL180+"BYw!&amp;Am"</f>
        <v>#VALUE!</v>
      </c>
      <c r="IJ102" t="e">
        <f>'2.4.Функции'!RM180+"BYw!&amp;An"</f>
        <v>#VALUE!</v>
      </c>
      <c r="IK102" t="e">
        <f>'2.4.Функции'!RN180+"BYw!&amp;Ao"</f>
        <v>#VALUE!</v>
      </c>
      <c r="IL102" t="e">
        <f>'2.4.Функции'!RO180+"BYw!&amp;Ap"</f>
        <v>#VALUE!</v>
      </c>
      <c r="IM102" t="e">
        <f>'2.4.Функции'!RP180+"BYw!&amp;Aq"</f>
        <v>#VALUE!</v>
      </c>
      <c r="IN102" t="e">
        <f>'2.4.Функции'!RQ180+"BYw!&amp;Ar"</f>
        <v>#VALUE!</v>
      </c>
      <c r="IO102" t="e">
        <f>'2.4.Функции'!RR180+"BYw!&amp;As"</f>
        <v>#VALUE!</v>
      </c>
      <c r="IP102" t="e">
        <f>'2.4.Функции'!RS180+"BYw!&amp;At"</f>
        <v>#VALUE!</v>
      </c>
      <c r="IQ102" t="e">
        <f>'2.4.Функции'!RT180+"BYw!&amp;Au"</f>
        <v>#VALUE!</v>
      </c>
      <c r="IR102" t="e">
        <f>'2.4.Функции'!RU180+"BYw!&amp;Av"</f>
        <v>#VALUE!</v>
      </c>
      <c r="IS102" t="e">
        <f>'2.4.Функции'!RV180+"BYw!&amp;Aw"</f>
        <v>#VALUE!</v>
      </c>
      <c r="IT102" t="e">
        <f>'2.4.Функции'!RW180+"BYw!&amp;Ax"</f>
        <v>#VALUE!</v>
      </c>
      <c r="IU102" t="e">
        <f>'2.4.Функции'!RX180+"BYw!&amp;Ay"</f>
        <v>#VALUE!</v>
      </c>
      <c r="IV102" t="e">
        <f>'2.4.Функции'!RY180+"BYw!&amp;Az"</f>
        <v>#VALUE!</v>
      </c>
    </row>
    <row r="103" spans="6:256" x14ac:dyDescent="0.2">
      <c r="F103" t="e">
        <f>'2.4.Функции'!RZ180+"BYw!&amp;A{"</f>
        <v>#VALUE!</v>
      </c>
      <c r="G103" t="e">
        <f>'2.4.Функции'!SA180+"BYw!&amp;A|"</f>
        <v>#VALUE!</v>
      </c>
      <c r="H103" t="e">
        <f>'2.4.Функции'!SB180+"BYw!&amp;A}"</f>
        <v>#VALUE!</v>
      </c>
      <c r="I103" t="e">
        <f>'2.4.Функции'!SC180+"BYw!&amp;A~"</f>
        <v>#VALUE!</v>
      </c>
      <c r="J103" t="e">
        <f>'2.4.Функции'!SD180+"BYw!&amp;B#"</f>
        <v>#VALUE!</v>
      </c>
      <c r="K103" t="e">
        <f>'2.4.Функции'!SE180+"BYw!&amp;B$"</f>
        <v>#VALUE!</v>
      </c>
      <c r="L103" t="e">
        <f>'2.4.Функции'!SF180+"BYw!&amp;B%"</f>
        <v>#VALUE!</v>
      </c>
      <c r="M103" t="e">
        <f>'2.4.Функции'!SG180+"BYw!&amp;B&amp;"</f>
        <v>#VALUE!</v>
      </c>
      <c r="N103" t="e">
        <f>'2.4.Функции'!SH180+"BYw!&amp;B'"</f>
        <v>#VALUE!</v>
      </c>
      <c r="O103" t="e">
        <f>'2.4.Функции'!SI180+"BYw!&amp;B("</f>
        <v>#VALUE!</v>
      </c>
      <c r="P103" t="e">
        <f>'2.4.Функции'!SJ180+"BYw!&amp;B)"</f>
        <v>#VALUE!</v>
      </c>
      <c r="Q103" t="e">
        <f>'2.4.Функции'!SK180+"BYw!&amp;B."</f>
        <v>#VALUE!</v>
      </c>
      <c r="R103" t="e">
        <f>'2.4.Функции'!SL180+"BYw!&amp;B/"</f>
        <v>#VALUE!</v>
      </c>
      <c r="S103" t="e">
        <f>'2.4.Функции'!SM180+"BYw!&amp;B0"</f>
        <v>#VALUE!</v>
      </c>
      <c r="T103" t="e">
        <f>'2.4.Функции'!SN180+"BYw!&amp;B1"</f>
        <v>#VALUE!</v>
      </c>
      <c r="U103" t="e">
        <f>'2.4.Функции'!SO180+"BYw!&amp;B2"</f>
        <v>#VALUE!</v>
      </c>
      <c r="V103" t="e">
        <f>'2.4.Функции'!SP180+"BYw!&amp;B3"</f>
        <v>#VALUE!</v>
      </c>
      <c r="W103" t="e">
        <f>'2.4.Функции'!SQ180+"BYw!&amp;B4"</f>
        <v>#VALUE!</v>
      </c>
      <c r="X103" t="e">
        <f>'2.4.Функции'!SR180+"BYw!&amp;B5"</f>
        <v>#VALUE!</v>
      </c>
      <c r="Y103" t="e">
        <f>'2.4.Функции'!SS180+"BYw!&amp;B6"</f>
        <v>#VALUE!</v>
      </c>
      <c r="Z103" t="e">
        <f>'2.4.Функции'!ST180+"BYw!&amp;B7"</f>
        <v>#VALUE!</v>
      </c>
      <c r="AA103" t="e">
        <f>'2.4.Функции'!SU180+"BYw!&amp;B8"</f>
        <v>#VALUE!</v>
      </c>
      <c r="AB103" t="e">
        <f>'2.4.Функции'!SV180+"BYw!&amp;B9"</f>
        <v>#VALUE!</v>
      </c>
      <c r="AC103" t="e">
        <f>'2.4.Функции'!SW180+"BYw!&amp;B:"</f>
        <v>#VALUE!</v>
      </c>
      <c r="AD103" t="e">
        <f>'2.4.Функции'!SX180+"BYw!&amp;B;"</f>
        <v>#VALUE!</v>
      </c>
      <c r="AE103" t="e">
        <f>'2.4.Функции'!SY180+"BYw!&amp;B&lt;"</f>
        <v>#VALUE!</v>
      </c>
      <c r="AF103" t="e">
        <f>'2.4.Функции'!SZ180+"BYw!&amp;B="</f>
        <v>#VALUE!</v>
      </c>
      <c r="AG103" t="e">
        <f>'2.4.Функции'!TA180+"BYw!&amp;B&gt;"</f>
        <v>#VALUE!</v>
      </c>
      <c r="AH103" t="e">
        <f>'2.4.Функции'!TB180+"BYw!&amp;B?"</f>
        <v>#VALUE!</v>
      </c>
      <c r="AI103" t="e">
        <f>'2.4.Функции'!TC180+"BYw!&amp;B@"</f>
        <v>#VALUE!</v>
      </c>
      <c r="AJ103" t="e">
        <f>'2.4.Функции'!TD180+"BYw!&amp;BA"</f>
        <v>#VALUE!</v>
      </c>
      <c r="AK103" t="e">
        <f>'2.4.Функции'!TE180+"BYw!&amp;BB"</f>
        <v>#VALUE!</v>
      </c>
      <c r="AL103" t="e">
        <f>'2.4.Функции'!TF180+"BYw!&amp;BC"</f>
        <v>#VALUE!</v>
      </c>
      <c r="AM103" t="e">
        <f>'2.4.Функции'!TG180+"BYw!&amp;BD"</f>
        <v>#VALUE!</v>
      </c>
      <c r="AN103" t="e">
        <f>'2.4.Функции'!TH180+"BYw!&amp;BE"</f>
        <v>#VALUE!</v>
      </c>
      <c r="AO103" t="e">
        <f>'2.4.Функции'!TI180+"BYw!&amp;BF"</f>
        <v>#VALUE!</v>
      </c>
      <c r="AP103" t="e">
        <f>'2.4.Функции'!TJ180+"BYw!&amp;BG"</f>
        <v>#VALUE!</v>
      </c>
      <c r="AQ103" t="e">
        <f>'2.4.Функции'!TK180+"BYw!&amp;BH"</f>
        <v>#VALUE!</v>
      </c>
      <c r="AR103" t="e">
        <f>'2.4.Функции'!TL180+"BYw!&amp;BI"</f>
        <v>#VALUE!</v>
      </c>
      <c r="AS103" t="e">
        <f>'2.4.Функции'!TM180+"BYw!&amp;BJ"</f>
        <v>#VALUE!</v>
      </c>
      <c r="AT103" t="e">
        <f>'2.4.Функции'!TN180+"BYw!&amp;BK"</f>
        <v>#VALUE!</v>
      </c>
      <c r="AU103" t="e">
        <f>'2.4.Функции'!TO180+"BYw!&amp;BL"</f>
        <v>#VALUE!</v>
      </c>
      <c r="AV103" t="e">
        <f>'2.4.Функции'!TP180+"BYw!&amp;BM"</f>
        <v>#VALUE!</v>
      </c>
      <c r="AW103" t="e">
        <f>'2.4.Функции'!TQ180+"BYw!&amp;BN"</f>
        <v>#VALUE!</v>
      </c>
      <c r="AX103" t="e">
        <f>'2.4.Функции'!TR180+"BYw!&amp;BO"</f>
        <v>#VALUE!</v>
      </c>
      <c r="AY103" t="e">
        <f>'2.4.Функции'!TS180+"BYw!&amp;BP"</f>
        <v>#VALUE!</v>
      </c>
      <c r="AZ103" t="e">
        <f>'2.4.Функции'!TT180+"BYw!&amp;BQ"</f>
        <v>#VALUE!</v>
      </c>
      <c r="BA103" t="e">
        <f>'2.4.Функции'!TU180+"BYw!&amp;BR"</f>
        <v>#VALUE!</v>
      </c>
      <c r="BB103" t="e">
        <f>'2.4.Функции'!TV180+"BYw!&amp;BS"</f>
        <v>#VALUE!</v>
      </c>
      <c r="BC103" t="e">
        <f>'2.4.Функции'!TW180+"BYw!&amp;BT"</f>
        <v>#VALUE!</v>
      </c>
      <c r="BD103" t="e">
        <f>'2.4.Функции'!TX180+"BYw!&amp;BU"</f>
        <v>#VALUE!</v>
      </c>
      <c r="BE103" t="e">
        <f>'2.4.Функции'!TY180+"BYw!&amp;BV"</f>
        <v>#VALUE!</v>
      </c>
      <c r="BF103" t="e">
        <f>'2.4.Функции'!TZ180+"BYw!&amp;BW"</f>
        <v>#VALUE!</v>
      </c>
      <c r="BG103" t="e">
        <f>'2.4.Функции'!UA180+"BYw!&amp;BX"</f>
        <v>#VALUE!</v>
      </c>
      <c r="BH103" t="e">
        <f>'2.4.Функции'!UB180+"BYw!&amp;BY"</f>
        <v>#VALUE!</v>
      </c>
      <c r="BI103" t="e">
        <f>'2.4.Функции'!UC180+"BYw!&amp;BZ"</f>
        <v>#VALUE!</v>
      </c>
      <c r="BJ103" t="e">
        <f>'2.4.Функции'!UD180+"BYw!&amp;B["</f>
        <v>#VALUE!</v>
      </c>
      <c r="BK103" t="e">
        <f>'2.4.Функции'!UE180+"BYw!&amp;B\"</f>
        <v>#VALUE!</v>
      </c>
      <c r="BL103" t="e">
        <f>'2.4.Функции'!UF180+"BYw!&amp;B]"</f>
        <v>#VALUE!</v>
      </c>
      <c r="BM103" t="e">
        <f>'2.4.Функции'!UG180+"BYw!&amp;B^"</f>
        <v>#VALUE!</v>
      </c>
      <c r="BN103" t="e">
        <f>'2.4.Функции'!UH180+"BYw!&amp;B_"</f>
        <v>#VALUE!</v>
      </c>
      <c r="BO103" t="e">
        <f>'2.4.Функции'!UI180+"BYw!&amp;B`"</f>
        <v>#VALUE!</v>
      </c>
      <c r="BP103" t="e">
        <f>'2.4.Функции'!UJ180+"BYw!&amp;Ba"</f>
        <v>#VALUE!</v>
      </c>
      <c r="BQ103" t="e">
        <f>'2.4.Функции'!UK180+"BYw!&amp;Bb"</f>
        <v>#VALUE!</v>
      </c>
      <c r="BR103" t="e">
        <f>'2.4.Функции'!UL180+"BYw!&amp;Bc"</f>
        <v>#VALUE!</v>
      </c>
      <c r="BS103" t="e">
        <f>'2.4.Функции'!UM180+"BYw!&amp;Bd"</f>
        <v>#VALUE!</v>
      </c>
      <c r="BT103" t="e">
        <f>'2.4.Функции'!UN180+"BYw!&amp;Be"</f>
        <v>#VALUE!</v>
      </c>
      <c r="BU103" t="e">
        <f>'2.4.Функции'!UO180+"BYw!&amp;Bf"</f>
        <v>#VALUE!</v>
      </c>
      <c r="BV103" t="e">
        <f>'2.4.Функции'!UP180+"BYw!&amp;Bg"</f>
        <v>#VALUE!</v>
      </c>
      <c r="BW103" t="e">
        <f>'2.4.Функции'!UQ180+"BYw!&amp;Bh"</f>
        <v>#VALUE!</v>
      </c>
      <c r="BX103" t="e">
        <f>'2.4.Функции'!UR180+"BYw!&amp;Bi"</f>
        <v>#VALUE!</v>
      </c>
      <c r="BY103" t="e">
        <f>'2.4.Функции'!US180+"BYw!&amp;Bj"</f>
        <v>#VALUE!</v>
      </c>
      <c r="BZ103" t="e">
        <f>'2.4.Функции'!UT180+"BYw!&amp;Bk"</f>
        <v>#VALUE!</v>
      </c>
      <c r="CA103" t="e">
        <f>'2.4.Функции'!UU180+"BYw!&amp;Bl"</f>
        <v>#VALUE!</v>
      </c>
      <c r="CB103" t="e">
        <f>'2.4.Функции'!UV180+"BYw!&amp;Bm"</f>
        <v>#VALUE!</v>
      </c>
      <c r="CC103" t="e">
        <f>'2.4.Функции'!UW180+"BYw!&amp;Bn"</f>
        <v>#VALUE!</v>
      </c>
      <c r="CD103" t="e">
        <f>'2.4.Функции'!UX180+"BYw!&amp;Bo"</f>
        <v>#VALUE!</v>
      </c>
      <c r="CE103" t="e">
        <f>'2.4.Функции'!UY180+"BYw!&amp;Bp"</f>
        <v>#VALUE!</v>
      </c>
      <c r="CF103" t="e">
        <f>'2.4.Функции'!UZ180+"BYw!&amp;Bq"</f>
        <v>#VALUE!</v>
      </c>
      <c r="CG103" t="e">
        <f>'2.4.Функции'!VA180+"BYw!&amp;Br"</f>
        <v>#VALUE!</v>
      </c>
      <c r="CH103" t="e">
        <f>'2.4.Функции'!VB180+"BYw!&amp;Bs"</f>
        <v>#VALUE!</v>
      </c>
      <c r="CI103" t="e">
        <f>'2.4.Функции'!VC180+"BYw!&amp;Bt"</f>
        <v>#VALUE!</v>
      </c>
      <c r="CJ103" t="e">
        <f>'2.4.Функции'!VD180+"BYw!&amp;Bu"</f>
        <v>#VALUE!</v>
      </c>
      <c r="CK103" t="e">
        <f>'2.4.Функции'!VE180+"BYw!&amp;Bv"</f>
        <v>#VALUE!</v>
      </c>
      <c r="CL103" t="e">
        <f>'2.4.Функции'!VF180+"BYw!&amp;Bw"</f>
        <v>#VALUE!</v>
      </c>
      <c r="CM103" t="e">
        <f>'2.4.Функции'!VG180+"BYw!&amp;Bx"</f>
        <v>#VALUE!</v>
      </c>
      <c r="CN103" t="e">
        <f>'2.4.Функции'!VH180+"BYw!&amp;By"</f>
        <v>#VALUE!</v>
      </c>
      <c r="CO103" t="e">
        <f>'2.4.Функции'!VI180+"BYw!&amp;Bz"</f>
        <v>#VALUE!</v>
      </c>
      <c r="CP103" t="e">
        <f>'2.4.Функции'!VJ180+"BYw!&amp;B{"</f>
        <v>#VALUE!</v>
      </c>
      <c r="CQ103" t="e">
        <f>'2.4.Функции'!VK180+"BYw!&amp;B|"</f>
        <v>#VALUE!</v>
      </c>
      <c r="CR103" t="e">
        <f>'2.4.Функции'!VL180+"BYw!&amp;B}"</f>
        <v>#VALUE!</v>
      </c>
      <c r="CS103" t="e">
        <f>'2.4.Функции'!VM180+"BYw!&amp;B~"</f>
        <v>#VALUE!</v>
      </c>
      <c r="CT103" t="e">
        <f>'2.4.Функции'!VN180+"BYw!&amp;C#"</f>
        <v>#VALUE!</v>
      </c>
      <c r="CU103" t="e">
        <f>'2.4.Функции'!VO180+"BYw!&amp;C$"</f>
        <v>#VALUE!</v>
      </c>
      <c r="CV103" t="e">
        <f>'2.4.Функции'!VP180+"BYw!&amp;C%"</f>
        <v>#VALUE!</v>
      </c>
      <c r="CW103" t="e">
        <f>'2.4.Функции'!VQ180+"BYw!&amp;C&amp;"</f>
        <v>#VALUE!</v>
      </c>
      <c r="CX103" t="e">
        <f>'2.4.Функции'!VR180+"BYw!&amp;C'"</f>
        <v>#VALUE!</v>
      </c>
      <c r="CY103" t="e">
        <f>'2.4.Функции'!VS180+"BYw!&amp;C("</f>
        <v>#VALUE!</v>
      </c>
      <c r="CZ103" t="e">
        <f>'2.4.Функции'!VT180+"BYw!&amp;C)"</f>
        <v>#VALUE!</v>
      </c>
      <c r="DA103" t="e">
        <f>'2.4.Функции'!VU180+"BYw!&amp;C."</f>
        <v>#VALUE!</v>
      </c>
      <c r="DB103" t="e">
        <f>'2.4.Функции'!VV180+"BYw!&amp;C/"</f>
        <v>#VALUE!</v>
      </c>
      <c r="DC103" t="e">
        <f>'2.4.Функции'!VW180+"BYw!&amp;C0"</f>
        <v>#VALUE!</v>
      </c>
      <c r="DD103" t="e">
        <f>'2.4.Функции'!VX180+"BYw!&amp;C1"</f>
        <v>#VALUE!</v>
      </c>
      <c r="DE103" t="e">
        <f>'2.4.Функции'!VY180+"BYw!&amp;C2"</f>
        <v>#VALUE!</v>
      </c>
      <c r="DF103" t="e">
        <f>'2.4.Функции'!VZ180+"BYw!&amp;C3"</f>
        <v>#VALUE!</v>
      </c>
      <c r="DG103" t="e">
        <f>'2.4.Функции'!WA180+"BYw!&amp;C4"</f>
        <v>#VALUE!</v>
      </c>
      <c r="DH103" t="e">
        <f>'2.4.Функции'!WB180+"BYw!&amp;C5"</f>
        <v>#VALUE!</v>
      </c>
      <c r="DI103" t="e">
        <f>'2.4.Функции'!WC180+"BYw!&amp;C6"</f>
        <v>#VALUE!</v>
      </c>
      <c r="DJ103" t="e">
        <f>'2.4.Функции'!WD180+"BYw!&amp;C7"</f>
        <v>#VALUE!</v>
      </c>
      <c r="DK103" t="e">
        <f>'2.4.Функции'!WE180+"BYw!&amp;C8"</f>
        <v>#VALUE!</v>
      </c>
      <c r="DL103" t="e">
        <f>'2.4.Функции'!WF180+"BYw!&amp;C9"</f>
        <v>#VALUE!</v>
      </c>
      <c r="DM103" t="e">
        <f>'2.4.Функции'!WG180+"BYw!&amp;C:"</f>
        <v>#VALUE!</v>
      </c>
      <c r="DN103" t="e">
        <f>'2.4.Функции'!WH180+"BYw!&amp;C;"</f>
        <v>#VALUE!</v>
      </c>
      <c r="DO103" t="e">
        <f>'2.4.Функции'!WI180+"BYw!&amp;C&lt;"</f>
        <v>#VALUE!</v>
      </c>
      <c r="DP103" t="e">
        <f>'2.4.Функции'!WJ180+"BYw!&amp;C="</f>
        <v>#VALUE!</v>
      </c>
      <c r="DQ103" t="e">
        <f>'2.4.Функции'!WK180+"BYw!&amp;C&gt;"</f>
        <v>#VALUE!</v>
      </c>
      <c r="DR103" t="e">
        <f>'2.4.Функции'!WL180+"BYw!&amp;C?"</f>
        <v>#VALUE!</v>
      </c>
      <c r="DS103" t="e">
        <f>'2.4.Функции'!WM180+"BYw!&amp;C@"</f>
        <v>#VALUE!</v>
      </c>
      <c r="DT103" t="e">
        <f>'2.4.Функции'!WN180+"BYw!&amp;CA"</f>
        <v>#VALUE!</v>
      </c>
      <c r="DU103" t="e">
        <f>'2.4.Функции'!WO180+"BYw!&amp;CB"</f>
        <v>#VALUE!</v>
      </c>
      <c r="DV103" t="e">
        <f>'2.4.Функции'!WP180+"BYw!&amp;CC"</f>
        <v>#VALUE!</v>
      </c>
      <c r="DW103" t="e">
        <f>'2.4.Функции'!WQ180+"BYw!&amp;CD"</f>
        <v>#VALUE!</v>
      </c>
      <c r="DX103" t="e">
        <f>'2.4.Функции'!WR180+"BYw!&amp;CE"</f>
        <v>#VALUE!</v>
      </c>
      <c r="DY103" t="e">
        <f>'2.4.Функции'!WS180+"BYw!&amp;CF"</f>
        <v>#VALUE!</v>
      </c>
      <c r="DZ103" t="e">
        <f>'2.4.Функции'!WT180+"BYw!&amp;CG"</f>
        <v>#VALUE!</v>
      </c>
      <c r="EA103" t="e">
        <f>'2.4.Функции'!WU180+"BYw!&amp;CH"</f>
        <v>#VALUE!</v>
      </c>
      <c r="EB103" t="e">
        <f>'2.4.Функции'!WV180+"BYw!&amp;CI"</f>
        <v>#VALUE!</v>
      </c>
      <c r="EC103" t="e">
        <f>'2.4.Функции'!WW180+"BYw!&amp;CJ"</f>
        <v>#VALUE!</v>
      </c>
      <c r="ED103" t="e">
        <f>'2.4.Функции'!WX180+"BYw!&amp;CK"</f>
        <v>#VALUE!</v>
      </c>
      <c r="EE103" t="e">
        <f>'2.4.Функции'!WY180+"BYw!&amp;CL"</f>
        <v>#VALUE!</v>
      </c>
      <c r="EF103" t="e">
        <f>'2.4.Функции'!WZ180+"BYw!&amp;CM"</f>
        <v>#VALUE!</v>
      </c>
      <c r="EG103" t="e">
        <f>'2.4.Функции'!XA180+"BYw!&amp;CN"</f>
        <v>#VALUE!</v>
      </c>
      <c r="EH103" t="e">
        <f>'2.4.Функции'!XB180+"BYw!&amp;CO"</f>
        <v>#VALUE!</v>
      </c>
      <c r="EI103" t="e">
        <f>'2.4.Функции'!XC180+"BYw!&amp;CP"</f>
        <v>#VALUE!</v>
      </c>
      <c r="EJ103" t="e">
        <f>'2.4.Функции'!XD180+"BYw!&amp;CQ"</f>
        <v>#VALUE!</v>
      </c>
      <c r="EK103" t="e">
        <f>'2.4.Функции'!XE180+"BYw!&amp;CR"</f>
        <v>#VALUE!</v>
      </c>
      <c r="EL103" t="e">
        <f>'2.4.Функции'!XF180+"BYw!&amp;CS"</f>
        <v>#VALUE!</v>
      </c>
      <c r="EM103" t="e">
        <f>'2.4.Функции'!XG180+"BYw!&amp;CT"</f>
        <v>#VALUE!</v>
      </c>
      <c r="EN103" t="e">
        <f>'2.4.Функции'!XH180+"BYw!&amp;CU"</f>
        <v>#VALUE!</v>
      </c>
      <c r="EO103" t="e">
        <f>'2.4.Функции'!XI180+"BYw!&amp;CV"</f>
        <v>#VALUE!</v>
      </c>
      <c r="EP103" t="e">
        <f>'2.4.Функции'!XJ180+"BYw!&amp;CW"</f>
        <v>#VALUE!</v>
      </c>
      <c r="EQ103" t="e">
        <f>'2.4.Функции'!XK180+"BYw!&amp;CX"</f>
        <v>#VALUE!</v>
      </c>
      <c r="ER103" t="e">
        <f>'2.4.Функции'!XL180+"BYw!&amp;CY"</f>
        <v>#VALUE!</v>
      </c>
      <c r="ES103" t="e">
        <f>'2.4.Функции'!XM180+"BYw!&amp;CZ"</f>
        <v>#VALUE!</v>
      </c>
      <c r="ET103" t="e">
        <f>'2.4.Функции'!XN180+"BYw!&amp;C["</f>
        <v>#VALUE!</v>
      </c>
      <c r="EU103" t="e">
        <f>'2.4.Функции'!XO180+"BYw!&amp;C\"</f>
        <v>#VALUE!</v>
      </c>
      <c r="EV103" t="e">
        <f>'2.4.Функции'!XP180+"BYw!&amp;C]"</f>
        <v>#VALUE!</v>
      </c>
      <c r="EW103" t="e">
        <f>'2.4.Функции'!XQ180+"BYw!&amp;C^"</f>
        <v>#VALUE!</v>
      </c>
      <c r="EX103" t="e">
        <f>'2.4.Функции'!XR180+"BYw!&amp;C_"</f>
        <v>#VALUE!</v>
      </c>
      <c r="EY103" t="e">
        <f>'2.4.Функции'!XS180+"BYw!&amp;C`"</f>
        <v>#VALUE!</v>
      </c>
      <c r="EZ103" t="e">
        <f>'2.4.Функции'!XT180+"BYw!&amp;Ca"</f>
        <v>#VALUE!</v>
      </c>
      <c r="FA103" t="e">
        <f>'2.4.Функции'!XU180+"BYw!&amp;Cb"</f>
        <v>#VALUE!</v>
      </c>
      <c r="FB103" t="e">
        <f>'2.4.Функции'!XV180+"BYw!&amp;Cc"</f>
        <v>#VALUE!</v>
      </c>
      <c r="FC103" t="e">
        <f>'2.4.Функции'!XW180+"BYw!&amp;Cd"</f>
        <v>#VALUE!</v>
      </c>
      <c r="FD103" t="e">
        <f>'2.4.Функции'!XX180+"BYw!&amp;Ce"</f>
        <v>#VALUE!</v>
      </c>
      <c r="FE103" t="e">
        <f>'2.4.Функции'!XY180+"BYw!&amp;Cf"</f>
        <v>#VALUE!</v>
      </c>
      <c r="FF103" t="e">
        <f>'2.4.Функции'!XZ180+"BYw!&amp;Cg"</f>
        <v>#VALUE!</v>
      </c>
      <c r="FG103" t="e">
        <f>'2.4.Функции'!YA180+"BYw!&amp;Ch"</f>
        <v>#VALUE!</v>
      </c>
      <c r="FH103" t="e">
        <f>'2.4.Функции'!YB180+"BYw!&amp;Ci"</f>
        <v>#VALUE!</v>
      </c>
      <c r="FI103" t="e">
        <f>'2.4.Функции'!YC180+"BYw!&amp;Cj"</f>
        <v>#VALUE!</v>
      </c>
      <c r="FJ103" t="e">
        <f>'2.4.Функции'!YD180+"BYw!&amp;Ck"</f>
        <v>#VALUE!</v>
      </c>
      <c r="FK103" t="e">
        <f>'2.4.Функции'!YE180+"BYw!&amp;Cl"</f>
        <v>#VALUE!</v>
      </c>
      <c r="FL103" t="e">
        <f>'2.4.Функции'!YF180+"BYw!&amp;Cm"</f>
        <v>#VALUE!</v>
      </c>
      <c r="FM103" t="e">
        <f>'2.4.Функции'!YG180+"BYw!&amp;Cn"</f>
        <v>#VALUE!</v>
      </c>
      <c r="FN103" t="e">
        <f>'2.4.Функции'!YH180+"BYw!&amp;Co"</f>
        <v>#VALUE!</v>
      </c>
      <c r="FO103" t="e">
        <f>'2.4.Функции'!YI180+"BYw!&amp;Cp"</f>
        <v>#VALUE!</v>
      </c>
      <c r="FP103" t="e">
        <f>'2.4.Функции'!YJ180+"BYw!&amp;Cq"</f>
        <v>#VALUE!</v>
      </c>
      <c r="FQ103" t="e">
        <f>'2.4.Функции'!YK180+"BYw!&amp;Cr"</f>
        <v>#VALUE!</v>
      </c>
      <c r="FR103" t="e">
        <f>'2.4.Функции'!YL180+"BYw!&amp;Cs"</f>
        <v>#VALUE!</v>
      </c>
      <c r="FS103" t="e">
        <f>'2.4.Функции'!YM180+"BYw!&amp;Ct"</f>
        <v>#VALUE!</v>
      </c>
      <c r="FT103" t="e">
        <f>'2.4.Функции'!YN180+"BYw!&amp;Cu"</f>
        <v>#VALUE!</v>
      </c>
      <c r="FU103" t="e">
        <f>'2.4.Функции'!YO180+"BYw!&amp;Cv"</f>
        <v>#VALUE!</v>
      </c>
      <c r="FV103" t="e">
        <f>'2.4.Функции'!YP180+"BYw!&amp;Cw"</f>
        <v>#VALUE!</v>
      </c>
      <c r="FW103" t="e">
        <f>'2.4.Функции'!YQ180+"BYw!&amp;Cx"</f>
        <v>#VALUE!</v>
      </c>
      <c r="FX103" t="e">
        <f>'2.4.Функции'!YR180+"BYw!&amp;Cy"</f>
        <v>#VALUE!</v>
      </c>
      <c r="FY103" t="e">
        <f>'2.4.Функции'!YS180+"BYw!&amp;Cz"</f>
        <v>#VALUE!</v>
      </c>
      <c r="FZ103" t="e">
        <f>'2.4.Функции'!YT180+"BYw!&amp;C{"</f>
        <v>#VALUE!</v>
      </c>
      <c r="GA103" t="e">
        <f>'2.4.Функции'!YU180+"BYw!&amp;C|"</f>
        <v>#VALUE!</v>
      </c>
      <c r="GB103" t="e">
        <f>'2.4.Функции'!YV180+"BYw!&amp;C}"</f>
        <v>#VALUE!</v>
      </c>
      <c r="GC103" t="e">
        <f>'2.4.Функции'!YW180+"BYw!&amp;C~"</f>
        <v>#VALUE!</v>
      </c>
      <c r="GD103" t="e">
        <f>'2.4.Функции'!YX180+"BYw!&amp;D#"</f>
        <v>#VALUE!</v>
      </c>
      <c r="GE103" t="e">
        <f>'2.4.Функции'!YY180+"BYw!&amp;D$"</f>
        <v>#VALUE!</v>
      </c>
      <c r="GF103" t="e">
        <f>'2.4.Функции'!YZ180+"BYw!&amp;D%"</f>
        <v>#VALUE!</v>
      </c>
      <c r="GG103" t="e">
        <f>'2.4.Функции'!ZA180+"BYw!&amp;D&amp;"</f>
        <v>#VALUE!</v>
      </c>
      <c r="GH103" t="e">
        <f>'2.4.Функции'!ZB180+"BYw!&amp;D'"</f>
        <v>#VALUE!</v>
      </c>
      <c r="GI103" t="e">
        <f>'2.4.Функции'!ZC180+"BYw!&amp;D("</f>
        <v>#VALUE!</v>
      </c>
      <c r="GJ103" t="e">
        <f>'2.4.Функции'!ZD180+"BYw!&amp;D)"</f>
        <v>#VALUE!</v>
      </c>
      <c r="GK103" t="e">
        <f>'2.4.Функции'!ZE180+"BYw!&amp;D."</f>
        <v>#VALUE!</v>
      </c>
      <c r="GL103" t="e">
        <f>'2.4.Функции'!ZF180+"BYw!&amp;D/"</f>
        <v>#VALUE!</v>
      </c>
      <c r="GM103" t="e">
        <f>'2.4.Функции'!ZG180+"BYw!&amp;D0"</f>
        <v>#VALUE!</v>
      </c>
      <c r="GN103" t="e">
        <f>'2.4.Функции'!ZH180+"BYw!&amp;D1"</f>
        <v>#VALUE!</v>
      </c>
      <c r="GO103" t="e">
        <f>'2.4.Функции'!ZI180+"BYw!&amp;D2"</f>
        <v>#VALUE!</v>
      </c>
      <c r="GP103" t="e">
        <f>'2.4.Функции'!ZJ180+"BYw!&amp;D3"</f>
        <v>#VALUE!</v>
      </c>
      <c r="GQ103" t="e">
        <f>'2.4.Функции'!ZK180+"BYw!&amp;D4"</f>
        <v>#VALUE!</v>
      </c>
      <c r="GR103" t="e">
        <f>'2.4.Функции'!ZL180+"BYw!&amp;D5"</f>
        <v>#VALUE!</v>
      </c>
      <c r="GS103" t="e">
        <f>'2.4.Функции'!ZM180+"BYw!&amp;D6"</f>
        <v>#VALUE!</v>
      </c>
      <c r="GT103" t="e">
        <f>'2.4.Функции'!ZN180+"BYw!&amp;D7"</f>
        <v>#VALUE!</v>
      </c>
      <c r="GU103" t="e">
        <f>'2.4.Функции'!ZO180+"BYw!&amp;D8"</f>
        <v>#VALUE!</v>
      </c>
      <c r="GV103" t="e">
        <f>'2.4.Функции'!ZP180+"BYw!&amp;D9"</f>
        <v>#VALUE!</v>
      </c>
      <c r="GW103" t="e">
        <f>'2.4.Функции'!ZQ180+"BYw!&amp;D:"</f>
        <v>#VALUE!</v>
      </c>
      <c r="GX103" t="e">
        <f>'2.4.Функции'!ZR180+"BYw!&amp;D;"</f>
        <v>#VALUE!</v>
      </c>
      <c r="GY103" t="e">
        <f>'2.4.Функции'!ZS180+"BYw!&amp;D&lt;"</f>
        <v>#VALUE!</v>
      </c>
      <c r="GZ103" t="e">
        <f>'2.4.Функции'!ZT180+"BYw!&amp;D="</f>
        <v>#VALUE!</v>
      </c>
      <c r="HA103" t="e">
        <f>'2.4.Функции'!ZU180+"BYw!&amp;D&gt;"</f>
        <v>#VALUE!</v>
      </c>
      <c r="HB103" t="e">
        <f>'2.4.Функции'!ZV180+"BYw!&amp;D?"</f>
        <v>#VALUE!</v>
      </c>
      <c r="HC103" t="e">
        <f>'2.4.Функции'!ZW180+"BYw!&amp;D@"</f>
        <v>#VALUE!</v>
      </c>
      <c r="HD103" t="e">
        <f>'2.4.Функции'!ZX180+"BYw!&amp;DA"</f>
        <v>#VALUE!</v>
      </c>
      <c r="HE103" t="e">
        <f>'2.4.Функции'!ZY180+"BYw!&amp;DB"</f>
        <v>#VALUE!</v>
      </c>
      <c r="HF103" t="e">
        <f>'2.4.Функции'!ZZ180+"BYw!&amp;DC"</f>
        <v>#VALUE!</v>
      </c>
      <c r="HG103" t="e">
        <f>'2.4.Функции'!AAA180+"BYw!&amp;DD"</f>
        <v>#VALUE!</v>
      </c>
      <c r="HH103" t="e">
        <f>'2.4.Функции'!AAB180+"BYw!&amp;DE"</f>
        <v>#VALUE!</v>
      </c>
      <c r="HI103" t="e">
        <f>'2.4.Функции'!AAC180+"BYw!&amp;DF"</f>
        <v>#VALUE!</v>
      </c>
      <c r="HJ103" t="e">
        <f>'2.4.Функции'!AAD180+"BYw!&amp;DG"</f>
        <v>#VALUE!</v>
      </c>
      <c r="HK103" t="e">
        <f>'2.4.Функции'!AAE180+"BYw!&amp;DH"</f>
        <v>#VALUE!</v>
      </c>
      <c r="HL103" t="e">
        <f>'2.4.Функции'!AAF180+"BYw!&amp;DI"</f>
        <v>#VALUE!</v>
      </c>
      <c r="HM103" t="e">
        <f>'2.4.Функции'!AAG180+"BYw!&amp;DJ"</f>
        <v>#VALUE!</v>
      </c>
      <c r="HN103" t="e">
        <f>'2.4.Функции'!AAH180+"BYw!&amp;DK"</f>
        <v>#VALUE!</v>
      </c>
      <c r="HO103" t="e">
        <f>'2.4.Функции'!AAI180+"BYw!&amp;DL"</f>
        <v>#VALUE!</v>
      </c>
      <c r="HP103" t="e">
        <f>'2.4.Функции'!AAJ180+"BYw!&amp;DM"</f>
        <v>#VALUE!</v>
      </c>
      <c r="HQ103" t="e">
        <f>'2.4.Функции'!AAK180+"BYw!&amp;DN"</f>
        <v>#VALUE!</v>
      </c>
      <c r="HR103" t="e">
        <f>'2.4.Функции'!AAL180+"BYw!&amp;DO"</f>
        <v>#VALUE!</v>
      </c>
      <c r="HS103" t="e">
        <f>'2.4.Функции'!AAM180+"BYw!&amp;DP"</f>
        <v>#VALUE!</v>
      </c>
      <c r="HT103" t="e">
        <f>'2.4.Функции'!AAN180+"BYw!&amp;DQ"</f>
        <v>#VALUE!</v>
      </c>
      <c r="HU103" t="e">
        <f>'2.4.Функции'!AAO180+"BYw!&amp;DR"</f>
        <v>#VALUE!</v>
      </c>
      <c r="HV103" t="e">
        <f>'2.4.Функции'!AAP180+"BYw!&amp;DS"</f>
        <v>#VALUE!</v>
      </c>
      <c r="HW103" t="e">
        <f>'2.4.Функции'!AAQ180+"BYw!&amp;DT"</f>
        <v>#VALUE!</v>
      </c>
      <c r="HX103" t="e">
        <f>'2.4.Функции'!AAR180+"BYw!&amp;DU"</f>
        <v>#VALUE!</v>
      </c>
      <c r="HY103" t="e">
        <f>'2.4.Функции'!AAS180+"BYw!&amp;DV"</f>
        <v>#VALUE!</v>
      </c>
      <c r="HZ103" t="e">
        <f>'2.4.Функции'!AAT180+"BYw!&amp;DW"</f>
        <v>#VALUE!</v>
      </c>
      <c r="IA103" t="e">
        <f>'2.4.Функции'!AAU180+"BYw!&amp;DX"</f>
        <v>#VALUE!</v>
      </c>
      <c r="IB103" t="e">
        <f>'2.4.Функции'!AAV180+"BYw!&amp;DY"</f>
        <v>#VALUE!</v>
      </c>
      <c r="IC103" t="e">
        <f>'2.4.Функции'!AAW180+"BYw!&amp;DZ"</f>
        <v>#VALUE!</v>
      </c>
      <c r="ID103" t="e">
        <f>'2.4.Функции'!AAX180+"BYw!&amp;D["</f>
        <v>#VALUE!</v>
      </c>
      <c r="IE103" t="e">
        <f>'2.4.Функции'!AAY180+"BYw!&amp;D\"</f>
        <v>#VALUE!</v>
      </c>
      <c r="IF103" t="e">
        <f>'2.4.Функции'!AAZ180+"BYw!&amp;D]"</f>
        <v>#VALUE!</v>
      </c>
      <c r="IG103" t="e">
        <f>'2.4.Функции'!ABA180+"BYw!&amp;D^"</f>
        <v>#VALUE!</v>
      </c>
      <c r="IH103" t="e">
        <f>'2.4.Функции'!ABB180+"BYw!&amp;D_"</f>
        <v>#VALUE!</v>
      </c>
      <c r="II103" t="e">
        <f>'2.4.Функции'!ABC180+"BYw!&amp;D`"</f>
        <v>#VALUE!</v>
      </c>
      <c r="IJ103" t="e">
        <f>'2.4.Функции'!ABD180+"BYw!&amp;Da"</f>
        <v>#VALUE!</v>
      </c>
      <c r="IK103" t="e">
        <f>'2.4.Функции'!ABE180+"BYw!&amp;Db"</f>
        <v>#VALUE!</v>
      </c>
      <c r="IL103" t="e">
        <f>'2.4.Функции'!ABF180+"BYw!&amp;Dc"</f>
        <v>#VALUE!</v>
      </c>
      <c r="IM103" t="e">
        <f>'2.4.Функции'!ABG180+"BYw!&amp;Dd"</f>
        <v>#VALUE!</v>
      </c>
      <c r="IN103" t="e">
        <f>'2.4.Функции'!ABH180+"BYw!&amp;De"</f>
        <v>#VALUE!</v>
      </c>
      <c r="IO103" t="e">
        <f>'2.4.Функции'!ABI180+"BYw!&amp;Df"</f>
        <v>#VALUE!</v>
      </c>
      <c r="IP103" t="e">
        <f>'2.4.Функции'!ABJ180+"BYw!&amp;Dg"</f>
        <v>#VALUE!</v>
      </c>
      <c r="IQ103" t="e">
        <f>'2.4.Функции'!ABK180+"BYw!&amp;Dh"</f>
        <v>#VALUE!</v>
      </c>
      <c r="IR103" t="e">
        <f>'2.4.Функции'!ABL180+"BYw!&amp;Di"</f>
        <v>#VALUE!</v>
      </c>
      <c r="IS103" t="e">
        <f>'2.4.Функции'!ABM180+"BYw!&amp;Dj"</f>
        <v>#VALUE!</v>
      </c>
      <c r="IT103" t="e">
        <f>'2.4.Функции'!ABN180+"BYw!&amp;Dk"</f>
        <v>#VALUE!</v>
      </c>
      <c r="IU103" t="e">
        <f>'2.4.Функции'!ABO180+"BYw!&amp;Dl"</f>
        <v>#VALUE!</v>
      </c>
      <c r="IV103" t="e">
        <f>'2.4.Функции'!ABP180+"BYw!&amp;Dm"</f>
        <v>#VALUE!</v>
      </c>
    </row>
    <row r="104" spans="6:256" x14ac:dyDescent="0.2">
      <c r="F104" t="e">
        <f>'2.4.Функции'!ABQ180+"BYw!&amp;Dn"</f>
        <v>#VALUE!</v>
      </c>
      <c r="G104" t="e">
        <f>'2.4.Функции'!ABR180+"BYw!&amp;Do"</f>
        <v>#VALUE!</v>
      </c>
      <c r="H104" t="e">
        <f>'2.4.Функции'!ABS180+"BYw!&amp;Dp"</f>
        <v>#VALUE!</v>
      </c>
      <c r="I104" t="e">
        <f>'2.4.Функции'!ABT180+"BYw!&amp;Dq"</f>
        <v>#VALUE!</v>
      </c>
      <c r="J104" t="e">
        <f>'2.4.Функции'!ABU180+"BYw!&amp;Dr"</f>
        <v>#VALUE!</v>
      </c>
      <c r="K104" t="e">
        <f>'2.4.Функции'!ABV180+"BYw!&amp;Ds"</f>
        <v>#VALUE!</v>
      </c>
      <c r="L104" t="e">
        <f>'2.4.Функции'!ABW180+"BYw!&amp;Dt"</f>
        <v>#VALUE!</v>
      </c>
      <c r="M104" t="e">
        <f>'2.4.Функции'!ABX180+"BYw!&amp;Du"</f>
        <v>#VALUE!</v>
      </c>
      <c r="N104" t="e">
        <f>'2.4.Функции'!ABY180+"BYw!&amp;Dv"</f>
        <v>#VALUE!</v>
      </c>
      <c r="O104" t="e">
        <f>'2.4.Функции'!ABZ180+"BYw!&amp;Dw"</f>
        <v>#VALUE!</v>
      </c>
      <c r="P104" t="e">
        <f>'2.4.Функции'!ACA180+"BYw!&amp;Dx"</f>
        <v>#VALUE!</v>
      </c>
      <c r="Q104" t="e">
        <f>'2.4.Функции'!ACB180+"BYw!&amp;Dy"</f>
        <v>#VALUE!</v>
      </c>
      <c r="R104" t="e">
        <f>'2.4.Функции'!ACC180+"BYw!&amp;Dz"</f>
        <v>#VALUE!</v>
      </c>
      <c r="S104" t="e">
        <f>'2.4.Функции'!ACD180+"BYw!&amp;D{"</f>
        <v>#VALUE!</v>
      </c>
      <c r="T104" t="e">
        <f>'2.4.Функции'!ACE180+"BYw!&amp;D|"</f>
        <v>#VALUE!</v>
      </c>
      <c r="U104" t="e">
        <f>'2.4.Функции'!ACF180+"BYw!&amp;D}"</f>
        <v>#VALUE!</v>
      </c>
      <c r="V104" t="e">
        <f>'2.4.Функции'!ACG180+"BYw!&amp;D~"</f>
        <v>#VALUE!</v>
      </c>
      <c r="W104" t="e">
        <f>'2.4.Функции'!ACH180+"BYw!&amp;E#"</f>
        <v>#VALUE!</v>
      </c>
      <c r="X104" t="e">
        <f>'2.4.Функции'!ACI180+"BYw!&amp;E$"</f>
        <v>#VALUE!</v>
      </c>
      <c r="Y104" t="e">
        <f>'2.4.Функции'!ACJ180+"BYw!&amp;E%"</f>
        <v>#VALUE!</v>
      </c>
      <c r="Z104" t="e">
        <f>'2.4.Функции'!ACK180+"BYw!&amp;E&amp;"</f>
        <v>#VALUE!</v>
      </c>
      <c r="AA104" t="e">
        <f>'2.4.Функции'!ACL180+"BYw!&amp;E'"</f>
        <v>#VALUE!</v>
      </c>
      <c r="AB104" t="e">
        <f>'2.4.Функции'!ACM180+"BYw!&amp;E("</f>
        <v>#VALUE!</v>
      </c>
      <c r="AC104" t="e">
        <f>'2.4.Функции'!ACN180+"BYw!&amp;E)"</f>
        <v>#VALUE!</v>
      </c>
      <c r="AD104" t="e">
        <f>'2.4.Функции'!ACO180+"BYw!&amp;E."</f>
        <v>#VALUE!</v>
      </c>
      <c r="AE104" t="e">
        <f>'2.4.Функции'!ACP180+"BYw!&amp;E/"</f>
        <v>#VALUE!</v>
      </c>
      <c r="AF104" t="e">
        <f>'2.4.Функции'!ACQ180+"BYw!&amp;E0"</f>
        <v>#VALUE!</v>
      </c>
      <c r="AG104" t="e">
        <f>'2.4.Функции'!ACR180+"BYw!&amp;E1"</f>
        <v>#VALUE!</v>
      </c>
      <c r="AH104" t="e">
        <f>'2.4.Функции'!ACS180+"BYw!&amp;E2"</f>
        <v>#VALUE!</v>
      </c>
      <c r="AI104" t="e">
        <f>'2.4.Функции'!ACT180+"BYw!&amp;E3"</f>
        <v>#VALUE!</v>
      </c>
      <c r="AJ104" t="e">
        <f>'2.4.Функции'!ACU180+"BYw!&amp;E4"</f>
        <v>#VALUE!</v>
      </c>
      <c r="AK104" t="e">
        <f>'2.4.Функции'!ACV180+"BYw!&amp;E5"</f>
        <v>#VALUE!</v>
      </c>
      <c r="AL104" t="e">
        <f>'2.4.Функции'!ACW180+"BYw!&amp;E6"</f>
        <v>#VALUE!</v>
      </c>
      <c r="AM104" t="e">
        <f>'2.4.Функции'!ACX180+"BYw!&amp;E7"</f>
        <v>#VALUE!</v>
      </c>
      <c r="AN104" t="e">
        <f>'2.4.Функции'!ACY180+"BYw!&amp;E8"</f>
        <v>#VALUE!</v>
      </c>
      <c r="AO104" t="e">
        <f>'2.4.Функции'!ACZ180+"BYw!&amp;E9"</f>
        <v>#VALUE!</v>
      </c>
      <c r="AP104" t="e">
        <f>'2.4.Функции'!ADA180+"BYw!&amp;E:"</f>
        <v>#VALUE!</v>
      </c>
      <c r="AQ104" t="e">
        <f>'2.4.Функции'!ADB180+"BYw!&amp;E;"</f>
        <v>#VALUE!</v>
      </c>
      <c r="AR104" t="e">
        <f>'2.4.Функции'!ADC180+"BYw!&amp;E&lt;"</f>
        <v>#VALUE!</v>
      </c>
      <c r="AS104" t="e">
        <f>'2.4.Функции'!ADD180+"BYw!&amp;E="</f>
        <v>#VALUE!</v>
      </c>
      <c r="AT104" t="e">
        <f>'2.4.Функции'!ADE180+"BYw!&amp;E&gt;"</f>
        <v>#VALUE!</v>
      </c>
      <c r="AU104" t="e">
        <f>'2.4.Функции'!ADF180+"BYw!&amp;E?"</f>
        <v>#VALUE!</v>
      </c>
      <c r="AV104" t="e">
        <f>'2.4.Функции'!ADG180+"BYw!&amp;E@"</f>
        <v>#VALUE!</v>
      </c>
      <c r="AW104" t="e">
        <f>'2.4.Функции'!ADH180+"BYw!&amp;EA"</f>
        <v>#VALUE!</v>
      </c>
      <c r="AX104" t="e">
        <f>'2.4.Функции'!ADI180+"BYw!&amp;EB"</f>
        <v>#VALUE!</v>
      </c>
      <c r="AY104" t="e">
        <f>'2.4.Функции'!ADJ180+"BYw!&amp;EC"</f>
        <v>#VALUE!</v>
      </c>
      <c r="AZ104" t="e">
        <f>'2.4.Функции'!ADK180+"BYw!&amp;ED"</f>
        <v>#VALUE!</v>
      </c>
      <c r="BA104" t="e">
        <f>'2.4.Функции'!ADL180+"BYw!&amp;EE"</f>
        <v>#VALUE!</v>
      </c>
      <c r="BB104" t="e">
        <f>'2.4.Функции'!ADM180+"BYw!&amp;EF"</f>
        <v>#VALUE!</v>
      </c>
      <c r="BC104" t="e">
        <f>'2.4.Функции'!ADN180+"BYw!&amp;EG"</f>
        <v>#VALUE!</v>
      </c>
      <c r="BD104" t="e">
        <f>'2.4.Функции'!ADO180+"BYw!&amp;EH"</f>
        <v>#VALUE!</v>
      </c>
      <c r="BE104" t="e">
        <f>'2.4.Функции'!ADP180+"BYw!&amp;EI"</f>
        <v>#VALUE!</v>
      </c>
      <c r="BF104" t="e">
        <f>'2.4.Функции'!ADQ180+"BYw!&amp;EJ"</f>
        <v>#VALUE!</v>
      </c>
      <c r="BG104" t="e">
        <f>'2.4.Функции'!ADR180+"BYw!&amp;EK"</f>
        <v>#VALUE!</v>
      </c>
      <c r="BH104" t="e">
        <f>'2.4.Функции'!ADS180+"BYw!&amp;EL"</f>
        <v>#VALUE!</v>
      </c>
      <c r="BI104" t="e">
        <f>'2.4.Функции'!ADT180+"BYw!&amp;EM"</f>
        <v>#VALUE!</v>
      </c>
      <c r="BJ104" t="e">
        <f>'2.4.Функции'!ADU180+"BYw!&amp;EN"</f>
        <v>#VALUE!</v>
      </c>
      <c r="BK104" t="e">
        <f>'2.4.Функции'!ADV180+"BYw!&amp;EO"</f>
        <v>#VALUE!</v>
      </c>
      <c r="BL104" t="e">
        <f>'2.4.Функции'!ADW180+"BYw!&amp;EP"</f>
        <v>#VALUE!</v>
      </c>
      <c r="BM104" t="e">
        <f>'2.4.Функции'!ADX180+"BYw!&amp;EQ"</f>
        <v>#VALUE!</v>
      </c>
      <c r="BN104" t="e">
        <f>'2.4.Функции'!ADY180+"BYw!&amp;ER"</f>
        <v>#VALUE!</v>
      </c>
      <c r="BO104" t="e">
        <f>'2.4.Функции'!ADZ180+"BYw!&amp;ES"</f>
        <v>#VALUE!</v>
      </c>
      <c r="BP104" t="e">
        <f>'2.4.Функции'!AEA180+"BYw!&amp;ET"</f>
        <v>#VALUE!</v>
      </c>
      <c r="BQ104" t="e">
        <f>'2.4.Функции'!AEB180+"BYw!&amp;EU"</f>
        <v>#VALUE!</v>
      </c>
      <c r="BR104" t="e">
        <f>'2.4.Функции'!AEC180+"BYw!&amp;EV"</f>
        <v>#VALUE!</v>
      </c>
      <c r="BS104" t="e">
        <f>'2.4.Функции'!AED180+"BYw!&amp;EW"</f>
        <v>#VALUE!</v>
      </c>
      <c r="BT104" t="e">
        <f>'2.4.Функции'!AEE180+"BYw!&amp;EX"</f>
        <v>#VALUE!</v>
      </c>
      <c r="BU104" t="e">
        <f>'2.4.Функции'!AEF180+"BYw!&amp;EY"</f>
        <v>#VALUE!</v>
      </c>
      <c r="BV104" t="e">
        <f>'2.4.Функции'!AEG180+"BYw!&amp;EZ"</f>
        <v>#VALUE!</v>
      </c>
      <c r="BW104" t="e">
        <f>'2.4.Функции'!AEH180+"BYw!&amp;E["</f>
        <v>#VALUE!</v>
      </c>
      <c r="BX104" t="e">
        <f>'2.4.Функции'!AEI180+"BYw!&amp;E\"</f>
        <v>#VALUE!</v>
      </c>
      <c r="BY104" t="e">
        <f>'2.4.Функции'!AEJ180+"BYw!&amp;E]"</f>
        <v>#VALUE!</v>
      </c>
      <c r="BZ104" t="e">
        <f>'2.4.Функции'!AEK180+"BYw!&amp;E^"</f>
        <v>#VALUE!</v>
      </c>
      <c r="CA104" t="e">
        <f>'2.4.Функции'!AEL180+"BYw!&amp;E_"</f>
        <v>#VALUE!</v>
      </c>
      <c r="CB104" t="e">
        <f>'2.4.Функции'!AEM180+"BYw!&amp;E`"</f>
        <v>#VALUE!</v>
      </c>
      <c r="CC104" t="e">
        <f>'2.4.Функции'!AEN180+"BYw!&amp;Ea"</f>
        <v>#VALUE!</v>
      </c>
      <c r="CD104" t="e">
        <f>'2.4.Функции'!AEO180+"BYw!&amp;Eb"</f>
        <v>#VALUE!</v>
      </c>
      <c r="CE104" t="e">
        <f>'2.4.Функции'!AEP180+"BYw!&amp;Ec"</f>
        <v>#VALUE!</v>
      </c>
      <c r="CF104" t="e">
        <f>'2.4.Функции'!AEQ180+"BYw!&amp;Ed"</f>
        <v>#VALUE!</v>
      </c>
      <c r="CG104" t="e">
        <f>'2.4.Функции'!AER180+"BYw!&amp;Ee"</f>
        <v>#VALUE!</v>
      </c>
      <c r="CH104" t="e">
        <f>'2.4.Функции'!AES180+"BYw!&amp;Ef"</f>
        <v>#VALUE!</v>
      </c>
      <c r="CI104" t="e">
        <f>'2.4.Функции'!AET180+"BYw!&amp;Eg"</f>
        <v>#VALUE!</v>
      </c>
      <c r="CJ104" t="e">
        <f>'2.4.Функции'!AEU180+"BYw!&amp;Eh"</f>
        <v>#VALUE!</v>
      </c>
      <c r="CK104" t="e">
        <f>'2.4.Функции'!AEV180+"BYw!&amp;Ei"</f>
        <v>#VALUE!</v>
      </c>
      <c r="CL104" t="e">
        <f>'2.4.Функции'!AEW180+"BYw!&amp;Ej"</f>
        <v>#VALUE!</v>
      </c>
      <c r="CM104" t="e">
        <f>'2.4.Функции'!AEX180+"BYw!&amp;Ek"</f>
        <v>#VALUE!</v>
      </c>
      <c r="CN104" t="e">
        <f>'2.4.Функции'!AEY180+"BYw!&amp;El"</f>
        <v>#VALUE!</v>
      </c>
      <c r="CO104" t="e">
        <f>'2.4.Функции'!AEZ180+"BYw!&amp;Em"</f>
        <v>#VALUE!</v>
      </c>
      <c r="CP104" t="e">
        <f>'2.4.Функции'!AFA180+"BYw!&amp;En"</f>
        <v>#VALUE!</v>
      </c>
      <c r="CQ104" t="e">
        <f>'2.4.Функции'!AFB180+"BYw!&amp;Eo"</f>
        <v>#VALUE!</v>
      </c>
      <c r="CR104" t="e">
        <f>'2.4.Функции'!AFC180+"BYw!&amp;Ep"</f>
        <v>#VALUE!</v>
      </c>
      <c r="CS104" t="e">
        <f>'2.4.Функции'!AFD180+"BYw!&amp;Eq"</f>
        <v>#VALUE!</v>
      </c>
      <c r="CT104" t="e">
        <f>'2.4.Функции'!AFE180+"BYw!&amp;Er"</f>
        <v>#VALUE!</v>
      </c>
      <c r="CU104" t="e">
        <f>'2.4.Функции'!AFF180+"BYw!&amp;Es"</f>
        <v>#VALUE!</v>
      </c>
      <c r="CV104" t="e">
        <f>'2.4.Функции'!AFG180+"BYw!&amp;Et"</f>
        <v>#VALUE!</v>
      </c>
      <c r="CW104" t="e">
        <f>'2.4.Функции'!AFH180+"BYw!&amp;Eu"</f>
        <v>#VALUE!</v>
      </c>
      <c r="CX104" t="e">
        <f>'2.4.Функции'!AFI180+"BYw!&amp;Ev"</f>
        <v>#VALUE!</v>
      </c>
      <c r="CY104" t="e">
        <f>'2.4.Функции'!AFJ180+"BYw!&amp;Ew"</f>
        <v>#VALUE!</v>
      </c>
      <c r="CZ104" t="e">
        <f>'2.4.Функции'!AFK180+"BYw!&amp;Ex"</f>
        <v>#VALUE!</v>
      </c>
      <c r="DA104" t="e">
        <f>'2.4.Функции'!AFL180+"BYw!&amp;Ey"</f>
        <v>#VALUE!</v>
      </c>
      <c r="DB104" t="e">
        <f>'2.4.Функции'!AFM180+"BYw!&amp;Ez"</f>
        <v>#VALUE!</v>
      </c>
      <c r="DC104" t="e">
        <f>'2.4.Функции'!AFN180+"BYw!&amp;E{"</f>
        <v>#VALUE!</v>
      </c>
      <c r="DD104" t="e">
        <f>'2.4.Функции'!AFO180+"BYw!&amp;E|"</f>
        <v>#VALUE!</v>
      </c>
      <c r="DE104" t="e">
        <f>'2.4.Функции'!AFP180+"BYw!&amp;E}"</f>
        <v>#VALUE!</v>
      </c>
      <c r="DF104" t="e">
        <f>'2.4.Функции'!AFQ180+"BYw!&amp;E~"</f>
        <v>#VALUE!</v>
      </c>
      <c r="DG104" t="e">
        <f>'2.4.Функции'!AFR180+"BYw!&amp;F#"</f>
        <v>#VALUE!</v>
      </c>
      <c r="DH104" t="e">
        <f>'2.4.Функции'!AFS180+"BYw!&amp;F$"</f>
        <v>#VALUE!</v>
      </c>
      <c r="DI104" t="e">
        <f>'2.4.Функции'!AFT180+"BYw!&amp;F%"</f>
        <v>#VALUE!</v>
      </c>
      <c r="DJ104" t="e">
        <f>'2.4.Функции'!AFU180+"BYw!&amp;F&amp;"</f>
        <v>#VALUE!</v>
      </c>
      <c r="DK104" t="e">
        <f>'2.4.Функции'!AFV180+"BYw!&amp;F'"</f>
        <v>#VALUE!</v>
      </c>
      <c r="DL104" t="e">
        <f>'2.4.Функции'!AFW180+"BYw!&amp;F("</f>
        <v>#VALUE!</v>
      </c>
      <c r="DM104" t="e">
        <f>'2.4.Функции'!AFX180+"BYw!&amp;F)"</f>
        <v>#VALUE!</v>
      </c>
      <c r="DN104" t="e">
        <f>'2.4.Функции'!AFY180+"BYw!&amp;F."</f>
        <v>#VALUE!</v>
      </c>
      <c r="DO104" t="e">
        <f>'2.4.Функции'!AFZ180+"BYw!&amp;F/"</f>
        <v>#VALUE!</v>
      </c>
      <c r="DP104" t="e">
        <f>'2.4.Функции'!AGA180+"BYw!&amp;F0"</f>
        <v>#VALUE!</v>
      </c>
      <c r="DQ104" t="e">
        <f>'2.4.Функции'!AGB180+"BYw!&amp;F1"</f>
        <v>#VALUE!</v>
      </c>
      <c r="DR104" t="e">
        <f>'2.4.Функции'!AGC180+"BYw!&amp;F2"</f>
        <v>#VALUE!</v>
      </c>
      <c r="DS104" t="e">
        <f>'2.4.Функции'!AGD180+"BYw!&amp;F3"</f>
        <v>#VALUE!</v>
      </c>
      <c r="DT104" t="e">
        <f>'2.4.Функции'!AGE180+"BYw!&amp;F4"</f>
        <v>#VALUE!</v>
      </c>
      <c r="DU104" t="e">
        <f>'2.4.Функции'!AGF180+"BYw!&amp;F5"</f>
        <v>#VALUE!</v>
      </c>
      <c r="DV104" t="e">
        <f>'2.4.Функции'!AGG180+"BYw!&amp;F6"</f>
        <v>#VALUE!</v>
      </c>
      <c r="DW104" t="e">
        <f>'2.4.Функции'!AGH180+"BYw!&amp;F7"</f>
        <v>#VALUE!</v>
      </c>
      <c r="DX104" t="e">
        <f>'2.4.Функции'!AGI180+"BYw!&amp;F8"</f>
        <v>#VALUE!</v>
      </c>
      <c r="DY104" t="e">
        <f>'2.4.Функции'!AGJ180+"BYw!&amp;F9"</f>
        <v>#VALUE!</v>
      </c>
      <c r="DZ104" t="e">
        <f>'2.4.Функции'!AGK180+"BYw!&amp;F:"</f>
        <v>#VALUE!</v>
      </c>
      <c r="EA104" t="e">
        <f>'2.4.Функции'!AGL180+"BYw!&amp;F;"</f>
        <v>#VALUE!</v>
      </c>
      <c r="EB104" t="e">
        <f>'2.4.Функции'!AGM180+"BYw!&amp;F&lt;"</f>
        <v>#VALUE!</v>
      </c>
      <c r="EC104" t="e">
        <f>'2.4.Функции'!AGN180+"BYw!&amp;F="</f>
        <v>#VALUE!</v>
      </c>
      <c r="ED104" t="e">
        <f>'2.4.Функции'!AGO180+"BYw!&amp;F&gt;"</f>
        <v>#VALUE!</v>
      </c>
      <c r="EE104" t="e">
        <f>'2.4.Функции'!AGP180+"BYw!&amp;F?"</f>
        <v>#VALUE!</v>
      </c>
      <c r="EF104" t="e">
        <f>'2.4.Функции'!AGQ180+"BYw!&amp;F@"</f>
        <v>#VALUE!</v>
      </c>
      <c r="EG104" t="e">
        <f>'2.4.Функции'!AGR180+"BYw!&amp;FA"</f>
        <v>#VALUE!</v>
      </c>
      <c r="EH104" t="e">
        <f>'2.4.Функции'!AGS180+"BYw!&amp;FB"</f>
        <v>#VALUE!</v>
      </c>
      <c r="EI104" t="e">
        <f>'2.4.Функции'!AGT180+"BYw!&amp;FC"</f>
        <v>#VALUE!</v>
      </c>
      <c r="EJ104" t="e">
        <f>'2.4.Функции'!AGU180+"BYw!&amp;FD"</f>
        <v>#VALUE!</v>
      </c>
      <c r="EK104" t="e">
        <f>'2.4.Функции'!AGV180+"BYw!&amp;FE"</f>
        <v>#VALUE!</v>
      </c>
      <c r="EL104" t="e">
        <f>'2.4.Функции'!AGW180+"BYw!&amp;FF"</f>
        <v>#VALUE!</v>
      </c>
      <c r="EM104" t="e">
        <f>'2.4.Функции'!AGX180+"BYw!&amp;FG"</f>
        <v>#VALUE!</v>
      </c>
      <c r="EN104" t="e">
        <f>'2.4.Функции'!AGY180+"BYw!&amp;FH"</f>
        <v>#VALUE!</v>
      </c>
      <c r="EO104" t="e">
        <f>'2.4.Функции'!AGZ180+"BYw!&amp;FI"</f>
        <v>#VALUE!</v>
      </c>
      <c r="EP104" t="e">
        <f>'2.4.Функции'!AHA180+"BYw!&amp;FJ"</f>
        <v>#VALUE!</v>
      </c>
      <c r="EQ104" t="e">
        <f>'2.4.Функции'!AHB180+"BYw!&amp;FK"</f>
        <v>#VALUE!</v>
      </c>
      <c r="ER104" t="e">
        <f>'2.4.Функции'!AHC180+"BYw!&amp;FL"</f>
        <v>#VALUE!</v>
      </c>
      <c r="ES104" t="e">
        <f>'2.4.Функции'!AHD180+"BYw!&amp;FM"</f>
        <v>#VALUE!</v>
      </c>
      <c r="ET104" t="e">
        <f>'2.4.Функции'!AHE180+"BYw!&amp;FN"</f>
        <v>#VALUE!</v>
      </c>
      <c r="EU104" t="e">
        <f>'2.4.Функции'!AHF180+"BYw!&amp;FO"</f>
        <v>#VALUE!</v>
      </c>
      <c r="EV104" t="e">
        <f>'2.4.Функции'!AHG180+"BYw!&amp;FP"</f>
        <v>#VALUE!</v>
      </c>
      <c r="EW104" t="e">
        <f>'2.4.Функции'!AHH180+"BYw!&amp;FQ"</f>
        <v>#VALUE!</v>
      </c>
      <c r="EX104" t="e">
        <f>'2.4.Функции'!AHI180+"BYw!&amp;FR"</f>
        <v>#VALUE!</v>
      </c>
      <c r="EY104" t="e">
        <f>'2.4.Функции'!AHJ180+"BYw!&amp;FS"</f>
        <v>#VALUE!</v>
      </c>
      <c r="EZ104" t="e">
        <f>'2.4.Функции'!AHK180+"BYw!&amp;FT"</f>
        <v>#VALUE!</v>
      </c>
      <c r="FA104" t="e">
        <f>'2.4.Функции'!AHL180+"BYw!&amp;FU"</f>
        <v>#VALUE!</v>
      </c>
      <c r="FB104" t="e">
        <f>'2.4.Функции'!AHM180+"BYw!&amp;FV"</f>
        <v>#VALUE!</v>
      </c>
      <c r="FC104" t="e">
        <f>'2.4.Функции'!AHN180+"BYw!&amp;FW"</f>
        <v>#VALUE!</v>
      </c>
      <c r="FD104" t="e">
        <f>'2.4.Функции'!AHO180+"BYw!&amp;FX"</f>
        <v>#VALUE!</v>
      </c>
      <c r="FE104" t="e">
        <f>'2.4.Функции'!AHP180+"BYw!&amp;FY"</f>
        <v>#VALUE!</v>
      </c>
      <c r="FF104" t="e">
        <f>'2.4.Функции'!AHQ180+"BYw!&amp;FZ"</f>
        <v>#VALUE!</v>
      </c>
      <c r="FG104" t="e">
        <f>'2.4.Функции'!AHR180+"BYw!&amp;F["</f>
        <v>#VALUE!</v>
      </c>
      <c r="FH104" t="e">
        <f>'2.4.Функции'!AHS180+"BYw!&amp;F\"</f>
        <v>#VALUE!</v>
      </c>
      <c r="FI104" t="e">
        <f>'2.4.Функции'!AHT180+"BYw!&amp;F]"</f>
        <v>#VALUE!</v>
      </c>
      <c r="FJ104" t="e">
        <f>'2.4.Функции'!AHU180+"BYw!&amp;F^"</f>
        <v>#VALUE!</v>
      </c>
      <c r="FK104" t="e">
        <f>'2.4.Функции'!AHV180+"BYw!&amp;F_"</f>
        <v>#VALUE!</v>
      </c>
      <c r="FL104" t="e">
        <f>'2.4.Функции'!AHW180+"BYw!&amp;F`"</f>
        <v>#VALUE!</v>
      </c>
      <c r="FM104" t="e">
        <f>'2.4.Функции'!AHX180+"BYw!&amp;Fa"</f>
        <v>#VALUE!</v>
      </c>
      <c r="FN104" t="e">
        <f>'2.4.Функции'!AHY180+"BYw!&amp;Fb"</f>
        <v>#VALUE!</v>
      </c>
      <c r="FO104" t="e">
        <f>'2.4.Функции'!AHZ180+"BYw!&amp;Fc"</f>
        <v>#VALUE!</v>
      </c>
      <c r="FP104" t="e">
        <f>'2.4.Функции'!AIA180+"BYw!&amp;Fd"</f>
        <v>#VALUE!</v>
      </c>
      <c r="FQ104" t="e">
        <f>'2.4.Функции'!AIB180+"BYw!&amp;Fe"</f>
        <v>#VALUE!</v>
      </c>
      <c r="FR104" t="e">
        <f>'2.4.Функции'!AIC180+"BYw!&amp;Ff"</f>
        <v>#VALUE!</v>
      </c>
      <c r="FS104" t="e">
        <f>'2.4.Функции'!AID180+"BYw!&amp;Fg"</f>
        <v>#VALUE!</v>
      </c>
      <c r="FT104" t="e">
        <f>'2.4.Функции'!AIE180+"BYw!&amp;Fh"</f>
        <v>#VALUE!</v>
      </c>
      <c r="FU104" t="e">
        <f>'2.4.Функции'!AIF180+"BYw!&amp;Fi"</f>
        <v>#VALUE!</v>
      </c>
      <c r="FV104" t="e">
        <f>'2.4.Функции'!AIG180+"BYw!&amp;Fj"</f>
        <v>#VALUE!</v>
      </c>
      <c r="FW104" t="e">
        <f>'2.4.Функции'!AIH180+"BYw!&amp;Fk"</f>
        <v>#VALUE!</v>
      </c>
      <c r="FX104" s="116" t="e">
        <f>'2.4.Функции'!B181+"BYw!&amp;Fl"</f>
        <v>#VALUE!</v>
      </c>
      <c r="FY104" t="e">
        <f>'2.4.Функции'!C181+"BYw!&amp;Fm"</f>
        <v>#VALUE!</v>
      </c>
      <c r="FZ104" s="119" t="e">
        <f>'2.4.Функции'!D181+"BYw!&amp;Fn"</f>
        <v>#VALUE!</v>
      </c>
      <c r="GA104" s="119" t="e">
        <f>'2.4.Функции'!E181+"BYw!&amp;Fo"</f>
        <v>#VALUE!</v>
      </c>
      <c r="GB104" s="119" t="e">
        <f>'2.4.Функции'!F181+"BYw!&amp;Fp"</f>
        <v>#VALUE!</v>
      </c>
      <c r="GC104" s="119" t="e">
        <f>'2.4.Функции'!G181+"BYw!&amp;Fq"</f>
        <v>#VALUE!</v>
      </c>
      <c r="GD104" s="119" t="e">
        <f>'2.4.Функции'!H181+"BYw!&amp;Fr"</f>
        <v>#VALUE!</v>
      </c>
      <c r="GE104" s="119" t="e">
        <f>'2.4.Функции'!I181+"BYw!&amp;Fs"</f>
        <v>#VALUE!</v>
      </c>
      <c r="GF104" s="119" t="e">
        <f>'2.4.Функции'!J181+"BYw!&amp;Ft"</f>
        <v>#VALUE!</v>
      </c>
      <c r="GG104" s="119" t="e">
        <f>'2.4.Функции'!K181+"BYw!&amp;Fu"</f>
        <v>#VALUE!</v>
      </c>
      <c r="GH104" t="e">
        <f>'2.4.Функции'!L181+"BYw!&amp;Fv"</f>
        <v>#VALUE!</v>
      </c>
      <c r="GI104" t="e">
        <f>'2.4.Функции'!M181+"BYw!&amp;Fw"</f>
        <v>#VALUE!</v>
      </c>
      <c r="GJ104" t="e">
        <f>'2.4.Функции'!N181+"BYw!&amp;Fx"</f>
        <v>#VALUE!</v>
      </c>
      <c r="GK104" t="e">
        <f>'2.4.Функции'!O181+"BYw!&amp;Fy"</f>
        <v>#VALUE!</v>
      </c>
      <c r="GL104" t="e">
        <f>'2.4.Функции'!P181+"BYw!&amp;Fz"</f>
        <v>#VALUE!</v>
      </c>
      <c r="GM104" t="e">
        <f>'2.4.Функции'!Q181+"BYw!&amp;F{"</f>
        <v>#VALUE!</v>
      </c>
      <c r="GN104" t="e">
        <f>'2.4.Функции'!R181+"BYw!&amp;F|"</f>
        <v>#VALUE!</v>
      </c>
      <c r="GO104" t="e">
        <f>'2.4.Функции'!S181+"BYw!&amp;F}"</f>
        <v>#VALUE!</v>
      </c>
      <c r="GP104" t="e">
        <f>'2.4.Функции'!T181+"BYw!&amp;F~"</f>
        <v>#VALUE!</v>
      </c>
      <c r="GQ104" t="e">
        <f>'2.4.Функции'!U181+"BYw!&amp;G#"</f>
        <v>#VALUE!</v>
      </c>
      <c r="GR104" t="e">
        <f>'2.4.Функции'!V181+"BYw!&amp;G$"</f>
        <v>#VALUE!</v>
      </c>
      <c r="GS104" t="e">
        <f>'2.4.Функции'!W181+"BYw!&amp;G%"</f>
        <v>#VALUE!</v>
      </c>
      <c r="GT104" t="e">
        <f>'2.4.Функции'!X181+"BYw!&amp;G&amp;"</f>
        <v>#VALUE!</v>
      </c>
      <c r="GU104" t="e">
        <f>'2.4.Функции'!Y181+"BYw!&amp;G'"</f>
        <v>#VALUE!</v>
      </c>
      <c r="GV104" t="e">
        <f>'2.4.Функции'!Z181+"BYw!&amp;G("</f>
        <v>#VALUE!</v>
      </c>
      <c r="GW104" t="e">
        <f>'2.4.Функции'!AA181+"BYw!&amp;G)"</f>
        <v>#VALUE!</v>
      </c>
      <c r="GX104" t="e">
        <f>'2.4.Функции'!AB181+"BYw!&amp;G."</f>
        <v>#VALUE!</v>
      </c>
      <c r="GY104" t="e">
        <f>'2.4.Функции'!AC181+"BYw!&amp;G/"</f>
        <v>#VALUE!</v>
      </c>
      <c r="GZ104" t="e">
        <f>'2.4.Функции'!A182+"BYw!&amp;G0"</f>
        <v>#VALUE!</v>
      </c>
      <c r="HA104" s="116" t="e">
        <f>'2.4.Функции'!B182+"BYw!&amp;G1"</f>
        <v>#VALUE!</v>
      </c>
      <c r="HB104" t="e">
        <f>'2.4.Функции'!C182+"BYw!&amp;G2"</f>
        <v>#VALUE!</v>
      </c>
      <c r="HC104" s="119" t="e">
        <f>'2.4.Функции'!D182+"BYw!&amp;G3"</f>
        <v>#VALUE!</v>
      </c>
      <c r="HD104" s="119" t="e">
        <f>'2.4.Функции'!E182+"BYw!&amp;G4"</f>
        <v>#VALUE!</v>
      </c>
      <c r="HE104" s="119" t="e">
        <f>'2.4.Функции'!F182+"BYw!&amp;G5"</f>
        <v>#VALUE!</v>
      </c>
      <c r="HF104" s="119" t="e">
        <f>'2.4.Функции'!G182+"BYw!&amp;G6"</f>
        <v>#VALUE!</v>
      </c>
      <c r="HG104" s="119" t="e">
        <f>'2.4.Функции'!H182+"BYw!&amp;G7"</f>
        <v>#VALUE!</v>
      </c>
      <c r="HH104" s="119" t="e">
        <f>'2.4.Функции'!I182+"BYw!&amp;G8"</f>
        <v>#VALUE!</v>
      </c>
      <c r="HI104" s="119" t="e">
        <f>'2.4.Функции'!J182+"BYw!&amp;G9"</f>
        <v>#VALUE!</v>
      </c>
      <c r="HJ104" s="119" t="e">
        <f>'2.4.Функции'!K182+"BYw!&amp;G:"</f>
        <v>#VALUE!</v>
      </c>
      <c r="HK104" t="e">
        <f>'2.4.Функции'!L182+"BYw!&amp;G;"</f>
        <v>#VALUE!</v>
      </c>
      <c r="HL104" t="e">
        <f>'2.4.Функции'!M182+"BYw!&amp;G&lt;"</f>
        <v>#VALUE!</v>
      </c>
      <c r="HM104" t="e">
        <f>'2.4.Функции'!N182+"BYw!&amp;G="</f>
        <v>#VALUE!</v>
      </c>
      <c r="HN104" t="e">
        <f>'2.4.Функции'!O182+"BYw!&amp;G&gt;"</f>
        <v>#VALUE!</v>
      </c>
      <c r="HO104" t="e">
        <f>'2.4.Функции'!P182+"BYw!&amp;G?"</f>
        <v>#VALUE!</v>
      </c>
      <c r="HP104" t="e">
        <f>'2.4.Функции'!Q182+"BYw!&amp;G@"</f>
        <v>#VALUE!</v>
      </c>
      <c r="HQ104" t="e">
        <f>'2.4.Функции'!R182+"BYw!&amp;GA"</f>
        <v>#VALUE!</v>
      </c>
      <c r="HR104" t="e">
        <f>'2.4.Функции'!S182+"BYw!&amp;GB"</f>
        <v>#VALUE!</v>
      </c>
      <c r="HS104" t="e">
        <f>'2.4.Функции'!T182+"BYw!&amp;GC"</f>
        <v>#VALUE!</v>
      </c>
      <c r="HT104" t="e">
        <f>'2.4.Функции'!U182+"BYw!&amp;GD"</f>
        <v>#VALUE!</v>
      </c>
      <c r="HU104" t="e">
        <f>'2.4.Функции'!V182+"BYw!&amp;GE"</f>
        <v>#VALUE!</v>
      </c>
      <c r="HV104" t="e">
        <f>'2.4.Функции'!W182+"BYw!&amp;GF"</f>
        <v>#VALUE!</v>
      </c>
      <c r="HW104" t="e">
        <f>'2.4.Функции'!X182+"BYw!&amp;GG"</f>
        <v>#VALUE!</v>
      </c>
      <c r="HX104" t="e">
        <f>'2.4.Функции'!Y182+"BYw!&amp;GH"</f>
        <v>#VALUE!</v>
      </c>
      <c r="HY104" t="e">
        <f>'2.4.Функции'!Z182+"BYw!&amp;GI"</f>
        <v>#VALUE!</v>
      </c>
      <c r="HZ104" t="e">
        <f>'2.4.Функции'!AA182+"BYw!&amp;GJ"</f>
        <v>#VALUE!</v>
      </c>
      <c r="IA104" t="e">
        <f>'2.4.Функции'!AB182+"BYw!&amp;GK"</f>
        <v>#VALUE!</v>
      </c>
      <c r="IB104" t="e">
        <f>'2.4.Функции'!AC182+"BYw!&amp;GL"</f>
        <v>#VALUE!</v>
      </c>
      <c r="IC104" t="e">
        <f>'2.4.Функции'!AD182+"BYw!&amp;GM"</f>
        <v>#VALUE!</v>
      </c>
      <c r="ID104" t="e">
        <f>'2.4.Функции'!AE182+"BYw!&amp;GN"</f>
        <v>#VALUE!</v>
      </c>
      <c r="IE104" t="e">
        <f>'2.4.Функции'!AF182+"BYw!&amp;GO"</f>
        <v>#VALUE!</v>
      </c>
      <c r="IF104" t="e">
        <f>'2.4.Функции'!AG182+"BYw!&amp;GP"</f>
        <v>#VALUE!</v>
      </c>
      <c r="IG104" t="e">
        <f>'2.4.Функции'!AH182+"BYw!&amp;GQ"</f>
        <v>#VALUE!</v>
      </c>
      <c r="IH104" t="e">
        <f>'2.4.Функции'!AI182+"BYw!&amp;GR"</f>
        <v>#VALUE!</v>
      </c>
      <c r="II104" t="e">
        <f>'2.4.Функции'!AJ182+"BYw!&amp;GS"</f>
        <v>#VALUE!</v>
      </c>
      <c r="IJ104" t="e">
        <f>'2.4.Функции'!AK182+"BYw!&amp;GT"</f>
        <v>#VALUE!</v>
      </c>
      <c r="IK104" t="e">
        <f>'2.4.Функции'!AL182+"BYw!&amp;GU"</f>
        <v>#VALUE!</v>
      </c>
      <c r="IL104" t="e">
        <f>'2.4.Функции'!AM182+"BYw!&amp;GV"</f>
        <v>#VALUE!</v>
      </c>
      <c r="IM104" t="e">
        <f>'2.4.Функции'!AN182+"BYw!&amp;GW"</f>
        <v>#VALUE!</v>
      </c>
      <c r="IN104" t="e">
        <f>'2.4.Функции'!AO182+"BYw!&amp;GX"</f>
        <v>#VALUE!</v>
      </c>
      <c r="IO104" t="e">
        <f>'2.4.Функции'!AP182+"BYw!&amp;GY"</f>
        <v>#VALUE!</v>
      </c>
      <c r="IP104" t="e">
        <f>'2.4.Функции'!AQ182+"BYw!&amp;GZ"</f>
        <v>#VALUE!</v>
      </c>
      <c r="IQ104" t="e">
        <f>'2.4.Функции'!AR182+"BYw!&amp;G["</f>
        <v>#VALUE!</v>
      </c>
      <c r="IR104" t="e">
        <f>'2.4.Функции'!AS182+"BYw!&amp;G\"</f>
        <v>#VALUE!</v>
      </c>
      <c r="IS104" t="e">
        <f>'2.4.Функции'!AT182+"BYw!&amp;G]"</f>
        <v>#VALUE!</v>
      </c>
      <c r="IT104" t="e">
        <f>'2.4.Функции'!AU182+"BYw!&amp;G^"</f>
        <v>#VALUE!</v>
      </c>
      <c r="IU104" t="e">
        <f>'2.4.Функции'!AV182+"BYw!&amp;G_"</f>
        <v>#VALUE!</v>
      </c>
      <c r="IV104" t="e">
        <f>'2.4.Функции'!AW182+"BYw!&amp;G`"</f>
        <v>#VALUE!</v>
      </c>
    </row>
    <row r="105" spans="6:256" x14ac:dyDescent="0.2">
      <c r="F105" t="e">
        <f>'2.4.Функции'!AX182+"BYw!&amp;Ga"</f>
        <v>#VALUE!</v>
      </c>
      <c r="G105" t="e">
        <f>'2.4.Функции'!AY182+"BYw!&amp;Gb"</f>
        <v>#VALUE!</v>
      </c>
      <c r="H105" t="e">
        <f>'2.4.Функции'!AZ182+"BYw!&amp;Gc"</f>
        <v>#VALUE!</v>
      </c>
      <c r="I105" t="e">
        <f>'2.4.Функции'!BA182+"BYw!&amp;Gd"</f>
        <v>#VALUE!</v>
      </c>
      <c r="J105" t="e">
        <f>'2.4.Функции'!BB182+"BYw!&amp;Ge"</f>
        <v>#VALUE!</v>
      </c>
      <c r="K105" t="e">
        <f>'2.4.Функции'!BC182+"BYw!&amp;Gf"</f>
        <v>#VALUE!</v>
      </c>
      <c r="L105" t="e">
        <f>'2.4.Функции'!BD182+"BYw!&amp;Gg"</f>
        <v>#VALUE!</v>
      </c>
      <c r="M105" t="e">
        <f>'2.4.Функции'!BE182+"BYw!&amp;Gh"</f>
        <v>#VALUE!</v>
      </c>
      <c r="N105" t="e">
        <f>'2.4.Функции'!BF182+"BYw!&amp;Gi"</f>
        <v>#VALUE!</v>
      </c>
      <c r="O105" t="e">
        <f>'2.4.Функции'!BG182+"BYw!&amp;Gj"</f>
        <v>#VALUE!</v>
      </c>
      <c r="P105" t="e">
        <f>'2.4.Функции'!BH182+"BYw!&amp;Gk"</f>
        <v>#VALUE!</v>
      </c>
      <c r="Q105" t="e">
        <f>'2.4.Функции'!BI182+"BYw!&amp;Gl"</f>
        <v>#VALUE!</v>
      </c>
      <c r="R105" t="e">
        <f>'2.4.Функции'!BJ182+"BYw!&amp;Gm"</f>
        <v>#VALUE!</v>
      </c>
      <c r="S105" t="e">
        <f>'2.4.Функции'!BK182+"BYw!&amp;Gn"</f>
        <v>#VALUE!</v>
      </c>
      <c r="T105" t="e">
        <f>'2.4.Функции'!BL182+"BYw!&amp;Go"</f>
        <v>#VALUE!</v>
      </c>
      <c r="U105" t="e">
        <f>'2.4.Функции'!BM182+"BYw!&amp;Gp"</f>
        <v>#VALUE!</v>
      </c>
      <c r="V105" t="e">
        <f>'2.4.Функции'!BN182+"BYw!&amp;Gq"</f>
        <v>#VALUE!</v>
      </c>
      <c r="W105" t="e">
        <f>'2.4.Функции'!BO182+"BYw!&amp;Gr"</f>
        <v>#VALUE!</v>
      </c>
      <c r="X105" t="e">
        <f>'2.4.Функции'!BP182+"BYw!&amp;Gs"</f>
        <v>#VALUE!</v>
      </c>
      <c r="Y105" t="e">
        <f>'2.4.Функции'!BQ182+"BYw!&amp;Gt"</f>
        <v>#VALUE!</v>
      </c>
      <c r="Z105" t="e">
        <f>'2.4.Функции'!BR182+"BYw!&amp;Gu"</f>
        <v>#VALUE!</v>
      </c>
      <c r="AA105" t="e">
        <f>'2.4.Функции'!BS182+"BYw!&amp;Gv"</f>
        <v>#VALUE!</v>
      </c>
      <c r="AB105" t="e">
        <f>'2.4.Функции'!BT182+"BYw!&amp;Gw"</f>
        <v>#VALUE!</v>
      </c>
      <c r="AC105" t="e">
        <f>'2.4.Функции'!BU182+"BYw!&amp;Gx"</f>
        <v>#VALUE!</v>
      </c>
      <c r="AD105" t="e">
        <f>'2.4.Функции'!BV182+"BYw!&amp;Gy"</f>
        <v>#VALUE!</v>
      </c>
      <c r="AE105" t="e">
        <f>'2.4.Функции'!BW182+"BYw!&amp;Gz"</f>
        <v>#VALUE!</v>
      </c>
      <c r="AF105" t="e">
        <f>'2.4.Функции'!BX182+"BYw!&amp;G{"</f>
        <v>#VALUE!</v>
      </c>
      <c r="AG105" t="e">
        <f>'2.4.Функции'!BY182+"BYw!&amp;G|"</f>
        <v>#VALUE!</v>
      </c>
      <c r="AH105" t="e">
        <f>'2.4.Функции'!BZ182+"BYw!&amp;G}"</f>
        <v>#VALUE!</v>
      </c>
      <c r="AI105" t="e">
        <f>'2.4.Функции'!CA182+"BYw!&amp;G~"</f>
        <v>#VALUE!</v>
      </c>
      <c r="AJ105" t="e">
        <f>'2.4.Функции'!CB182+"BYw!&amp;H#"</f>
        <v>#VALUE!</v>
      </c>
      <c r="AK105" t="e">
        <f>'2.4.Функции'!CC182+"BYw!&amp;H$"</f>
        <v>#VALUE!</v>
      </c>
      <c r="AL105" t="e">
        <f>'2.4.Функции'!CD182+"BYw!&amp;H%"</f>
        <v>#VALUE!</v>
      </c>
      <c r="AM105" t="e">
        <f>'2.4.Функции'!CE182+"BYw!&amp;H&amp;"</f>
        <v>#VALUE!</v>
      </c>
      <c r="AN105" t="e">
        <f>'2.4.Функции'!CF182+"BYw!&amp;H'"</f>
        <v>#VALUE!</v>
      </c>
      <c r="AO105" t="e">
        <f>'2.4.Функции'!CG182+"BYw!&amp;H("</f>
        <v>#VALUE!</v>
      </c>
      <c r="AP105" t="e">
        <f>'2.4.Функции'!CH182+"BYw!&amp;H)"</f>
        <v>#VALUE!</v>
      </c>
      <c r="AQ105" t="e">
        <f>'2.4.Функции'!CI182+"BYw!&amp;H."</f>
        <v>#VALUE!</v>
      </c>
      <c r="AR105" t="e">
        <f>'2.4.Функции'!CJ182+"BYw!&amp;H/"</f>
        <v>#VALUE!</v>
      </c>
      <c r="AS105" t="e">
        <f>'2.4.Функции'!CK182+"BYw!&amp;H0"</f>
        <v>#VALUE!</v>
      </c>
      <c r="AT105" t="e">
        <f>'2.4.Функции'!CL182+"BYw!&amp;H1"</f>
        <v>#VALUE!</v>
      </c>
      <c r="AU105" t="e">
        <f>'2.4.Функции'!CM182+"BYw!&amp;H2"</f>
        <v>#VALUE!</v>
      </c>
      <c r="AV105" t="e">
        <f>'2.4.Функции'!CN182+"BYw!&amp;H3"</f>
        <v>#VALUE!</v>
      </c>
      <c r="AW105" t="e">
        <f>'2.4.Функции'!CO182+"BYw!&amp;H4"</f>
        <v>#VALUE!</v>
      </c>
      <c r="AX105" t="e">
        <f>'2.4.Функции'!CP182+"BYw!&amp;H5"</f>
        <v>#VALUE!</v>
      </c>
      <c r="AY105" t="e">
        <f>'2.4.Функции'!CQ182+"BYw!&amp;H6"</f>
        <v>#VALUE!</v>
      </c>
      <c r="AZ105" t="e">
        <f>'2.4.Функции'!CR182+"BYw!&amp;H7"</f>
        <v>#VALUE!</v>
      </c>
      <c r="BA105" t="e">
        <f>'2.4.Функции'!CS182+"BYw!&amp;H8"</f>
        <v>#VALUE!</v>
      </c>
      <c r="BB105" t="e">
        <f>'2.4.Функции'!CT182+"BYw!&amp;H9"</f>
        <v>#VALUE!</v>
      </c>
      <c r="BC105" t="e">
        <f>'2.4.Функции'!CU182+"BYw!&amp;H:"</f>
        <v>#VALUE!</v>
      </c>
      <c r="BD105" t="e">
        <f>'2.4.Функции'!CV182+"BYw!&amp;H;"</f>
        <v>#VALUE!</v>
      </c>
      <c r="BE105" t="e">
        <f>'2.4.Функции'!CW182+"BYw!&amp;H&lt;"</f>
        <v>#VALUE!</v>
      </c>
      <c r="BF105" t="e">
        <f>'2.4.Функции'!CX182+"BYw!&amp;H="</f>
        <v>#VALUE!</v>
      </c>
      <c r="BG105" t="e">
        <f>'2.4.Функции'!CY182+"BYw!&amp;H&gt;"</f>
        <v>#VALUE!</v>
      </c>
      <c r="BH105" t="e">
        <f>'2.4.Функции'!CZ182+"BYw!&amp;H?"</f>
        <v>#VALUE!</v>
      </c>
      <c r="BI105" t="e">
        <f>'2.4.Функции'!DA182+"BYw!&amp;H@"</f>
        <v>#VALUE!</v>
      </c>
      <c r="BJ105" t="e">
        <f>'2.4.Функции'!DB182+"BYw!&amp;HA"</f>
        <v>#VALUE!</v>
      </c>
      <c r="BK105" t="e">
        <f>'2.4.Функции'!DC182+"BYw!&amp;HB"</f>
        <v>#VALUE!</v>
      </c>
      <c r="BL105" t="e">
        <f>'2.4.Функции'!DD182+"BYw!&amp;HC"</f>
        <v>#VALUE!</v>
      </c>
      <c r="BM105" t="e">
        <f>'2.4.Функции'!DE182+"BYw!&amp;HD"</f>
        <v>#VALUE!</v>
      </c>
      <c r="BN105" t="e">
        <f>'2.4.Функции'!DF182+"BYw!&amp;HE"</f>
        <v>#VALUE!</v>
      </c>
      <c r="BO105" t="e">
        <f>'2.4.Функции'!DG182+"BYw!&amp;HF"</f>
        <v>#VALUE!</v>
      </c>
      <c r="BP105" t="e">
        <f>'2.4.Функции'!DH182+"BYw!&amp;HG"</f>
        <v>#VALUE!</v>
      </c>
      <c r="BQ105" t="e">
        <f>'2.4.Функции'!DI182+"BYw!&amp;HH"</f>
        <v>#VALUE!</v>
      </c>
      <c r="BR105" t="e">
        <f>'2.4.Функции'!DJ182+"BYw!&amp;HI"</f>
        <v>#VALUE!</v>
      </c>
      <c r="BS105" t="e">
        <f>'2.4.Функции'!DK182+"BYw!&amp;HJ"</f>
        <v>#VALUE!</v>
      </c>
      <c r="BT105" t="e">
        <f>'2.4.Функции'!DL182+"BYw!&amp;HK"</f>
        <v>#VALUE!</v>
      </c>
      <c r="BU105" t="e">
        <f>'2.4.Функции'!DM182+"BYw!&amp;HL"</f>
        <v>#VALUE!</v>
      </c>
      <c r="BV105" t="e">
        <f>'2.4.Функции'!DN182+"BYw!&amp;HM"</f>
        <v>#VALUE!</v>
      </c>
      <c r="BW105" t="e">
        <f>'2.4.Функции'!DO182+"BYw!&amp;HN"</f>
        <v>#VALUE!</v>
      </c>
      <c r="BX105" t="e">
        <f>'2.4.Функции'!DP182+"BYw!&amp;HO"</f>
        <v>#VALUE!</v>
      </c>
      <c r="BY105" t="e">
        <f>'2.4.Функции'!DQ182+"BYw!&amp;HP"</f>
        <v>#VALUE!</v>
      </c>
      <c r="BZ105" t="e">
        <f>'2.4.Функции'!DR182+"BYw!&amp;HQ"</f>
        <v>#VALUE!</v>
      </c>
      <c r="CA105" t="e">
        <f>'2.4.Функции'!DS182+"BYw!&amp;HR"</f>
        <v>#VALUE!</v>
      </c>
      <c r="CB105" t="e">
        <f>'2.4.Функции'!DT182+"BYw!&amp;HS"</f>
        <v>#VALUE!</v>
      </c>
      <c r="CC105" t="e">
        <f>'2.4.Функции'!DU182+"BYw!&amp;HT"</f>
        <v>#VALUE!</v>
      </c>
      <c r="CD105" t="e">
        <f>'2.4.Функции'!DV182+"BYw!&amp;HU"</f>
        <v>#VALUE!</v>
      </c>
      <c r="CE105" t="e">
        <f>'2.4.Функции'!DW182+"BYw!&amp;HV"</f>
        <v>#VALUE!</v>
      </c>
      <c r="CF105" t="e">
        <f>'2.4.Функции'!DX182+"BYw!&amp;HW"</f>
        <v>#VALUE!</v>
      </c>
      <c r="CG105" t="e">
        <f>'2.4.Функции'!DY182+"BYw!&amp;HX"</f>
        <v>#VALUE!</v>
      </c>
      <c r="CH105" t="e">
        <f>'2.4.Функции'!DZ182+"BYw!&amp;HY"</f>
        <v>#VALUE!</v>
      </c>
      <c r="CI105" t="e">
        <f>'2.4.Функции'!EA182+"BYw!&amp;HZ"</f>
        <v>#VALUE!</v>
      </c>
      <c r="CJ105" t="e">
        <f>'2.4.Функции'!EB182+"BYw!&amp;H["</f>
        <v>#VALUE!</v>
      </c>
      <c r="CK105" t="e">
        <f>'2.4.Функции'!EC182+"BYw!&amp;H\"</f>
        <v>#VALUE!</v>
      </c>
      <c r="CL105" t="e">
        <f>'2.4.Функции'!ED182+"BYw!&amp;H]"</f>
        <v>#VALUE!</v>
      </c>
      <c r="CM105" t="e">
        <f>'2.4.Функции'!EE182+"BYw!&amp;H^"</f>
        <v>#VALUE!</v>
      </c>
      <c r="CN105" t="e">
        <f>'2.4.Функции'!EF182+"BYw!&amp;H_"</f>
        <v>#VALUE!</v>
      </c>
      <c r="CO105" t="e">
        <f>'2.4.Функции'!EG182+"BYw!&amp;H`"</f>
        <v>#VALUE!</v>
      </c>
      <c r="CP105" t="e">
        <f>'2.4.Функции'!EH182+"BYw!&amp;Ha"</f>
        <v>#VALUE!</v>
      </c>
      <c r="CQ105" t="e">
        <f>'2.4.Функции'!EI182+"BYw!&amp;Hb"</f>
        <v>#VALUE!</v>
      </c>
      <c r="CR105" t="e">
        <f>'2.4.Функции'!EJ182+"BYw!&amp;Hc"</f>
        <v>#VALUE!</v>
      </c>
      <c r="CS105" t="e">
        <f>'2.4.Функции'!EK182+"BYw!&amp;Hd"</f>
        <v>#VALUE!</v>
      </c>
      <c r="CT105" t="e">
        <f>'2.4.Функции'!EL182+"BYw!&amp;He"</f>
        <v>#VALUE!</v>
      </c>
      <c r="CU105" t="e">
        <f>'2.4.Функции'!EM182+"BYw!&amp;Hf"</f>
        <v>#VALUE!</v>
      </c>
      <c r="CV105" t="e">
        <f>'2.4.Функции'!EN182+"BYw!&amp;Hg"</f>
        <v>#VALUE!</v>
      </c>
      <c r="CW105" t="e">
        <f>'2.4.Функции'!EO182+"BYw!&amp;Hh"</f>
        <v>#VALUE!</v>
      </c>
      <c r="CX105" t="e">
        <f>'2.4.Функции'!EP182+"BYw!&amp;Hi"</f>
        <v>#VALUE!</v>
      </c>
      <c r="CY105" t="e">
        <f>'2.4.Функции'!EQ182+"BYw!&amp;Hj"</f>
        <v>#VALUE!</v>
      </c>
      <c r="CZ105" t="e">
        <f>'2.4.Функции'!ER182+"BYw!&amp;Hk"</f>
        <v>#VALUE!</v>
      </c>
      <c r="DA105" t="e">
        <f>'2.4.Функции'!ES182+"BYw!&amp;Hl"</f>
        <v>#VALUE!</v>
      </c>
      <c r="DB105" t="e">
        <f>'2.4.Функции'!ET182+"BYw!&amp;Hm"</f>
        <v>#VALUE!</v>
      </c>
      <c r="DC105" t="e">
        <f>'2.4.Функции'!EU182+"BYw!&amp;Hn"</f>
        <v>#VALUE!</v>
      </c>
      <c r="DD105" t="e">
        <f>'2.4.Функции'!EV182+"BYw!&amp;Ho"</f>
        <v>#VALUE!</v>
      </c>
      <c r="DE105" t="e">
        <f>'2.4.Функции'!EW182+"BYw!&amp;Hp"</f>
        <v>#VALUE!</v>
      </c>
      <c r="DF105" t="e">
        <f>'2.4.Функции'!EX182+"BYw!&amp;Hq"</f>
        <v>#VALUE!</v>
      </c>
      <c r="DG105" t="e">
        <f>'2.4.Функции'!EY182+"BYw!&amp;Hr"</f>
        <v>#VALUE!</v>
      </c>
      <c r="DH105" t="e">
        <f>'2.4.Функции'!EZ182+"BYw!&amp;Hs"</f>
        <v>#VALUE!</v>
      </c>
      <c r="DI105" t="e">
        <f>'2.4.Функции'!FA182+"BYw!&amp;Ht"</f>
        <v>#VALUE!</v>
      </c>
      <c r="DJ105" t="e">
        <f>'2.4.Функции'!FB182+"BYw!&amp;Hu"</f>
        <v>#VALUE!</v>
      </c>
      <c r="DK105" t="e">
        <f>'2.4.Функции'!FC182+"BYw!&amp;Hv"</f>
        <v>#VALUE!</v>
      </c>
      <c r="DL105" t="e">
        <f>'2.4.Функции'!FD182+"BYw!&amp;Hw"</f>
        <v>#VALUE!</v>
      </c>
      <c r="DM105" t="e">
        <f>'2.4.Функции'!FE182+"BYw!&amp;Hx"</f>
        <v>#VALUE!</v>
      </c>
      <c r="DN105" t="e">
        <f>'2.4.Функции'!FF182+"BYw!&amp;Hy"</f>
        <v>#VALUE!</v>
      </c>
      <c r="DO105" t="e">
        <f>'2.4.Функции'!FG182+"BYw!&amp;Hz"</f>
        <v>#VALUE!</v>
      </c>
      <c r="DP105" t="e">
        <f>'2.4.Функции'!FH182+"BYw!&amp;H{"</f>
        <v>#VALUE!</v>
      </c>
      <c r="DQ105" t="e">
        <f>'2.4.Функции'!FI182+"BYw!&amp;H|"</f>
        <v>#VALUE!</v>
      </c>
      <c r="DR105" t="e">
        <f>'2.4.Функции'!FJ182+"BYw!&amp;H}"</f>
        <v>#VALUE!</v>
      </c>
      <c r="DS105" t="e">
        <f>'2.4.Функции'!FK182+"BYw!&amp;H~"</f>
        <v>#VALUE!</v>
      </c>
      <c r="DT105" t="e">
        <f>'2.4.Функции'!FL182+"BYw!&amp;I#"</f>
        <v>#VALUE!</v>
      </c>
      <c r="DU105" t="e">
        <f>'2.4.Функции'!FM182+"BYw!&amp;I$"</f>
        <v>#VALUE!</v>
      </c>
      <c r="DV105" t="e">
        <f>'2.4.Функции'!FN182+"BYw!&amp;I%"</f>
        <v>#VALUE!</v>
      </c>
      <c r="DW105" t="e">
        <f>'2.4.Функции'!FO182+"BYw!&amp;I&amp;"</f>
        <v>#VALUE!</v>
      </c>
      <c r="DX105" t="e">
        <f>'2.4.Функции'!FP182+"BYw!&amp;I'"</f>
        <v>#VALUE!</v>
      </c>
      <c r="DY105" t="e">
        <f>'2.4.Функции'!FQ182+"BYw!&amp;I("</f>
        <v>#VALUE!</v>
      </c>
      <c r="DZ105" t="e">
        <f>'2.4.Функции'!FR182+"BYw!&amp;I)"</f>
        <v>#VALUE!</v>
      </c>
      <c r="EA105" t="e">
        <f>'2.4.Функции'!FS182+"BYw!&amp;I."</f>
        <v>#VALUE!</v>
      </c>
      <c r="EB105" t="e">
        <f>'2.4.Функции'!FT182+"BYw!&amp;I/"</f>
        <v>#VALUE!</v>
      </c>
      <c r="EC105" t="e">
        <f>'2.4.Функции'!FU182+"BYw!&amp;I0"</f>
        <v>#VALUE!</v>
      </c>
      <c r="ED105" t="e">
        <f>'2.4.Функции'!FV182+"BYw!&amp;I1"</f>
        <v>#VALUE!</v>
      </c>
      <c r="EE105" t="e">
        <f>'2.4.Функции'!FW182+"BYw!&amp;I2"</f>
        <v>#VALUE!</v>
      </c>
      <c r="EF105" t="e">
        <f>'2.4.Функции'!FX182+"BYw!&amp;I3"</f>
        <v>#VALUE!</v>
      </c>
      <c r="EG105" t="e">
        <f>'2.4.Функции'!FY182+"BYw!&amp;I4"</f>
        <v>#VALUE!</v>
      </c>
      <c r="EH105" t="e">
        <f>'2.4.Функции'!FZ182+"BYw!&amp;I5"</f>
        <v>#VALUE!</v>
      </c>
      <c r="EI105" t="e">
        <f>'2.4.Функции'!GA182+"BYw!&amp;I6"</f>
        <v>#VALUE!</v>
      </c>
      <c r="EJ105" t="e">
        <f>'2.4.Функции'!GB182+"BYw!&amp;I7"</f>
        <v>#VALUE!</v>
      </c>
      <c r="EK105" t="e">
        <f>'2.4.Функции'!GC182+"BYw!&amp;I8"</f>
        <v>#VALUE!</v>
      </c>
      <c r="EL105" t="e">
        <f>'2.4.Функции'!GD182+"BYw!&amp;I9"</f>
        <v>#VALUE!</v>
      </c>
      <c r="EM105" t="e">
        <f>'2.4.Функции'!GE182+"BYw!&amp;I:"</f>
        <v>#VALUE!</v>
      </c>
      <c r="EN105" t="e">
        <f>'2.4.Функции'!GF182+"BYw!&amp;I;"</f>
        <v>#VALUE!</v>
      </c>
      <c r="EO105" t="e">
        <f>'2.4.Функции'!GG182+"BYw!&amp;I&lt;"</f>
        <v>#VALUE!</v>
      </c>
      <c r="EP105" t="e">
        <f>'2.4.Функции'!GH182+"BYw!&amp;I="</f>
        <v>#VALUE!</v>
      </c>
      <c r="EQ105" t="e">
        <f>'2.4.Функции'!GI182+"BYw!&amp;I&gt;"</f>
        <v>#VALUE!</v>
      </c>
      <c r="ER105" t="e">
        <f>'2.4.Функции'!GJ182+"BYw!&amp;I?"</f>
        <v>#VALUE!</v>
      </c>
      <c r="ES105" t="e">
        <f>'2.4.Функции'!GK182+"BYw!&amp;I@"</f>
        <v>#VALUE!</v>
      </c>
      <c r="ET105" t="e">
        <f>'2.4.Функции'!GL182+"BYw!&amp;IA"</f>
        <v>#VALUE!</v>
      </c>
      <c r="EU105" t="e">
        <f>'2.4.Функции'!GM182+"BYw!&amp;IB"</f>
        <v>#VALUE!</v>
      </c>
      <c r="EV105" t="e">
        <f>'2.4.Функции'!GN182+"BYw!&amp;IC"</f>
        <v>#VALUE!</v>
      </c>
      <c r="EW105" t="e">
        <f>'2.4.Функции'!GO182+"BYw!&amp;ID"</f>
        <v>#VALUE!</v>
      </c>
      <c r="EX105" t="e">
        <f>'2.4.Функции'!GP182+"BYw!&amp;IE"</f>
        <v>#VALUE!</v>
      </c>
      <c r="EY105" t="e">
        <f>'2.4.Функции'!GQ182+"BYw!&amp;IF"</f>
        <v>#VALUE!</v>
      </c>
      <c r="EZ105" t="e">
        <f>'2.4.Функции'!GR182+"BYw!&amp;IG"</f>
        <v>#VALUE!</v>
      </c>
      <c r="FA105" t="e">
        <f>'2.4.Функции'!GS182+"BYw!&amp;IH"</f>
        <v>#VALUE!</v>
      </c>
      <c r="FB105" t="e">
        <f>'2.4.Функции'!GT182+"BYw!&amp;II"</f>
        <v>#VALUE!</v>
      </c>
      <c r="FC105" t="e">
        <f>'2.4.Функции'!GU182+"BYw!&amp;IJ"</f>
        <v>#VALUE!</v>
      </c>
      <c r="FD105" t="e">
        <f>'2.4.Функции'!GV182+"BYw!&amp;IK"</f>
        <v>#VALUE!</v>
      </c>
      <c r="FE105" t="e">
        <f>'2.4.Функции'!GW182+"BYw!&amp;IL"</f>
        <v>#VALUE!</v>
      </c>
      <c r="FF105" t="e">
        <f>'2.4.Функции'!GX182+"BYw!&amp;IM"</f>
        <v>#VALUE!</v>
      </c>
      <c r="FG105" t="e">
        <f>'2.4.Функции'!GY182+"BYw!&amp;IN"</f>
        <v>#VALUE!</v>
      </c>
      <c r="FH105" t="e">
        <f>'2.4.Функции'!GZ182+"BYw!&amp;IO"</f>
        <v>#VALUE!</v>
      </c>
      <c r="FI105" t="e">
        <f>'2.4.Функции'!HA182+"BYw!&amp;IP"</f>
        <v>#VALUE!</v>
      </c>
      <c r="FJ105" t="e">
        <f>'2.4.Функции'!HB182+"BYw!&amp;IQ"</f>
        <v>#VALUE!</v>
      </c>
      <c r="FK105" t="e">
        <f>'2.4.Функции'!HC182+"BYw!&amp;IR"</f>
        <v>#VALUE!</v>
      </c>
      <c r="FL105" t="e">
        <f>'2.4.Функции'!HD182+"BYw!&amp;IS"</f>
        <v>#VALUE!</v>
      </c>
      <c r="FM105" t="e">
        <f>'2.4.Функции'!HE182+"BYw!&amp;IT"</f>
        <v>#VALUE!</v>
      </c>
      <c r="FN105" t="e">
        <f>'2.4.Функции'!HF182+"BYw!&amp;IU"</f>
        <v>#VALUE!</v>
      </c>
      <c r="FO105" t="e">
        <f>'2.4.Функции'!HG182+"BYw!&amp;IV"</f>
        <v>#VALUE!</v>
      </c>
      <c r="FP105" t="e">
        <f>'2.4.Функции'!HH182+"BYw!&amp;IW"</f>
        <v>#VALUE!</v>
      </c>
      <c r="FQ105" t="e">
        <f>'2.4.Функции'!HI182+"BYw!&amp;IX"</f>
        <v>#VALUE!</v>
      </c>
      <c r="FR105" t="e">
        <f>'2.4.Функции'!HJ182+"BYw!&amp;IY"</f>
        <v>#VALUE!</v>
      </c>
      <c r="FS105" t="e">
        <f>'2.4.Функции'!HK182+"BYw!&amp;IZ"</f>
        <v>#VALUE!</v>
      </c>
      <c r="FT105" t="e">
        <f>'2.4.Функции'!HL182+"BYw!&amp;I["</f>
        <v>#VALUE!</v>
      </c>
      <c r="FU105" t="e">
        <f>'2.4.Функции'!HM182+"BYw!&amp;I\"</f>
        <v>#VALUE!</v>
      </c>
      <c r="FV105" t="e">
        <f>'2.4.Функции'!HN182+"BYw!&amp;I]"</f>
        <v>#VALUE!</v>
      </c>
      <c r="FW105" t="e">
        <f>'2.4.Функции'!HO182+"BYw!&amp;I^"</f>
        <v>#VALUE!</v>
      </c>
      <c r="FX105" t="e">
        <f>'2.4.Функции'!HP182+"BYw!&amp;I_"</f>
        <v>#VALUE!</v>
      </c>
      <c r="FY105" t="e">
        <f>'2.4.Функции'!HQ182+"BYw!&amp;I`"</f>
        <v>#VALUE!</v>
      </c>
      <c r="FZ105" t="e">
        <f>'2.4.Функции'!HR182+"BYw!&amp;Ia"</f>
        <v>#VALUE!</v>
      </c>
      <c r="GA105" t="e">
        <f>'2.4.Функции'!HS182+"BYw!&amp;Ib"</f>
        <v>#VALUE!</v>
      </c>
      <c r="GB105" t="e">
        <f>'2.4.Функции'!HT182+"BYw!&amp;Ic"</f>
        <v>#VALUE!</v>
      </c>
      <c r="GC105" t="e">
        <f>'2.4.Функции'!HU182+"BYw!&amp;Id"</f>
        <v>#VALUE!</v>
      </c>
      <c r="GD105" t="e">
        <f>'2.4.Функции'!HV182+"BYw!&amp;Ie"</f>
        <v>#VALUE!</v>
      </c>
      <c r="GE105" t="e">
        <f>'2.4.Функции'!HW182+"BYw!&amp;If"</f>
        <v>#VALUE!</v>
      </c>
      <c r="GF105" t="e">
        <f>'2.4.Функции'!HX182+"BYw!&amp;Ig"</f>
        <v>#VALUE!</v>
      </c>
      <c r="GG105" t="e">
        <f>'2.4.Функции'!HY182+"BYw!&amp;Ih"</f>
        <v>#VALUE!</v>
      </c>
      <c r="GH105" t="e">
        <f>'2.4.Функции'!HZ182+"BYw!&amp;Ii"</f>
        <v>#VALUE!</v>
      </c>
      <c r="GI105" t="e">
        <f>'2.4.Функции'!IA182+"BYw!&amp;Ij"</f>
        <v>#VALUE!</v>
      </c>
      <c r="GJ105" t="e">
        <f>'2.4.Функции'!IB182+"BYw!&amp;Ik"</f>
        <v>#VALUE!</v>
      </c>
      <c r="GK105" t="e">
        <f>'2.4.Функции'!IC182+"BYw!&amp;Il"</f>
        <v>#VALUE!</v>
      </c>
      <c r="GL105" t="e">
        <f>'2.4.Функции'!ID182+"BYw!&amp;Im"</f>
        <v>#VALUE!</v>
      </c>
      <c r="GM105" t="e">
        <f>'2.4.Функции'!IE182+"BYw!&amp;In"</f>
        <v>#VALUE!</v>
      </c>
      <c r="GN105" t="e">
        <f>'2.4.Функции'!IF182+"BYw!&amp;Io"</f>
        <v>#VALUE!</v>
      </c>
      <c r="GO105" t="e">
        <f>'2.4.Функции'!IG182+"BYw!&amp;Ip"</f>
        <v>#VALUE!</v>
      </c>
      <c r="GP105" t="e">
        <f>'2.4.Функции'!IH182+"BYw!&amp;Iq"</f>
        <v>#VALUE!</v>
      </c>
      <c r="GQ105" t="e">
        <f>'2.4.Функции'!II182+"BYw!&amp;Ir"</f>
        <v>#VALUE!</v>
      </c>
      <c r="GR105" t="e">
        <f>'2.4.Функции'!IJ182+"BYw!&amp;Is"</f>
        <v>#VALUE!</v>
      </c>
      <c r="GS105" t="e">
        <f>'2.4.Функции'!IK182+"BYw!&amp;It"</f>
        <v>#VALUE!</v>
      </c>
      <c r="GT105" t="e">
        <f>'2.4.Функции'!IL182+"BYw!&amp;Iu"</f>
        <v>#VALUE!</v>
      </c>
      <c r="GU105" t="e">
        <f>'2.4.Функции'!IM182+"BYw!&amp;Iv"</f>
        <v>#VALUE!</v>
      </c>
      <c r="GV105" t="e">
        <f>'2.4.Функции'!IN182+"BYw!&amp;Iw"</f>
        <v>#VALUE!</v>
      </c>
      <c r="GW105" t="e">
        <f>'2.4.Функции'!IO182+"BYw!&amp;Ix"</f>
        <v>#VALUE!</v>
      </c>
      <c r="GX105" t="e">
        <f>'2.4.Функции'!IP182+"BYw!&amp;Iy"</f>
        <v>#VALUE!</v>
      </c>
      <c r="GY105" t="e">
        <f>'2.4.Функции'!IQ182+"BYw!&amp;Iz"</f>
        <v>#VALUE!</v>
      </c>
      <c r="GZ105" t="e">
        <f>'2.4.Функции'!IR182+"BYw!&amp;I{"</f>
        <v>#VALUE!</v>
      </c>
      <c r="HA105" t="e">
        <f>'2.4.Функции'!IS182+"BYw!&amp;I|"</f>
        <v>#VALUE!</v>
      </c>
      <c r="HB105" t="e">
        <f>'2.4.Функции'!IT182+"BYw!&amp;I}"</f>
        <v>#VALUE!</v>
      </c>
      <c r="HC105" t="e">
        <f>'2.4.Функции'!IU182+"BYw!&amp;I~"</f>
        <v>#VALUE!</v>
      </c>
      <c r="HD105" t="e">
        <f>'2.4.Функции'!IV182+"BYw!&amp;J#"</f>
        <v>#VALUE!</v>
      </c>
      <c r="HE105" t="e">
        <f>'2.4.Функции'!IW182+"BYw!&amp;J$"</f>
        <v>#VALUE!</v>
      </c>
      <c r="HF105" t="e">
        <f>'2.4.Функции'!IX182+"BYw!&amp;J%"</f>
        <v>#VALUE!</v>
      </c>
      <c r="HG105" t="e">
        <f>'2.4.Функции'!IY182+"BYw!&amp;J&amp;"</f>
        <v>#VALUE!</v>
      </c>
      <c r="HH105" t="e">
        <f>'2.4.Функции'!IZ182+"BYw!&amp;J'"</f>
        <v>#VALUE!</v>
      </c>
      <c r="HI105" t="e">
        <f>'2.4.Функции'!JA182+"BYw!&amp;J("</f>
        <v>#VALUE!</v>
      </c>
      <c r="HJ105" t="e">
        <f>'2.4.Функции'!JB182+"BYw!&amp;J)"</f>
        <v>#VALUE!</v>
      </c>
      <c r="HK105" t="e">
        <f>'2.4.Функции'!JC182+"BYw!&amp;J."</f>
        <v>#VALUE!</v>
      </c>
      <c r="HL105" t="e">
        <f>'2.4.Функции'!JD182+"BYw!&amp;J/"</f>
        <v>#VALUE!</v>
      </c>
      <c r="HM105" t="e">
        <f>'2.4.Функции'!JE182+"BYw!&amp;J0"</f>
        <v>#VALUE!</v>
      </c>
      <c r="HN105" t="e">
        <f>'2.4.Функции'!JF182+"BYw!&amp;J1"</f>
        <v>#VALUE!</v>
      </c>
      <c r="HO105" t="e">
        <f>'2.4.Функции'!JG182+"BYw!&amp;J2"</f>
        <v>#VALUE!</v>
      </c>
      <c r="HP105" t="e">
        <f>'2.4.Функции'!JH182+"BYw!&amp;J3"</f>
        <v>#VALUE!</v>
      </c>
      <c r="HQ105" t="e">
        <f>'2.4.Функции'!JI182+"BYw!&amp;J4"</f>
        <v>#VALUE!</v>
      </c>
      <c r="HR105" t="e">
        <f>'2.4.Функции'!JJ182+"BYw!&amp;J5"</f>
        <v>#VALUE!</v>
      </c>
      <c r="HS105" t="e">
        <f>'2.4.Функции'!JK182+"BYw!&amp;J6"</f>
        <v>#VALUE!</v>
      </c>
      <c r="HT105" t="e">
        <f>'2.4.Функции'!JL182+"BYw!&amp;J7"</f>
        <v>#VALUE!</v>
      </c>
      <c r="HU105" t="e">
        <f>'2.4.Функции'!JM182+"BYw!&amp;J8"</f>
        <v>#VALUE!</v>
      </c>
      <c r="HV105" t="e">
        <f>'2.4.Функции'!JN182+"BYw!&amp;J9"</f>
        <v>#VALUE!</v>
      </c>
      <c r="HW105" t="e">
        <f>'2.4.Функции'!JO182+"BYw!&amp;J:"</f>
        <v>#VALUE!</v>
      </c>
      <c r="HX105" t="e">
        <f>'2.4.Функции'!JP182+"BYw!&amp;J;"</f>
        <v>#VALUE!</v>
      </c>
      <c r="HY105" t="e">
        <f>'2.4.Функции'!JQ182+"BYw!&amp;J&lt;"</f>
        <v>#VALUE!</v>
      </c>
      <c r="HZ105" t="e">
        <f>'2.4.Функции'!JR182+"BYw!&amp;J="</f>
        <v>#VALUE!</v>
      </c>
      <c r="IA105" t="e">
        <f>'2.4.Функции'!JS182+"BYw!&amp;J&gt;"</f>
        <v>#VALUE!</v>
      </c>
      <c r="IB105" t="e">
        <f>'2.4.Функции'!JT182+"BYw!&amp;J?"</f>
        <v>#VALUE!</v>
      </c>
      <c r="IC105" t="e">
        <f>'2.4.Функции'!JU182+"BYw!&amp;J@"</f>
        <v>#VALUE!</v>
      </c>
      <c r="ID105" t="e">
        <f>'2.4.Функции'!JV182+"BYw!&amp;JA"</f>
        <v>#VALUE!</v>
      </c>
      <c r="IE105" t="e">
        <f>'2.4.Функции'!JW182+"BYw!&amp;JB"</f>
        <v>#VALUE!</v>
      </c>
      <c r="IF105" t="e">
        <f>'2.4.Функции'!JX182+"BYw!&amp;JC"</f>
        <v>#VALUE!</v>
      </c>
      <c r="IG105" t="e">
        <f>'2.4.Функции'!JY182+"BYw!&amp;JD"</f>
        <v>#VALUE!</v>
      </c>
      <c r="IH105" t="e">
        <f>'2.4.Функции'!JZ182+"BYw!&amp;JE"</f>
        <v>#VALUE!</v>
      </c>
      <c r="II105" t="e">
        <f>'2.4.Функции'!KA182+"BYw!&amp;JF"</f>
        <v>#VALUE!</v>
      </c>
      <c r="IJ105" t="e">
        <f>'2.4.Функции'!KB182+"BYw!&amp;JG"</f>
        <v>#VALUE!</v>
      </c>
      <c r="IK105" t="e">
        <f>'2.4.Функции'!KC182+"BYw!&amp;JH"</f>
        <v>#VALUE!</v>
      </c>
      <c r="IL105" t="e">
        <f>'2.4.Функции'!KD182+"BYw!&amp;JI"</f>
        <v>#VALUE!</v>
      </c>
      <c r="IM105" t="e">
        <f>'2.4.Функции'!KE182+"BYw!&amp;JJ"</f>
        <v>#VALUE!</v>
      </c>
      <c r="IN105" t="e">
        <f>'2.4.Функции'!KF182+"BYw!&amp;JK"</f>
        <v>#VALUE!</v>
      </c>
      <c r="IO105" t="e">
        <f>'2.4.Функции'!KG182+"BYw!&amp;JL"</f>
        <v>#VALUE!</v>
      </c>
      <c r="IP105" t="e">
        <f>'2.4.Функции'!KH182+"BYw!&amp;JM"</f>
        <v>#VALUE!</v>
      </c>
      <c r="IQ105" t="e">
        <f>'2.4.Функции'!KI182+"BYw!&amp;JN"</f>
        <v>#VALUE!</v>
      </c>
      <c r="IR105" t="e">
        <f>'2.4.Функции'!KJ182+"BYw!&amp;JO"</f>
        <v>#VALUE!</v>
      </c>
      <c r="IS105" t="e">
        <f>'2.4.Функции'!KK182+"BYw!&amp;JP"</f>
        <v>#VALUE!</v>
      </c>
      <c r="IT105" t="e">
        <f>'2.4.Функции'!KL182+"BYw!&amp;JQ"</f>
        <v>#VALUE!</v>
      </c>
      <c r="IU105" t="e">
        <f>'2.4.Функции'!KM182+"BYw!&amp;JR"</f>
        <v>#VALUE!</v>
      </c>
      <c r="IV105" t="e">
        <f>'2.4.Функции'!KN182+"BYw!&amp;JS"</f>
        <v>#VALUE!</v>
      </c>
    </row>
    <row r="106" spans="6:256" x14ac:dyDescent="0.2">
      <c r="F106" t="e">
        <f>'2.4.Функции'!KO182+"BYw!&amp;JT"</f>
        <v>#VALUE!</v>
      </c>
      <c r="G106" t="e">
        <f>'2.4.Функции'!KP182+"BYw!&amp;JU"</f>
        <v>#VALUE!</v>
      </c>
      <c r="H106" t="e">
        <f>'2.4.Функции'!KQ182+"BYw!&amp;JV"</f>
        <v>#VALUE!</v>
      </c>
      <c r="I106" t="e">
        <f>'2.4.Функции'!KR182+"BYw!&amp;JW"</f>
        <v>#VALUE!</v>
      </c>
      <c r="J106" t="e">
        <f>'2.4.Функции'!KS182+"BYw!&amp;JX"</f>
        <v>#VALUE!</v>
      </c>
      <c r="K106" t="e">
        <f>'2.4.Функции'!KT182+"BYw!&amp;JY"</f>
        <v>#VALUE!</v>
      </c>
      <c r="L106" t="e">
        <f>'2.4.Функции'!KU182+"BYw!&amp;JZ"</f>
        <v>#VALUE!</v>
      </c>
      <c r="M106" t="e">
        <f>'2.4.Функции'!KV182+"BYw!&amp;J["</f>
        <v>#VALUE!</v>
      </c>
      <c r="N106" t="e">
        <f>'2.4.Функции'!KW182+"BYw!&amp;J\"</f>
        <v>#VALUE!</v>
      </c>
      <c r="O106" t="e">
        <f>'2.4.Функции'!KX182+"BYw!&amp;J]"</f>
        <v>#VALUE!</v>
      </c>
      <c r="P106" t="e">
        <f>'2.4.Функции'!KY182+"BYw!&amp;J^"</f>
        <v>#VALUE!</v>
      </c>
      <c r="Q106" t="e">
        <f>'2.4.Функции'!KZ182+"BYw!&amp;J_"</f>
        <v>#VALUE!</v>
      </c>
      <c r="R106" t="e">
        <f>'2.4.Функции'!LA182+"BYw!&amp;J`"</f>
        <v>#VALUE!</v>
      </c>
      <c r="S106" t="e">
        <f>'2.4.Функции'!LB182+"BYw!&amp;Ja"</f>
        <v>#VALUE!</v>
      </c>
      <c r="T106" t="e">
        <f>'2.4.Функции'!LC182+"BYw!&amp;Jb"</f>
        <v>#VALUE!</v>
      </c>
      <c r="U106" t="e">
        <f>'2.4.Функции'!LD182+"BYw!&amp;Jc"</f>
        <v>#VALUE!</v>
      </c>
      <c r="V106" t="e">
        <f>'2.4.Функции'!LE182+"BYw!&amp;Jd"</f>
        <v>#VALUE!</v>
      </c>
      <c r="W106" t="e">
        <f>'2.4.Функции'!LF182+"BYw!&amp;Je"</f>
        <v>#VALUE!</v>
      </c>
      <c r="X106" t="e">
        <f>'2.4.Функции'!LG182+"BYw!&amp;Jf"</f>
        <v>#VALUE!</v>
      </c>
      <c r="Y106" t="e">
        <f>'2.4.Функции'!LH182+"BYw!&amp;Jg"</f>
        <v>#VALUE!</v>
      </c>
      <c r="Z106" t="e">
        <f>'2.4.Функции'!LI182+"BYw!&amp;Jh"</f>
        <v>#VALUE!</v>
      </c>
      <c r="AA106" t="e">
        <f>'2.4.Функции'!LJ182+"BYw!&amp;Ji"</f>
        <v>#VALUE!</v>
      </c>
      <c r="AB106" t="e">
        <f>'2.4.Функции'!LK182+"BYw!&amp;Jj"</f>
        <v>#VALUE!</v>
      </c>
      <c r="AC106" t="e">
        <f>'2.4.Функции'!LL182+"BYw!&amp;Jk"</f>
        <v>#VALUE!</v>
      </c>
      <c r="AD106" t="e">
        <f>'2.4.Функции'!LM182+"BYw!&amp;Jl"</f>
        <v>#VALUE!</v>
      </c>
      <c r="AE106" t="e">
        <f>'2.4.Функции'!LN182+"BYw!&amp;Jm"</f>
        <v>#VALUE!</v>
      </c>
      <c r="AF106" t="e">
        <f>'2.4.Функции'!LO182+"BYw!&amp;Jn"</f>
        <v>#VALUE!</v>
      </c>
      <c r="AG106" t="e">
        <f>'2.4.Функции'!LP182+"BYw!&amp;Jo"</f>
        <v>#VALUE!</v>
      </c>
      <c r="AH106" t="e">
        <f>'2.4.Функции'!LQ182+"BYw!&amp;Jp"</f>
        <v>#VALUE!</v>
      </c>
      <c r="AI106" t="e">
        <f>'2.4.Функции'!LR182+"BYw!&amp;Jq"</f>
        <v>#VALUE!</v>
      </c>
      <c r="AJ106" t="e">
        <f>'2.4.Функции'!LS182+"BYw!&amp;Jr"</f>
        <v>#VALUE!</v>
      </c>
      <c r="AK106" t="e">
        <f>'2.4.Функции'!LT182+"BYw!&amp;Js"</f>
        <v>#VALUE!</v>
      </c>
      <c r="AL106" t="e">
        <f>'2.4.Функции'!LU182+"BYw!&amp;Jt"</f>
        <v>#VALUE!</v>
      </c>
      <c r="AM106" t="e">
        <f>'2.4.Функции'!LV182+"BYw!&amp;Ju"</f>
        <v>#VALUE!</v>
      </c>
      <c r="AN106" t="e">
        <f>'2.4.Функции'!LW182+"BYw!&amp;Jv"</f>
        <v>#VALUE!</v>
      </c>
      <c r="AO106" t="e">
        <f>'2.4.Функции'!LX182+"BYw!&amp;Jw"</f>
        <v>#VALUE!</v>
      </c>
      <c r="AP106" t="e">
        <f>'2.4.Функции'!LY182+"BYw!&amp;Jx"</f>
        <v>#VALUE!</v>
      </c>
      <c r="AQ106" t="e">
        <f>'2.4.Функции'!LZ182+"BYw!&amp;Jy"</f>
        <v>#VALUE!</v>
      </c>
      <c r="AR106" t="e">
        <f>'2.4.Функции'!MA182+"BYw!&amp;Jz"</f>
        <v>#VALUE!</v>
      </c>
      <c r="AS106" t="e">
        <f>'2.4.Функции'!MB182+"BYw!&amp;J{"</f>
        <v>#VALUE!</v>
      </c>
      <c r="AT106" t="e">
        <f>'2.4.Функции'!MC182+"BYw!&amp;J|"</f>
        <v>#VALUE!</v>
      </c>
      <c r="AU106" t="e">
        <f>'2.4.Функции'!MD182+"BYw!&amp;J}"</f>
        <v>#VALUE!</v>
      </c>
      <c r="AV106" t="e">
        <f>'2.4.Функции'!ME182+"BYw!&amp;J~"</f>
        <v>#VALUE!</v>
      </c>
      <c r="AW106" t="e">
        <f>'2.4.Функции'!MF182+"BYw!&amp;K#"</f>
        <v>#VALUE!</v>
      </c>
      <c r="AX106" t="e">
        <f>'2.4.Функции'!MG182+"BYw!&amp;K$"</f>
        <v>#VALUE!</v>
      </c>
      <c r="AY106" t="e">
        <f>'2.4.Функции'!MH182+"BYw!&amp;K%"</f>
        <v>#VALUE!</v>
      </c>
      <c r="AZ106" t="e">
        <f>'2.4.Функции'!MI182+"BYw!&amp;K&amp;"</f>
        <v>#VALUE!</v>
      </c>
      <c r="BA106" t="e">
        <f>'2.4.Функции'!MJ182+"BYw!&amp;K'"</f>
        <v>#VALUE!</v>
      </c>
      <c r="BB106" t="e">
        <f>'2.4.Функции'!MK182+"BYw!&amp;K("</f>
        <v>#VALUE!</v>
      </c>
      <c r="BC106" t="e">
        <f>'2.4.Функции'!ML182+"BYw!&amp;K)"</f>
        <v>#VALUE!</v>
      </c>
      <c r="BD106" t="e">
        <f>'2.4.Функции'!MM182+"BYw!&amp;K."</f>
        <v>#VALUE!</v>
      </c>
      <c r="BE106" t="e">
        <f>'2.4.Функции'!MN182+"BYw!&amp;K/"</f>
        <v>#VALUE!</v>
      </c>
      <c r="BF106" t="e">
        <f>'2.4.Функции'!MO182+"BYw!&amp;K0"</f>
        <v>#VALUE!</v>
      </c>
      <c r="BG106" t="e">
        <f>'2.4.Функции'!MP182+"BYw!&amp;K1"</f>
        <v>#VALUE!</v>
      </c>
      <c r="BH106" t="e">
        <f>'2.4.Функции'!MQ182+"BYw!&amp;K2"</f>
        <v>#VALUE!</v>
      </c>
      <c r="BI106" t="e">
        <f>'2.4.Функции'!MR182+"BYw!&amp;K3"</f>
        <v>#VALUE!</v>
      </c>
      <c r="BJ106" t="e">
        <f>'2.4.Функции'!MS182+"BYw!&amp;K4"</f>
        <v>#VALUE!</v>
      </c>
      <c r="BK106" t="e">
        <f>'2.4.Функции'!MT182+"BYw!&amp;K5"</f>
        <v>#VALUE!</v>
      </c>
      <c r="BL106" t="e">
        <f>'2.4.Функции'!MU182+"BYw!&amp;K6"</f>
        <v>#VALUE!</v>
      </c>
      <c r="BM106" t="e">
        <f>'2.4.Функции'!MV182+"BYw!&amp;K7"</f>
        <v>#VALUE!</v>
      </c>
      <c r="BN106" t="e">
        <f>'2.4.Функции'!MW182+"BYw!&amp;K8"</f>
        <v>#VALUE!</v>
      </c>
      <c r="BO106" t="e">
        <f>'2.4.Функции'!MX182+"BYw!&amp;K9"</f>
        <v>#VALUE!</v>
      </c>
      <c r="BP106" t="e">
        <f>'2.4.Функции'!MY182+"BYw!&amp;K:"</f>
        <v>#VALUE!</v>
      </c>
      <c r="BQ106" t="e">
        <f>'2.4.Функции'!MZ182+"BYw!&amp;K;"</f>
        <v>#VALUE!</v>
      </c>
      <c r="BR106" t="e">
        <f>'2.4.Функции'!NA182+"BYw!&amp;K&lt;"</f>
        <v>#VALUE!</v>
      </c>
      <c r="BS106" t="e">
        <f>'2.4.Функции'!NB182+"BYw!&amp;K="</f>
        <v>#VALUE!</v>
      </c>
      <c r="BT106" t="e">
        <f>'2.4.Функции'!NC182+"BYw!&amp;K&gt;"</f>
        <v>#VALUE!</v>
      </c>
      <c r="BU106" t="e">
        <f>'2.4.Функции'!ND182+"BYw!&amp;K?"</f>
        <v>#VALUE!</v>
      </c>
      <c r="BV106" t="e">
        <f>'2.4.Функции'!NE182+"BYw!&amp;K@"</f>
        <v>#VALUE!</v>
      </c>
      <c r="BW106" t="e">
        <f>'2.4.Функции'!NF182+"BYw!&amp;KA"</f>
        <v>#VALUE!</v>
      </c>
      <c r="BX106" t="e">
        <f>'2.4.Функции'!NG182+"BYw!&amp;KB"</f>
        <v>#VALUE!</v>
      </c>
      <c r="BY106" t="e">
        <f>'2.4.Функции'!NH182+"BYw!&amp;KC"</f>
        <v>#VALUE!</v>
      </c>
      <c r="BZ106" t="e">
        <f>'2.4.Функции'!NI182+"BYw!&amp;KD"</f>
        <v>#VALUE!</v>
      </c>
      <c r="CA106" t="e">
        <f>'2.4.Функции'!NJ182+"BYw!&amp;KE"</f>
        <v>#VALUE!</v>
      </c>
      <c r="CB106" t="e">
        <f>'2.4.Функции'!NK182+"BYw!&amp;KF"</f>
        <v>#VALUE!</v>
      </c>
      <c r="CC106" t="e">
        <f>'2.4.Функции'!NL182+"BYw!&amp;KG"</f>
        <v>#VALUE!</v>
      </c>
      <c r="CD106" t="e">
        <f>'2.4.Функции'!NM182+"BYw!&amp;KH"</f>
        <v>#VALUE!</v>
      </c>
      <c r="CE106" t="e">
        <f>'2.4.Функции'!NN182+"BYw!&amp;KI"</f>
        <v>#VALUE!</v>
      </c>
      <c r="CF106" t="e">
        <f>'2.4.Функции'!NO182+"BYw!&amp;KJ"</f>
        <v>#VALUE!</v>
      </c>
      <c r="CG106" t="e">
        <f>'2.4.Функции'!NP182+"BYw!&amp;KK"</f>
        <v>#VALUE!</v>
      </c>
      <c r="CH106" t="e">
        <f>'2.4.Функции'!NQ182+"BYw!&amp;KL"</f>
        <v>#VALUE!</v>
      </c>
      <c r="CI106" t="e">
        <f>'2.4.Функции'!NR182+"BYw!&amp;KM"</f>
        <v>#VALUE!</v>
      </c>
      <c r="CJ106" t="e">
        <f>'2.4.Функции'!NS182+"BYw!&amp;KN"</f>
        <v>#VALUE!</v>
      </c>
      <c r="CK106" t="e">
        <f>'2.4.Функции'!NT182+"BYw!&amp;KO"</f>
        <v>#VALUE!</v>
      </c>
      <c r="CL106" t="e">
        <f>'2.4.Функции'!NU182+"BYw!&amp;KP"</f>
        <v>#VALUE!</v>
      </c>
      <c r="CM106" t="e">
        <f>'2.4.Функции'!NV182+"BYw!&amp;KQ"</f>
        <v>#VALUE!</v>
      </c>
      <c r="CN106" t="e">
        <f>'2.4.Функции'!NW182+"BYw!&amp;KR"</f>
        <v>#VALUE!</v>
      </c>
      <c r="CO106" t="e">
        <f>'2.4.Функции'!NX182+"BYw!&amp;KS"</f>
        <v>#VALUE!</v>
      </c>
      <c r="CP106" t="e">
        <f>'2.4.Функции'!NY182+"BYw!&amp;KT"</f>
        <v>#VALUE!</v>
      </c>
      <c r="CQ106" t="e">
        <f>'2.4.Функции'!NZ182+"BYw!&amp;KU"</f>
        <v>#VALUE!</v>
      </c>
      <c r="CR106" t="e">
        <f>'2.4.Функции'!OA182+"BYw!&amp;KV"</f>
        <v>#VALUE!</v>
      </c>
      <c r="CS106" t="e">
        <f>'2.4.Функции'!OB182+"BYw!&amp;KW"</f>
        <v>#VALUE!</v>
      </c>
      <c r="CT106" t="e">
        <f>'2.4.Функции'!OC182+"BYw!&amp;KX"</f>
        <v>#VALUE!</v>
      </c>
      <c r="CU106" t="e">
        <f>'2.4.Функции'!OD182+"BYw!&amp;KY"</f>
        <v>#VALUE!</v>
      </c>
      <c r="CV106" t="e">
        <f>'2.4.Функции'!OE182+"BYw!&amp;KZ"</f>
        <v>#VALUE!</v>
      </c>
      <c r="CW106" t="e">
        <f>'2.4.Функции'!OF182+"BYw!&amp;K["</f>
        <v>#VALUE!</v>
      </c>
      <c r="CX106" t="e">
        <f>'2.4.Функции'!OG182+"BYw!&amp;K\"</f>
        <v>#VALUE!</v>
      </c>
      <c r="CY106" t="e">
        <f>'2.4.Функции'!OH182+"BYw!&amp;K]"</f>
        <v>#VALUE!</v>
      </c>
      <c r="CZ106" t="e">
        <f>'2.4.Функции'!OI182+"BYw!&amp;K^"</f>
        <v>#VALUE!</v>
      </c>
      <c r="DA106" t="e">
        <f>'2.4.Функции'!OJ182+"BYw!&amp;K_"</f>
        <v>#VALUE!</v>
      </c>
      <c r="DB106" t="e">
        <f>'2.4.Функции'!OK182+"BYw!&amp;K`"</f>
        <v>#VALUE!</v>
      </c>
      <c r="DC106" t="e">
        <f>'2.4.Функции'!OL182+"BYw!&amp;Ka"</f>
        <v>#VALUE!</v>
      </c>
      <c r="DD106" t="e">
        <f>'2.4.Функции'!OM182+"BYw!&amp;Kb"</f>
        <v>#VALUE!</v>
      </c>
      <c r="DE106" t="e">
        <f>'2.4.Функции'!ON182+"BYw!&amp;Kc"</f>
        <v>#VALUE!</v>
      </c>
      <c r="DF106" t="e">
        <f>'2.4.Функции'!OO182+"BYw!&amp;Kd"</f>
        <v>#VALUE!</v>
      </c>
      <c r="DG106" t="e">
        <f>'2.4.Функции'!OP182+"BYw!&amp;Ke"</f>
        <v>#VALUE!</v>
      </c>
      <c r="DH106" t="e">
        <f>'2.4.Функции'!OQ182+"BYw!&amp;Kf"</f>
        <v>#VALUE!</v>
      </c>
      <c r="DI106" t="e">
        <f>'2.4.Функции'!OR182+"BYw!&amp;Kg"</f>
        <v>#VALUE!</v>
      </c>
      <c r="DJ106" t="e">
        <f>'2.4.Функции'!OS182+"BYw!&amp;Kh"</f>
        <v>#VALUE!</v>
      </c>
      <c r="DK106" t="e">
        <f>'2.4.Функции'!OT182+"BYw!&amp;Ki"</f>
        <v>#VALUE!</v>
      </c>
      <c r="DL106" t="e">
        <f>'2.4.Функции'!OU182+"BYw!&amp;Kj"</f>
        <v>#VALUE!</v>
      </c>
      <c r="DM106" t="e">
        <f>'2.4.Функции'!OV182+"BYw!&amp;Kk"</f>
        <v>#VALUE!</v>
      </c>
      <c r="DN106" t="e">
        <f>'2.4.Функции'!OW182+"BYw!&amp;Kl"</f>
        <v>#VALUE!</v>
      </c>
      <c r="DO106" t="e">
        <f>'2.4.Функции'!OX182+"BYw!&amp;Km"</f>
        <v>#VALUE!</v>
      </c>
      <c r="DP106" t="e">
        <f>'2.4.Функции'!OY182+"BYw!&amp;Kn"</f>
        <v>#VALUE!</v>
      </c>
      <c r="DQ106" t="e">
        <f>'2.4.Функции'!OZ182+"BYw!&amp;Ko"</f>
        <v>#VALUE!</v>
      </c>
      <c r="DR106" t="e">
        <f>'2.4.Функции'!PA182+"BYw!&amp;Kp"</f>
        <v>#VALUE!</v>
      </c>
      <c r="DS106" t="e">
        <f>'2.4.Функции'!PB182+"BYw!&amp;Kq"</f>
        <v>#VALUE!</v>
      </c>
      <c r="DT106" t="e">
        <f>'2.4.Функции'!PC182+"BYw!&amp;Kr"</f>
        <v>#VALUE!</v>
      </c>
      <c r="DU106" t="e">
        <f>'2.4.Функции'!PD182+"BYw!&amp;Ks"</f>
        <v>#VALUE!</v>
      </c>
      <c r="DV106" t="e">
        <f>'2.4.Функции'!PE182+"BYw!&amp;Kt"</f>
        <v>#VALUE!</v>
      </c>
      <c r="DW106" t="e">
        <f>'2.4.Функции'!PF182+"BYw!&amp;Ku"</f>
        <v>#VALUE!</v>
      </c>
      <c r="DX106" t="e">
        <f>'2.4.Функции'!PG182+"BYw!&amp;Kv"</f>
        <v>#VALUE!</v>
      </c>
      <c r="DY106" t="e">
        <f>'2.4.Функции'!PH182+"BYw!&amp;Kw"</f>
        <v>#VALUE!</v>
      </c>
      <c r="DZ106" t="e">
        <f>'2.4.Функции'!PI182+"BYw!&amp;Kx"</f>
        <v>#VALUE!</v>
      </c>
      <c r="EA106" t="e">
        <f>'2.4.Функции'!PJ182+"BYw!&amp;Ky"</f>
        <v>#VALUE!</v>
      </c>
      <c r="EB106" t="e">
        <f>'2.4.Функции'!PK182+"BYw!&amp;Kz"</f>
        <v>#VALUE!</v>
      </c>
      <c r="EC106" t="e">
        <f>'2.4.Функции'!PL182+"BYw!&amp;K{"</f>
        <v>#VALUE!</v>
      </c>
      <c r="ED106" t="e">
        <f>'2.4.Функции'!PM182+"BYw!&amp;K|"</f>
        <v>#VALUE!</v>
      </c>
      <c r="EE106" t="e">
        <f>'2.4.Функции'!PN182+"BYw!&amp;K}"</f>
        <v>#VALUE!</v>
      </c>
      <c r="EF106" t="e">
        <f>'2.4.Функции'!PO182+"BYw!&amp;K~"</f>
        <v>#VALUE!</v>
      </c>
      <c r="EG106" t="e">
        <f>'2.4.Функции'!PP182+"BYw!&amp;L#"</f>
        <v>#VALUE!</v>
      </c>
      <c r="EH106" t="e">
        <f>'2.4.Функции'!PQ182+"BYw!&amp;L$"</f>
        <v>#VALUE!</v>
      </c>
      <c r="EI106" t="e">
        <f>'2.4.Функции'!PR182+"BYw!&amp;L%"</f>
        <v>#VALUE!</v>
      </c>
      <c r="EJ106" t="e">
        <f>'2.4.Функции'!PS182+"BYw!&amp;L&amp;"</f>
        <v>#VALUE!</v>
      </c>
      <c r="EK106" t="e">
        <f>'2.4.Функции'!PT182+"BYw!&amp;L'"</f>
        <v>#VALUE!</v>
      </c>
      <c r="EL106" t="e">
        <f>'2.4.Функции'!PU182+"BYw!&amp;L("</f>
        <v>#VALUE!</v>
      </c>
      <c r="EM106" t="e">
        <f>'2.4.Функции'!PV182+"BYw!&amp;L)"</f>
        <v>#VALUE!</v>
      </c>
      <c r="EN106" t="e">
        <f>'2.4.Функции'!PW182+"BYw!&amp;L."</f>
        <v>#VALUE!</v>
      </c>
      <c r="EO106" t="e">
        <f>'2.4.Функции'!PX182+"BYw!&amp;L/"</f>
        <v>#VALUE!</v>
      </c>
      <c r="EP106" t="e">
        <f>'2.4.Функции'!PY182+"BYw!&amp;L0"</f>
        <v>#VALUE!</v>
      </c>
      <c r="EQ106" t="e">
        <f>'2.4.Функции'!PZ182+"BYw!&amp;L1"</f>
        <v>#VALUE!</v>
      </c>
      <c r="ER106" t="e">
        <f>'2.4.Функции'!QA182+"BYw!&amp;L2"</f>
        <v>#VALUE!</v>
      </c>
      <c r="ES106" t="e">
        <f>'2.4.Функции'!QB182+"BYw!&amp;L3"</f>
        <v>#VALUE!</v>
      </c>
      <c r="ET106" t="e">
        <f>'2.4.Функции'!QC182+"BYw!&amp;L4"</f>
        <v>#VALUE!</v>
      </c>
      <c r="EU106" t="e">
        <f>'2.4.Функции'!QD182+"BYw!&amp;L5"</f>
        <v>#VALUE!</v>
      </c>
      <c r="EV106" t="e">
        <f>'2.4.Функции'!QE182+"BYw!&amp;L6"</f>
        <v>#VALUE!</v>
      </c>
      <c r="EW106" t="e">
        <f>'2.4.Функции'!QF182+"BYw!&amp;L7"</f>
        <v>#VALUE!</v>
      </c>
      <c r="EX106" t="e">
        <f>'2.4.Функции'!QG182+"BYw!&amp;L8"</f>
        <v>#VALUE!</v>
      </c>
      <c r="EY106" t="e">
        <f>'2.4.Функции'!QH182+"BYw!&amp;L9"</f>
        <v>#VALUE!</v>
      </c>
      <c r="EZ106" t="e">
        <f>'2.4.Функции'!QI182+"BYw!&amp;L:"</f>
        <v>#VALUE!</v>
      </c>
      <c r="FA106" t="e">
        <f>'2.4.Функции'!QJ182+"BYw!&amp;L;"</f>
        <v>#VALUE!</v>
      </c>
      <c r="FB106" t="e">
        <f>'2.4.Функции'!QK182+"BYw!&amp;L&lt;"</f>
        <v>#VALUE!</v>
      </c>
      <c r="FC106" t="e">
        <f>'2.4.Функции'!QL182+"BYw!&amp;L="</f>
        <v>#VALUE!</v>
      </c>
      <c r="FD106" t="e">
        <f>'2.4.Функции'!QM182+"BYw!&amp;L&gt;"</f>
        <v>#VALUE!</v>
      </c>
      <c r="FE106" t="e">
        <f>'2.4.Функции'!QN182+"BYw!&amp;L?"</f>
        <v>#VALUE!</v>
      </c>
      <c r="FF106" t="e">
        <f>'2.4.Функции'!QO182+"BYw!&amp;L@"</f>
        <v>#VALUE!</v>
      </c>
      <c r="FG106" t="e">
        <f>'2.4.Функции'!QP182+"BYw!&amp;LA"</f>
        <v>#VALUE!</v>
      </c>
      <c r="FH106" t="e">
        <f>'2.4.Функции'!QQ182+"BYw!&amp;LB"</f>
        <v>#VALUE!</v>
      </c>
      <c r="FI106" t="e">
        <f>'2.4.Функции'!QR182+"BYw!&amp;LC"</f>
        <v>#VALUE!</v>
      </c>
      <c r="FJ106" t="e">
        <f>'2.4.Функции'!QS182+"BYw!&amp;LD"</f>
        <v>#VALUE!</v>
      </c>
      <c r="FK106" t="e">
        <f>'2.4.Функции'!QT182+"BYw!&amp;LE"</f>
        <v>#VALUE!</v>
      </c>
      <c r="FL106" t="e">
        <f>'2.4.Функции'!QU182+"BYw!&amp;LF"</f>
        <v>#VALUE!</v>
      </c>
      <c r="FM106" t="e">
        <f>'2.4.Функции'!QV182+"BYw!&amp;LG"</f>
        <v>#VALUE!</v>
      </c>
      <c r="FN106" t="e">
        <f>'2.4.Функции'!QW182+"BYw!&amp;LH"</f>
        <v>#VALUE!</v>
      </c>
      <c r="FO106" t="e">
        <f>'2.4.Функции'!QX182+"BYw!&amp;LI"</f>
        <v>#VALUE!</v>
      </c>
      <c r="FP106" t="e">
        <f>'2.4.Функции'!QY182+"BYw!&amp;LJ"</f>
        <v>#VALUE!</v>
      </c>
      <c r="FQ106" t="e">
        <f>'2.4.Функции'!QZ182+"BYw!&amp;LK"</f>
        <v>#VALUE!</v>
      </c>
      <c r="FR106" t="e">
        <f>'2.4.Функции'!RA182+"BYw!&amp;LL"</f>
        <v>#VALUE!</v>
      </c>
      <c r="FS106" t="e">
        <f>'2.4.Функции'!RB182+"BYw!&amp;LM"</f>
        <v>#VALUE!</v>
      </c>
      <c r="FT106" t="e">
        <f>'2.4.Функции'!RC182+"BYw!&amp;LN"</f>
        <v>#VALUE!</v>
      </c>
      <c r="FU106" t="e">
        <f>'2.4.Функции'!RD182+"BYw!&amp;LO"</f>
        <v>#VALUE!</v>
      </c>
      <c r="FV106" t="e">
        <f>'2.4.Функции'!RE182+"BYw!&amp;LP"</f>
        <v>#VALUE!</v>
      </c>
      <c r="FW106" t="e">
        <f>'2.4.Функции'!RF182+"BYw!&amp;LQ"</f>
        <v>#VALUE!</v>
      </c>
      <c r="FX106" t="e">
        <f>'2.4.Функции'!RG182+"BYw!&amp;LR"</f>
        <v>#VALUE!</v>
      </c>
      <c r="FY106" t="e">
        <f>'2.4.Функции'!RH182+"BYw!&amp;LS"</f>
        <v>#VALUE!</v>
      </c>
      <c r="FZ106" t="e">
        <f>'2.4.Функции'!RI182+"BYw!&amp;LT"</f>
        <v>#VALUE!</v>
      </c>
      <c r="GA106" t="e">
        <f>'2.4.Функции'!RJ182+"BYw!&amp;LU"</f>
        <v>#VALUE!</v>
      </c>
      <c r="GB106" t="e">
        <f>'2.4.Функции'!RK182+"BYw!&amp;LV"</f>
        <v>#VALUE!</v>
      </c>
      <c r="GC106" t="e">
        <f>'2.4.Функции'!RL182+"BYw!&amp;LW"</f>
        <v>#VALUE!</v>
      </c>
      <c r="GD106" t="e">
        <f>'2.4.Функции'!RM182+"BYw!&amp;LX"</f>
        <v>#VALUE!</v>
      </c>
      <c r="GE106" t="e">
        <f>'2.4.Функции'!RN182+"BYw!&amp;LY"</f>
        <v>#VALUE!</v>
      </c>
      <c r="GF106" t="e">
        <f>'2.4.Функции'!RO182+"BYw!&amp;LZ"</f>
        <v>#VALUE!</v>
      </c>
      <c r="GG106" t="e">
        <f>'2.4.Функции'!RP182+"BYw!&amp;L["</f>
        <v>#VALUE!</v>
      </c>
      <c r="GH106" t="e">
        <f>'2.4.Функции'!RQ182+"BYw!&amp;L\"</f>
        <v>#VALUE!</v>
      </c>
      <c r="GI106" t="e">
        <f>'2.4.Функции'!RR182+"BYw!&amp;L]"</f>
        <v>#VALUE!</v>
      </c>
      <c r="GJ106" t="e">
        <f>'2.4.Функции'!RS182+"BYw!&amp;L^"</f>
        <v>#VALUE!</v>
      </c>
      <c r="GK106" t="e">
        <f>'2.4.Функции'!RT182+"BYw!&amp;L_"</f>
        <v>#VALUE!</v>
      </c>
      <c r="GL106" t="e">
        <f>'2.4.Функции'!RU182+"BYw!&amp;L`"</f>
        <v>#VALUE!</v>
      </c>
      <c r="GM106" t="e">
        <f>'2.4.Функции'!RV182+"BYw!&amp;La"</f>
        <v>#VALUE!</v>
      </c>
      <c r="GN106" t="e">
        <f>'2.4.Функции'!RW182+"BYw!&amp;Lb"</f>
        <v>#VALUE!</v>
      </c>
      <c r="GO106" t="e">
        <f>'2.4.Функции'!RX182+"BYw!&amp;Lc"</f>
        <v>#VALUE!</v>
      </c>
      <c r="GP106" t="e">
        <f>'2.4.Функции'!RY182+"BYw!&amp;Ld"</f>
        <v>#VALUE!</v>
      </c>
      <c r="GQ106" t="e">
        <f>'2.4.Функции'!RZ182+"BYw!&amp;Le"</f>
        <v>#VALUE!</v>
      </c>
      <c r="GR106" t="e">
        <f>'2.4.Функции'!SA182+"BYw!&amp;Lf"</f>
        <v>#VALUE!</v>
      </c>
      <c r="GS106" t="e">
        <f>'2.4.Функции'!SB182+"BYw!&amp;Lg"</f>
        <v>#VALUE!</v>
      </c>
      <c r="GT106" t="e">
        <f>'2.4.Функции'!SC182+"BYw!&amp;Lh"</f>
        <v>#VALUE!</v>
      </c>
      <c r="GU106" t="e">
        <f>'2.4.Функции'!SD182+"BYw!&amp;Li"</f>
        <v>#VALUE!</v>
      </c>
      <c r="GV106" t="e">
        <f>'2.4.Функции'!SE182+"BYw!&amp;Lj"</f>
        <v>#VALUE!</v>
      </c>
      <c r="GW106" t="e">
        <f>'2.4.Функции'!SF182+"BYw!&amp;Lk"</f>
        <v>#VALUE!</v>
      </c>
      <c r="GX106" t="e">
        <f>'2.4.Функции'!SG182+"BYw!&amp;Ll"</f>
        <v>#VALUE!</v>
      </c>
      <c r="GY106" t="e">
        <f>'2.4.Функции'!SH182+"BYw!&amp;Lm"</f>
        <v>#VALUE!</v>
      </c>
      <c r="GZ106" t="e">
        <f>'2.4.Функции'!SI182+"BYw!&amp;Ln"</f>
        <v>#VALUE!</v>
      </c>
      <c r="HA106" t="e">
        <f>'2.4.Функции'!SJ182+"BYw!&amp;Lo"</f>
        <v>#VALUE!</v>
      </c>
      <c r="HB106" t="e">
        <f>'2.4.Функции'!SK182+"BYw!&amp;Lp"</f>
        <v>#VALUE!</v>
      </c>
      <c r="HC106" t="e">
        <f>'2.4.Функции'!SL182+"BYw!&amp;Lq"</f>
        <v>#VALUE!</v>
      </c>
      <c r="HD106" t="e">
        <f>'2.4.Функции'!SM182+"BYw!&amp;Lr"</f>
        <v>#VALUE!</v>
      </c>
      <c r="HE106" t="e">
        <f>'2.4.Функции'!SN182+"BYw!&amp;Ls"</f>
        <v>#VALUE!</v>
      </c>
      <c r="HF106" t="e">
        <f>'2.4.Функции'!SO182+"BYw!&amp;Lt"</f>
        <v>#VALUE!</v>
      </c>
      <c r="HG106" t="e">
        <f>'2.4.Функции'!SP182+"BYw!&amp;Lu"</f>
        <v>#VALUE!</v>
      </c>
      <c r="HH106" t="e">
        <f>'2.4.Функции'!SQ182+"BYw!&amp;Lv"</f>
        <v>#VALUE!</v>
      </c>
      <c r="HI106" t="e">
        <f>'2.4.Функции'!SR182+"BYw!&amp;Lw"</f>
        <v>#VALUE!</v>
      </c>
      <c r="HJ106" t="e">
        <f>'2.4.Функции'!SS182+"BYw!&amp;Lx"</f>
        <v>#VALUE!</v>
      </c>
      <c r="HK106" t="e">
        <f>'2.4.Функции'!ST182+"BYw!&amp;Ly"</f>
        <v>#VALUE!</v>
      </c>
      <c r="HL106" t="e">
        <f>'2.4.Функции'!SU182+"BYw!&amp;Lz"</f>
        <v>#VALUE!</v>
      </c>
      <c r="HM106" t="e">
        <f>'2.4.Функции'!SV182+"BYw!&amp;L{"</f>
        <v>#VALUE!</v>
      </c>
      <c r="HN106" t="e">
        <f>'2.4.Функции'!SW182+"BYw!&amp;L|"</f>
        <v>#VALUE!</v>
      </c>
      <c r="HO106" t="e">
        <f>'2.4.Функции'!SX182+"BYw!&amp;L}"</f>
        <v>#VALUE!</v>
      </c>
      <c r="HP106" t="e">
        <f>'2.4.Функции'!SY182+"BYw!&amp;L~"</f>
        <v>#VALUE!</v>
      </c>
      <c r="HQ106" t="e">
        <f>'2.4.Функции'!SZ182+"BYw!&amp;M#"</f>
        <v>#VALUE!</v>
      </c>
      <c r="HR106" t="e">
        <f>'2.4.Функции'!TA182+"BYw!&amp;M$"</f>
        <v>#VALUE!</v>
      </c>
      <c r="HS106" t="e">
        <f>'2.4.Функции'!TB182+"BYw!&amp;M%"</f>
        <v>#VALUE!</v>
      </c>
      <c r="HT106" t="e">
        <f>'2.4.Функции'!TC182+"BYw!&amp;M&amp;"</f>
        <v>#VALUE!</v>
      </c>
      <c r="HU106" t="e">
        <f>'2.4.Функции'!TD182+"BYw!&amp;M'"</f>
        <v>#VALUE!</v>
      </c>
      <c r="HV106" t="e">
        <f>'2.4.Функции'!TE182+"BYw!&amp;M("</f>
        <v>#VALUE!</v>
      </c>
      <c r="HW106" t="e">
        <f>'2.4.Функции'!TF182+"BYw!&amp;M)"</f>
        <v>#VALUE!</v>
      </c>
      <c r="HX106" t="e">
        <f>'2.4.Функции'!TG182+"BYw!&amp;M."</f>
        <v>#VALUE!</v>
      </c>
      <c r="HY106" t="e">
        <f>'2.4.Функции'!TH182+"BYw!&amp;M/"</f>
        <v>#VALUE!</v>
      </c>
      <c r="HZ106" t="e">
        <f>'2.4.Функции'!TI182+"BYw!&amp;M0"</f>
        <v>#VALUE!</v>
      </c>
      <c r="IA106" t="e">
        <f>'2.4.Функции'!TJ182+"BYw!&amp;M1"</f>
        <v>#VALUE!</v>
      </c>
      <c r="IB106" t="e">
        <f>'2.4.Функции'!TK182+"BYw!&amp;M2"</f>
        <v>#VALUE!</v>
      </c>
      <c r="IC106" t="e">
        <f>'2.4.Функции'!TL182+"BYw!&amp;M3"</f>
        <v>#VALUE!</v>
      </c>
      <c r="ID106" t="e">
        <f>'2.4.Функции'!TM182+"BYw!&amp;M4"</f>
        <v>#VALUE!</v>
      </c>
      <c r="IE106" t="e">
        <f>'2.4.Функции'!TN182+"BYw!&amp;M5"</f>
        <v>#VALUE!</v>
      </c>
      <c r="IF106" t="e">
        <f>'2.4.Функции'!TO182+"BYw!&amp;M6"</f>
        <v>#VALUE!</v>
      </c>
      <c r="IG106" t="e">
        <f>'2.4.Функции'!TP182+"BYw!&amp;M7"</f>
        <v>#VALUE!</v>
      </c>
      <c r="IH106" t="e">
        <f>'2.4.Функции'!TQ182+"BYw!&amp;M8"</f>
        <v>#VALUE!</v>
      </c>
      <c r="II106" t="e">
        <f>'2.4.Функции'!TR182+"BYw!&amp;M9"</f>
        <v>#VALUE!</v>
      </c>
      <c r="IJ106" t="e">
        <f>'2.4.Функции'!TS182+"BYw!&amp;M:"</f>
        <v>#VALUE!</v>
      </c>
      <c r="IK106" t="e">
        <f>'2.4.Функции'!TT182+"BYw!&amp;M;"</f>
        <v>#VALUE!</v>
      </c>
      <c r="IL106" t="e">
        <f>'2.4.Функции'!TU182+"BYw!&amp;M&lt;"</f>
        <v>#VALUE!</v>
      </c>
      <c r="IM106" t="e">
        <f>'2.4.Функции'!TV182+"BYw!&amp;M="</f>
        <v>#VALUE!</v>
      </c>
      <c r="IN106" t="e">
        <f>'2.4.Функции'!TW182+"BYw!&amp;M&gt;"</f>
        <v>#VALUE!</v>
      </c>
      <c r="IO106" t="e">
        <f>'2.4.Функции'!TX182+"BYw!&amp;M?"</f>
        <v>#VALUE!</v>
      </c>
      <c r="IP106" t="e">
        <f>'2.4.Функции'!TY182+"BYw!&amp;M@"</f>
        <v>#VALUE!</v>
      </c>
      <c r="IQ106" t="e">
        <f>'2.4.Функции'!TZ182+"BYw!&amp;MA"</f>
        <v>#VALUE!</v>
      </c>
      <c r="IR106" t="e">
        <f>'2.4.Функции'!UA182+"BYw!&amp;MB"</f>
        <v>#VALUE!</v>
      </c>
      <c r="IS106" t="e">
        <f>'2.4.Функции'!UB182+"BYw!&amp;MC"</f>
        <v>#VALUE!</v>
      </c>
      <c r="IT106" t="e">
        <f>'2.4.Функции'!UC182+"BYw!&amp;MD"</f>
        <v>#VALUE!</v>
      </c>
      <c r="IU106" t="e">
        <f>'2.4.Функции'!UD182+"BYw!&amp;ME"</f>
        <v>#VALUE!</v>
      </c>
      <c r="IV106" t="e">
        <f>'2.4.Функции'!UE182+"BYw!&amp;MF"</f>
        <v>#VALUE!</v>
      </c>
    </row>
    <row r="107" spans="6:256" x14ac:dyDescent="0.2">
      <c r="F107" t="e">
        <f>'2.4.Функции'!UF182+"BYw!&amp;MG"</f>
        <v>#VALUE!</v>
      </c>
      <c r="G107" t="e">
        <f>'2.4.Функции'!UG182+"BYw!&amp;MH"</f>
        <v>#VALUE!</v>
      </c>
      <c r="H107" t="e">
        <f>'2.4.Функции'!UH182+"BYw!&amp;MI"</f>
        <v>#VALUE!</v>
      </c>
      <c r="I107" t="e">
        <f>'2.4.Функции'!UI182+"BYw!&amp;MJ"</f>
        <v>#VALUE!</v>
      </c>
      <c r="J107" t="e">
        <f>'2.4.Функции'!UJ182+"BYw!&amp;MK"</f>
        <v>#VALUE!</v>
      </c>
      <c r="K107" t="e">
        <f>'2.4.Функции'!UK182+"BYw!&amp;ML"</f>
        <v>#VALUE!</v>
      </c>
      <c r="L107" t="e">
        <f>'2.4.Функции'!UL182+"BYw!&amp;MM"</f>
        <v>#VALUE!</v>
      </c>
      <c r="M107" t="e">
        <f>'2.4.Функции'!UM182+"BYw!&amp;MN"</f>
        <v>#VALUE!</v>
      </c>
      <c r="N107" t="e">
        <f>'2.4.Функции'!UN182+"BYw!&amp;MO"</f>
        <v>#VALUE!</v>
      </c>
      <c r="O107" t="e">
        <f>'2.4.Функции'!UO182+"BYw!&amp;MP"</f>
        <v>#VALUE!</v>
      </c>
      <c r="P107" t="e">
        <f>'2.4.Функции'!UP182+"BYw!&amp;MQ"</f>
        <v>#VALUE!</v>
      </c>
      <c r="Q107" t="e">
        <f>'2.4.Функции'!UQ182+"BYw!&amp;MR"</f>
        <v>#VALUE!</v>
      </c>
      <c r="R107" t="e">
        <f>'2.4.Функции'!UR182+"BYw!&amp;MS"</f>
        <v>#VALUE!</v>
      </c>
      <c r="S107" t="e">
        <f>'2.4.Функции'!US182+"BYw!&amp;MT"</f>
        <v>#VALUE!</v>
      </c>
      <c r="T107" t="e">
        <f>'2.4.Функции'!UT182+"BYw!&amp;MU"</f>
        <v>#VALUE!</v>
      </c>
      <c r="U107" t="e">
        <f>'2.4.Функции'!UU182+"BYw!&amp;MV"</f>
        <v>#VALUE!</v>
      </c>
      <c r="V107" t="e">
        <f>'2.4.Функции'!UV182+"BYw!&amp;MW"</f>
        <v>#VALUE!</v>
      </c>
      <c r="W107" t="e">
        <f>'2.4.Функции'!UW182+"BYw!&amp;MX"</f>
        <v>#VALUE!</v>
      </c>
      <c r="X107" t="e">
        <f>'2.4.Функции'!UX182+"BYw!&amp;MY"</f>
        <v>#VALUE!</v>
      </c>
      <c r="Y107" t="e">
        <f>'2.4.Функции'!UY182+"BYw!&amp;MZ"</f>
        <v>#VALUE!</v>
      </c>
      <c r="Z107" t="e">
        <f>'2.4.Функции'!UZ182+"BYw!&amp;M["</f>
        <v>#VALUE!</v>
      </c>
      <c r="AA107" t="e">
        <f>'2.4.Функции'!VA182+"BYw!&amp;M\"</f>
        <v>#VALUE!</v>
      </c>
      <c r="AB107" t="e">
        <f>'2.4.Функции'!VB182+"BYw!&amp;M]"</f>
        <v>#VALUE!</v>
      </c>
      <c r="AC107" t="e">
        <f>'2.4.Функции'!VC182+"BYw!&amp;M^"</f>
        <v>#VALUE!</v>
      </c>
      <c r="AD107" t="e">
        <f>'2.4.Функции'!VD182+"BYw!&amp;M_"</f>
        <v>#VALUE!</v>
      </c>
      <c r="AE107" t="e">
        <f>'2.4.Функции'!VE182+"BYw!&amp;M`"</f>
        <v>#VALUE!</v>
      </c>
      <c r="AF107" t="e">
        <f>'2.4.Функции'!VF182+"BYw!&amp;Ma"</f>
        <v>#VALUE!</v>
      </c>
      <c r="AG107" t="e">
        <f>'2.4.Функции'!VG182+"BYw!&amp;Mb"</f>
        <v>#VALUE!</v>
      </c>
      <c r="AH107" t="e">
        <f>'2.4.Функции'!VH182+"BYw!&amp;Mc"</f>
        <v>#VALUE!</v>
      </c>
      <c r="AI107" t="e">
        <f>'2.4.Функции'!VI182+"BYw!&amp;Md"</f>
        <v>#VALUE!</v>
      </c>
      <c r="AJ107" t="e">
        <f>'2.4.Функции'!VJ182+"BYw!&amp;Me"</f>
        <v>#VALUE!</v>
      </c>
      <c r="AK107" t="e">
        <f>'2.4.Функции'!VK182+"BYw!&amp;Mf"</f>
        <v>#VALUE!</v>
      </c>
      <c r="AL107" t="e">
        <f>'2.4.Функции'!VL182+"BYw!&amp;Mg"</f>
        <v>#VALUE!</v>
      </c>
      <c r="AM107" t="e">
        <f>'2.4.Функции'!VM182+"BYw!&amp;Mh"</f>
        <v>#VALUE!</v>
      </c>
      <c r="AN107" t="e">
        <f>'2.4.Функции'!VN182+"BYw!&amp;Mi"</f>
        <v>#VALUE!</v>
      </c>
      <c r="AO107" t="e">
        <f>'2.4.Функции'!VO182+"BYw!&amp;Mj"</f>
        <v>#VALUE!</v>
      </c>
      <c r="AP107" t="e">
        <f>'2.4.Функции'!VP182+"BYw!&amp;Mk"</f>
        <v>#VALUE!</v>
      </c>
      <c r="AQ107" t="e">
        <f>'2.4.Функции'!VQ182+"BYw!&amp;Ml"</f>
        <v>#VALUE!</v>
      </c>
      <c r="AR107" t="e">
        <f>'2.4.Функции'!VR182+"BYw!&amp;Mm"</f>
        <v>#VALUE!</v>
      </c>
      <c r="AS107" t="e">
        <f>'2.4.Функции'!VS182+"BYw!&amp;Mn"</f>
        <v>#VALUE!</v>
      </c>
      <c r="AT107" t="e">
        <f>'2.4.Функции'!VT182+"BYw!&amp;Mo"</f>
        <v>#VALUE!</v>
      </c>
      <c r="AU107" t="e">
        <f>'2.4.Функции'!VU182+"BYw!&amp;Mp"</f>
        <v>#VALUE!</v>
      </c>
      <c r="AV107" t="e">
        <f>'2.4.Функции'!VV182+"BYw!&amp;Mq"</f>
        <v>#VALUE!</v>
      </c>
      <c r="AW107" t="e">
        <f>'2.4.Функции'!VW182+"BYw!&amp;Mr"</f>
        <v>#VALUE!</v>
      </c>
      <c r="AX107" t="e">
        <f>'2.4.Функции'!VX182+"BYw!&amp;Ms"</f>
        <v>#VALUE!</v>
      </c>
      <c r="AY107" t="e">
        <f>'2.4.Функции'!VY182+"BYw!&amp;Mt"</f>
        <v>#VALUE!</v>
      </c>
      <c r="AZ107" t="e">
        <f>'2.4.Функции'!VZ182+"BYw!&amp;Mu"</f>
        <v>#VALUE!</v>
      </c>
      <c r="BA107" t="e">
        <f>'2.4.Функции'!WA182+"BYw!&amp;Mv"</f>
        <v>#VALUE!</v>
      </c>
      <c r="BB107" t="e">
        <f>'2.4.Функции'!WB182+"BYw!&amp;Mw"</f>
        <v>#VALUE!</v>
      </c>
      <c r="BC107" t="e">
        <f>'2.4.Функции'!WC182+"BYw!&amp;Mx"</f>
        <v>#VALUE!</v>
      </c>
      <c r="BD107" t="e">
        <f>'2.4.Функции'!WD182+"BYw!&amp;My"</f>
        <v>#VALUE!</v>
      </c>
      <c r="BE107" t="e">
        <f>'2.4.Функции'!WE182+"BYw!&amp;Mz"</f>
        <v>#VALUE!</v>
      </c>
      <c r="BF107" t="e">
        <f>'2.4.Функции'!WF182+"BYw!&amp;M{"</f>
        <v>#VALUE!</v>
      </c>
      <c r="BG107" t="e">
        <f>'2.4.Функции'!WG182+"BYw!&amp;M|"</f>
        <v>#VALUE!</v>
      </c>
      <c r="BH107" t="e">
        <f>'2.4.Функции'!WH182+"BYw!&amp;M}"</f>
        <v>#VALUE!</v>
      </c>
      <c r="BI107" t="e">
        <f>'2.4.Функции'!WI182+"BYw!&amp;M~"</f>
        <v>#VALUE!</v>
      </c>
      <c r="BJ107" t="e">
        <f>'2.4.Функции'!WJ182+"BYw!&amp;N#"</f>
        <v>#VALUE!</v>
      </c>
      <c r="BK107" t="e">
        <f>'2.4.Функции'!WK182+"BYw!&amp;N$"</f>
        <v>#VALUE!</v>
      </c>
      <c r="BL107" t="e">
        <f>'2.4.Функции'!WL182+"BYw!&amp;N%"</f>
        <v>#VALUE!</v>
      </c>
      <c r="BM107" t="e">
        <f>'2.4.Функции'!WM182+"BYw!&amp;N&amp;"</f>
        <v>#VALUE!</v>
      </c>
      <c r="BN107" t="e">
        <f>'2.4.Функции'!WN182+"BYw!&amp;N'"</f>
        <v>#VALUE!</v>
      </c>
      <c r="BO107" t="e">
        <f>'2.4.Функции'!WO182+"BYw!&amp;N("</f>
        <v>#VALUE!</v>
      </c>
      <c r="BP107" t="e">
        <f>'2.4.Функции'!WP182+"BYw!&amp;N)"</f>
        <v>#VALUE!</v>
      </c>
      <c r="BQ107" t="e">
        <f>'2.4.Функции'!WQ182+"BYw!&amp;N."</f>
        <v>#VALUE!</v>
      </c>
      <c r="BR107" t="e">
        <f>'2.4.Функции'!WR182+"BYw!&amp;N/"</f>
        <v>#VALUE!</v>
      </c>
      <c r="BS107" t="e">
        <f>'2.4.Функции'!WS182+"BYw!&amp;N0"</f>
        <v>#VALUE!</v>
      </c>
      <c r="BT107" t="e">
        <f>'2.4.Функции'!WT182+"BYw!&amp;N1"</f>
        <v>#VALUE!</v>
      </c>
      <c r="BU107" t="e">
        <f>'2.4.Функции'!WU182+"BYw!&amp;N2"</f>
        <v>#VALUE!</v>
      </c>
      <c r="BV107" t="e">
        <f>'2.4.Функции'!WV182+"BYw!&amp;N3"</f>
        <v>#VALUE!</v>
      </c>
      <c r="BW107" t="e">
        <f>'2.4.Функции'!WW182+"BYw!&amp;N4"</f>
        <v>#VALUE!</v>
      </c>
      <c r="BX107" t="e">
        <f>'2.4.Функции'!WX182+"BYw!&amp;N5"</f>
        <v>#VALUE!</v>
      </c>
      <c r="BY107" t="e">
        <f>'2.4.Функции'!WY182+"BYw!&amp;N6"</f>
        <v>#VALUE!</v>
      </c>
      <c r="BZ107" t="e">
        <f>'2.4.Функции'!WZ182+"BYw!&amp;N7"</f>
        <v>#VALUE!</v>
      </c>
      <c r="CA107" t="e">
        <f>'2.4.Функции'!XA182+"BYw!&amp;N8"</f>
        <v>#VALUE!</v>
      </c>
      <c r="CB107" t="e">
        <f>'2.4.Функции'!XB182+"BYw!&amp;N9"</f>
        <v>#VALUE!</v>
      </c>
      <c r="CC107" t="e">
        <f>'2.4.Функции'!XC182+"BYw!&amp;N:"</f>
        <v>#VALUE!</v>
      </c>
      <c r="CD107" t="e">
        <f>'2.4.Функции'!XD182+"BYw!&amp;N;"</f>
        <v>#VALUE!</v>
      </c>
      <c r="CE107" t="e">
        <f>'2.4.Функции'!XE182+"BYw!&amp;N&lt;"</f>
        <v>#VALUE!</v>
      </c>
      <c r="CF107" t="e">
        <f>'2.4.Функции'!XF182+"BYw!&amp;N="</f>
        <v>#VALUE!</v>
      </c>
      <c r="CG107" t="e">
        <f>'2.4.Функции'!XG182+"BYw!&amp;N&gt;"</f>
        <v>#VALUE!</v>
      </c>
      <c r="CH107" t="e">
        <f>'2.4.Функции'!XH182+"BYw!&amp;N?"</f>
        <v>#VALUE!</v>
      </c>
      <c r="CI107" t="e">
        <f>'2.4.Функции'!XI182+"BYw!&amp;N@"</f>
        <v>#VALUE!</v>
      </c>
      <c r="CJ107" t="e">
        <f>'2.4.Функции'!XJ182+"BYw!&amp;NA"</f>
        <v>#VALUE!</v>
      </c>
      <c r="CK107" t="e">
        <f>'2.4.Функции'!XK182+"BYw!&amp;NB"</f>
        <v>#VALUE!</v>
      </c>
      <c r="CL107" t="e">
        <f>'2.4.Функции'!XL182+"BYw!&amp;NC"</f>
        <v>#VALUE!</v>
      </c>
      <c r="CM107" t="e">
        <f>'2.4.Функции'!XM182+"BYw!&amp;ND"</f>
        <v>#VALUE!</v>
      </c>
      <c r="CN107" t="e">
        <f>'2.4.Функции'!XN182+"BYw!&amp;NE"</f>
        <v>#VALUE!</v>
      </c>
      <c r="CO107" t="e">
        <f>'2.4.Функции'!XO182+"BYw!&amp;NF"</f>
        <v>#VALUE!</v>
      </c>
      <c r="CP107" t="e">
        <f>'2.4.Функции'!XP182+"BYw!&amp;NG"</f>
        <v>#VALUE!</v>
      </c>
      <c r="CQ107" t="e">
        <f>'2.4.Функции'!XQ182+"BYw!&amp;NH"</f>
        <v>#VALUE!</v>
      </c>
      <c r="CR107" t="e">
        <f>'2.4.Функции'!XR182+"BYw!&amp;NI"</f>
        <v>#VALUE!</v>
      </c>
      <c r="CS107" t="e">
        <f>'2.4.Функции'!XS182+"BYw!&amp;NJ"</f>
        <v>#VALUE!</v>
      </c>
      <c r="CT107" t="e">
        <f>'2.4.Функции'!XT182+"BYw!&amp;NK"</f>
        <v>#VALUE!</v>
      </c>
      <c r="CU107" t="e">
        <f>'2.4.Функции'!XU182+"BYw!&amp;NL"</f>
        <v>#VALUE!</v>
      </c>
      <c r="CV107" t="e">
        <f>'2.4.Функции'!XV182+"BYw!&amp;NM"</f>
        <v>#VALUE!</v>
      </c>
      <c r="CW107" t="e">
        <f>'2.4.Функции'!XW182+"BYw!&amp;NN"</f>
        <v>#VALUE!</v>
      </c>
      <c r="CX107" t="e">
        <f>'2.4.Функции'!XX182+"BYw!&amp;NO"</f>
        <v>#VALUE!</v>
      </c>
      <c r="CY107" t="e">
        <f>'2.4.Функции'!XY182+"BYw!&amp;NP"</f>
        <v>#VALUE!</v>
      </c>
      <c r="CZ107" t="e">
        <f>'2.4.Функции'!XZ182+"BYw!&amp;NQ"</f>
        <v>#VALUE!</v>
      </c>
      <c r="DA107" t="e">
        <f>'2.4.Функции'!YA182+"BYw!&amp;NR"</f>
        <v>#VALUE!</v>
      </c>
      <c r="DB107" t="e">
        <f>'2.4.Функции'!YB182+"BYw!&amp;NS"</f>
        <v>#VALUE!</v>
      </c>
      <c r="DC107" t="e">
        <f>'2.4.Функции'!YC182+"BYw!&amp;NT"</f>
        <v>#VALUE!</v>
      </c>
      <c r="DD107" t="e">
        <f>'2.4.Функции'!YD182+"BYw!&amp;NU"</f>
        <v>#VALUE!</v>
      </c>
      <c r="DE107" t="e">
        <f>'2.4.Функции'!YE182+"BYw!&amp;NV"</f>
        <v>#VALUE!</v>
      </c>
      <c r="DF107" t="e">
        <f>'2.4.Функции'!YF182+"BYw!&amp;NW"</f>
        <v>#VALUE!</v>
      </c>
      <c r="DG107" t="e">
        <f>'2.4.Функции'!YG182+"BYw!&amp;NX"</f>
        <v>#VALUE!</v>
      </c>
      <c r="DH107" t="e">
        <f>'2.4.Функции'!YH182+"BYw!&amp;NY"</f>
        <v>#VALUE!</v>
      </c>
      <c r="DI107" t="e">
        <f>'2.4.Функции'!YI182+"BYw!&amp;NZ"</f>
        <v>#VALUE!</v>
      </c>
      <c r="DJ107" t="e">
        <f>'2.4.Функции'!YJ182+"BYw!&amp;N["</f>
        <v>#VALUE!</v>
      </c>
      <c r="DK107" t="e">
        <f>'2.4.Функции'!YK182+"BYw!&amp;N\"</f>
        <v>#VALUE!</v>
      </c>
      <c r="DL107" t="e">
        <f>'2.4.Функции'!YL182+"BYw!&amp;N]"</f>
        <v>#VALUE!</v>
      </c>
      <c r="DM107" t="e">
        <f>'2.4.Функции'!YM182+"BYw!&amp;N^"</f>
        <v>#VALUE!</v>
      </c>
      <c r="DN107" t="e">
        <f>'2.4.Функции'!YN182+"BYw!&amp;N_"</f>
        <v>#VALUE!</v>
      </c>
      <c r="DO107" t="e">
        <f>'2.4.Функции'!YO182+"BYw!&amp;N`"</f>
        <v>#VALUE!</v>
      </c>
      <c r="DP107" t="e">
        <f>'2.4.Функции'!YP182+"BYw!&amp;Na"</f>
        <v>#VALUE!</v>
      </c>
      <c r="DQ107" t="e">
        <f>'2.4.Функции'!YQ182+"BYw!&amp;Nb"</f>
        <v>#VALUE!</v>
      </c>
      <c r="DR107" t="e">
        <f>'2.4.Функции'!YR182+"BYw!&amp;Nc"</f>
        <v>#VALUE!</v>
      </c>
      <c r="DS107" t="e">
        <f>'2.4.Функции'!YS182+"BYw!&amp;Nd"</f>
        <v>#VALUE!</v>
      </c>
      <c r="DT107" t="e">
        <f>'2.4.Функции'!YT182+"BYw!&amp;Ne"</f>
        <v>#VALUE!</v>
      </c>
      <c r="DU107" t="e">
        <f>'2.4.Функции'!YU182+"BYw!&amp;Nf"</f>
        <v>#VALUE!</v>
      </c>
      <c r="DV107" t="e">
        <f>'2.4.Функции'!YV182+"BYw!&amp;Ng"</f>
        <v>#VALUE!</v>
      </c>
      <c r="DW107" t="e">
        <f>'2.4.Функции'!YW182+"BYw!&amp;Nh"</f>
        <v>#VALUE!</v>
      </c>
      <c r="DX107" t="e">
        <f>'2.4.Функции'!YX182+"BYw!&amp;Ni"</f>
        <v>#VALUE!</v>
      </c>
      <c r="DY107" t="e">
        <f>'2.4.Функции'!YY182+"BYw!&amp;Nj"</f>
        <v>#VALUE!</v>
      </c>
      <c r="DZ107" t="e">
        <f>'2.4.Функции'!YZ182+"BYw!&amp;Nk"</f>
        <v>#VALUE!</v>
      </c>
      <c r="EA107" t="e">
        <f>'2.4.Функции'!ZA182+"BYw!&amp;Nl"</f>
        <v>#VALUE!</v>
      </c>
      <c r="EB107" t="e">
        <f>'2.4.Функции'!ZB182+"BYw!&amp;Nm"</f>
        <v>#VALUE!</v>
      </c>
      <c r="EC107" t="e">
        <f>'2.4.Функции'!ZC182+"BYw!&amp;Nn"</f>
        <v>#VALUE!</v>
      </c>
      <c r="ED107" t="e">
        <f>'2.4.Функции'!ZD182+"BYw!&amp;No"</f>
        <v>#VALUE!</v>
      </c>
      <c r="EE107" t="e">
        <f>'2.4.Функции'!ZE182+"BYw!&amp;Np"</f>
        <v>#VALUE!</v>
      </c>
      <c r="EF107" t="e">
        <f>'2.4.Функции'!ZF182+"BYw!&amp;Nq"</f>
        <v>#VALUE!</v>
      </c>
      <c r="EG107" t="e">
        <f>'2.4.Функции'!ZG182+"BYw!&amp;Nr"</f>
        <v>#VALUE!</v>
      </c>
      <c r="EH107" t="e">
        <f>'2.4.Функции'!ZH182+"BYw!&amp;Ns"</f>
        <v>#VALUE!</v>
      </c>
      <c r="EI107" t="e">
        <f>'2.4.Функции'!ZI182+"BYw!&amp;Nt"</f>
        <v>#VALUE!</v>
      </c>
      <c r="EJ107" t="e">
        <f>'2.4.Функции'!ZJ182+"BYw!&amp;Nu"</f>
        <v>#VALUE!</v>
      </c>
      <c r="EK107" t="e">
        <f>'2.4.Функции'!ZK182+"BYw!&amp;Nv"</f>
        <v>#VALUE!</v>
      </c>
      <c r="EL107" t="e">
        <f>'2.4.Функции'!ZL182+"BYw!&amp;Nw"</f>
        <v>#VALUE!</v>
      </c>
      <c r="EM107" t="e">
        <f>'2.4.Функции'!ZM182+"BYw!&amp;Nx"</f>
        <v>#VALUE!</v>
      </c>
      <c r="EN107" t="e">
        <f>'2.4.Функции'!ZN182+"BYw!&amp;Ny"</f>
        <v>#VALUE!</v>
      </c>
      <c r="EO107" t="e">
        <f>'2.4.Функции'!ZO182+"BYw!&amp;Nz"</f>
        <v>#VALUE!</v>
      </c>
      <c r="EP107" t="e">
        <f>'2.4.Функции'!ZP182+"BYw!&amp;N{"</f>
        <v>#VALUE!</v>
      </c>
      <c r="EQ107" t="e">
        <f>'2.4.Функции'!ZQ182+"BYw!&amp;N|"</f>
        <v>#VALUE!</v>
      </c>
      <c r="ER107" t="e">
        <f>'2.4.Функции'!ZR182+"BYw!&amp;N}"</f>
        <v>#VALUE!</v>
      </c>
      <c r="ES107" t="e">
        <f>'2.4.Функции'!ZS182+"BYw!&amp;N~"</f>
        <v>#VALUE!</v>
      </c>
      <c r="ET107" t="e">
        <f>'2.4.Функции'!ZT182+"BYw!&amp;O#"</f>
        <v>#VALUE!</v>
      </c>
      <c r="EU107" t="e">
        <f>'2.4.Функции'!ZU182+"BYw!&amp;O$"</f>
        <v>#VALUE!</v>
      </c>
      <c r="EV107" t="e">
        <f>'2.4.Функции'!ZV182+"BYw!&amp;O%"</f>
        <v>#VALUE!</v>
      </c>
      <c r="EW107" t="e">
        <f>'2.4.Функции'!ZW182+"BYw!&amp;O&amp;"</f>
        <v>#VALUE!</v>
      </c>
      <c r="EX107" t="e">
        <f>'2.4.Функции'!ZX182+"BYw!&amp;O'"</f>
        <v>#VALUE!</v>
      </c>
      <c r="EY107" t="e">
        <f>'2.4.Функции'!ZY182+"BYw!&amp;O("</f>
        <v>#VALUE!</v>
      </c>
      <c r="EZ107" t="e">
        <f>'2.4.Функции'!ZZ182+"BYw!&amp;O)"</f>
        <v>#VALUE!</v>
      </c>
      <c r="FA107" t="e">
        <f>'2.4.Функции'!AAA182+"BYw!&amp;O."</f>
        <v>#VALUE!</v>
      </c>
      <c r="FB107" t="e">
        <f>'2.4.Функции'!AAB182+"BYw!&amp;O/"</f>
        <v>#VALUE!</v>
      </c>
      <c r="FC107" t="e">
        <f>'2.4.Функции'!AAC182+"BYw!&amp;O0"</f>
        <v>#VALUE!</v>
      </c>
      <c r="FD107" t="e">
        <f>'2.4.Функции'!AAD182+"BYw!&amp;O1"</f>
        <v>#VALUE!</v>
      </c>
      <c r="FE107" t="e">
        <f>'2.4.Функции'!AAE182+"BYw!&amp;O2"</f>
        <v>#VALUE!</v>
      </c>
      <c r="FF107" t="e">
        <f>'2.4.Функции'!AAF182+"BYw!&amp;O3"</f>
        <v>#VALUE!</v>
      </c>
      <c r="FG107" t="e">
        <f>'2.4.Функции'!AAG182+"BYw!&amp;O4"</f>
        <v>#VALUE!</v>
      </c>
      <c r="FH107" t="e">
        <f>'2.4.Функции'!AAH182+"BYw!&amp;O5"</f>
        <v>#VALUE!</v>
      </c>
      <c r="FI107" t="e">
        <f>'2.4.Функции'!AAI182+"BYw!&amp;O6"</f>
        <v>#VALUE!</v>
      </c>
      <c r="FJ107" t="e">
        <f>'2.4.Функции'!AAJ182+"BYw!&amp;O7"</f>
        <v>#VALUE!</v>
      </c>
      <c r="FK107" t="e">
        <f>'2.4.Функции'!AAK182+"BYw!&amp;O8"</f>
        <v>#VALUE!</v>
      </c>
      <c r="FL107" t="e">
        <f>'2.4.Функции'!AAL182+"BYw!&amp;O9"</f>
        <v>#VALUE!</v>
      </c>
      <c r="FM107" t="e">
        <f>'2.4.Функции'!AAM182+"BYw!&amp;O:"</f>
        <v>#VALUE!</v>
      </c>
      <c r="FN107" t="e">
        <f>'2.4.Функции'!AAN182+"BYw!&amp;O;"</f>
        <v>#VALUE!</v>
      </c>
      <c r="FO107" t="e">
        <f>'2.4.Функции'!AAO182+"BYw!&amp;O&lt;"</f>
        <v>#VALUE!</v>
      </c>
      <c r="FP107" t="e">
        <f>'2.4.Функции'!AAP182+"BYw!&amp;O="</f>
        <v>#VALUE!</v>
      </c>
      <c r="FQ107" t="e">
        <f>'2.4.Функции'!AAQ182+"BYw!&amp;O&gt;"</f>
        <v>#VALUE!</v>
      </c>
      <c r="FR107" t="e">
        <f>'2.4.Функции'!AAR182+"BYw!&amp;O?"</f>
        <v>#VALUE!</v>
      </c>
      <c r="FS107" t="e">
        <f>'2.4.Функции'!AAS182+"BYw!&amp;O@"</f>
        <v>#VALUE!</v>
      </c>
      <c r="FT107" t="e">
        <f>'2.4.Функции'!AAT182+"BYw!&amp;OA"</f>
        <v>#VALUE!</v>
      </c>
      <c r="FU107" t="e">
        <f>'2.4.Функции'!AAU182+"BYw!&amp;OB"</f>
        <v>#VALUE!</v>
      </c>
      <c r="FV107" t="e">
        <f>'2.4.Функции'!AAV182+"BYw!&amp;OC"</f>
        <v>#VALUE!</v>
      </c>
      <c r="FW107" t="e">
        <f>'2.4.Функции'!AAW182+"BYw!&amp;OD"</f>
        <v>#VALUE!</v>
      </c>
      <c r="FX107" t="e">
        <f>'2.4.Функции'!AAX182+"BYw!&amp;OE"</f>
        <v>#VALUE!</v>
      </c>
      <c r="FY107" t="e">
        <f>'2.4.Функции'!AAY182+"BYw!&amp;OF"</f>
        <v>#VALUE!</v>
      </c>
      <c r="FZ107" t="e">
        <f>'2.4.Функции'!AAZ182+"BYw!&amp;OG"</f>
        <v>#VALUE!</v>
      </c>
      <c r="GA107" t="e">
        <f>'2.4.Функции'!ABA182+"BYw!&amp;OH"</f>
        <v>#VALUE!</v>
      </c>
      <c r="GB107" t="e">
        <f>'2.4.Функции'!ABB182+"BYw!&amp;OI"</f>
        <v>#VALUE!</v>
      </c>
      <c r="GC107" t="e">
        <f>'2.4.Функции'!ABC182+"BYw!&amp;OJ"</f>
        <v>#VALUE!</v>
      </c>
      <c r="GD107" t="e">
        <f>'2.4.Функции'!ABD182+"BYw!&amp;OK"</f>
        <v>#VALUE!</v>
      </c>
      <c r="GE107" t="e">
        <f>'2.4.Функции'!ABE182+"BYw!&amp;OL"</f>
        <v>#VALUE!</v>
      </c>
      <c r="GF107" t="e">
        <f>'2.4.Функции'!ABF182+"BYw!&amp;OM"</f>
        <v>#VALUE!</v>
      </c>
      <c r="GG107" t="e">
        <f>'2.4.Функции'!ABG182+"BYw!&amp;ON"</f>
        <v>#VALUE!</v>
      </c>
      <c r="GH107" t="e">
        <f>'2.4.Функции'!ABH182+"BYw!&amp;OO"</f>
        <v>#VALUE!</v>
      </c>
      <c r="GI107" t="e">
        <f>'2.4.Функции'!ABI182+"BYw!&amp;OP"</f>
        <v>#VALUE!</v>
      </c>
      <c r="GJ107" t="e">
        <f>'2.4.Функции'!ABJ182+"BYw!&amp;OQ"</f>
        <v>#VALUE!</v>
      </c>
      <c r="GK107" t="e">
        <f>'2.4.Функции'!ABK182+"BYw!&amp;OR"</f>
        <v>#VALUE!</v>
      </c>
      <c r="GL107" t="e">
        <f>'2.4.Функции'!ABL182+"BYw!&amp;OS"</f>
        <v>#VALUE!</v>
      </c>
      <c r="GM107" t="e">
        <f>'2.4.Функции'!ABM182+"BYw!&amp;OT"</f>
        <v>#VALUE!</v>
      </c>
      <c r="GN107" t="e">
        <f>'2.4.Функции'!ABN182+"BYw!&amp;OU"</f>
        <v>#VALUE!</v>
      </c>
      <c r="GO107" t="e">
        <f>'2.4.Функции'!ABO182+"BYw!&amp;OV"</f>
        <v>#VALUE!</v>
      </c>
      <c r="GP107" t="e">
        <f>'2.4.Функции'!ABP182+"BYw!&amp;OW"</f>
        <v>#VALUE!</v>
      </c>
      <c r="GQ107" t="e">
        <f>'2.4.Функции'!ABQ182+"BYw!&amp;OX"</f>
        <v>#VALUE!</v>
      </c>
      <c r="GR107" t="e">
        <f>'2.4.Функции'!ABR182+"BYw!&amp;OY"</f>
        <v>#VALUE!</v>
      </c>
      <c r="GS107" t="e">
        <f>'2.4.Функции'!ABS182+"BYw!&amp;OZ"</f>
        <v>#VALUE!</v>
      </c>
      <c r="GT107" t="e">
        <f>'2.4.Функции'!ABT182+"BYw!&amp;O["</f>
        <v>#VALUE!</v>
      </c>
      <c r="GU107" t="e">
        <f>'2.4.Функции'!ABU182+"BYw!&amp;O\"</f>
        <v>#VALUE!</v>
      </c>
      <c r="GV107" t="e">
        <f>'2.4.Функции'!ABV182+"BYw!&amp;O]"</f>
        <v>#VALUE!</v>
      </c>
      <c r="GW107" t="e">
        <f>'2.4.Функции'!ABW182+"BYw!&amp;O^"</f>
        <v>#VALUE!</v>
      </c>
      <c r="GX107" t="e">
        <f>'2.4.Функции'!ABX182+"BYw!&amp;O_"</f>
        <v>#VALUE!</v>
      </c>
      <c r="GY107" t="e">
        <f>'2.4.Функции'!ABY182+"BYw!&amp;O`"</f>
        <v>#VALUE!</v>
      </c>
      <c r="GZ107" t="e">
        <f>'2.4.Функции'!ABZ182+"BYw!&amp;Oa"</f>
        <v>#VALUE!</v>
      </c>
      <c r="HA107" t="e">
        <f>'2.4.Функции'!ACA182+"BYw!&amp;Ob"</f>
        <v>#VALUE!</v>
      </c>
      <c r="HB107" t="e">
        <f>'2.4.Функции'!ACB182+"BYw!&amp;Oc"</f>
        <v>#VALUE!</v>
      </c>
      <c r="HC107" t="e">
        <f>'2.4.Функции'!ACC182+"BYw!&amp;Od"</f>
        <v>#VALUE!</v>
      </c>
      <c r="HD107" t="e">
        <f>'2.4.Функции'!ACD182+"BYw!&amp;Oe"</f>
        <v>#VALUE!</v>
      </c>
      <c r="HE107" t="e">
        <f>'2.4.Функции'!ACE182+"BYw!&amp;Of"</f>
        <v>#VALUE!</v>
      </c>
      <c r="HF107" t="e">
        <f>'2.4.Функции'!ACF182+"BYw!&amp;Og"</f>
        <v>#VALUE!</v>
      </c>
      <c r="HG107" t="e">
        <f>'2.4.Функции'!ACG182+"BYw!&amp;Oh"</f>
        <v>#VALUE!</v>
      </c>
      <c r="HH107" t="e">
        <f>'2.4.Функции'!ACH182+"BYw!&amp;Oi"</f>
        <v>#VALUE!</v>
      </c>
      <c r="HI107" t="e">
        <f>'2.4.Функции'!ACI182+"BYw!&amp;Oj"</f>
        <v>#VALUE!</v>
      </c>
      <c r="HJ107" t="e">
        <f>'2.4.Функции'!ACJ182+"BYw!&amp;Ok"</f>
        <v>#VALUE!</v>
      </c>
      <c r="HK107" t="e">
        <f>'2.4.Функции'!ACK182+"BYw!&amp;Ol"</f>
        <v>#VALUE!</v>
      </c>
      <c r="HL107" t="e">
        <f>'2.4.Функции'!ACL182+"BYw!&amp;Om"</f>
        <v>#VALUE!</v>
      </c>
      <c r="HM107" t="e">
        <f>'2.4.Функции'!ACM182+"BYw!&amp;On"</f>
        <v>#VALUE!</v>
      </c>
      <c r="HN107" t="e">
        <f>'2.4.Функции'!ACN182+"BYw!&amp;Oo"</f>
        <v>#VALUE!</v>
      </c>
      <c r="HO107" t="e">
        <f>'2.4.Функции'!ACO182+"BYw!&amp;Op"</f>
        <v>#VALUE!</v>
      </c>
      <c r="HP107" t="e">
        <f>'2.4.Функции'!ACP182+"BYw!&amp;Oq"</f>
        <v>#VALUE!</v>
      </c>
      <c r="HQ107" t="e">
        <f>'2.4.Функции'!ACQ182+"BYw!&amp;Or"</f>
        <v>#VALUE!</v>
      </c>
      <c r="HR107" t="e">
        <f>'2.4.Функции'!ACR182+"BYw!&amp;Os"</f>
        <v>#VALUE!</v>
      </c>
      <c r="HS107" t="e">
        <f>'2.4.Функции'!ACS182+"BYw!&amp;Ot"</f>
        <v>#VALUE!</v>
      </c>
      <c r="HT107" t="e">
        <f>'2.4.Функции'!ACT182+"BYw!&amp;Ou"</f>
        <v>#VALUE!</v>
      </c>
      <c r="HU107" t="e">
        <f>'2.4.Функции'!ACU182+"BYw!&amp;Ov"</f>
        <v>#VALUE!</v>
      </c>
      <c r="HV107" t="e">
        <f>'2.4.Функции'!ACV182+"BYw!&amp;Ow"</f>
        <v>#VALUE!</v>
      </c>
      <c r="HW107" t="e">
        <f>'2.4.Функции'!ACW182+"BYw!&amp;Ox"</f>
        <v>#VALUE!</v>
      </c>
      <c r="HX107" t="e">
        <f>'2.4.Функции'!ACX182+"BYw!&amp;Oy"</f>
        <v>#VALUE!</v>
      </c>
      <c r="HY107" t="e">
        <f>'2.4.Функции'!ACY182+"BYw!&amp;Oz"</f>
        <v>#VALUE!</v>
      </c>
      <c r="HZ107" t="e">
        <f>'2.4.Функции'!ACZ182+"BYw!&amp;O{"</f>
        <v>#VALUE!</v>
      </c>
      <c r="IA107" t="e">
        <f>'2.4.Функции'!ADA182+"BYw!&amp;O|"</f>
        <v>#VALUE!</v>
      </c>
      <c r="IB107" t="e">
        <f>'2.4.Функции'!ADB182+"BYw!&amp;O}"</f>
        <v>#VALUE!</v>
      </c>
      <c r="IC107" t="e">
        <f>'2.4.Функции'!ADC182+"BYw!&amp;O~"</f>
        <v>#VALUE!</v>
      </c>
      <c r="ID107" t="e">
        <f>'2.4.Функции'!ADD182+"BYw!&amp;P#"</f>
        <v>#VALUE!</v>
      </c>
      <c r="IE107" t="e">
        <f>'2.4.Функции'!ADE182+"BYw!&amp;P$"</f>
        <v>#VALUE!</v>
      </c>
      <c r="IF107" t="e">
        <f>'2.4.Функции'!ADF182+"BYw!&amp;P%"</f>
        <v>#VALUE!</v>
      </c>
      <c r="IG107" t="e">
        <f>'2.4.Функции'!ADG182+"BYw!&amp;P&amp;"</f>
        <v>#VALUE!</v>
      </c>
      <c r="IH107" t="e">
        <f>'2.4.Функции'!ADH182+"BYw!&amp;P'"</f>
        <v>#VALUE!</v>
      </c>
      <c r="II107" t="e">
        <f>'2.4.Функции'!ADI182+"BYw!&amp;P("</f>
        <v>#VALUE!</v>
      </c>
      <c r="IJ107" t="e">
        <f>'2.4.Функции'!ADJ182+"BYw!&amp;P)"</f>
        <v>#VALUE!</v>
      </c>
      <c r="IK107" t="e">
        <f>'2.4.Функции'!ADK182+"BYw!&amp;P."</f>
        <v>#VALUE!</v>
      </c>
      <c r="IL107" t="e">
        <f>'2.4.Функции'!ADL182+"BYw!&amp;P/"</f>
        <v>#VALUE!</v>
      </c>
      <c r="IM107" t="e">
        <f>'2.4.Функции'!ADM182+"BYw!&amp;P0"</f>
        <v>#VALUE!</v>
      </c>
      <c r="IN107" t="e">
        <f>'2.4.Функции'!ADN182+"BYw!&amp;P1"</f>
        <v>#VALUE!</v>
      </c>
      <c r="IO107" t="e">
        <f>'2.4.Функции'!ADO182+"BYw!&amp;P2"</f>
        <v>#VALUE!</v>
      </c>
      <c r="IP107" t="e">
        <f>'2.4.Функции'!ADP182+"BYw!&amp;P3"</f>
        <v>#VALUE!</v>
      </c>
      <c r="IQ107" t="e">
        <f>'2.4.Функции'!ADQ182+"BYw!&amp;P4"</f>
        <v>#VALUE!</v>
      </c>
      <c r="IR107" t="e">
        <f>'2.4.Функции'!ADR182+"BYw!&amp;P5"</f>
        <v>#VALUE!</v>
      </c>
      <c r="IS107" t="e">
        <f>'2.4.Функции'!ADS182+"BYw!&amp;P6"</f>
        <v>#VALUE!</v>
      </c>
      <c r="IT107" t="e">
        <f>'2.4.Функции'!ADT182+"BYw!&amp;P7"</f>
        <v>#VALUE!</v>
      </c>
      <c r="IU107" t="e">
        <f>'2.4.Функции'!ADU182+"BYw!&amp;P8"</f>
        <v>#VALUE!</v>
      </c>
      <c r="IV107" t="e">
        <f>'2.4.Функции'!ADV182+"BYw!&amp;P9"</f>
        <v>#VALUE!</v>
      </c>
    </row>
    <row r="108" spans="6:256" x14ac:dyDescent="0.2">
      <c r="F108" t="e">
        <f>'2.4.Функции'!ADW182+"BYw!&amp;P:"</f>
        <v>#VALUE!</v>
      </c>
      <c r="G108" t="e">
        <f>'2.4.Функции'!ADX182+"BYw!&amp;P;"</f>
        <v>#VALUE!</v>
      </c>
      <c r="H108" t="e">
        <f>'2.4.Функции'!ADY182+"BYw!&amp;P&lt;"</f>
        <v>#VALUE!</v>
      </c>
      <c r="I108" t="e">
        <f>'2.4.Функции'!ADZ182+"BYw!&amp;P="</f>
        <v>#VALUE!</v>
      </c>
      <c r="J108" t="e">
        <f>'2.4.Функции'!AEA182+"BYw!&amp;P&gt;"</f>
        <v>#VALUE!</v>
      </c>
      <c r="K108" t="e">
        <f>'2.4.Функции'!AEB182+"BYw!&amp;P?"</f>
        <v>#VALUE!</v>
      </c>
      <c r="L108" t="e">
        <f>'2.4.Функции'!AEC182+"BYw!&amp;P@"</f>
        <v>#VALUE!</v>
      </c>
      <c r="M108" t="e">
        <f>'2.4.Функции'!AED182+"BYw!&amp;PA"</f>
        <v>#VALUE!</v>
      </c>
      <c r="N108" t="e">
        <f>'2.4.Функции'!AEE182+"BYw!&amp;PB"</f>
        <v>#VALUE!</v>
      </c>
      <c r="O108" t="e">
        <f>'2.4.Функции'!AEF182+"BYw!&amp;PC"</f>
        <v>#VALUE!</v>
      </c>
      <c r="P108" t="e">
        <f>'2.4.Функции'!AEG182+"BYw!&amp;PD"</f>
        <v>#VALUE!</v>
      </c>
      <c r="Q108" t="e">
        <f>'2.4.Функции'!AEH182+"BYw!&amp;PE"</f>
        <v>#VALUE!</v>
      </c>
      <c r="R108" t="e">
        <f>'2.4.Функции'!AEI182+"BYw!&amp;PF"</f>
        <v>#VALUE!</v>
      </c>
      <c r="S108" t="e">
        <f>'2.4.Функции'!AEJ182+"BYw!&amp;PG"</f>
        <v>#VALUE!</v>
      </c>
      <c r="T108" t="e">
        <f>'2.4.Функции'!AEK182+"BYw!&amp;PH"</f>
        <v>#VALUE!</v>
      </c>
      <c r="U108" t="e">
        <f>'2.4.Функции'!AEL182+"BYw!&amp;PI"</f>
        <v>#VALUE!</v>
      </c>
      <c r="V108" t="e">
        <f>'2.4.Функции'!AEM182+"BYw!&amp;PJ"</f>
        <v>#VALUE!</v>
      </c>
      <c r="W108" t="e">
        <f>'2.4.Функции'!AEN182+"BYw!&amp;PK"</f>
        <v>#VALUE!</v>
      </c>
      <c r="X108" t="e">
        <f>'2.4.Функции'!AEO182+"BYw!&amp;PL"</f>
        <v>#VALUE!</v>
      </c>
      <c r="Y108" t="e">
        <f>'2.4.Функции'!AEP182+"BYw!&amp;PM"</f>
        <v>#VALUE!</v>
      </c>
      <c r="Z108" t="e">
        <f>'2.4.Функции'!AEQ182+"BYw!&amp;PN"</f>
        <v>#VALUE!</v>
      </c>
      <c r="AA108" t="e">
        <f>'2.4.Функции'!AER182+"BYw!&amp;PO"</f>
        <v>#VALUE!</v>
      </c>
      <c r="AB108" t="e">
        <f>'2.4.Функции'!AES182+"BYw!&amp;PP"</f>
        <v>#VALUE!</v>
      </c>
      <c r="AC108" t="e">
        <f>'2.4.Функции'!AET182+"BYw!&amp;PQ"</f>
        <v>#VALUE!</v>
      </c>
      <c r="AD108" t="e">
        <f>'2.4.Функции'!AEU182+"BYw!&amp;PR"</f>
        <v>#VALUE!</v>
      </c>
      <c r="AE108" t="e">
        <f>'2.4.Функции'!AEV182+"BYw!&amp;PS"</f>
        <v>#VALUE!</v>
      </c>
      <c r="AF108" t="e">
        <f>'2.4.Функции'!AEW182+"BYw!&amp;PT"</f>
        <v>#VALUE!</v>
      </c>
      <c r="AG108" t="e">
        <f>'2.4.Функции'!AEX182+"BYw!&amp;PU"</f>
        <v>#VALUE!</v>
      </c>
      <c r="AH108" t="e">
        <f>'2.4.Функции'!AEY182+"BYw!&amp;PV"</f>
        <v>#VALUE!</v>
      </c>
      <c r="AI108" t="e">
        <f>'2.4.Функции'!AEZ182+"BYw!&amp;PW"</f>
        <v>#VALUE!</v>
      </c>
      <c r="AJ108" t="e">
        <f>'2.4.Функции'!AFA182+"BYw!&amp;PX"</f>
        <v>#VALUE!</v>
      </c>
      <c r="AK108" t="e">
        <f>'2.4.Функции'!AFB182+"BYw!&amp;PY"</f>
        <v>#VALUE!</v>
      </c>
      <c r="AL108" t="e">
        <f>'2.4.Функции'!AFC182+"BYw!&amp;PZ"</f>
        <v>#VALUE!</v>
      </c>
      <c r="AM108" t="e">
        <f>'2.4.Функции'!AFD182+"BYw!&amp;P["</f>
        <v>#VALUE!</v>
      </c>
      <c r="AN108" t="e">
        <f>'2.4.Функции'!AFE182+"BYw!&amp;P\"</f>
        <v>#VALUE!</v>
      </c>
      <c r="AO108" t="e">
        <f>'2.4.Функции'!AFF182+"BYw!&amp;P]"</f>
        <v>#VALUE!</v>
      </c>
      <c r="AP108" t="e">
        <f>'2.4.Функции'!AFG182+"BYw!&amp;P^"</f>
        <v>#VALUE!</v>
      </c>
      <c r="AQ108" t="e">
        <f>'2.4.Функции'!AFH182+"BYw!&amp;P_"</f>
        <v>#VALUE!</v>
      </c>
      <c r="AR108" t="e">
        <f>'2.4.Функции'!AFI182+"BYw!&amp;P`"</f>
        <v>#VALUE!</v>
      </c>
      <c r="AS108" t="e">
        <f>'2.4.Функции'!AFJ182+"BYw!&amp;Pa"</f>
        <v>#VALUE!</v>
      </c>
      <c r="AT108" t="e">
        <f>'2.4.Функции'!AFK182+"BYw!&amp;Pb"</f>
        <v>#VALUE!</v>
      </c>
      <c r="AU108" t="e">
        <f>'2.4.Функции'!AFL182+"BYw!&amp;Pc"</f>
        <v>#VALUE!</v>
      </c>
      <c r="AV108" t="e">
        <f>'2.4.Функции'!AFM182+"BYw!&amp;Pd"</f>
        <v>#VALUE!</v>
      </c>
      <c r="AW108" t="e">
        <f>'2.4.Функции'!AFN182+"BYw!&amp;Pe"</f>
        <v>#VALUE!</v>
      </c>
      <c r="AX108" t="e">
        <f>'2.4.Функции'!AFO182+"BYw!&amp;Pf"</f>
        <v>#VALUE!</v>
      </c>
      <c r="AY108" t="e">
        <f>'2.4.Функции'!AFP182+"BYw!&amp;Pg"</f>
        <v>#VALUE!</v>
      </c>
      <c r="AZ108" t="e">
        <f>'2.4.Функции'!AFQ182+"BYw!&amp;Ph"</f>
        <v>#VALUE!</v>
      </c>
      <c r="BA108" t="e">
        <f>'2.4.Функции'!AFR182+"BYw!&amp;Pi"</f>
        <v>#VALUE!</v>
      </c>
      <c r="BB108" t="e">
        <f>'2.4.Функции'!AFS182+"BYw!&amp;Pj"</f>
        <v>#VALUE!</v>
      </c>
      <c r="BC108" t="e">
        <f>'2.4.Функции'!AFT182+"BYw!&amp;Pk"</f>
        <v>#VALUE!</v>
      </c>
      <c r="BD108" t="e">
        <f>'2.4.Функции'!AFU182+"BYw!&amp;Pl"</f>
        <v>#VALUE!</v>
      </c>
      <c r="BE108" t="e">
        <f>'2.4.Функции'!AFV182+"BYw!&amp;Pm"</f>
        <v>#VALUE!</v>
      </c>
      <c r="BF108" t="e">
        <f>'2.4.Функции'!AFW182+"BYw!&amp;Pn"</f>
        <v>#VALUE!</v>
      </c>
      <c r="BG108" t="e">
        <f>'2.4.Функции'!AFX182+"BYw!&amp;Po"</f>
        <v>#VALUE!</v>
      </c>
      <c r="BH108" t="e">
        <f>'2.4.Функции'!AFY182+"BYw!&amp;Pp"</f>
        <v>#VALUE!</v>
      </c>
      <c r="BI108" t="e">
        <f>'2.4.Функции'!AFZ182+"BYw!&amp;Pq"</f>
        <v>#VALUE!</v>
      </c>
      <c r="BJ108" t="e">
        <f>'2.4.Функции'!AGA182+"BYw!&amp;Pr"</f>
        <v>#VALUE!</v>
      </c>
      <c r="BK108" t="e">
        <f>'2.4.Функции'!AGB182+"BYw!&amp;Ps"</f>
        <v>#VALUE!</v>
      </c>
      <c r="BL108" t="e">
        <f>'2.4.Функции'!AGC182+"BYw!&amp;Pt"</f>
        <v>#VALUE!</v>
      </c>
      <c r="BM108" t="e">
        <f>'2.4.Функции'!AGD182+"BYw!&amp;Pu"</f>
        <v>#VALUE!</v>
      </c>
      <c r="BN108" t="e">
        <f>'2.4.Функции'!AGE182+"BYw!&amp;Pv"</f>
        <v>#VALUE!</v>
      </c>
      <c r="BO108" t="e">
        <f>'2.4.Функции'!AGF182+"BYw!&amp;Pw"</f>
        <v>#VALUE!</v>
      </c>
      <c r="BP108" t="e">
        <f>'2.4.Функции'!AGG182+"BYw!&amp;Px"</f>
        <v>#VALUE!</v>
      </c>
      <c r="BQ108" t="e">
        <f>'2.4.Функции'!AGH182+"BYw!&amp;Py"</f>
        <v>#VALUE!</v>
      </c>
      <c r="BR108" t="e">
        <f>'2.4.Функции'!AGI182+"BYw!&amp;Pz"</f>
        <v>#VALUE!</v>
      </c>
      <c r="BS108" t="e">
        <f>'2.4.Функции'!AGJ182+"BYw!&amp;P{"</f>
        <v>#VALUE!</v>
      </c>
      <c r="BT108" t="e">
        <f>'2.4.Функции'!AGK182+"BYw!&amp;P|"</f>
        <v>#VALUE!</v>
      </c>
      <c r="BU108" t="e">
        <f>'2.4.Функции'!AGL182+"BYw!&amp;P}"</f>
        <v>#VALUE!</v>
      </c>
      <c r="BV108" t="e">
        <f>'2.4.Функции'!AGM182+"BYw!&amp;P~"</f>
        <v>#VALUE!</v>
      </c>
      <c r="BW108" t="e">
        <f>'2.4.Функции'!AGN182+"BYw!&amp;Q#"</f>
        <v>#VALUE!</v>
      </c>
      <c r="BX108" t="e">
        <f>'2.4.Функции'!AGO182+"BYw!&amp;Q$"</f>
        <v>#VALUE!</v>
      </c>
      <c r="BY108" t="e">
        <f>'2.4.Функции'!AGP182+"BYw!&amp;Q%"</f>
        <v>#VALUE!</v>
      </c>
      <c r="BZ108" t="e">
        <f>'2.4.Функции'!AGQ182+"BYw!&amp;Q&amp;"</f>
        <v>#VALUE!</v>
      </c>
      <c r="CA108" t="e">
        <f>'2.4.Функции'!AGR182+"BYw!&amp;Q'"</f>
        <v>#VALUE!</v>
      </c>
      <c r="CB108" t="e">
        <f>'2.4.Функции'!AGS182+"BYw!&amp;Q("</f>
        <v>#VALUE!</v>
      </c>
      <c r="CC108" t="e">
        <f>'2.4.Функции'!AGT182+"BYw!&amp;Q)"</f>
        <v>#VALUE!</v>
      </c>
      <c r="CD108" t="e">
        <f>'2.4.Функции'!AGU182+"BYw!&amp;Q."</f>
        <v>#VALUE!</v>
      </c>
      <c r="CE108" t="e">
        <f>'2.4.Функции'!AGV182+"BYw!&amp;Q/"</f>
        <v>#VALUE!</v>
      </c>
      <c r="CF108" t="e">
        <f>'2.4.Функции'!AGW182+"BYw!&amp;Q0"</f>
        <v>#VALUE!</v>
      </c>
      <c r="CG108" t="e">
        <f>'2.4.Функции'!AGX182+"BYw!&amp;Q1"</f>
        <v>#VALUE!</v>
      </c>
      <c r="CH108" t="e">
        <f>'2.4.Функции'!AGY182+"BYw!&amp;Q2"</f>
        <v>#VALUE!</v>
      </c>
      <c r="CI108" t="e">
        <f>'2.4.Функции'!AGZ182+"BYw!&amp;Q3"</f>
        <v>#VALUE!</v>
      </c>
      <c r="CJ108" t="e">
        <f>'2.4.Функции'!AHA182+"BYw!&amp;Q4"</f>
        <v>#VALUE!</v>
      </c>
      <c r="CK108" t="e">
        <f>'2.4.Функции'!AHB182+"BYw!&amp;Q5"</f>
        <v>#VALUE!</v>
      </c>
      <c r="CL108" t="e">
        <f>'2.4.Функции'!AHC182+"BYw!&amp;Q6"</f>
        <v>#VALUE!</v>
      </c>
      <c r="CM108" t="e">
        <f>'2.4.Функции'!AHD182+"BYw!&amp;Q7"</f>
        <v>#VALUE!</v>
      </c>
      <c r="CN108" t="e">
        <f>'2.4.Функции'!AHE182+"BYw!&amp;Q8"</f>
        <v>#VALUE!</v>
      </c>
      <c r="CO108" t="e">
        <f>'2.4.Функции'!AHF182+"BYw!&amp;Q9"</f>
        <v>#VALUE!</v>
      </c>
      <c r="CP108" t="e">
        <f>'2.4.Функции'!AHG182+"BYw!&amp;Q:"</f>
        <v>#VALUE!</v>
      </c>
      <c r="CQ108" t="e">
        <f>'2.4.Функции'!AHH182+"BYw!&amp;Q;"</f>
        <v>#VALUE!</v>
      </c>
      <c r="CR108" t="e">
        <f>'2.4.Функции'!AHI182+"BYw!&amp;Q&lt;"</f>
        <v>#VALUE!</v>
      </c>
      <c r="CS108" t="e">
        <f>'2.4.Функции'!AHJ182+"BYw!&amp;Q="</f>
        <v>#VALUE!</v>
      </c>
      <c r="CT108" t="e">
        <f>'2.4.Функции'!AHK182+"BYw!&amp;Q&gt;"</f>
        <v>#VALUE!</v>
      </c>
      <c r="CU108" t="e">
        <f>'2.4.Функции'!AHL182+"BYw!&amp;Q?"</f>
        <v>#VALUE!</v>
      </c>
      <c r="CV108" t="e">
        <f>'2.4.Функции'!AHM182+"BYw!&amp;Q@"</f>
        <v>#VALUE!</v>
      </c>
      <c r="CW108" t="e">
        <f>'2.4.Функции'!AHN182+"BYw!&amp;QA"</f>
        <v>#VALUE!</v>
      </c>
      <c r="CX108" t="e">
        <f>'2.4.Функции'!AHO182+"BYw!&amp;QB"</f>
        <v>#VALUE!</v>
      </c>
      <c r="CY108" t="e">
        <f>'2.4.Функции'!AHP182+"BYw!&amp;QC"</f>
        <v>#VALUE!</v>
      </c>
      <c r="CZ108" t="e">
        <f>'2.4.Функции'!AHQ182+"BYw!&amp;QD"</f>
        <v>#VALUE!</v>
      </c>
      <c r="DA108" t="e">
        <f>'2.4.Функции'!AHR182+"BYw!&amp;QE"</f>
        <v>#VALUE!</v>
      </c>
      <c r="DB108" t="e">
        <f>'2.4.Функции'!AHS182+"BYw!&amp;QF"</f>
        <v>#VALUE!</v>
      </c>
      <c r="DC108" t="e">
        <f>'2.4.Функции'!AHT182+"BYw!&amp;QG"</f>
        <v>#VALUE!</v>
      </c>
      <c r="DD108" t="e">
        <f>'2.4.Функции'!AHU182+"BYw!&amp;QH"</f>
        <v>#VALUE!</v>
      </c>
      <c r="DE108" t="e">
        <f>'2.4.Функции'!AHV182+"BYw!&amp;QI"</f>
        <v>#VALUE!</v>
      </c>
      <c r="DF108" t="e">
        <f>'2.4.Функции'!AHW182+"BYw!&amp;QJ"</f>
        <v>#VALUE!</v>
      </c>
      <c r="DG108" t="e">
        <f>'2.4.Функции'!AHX182+"BYw!&amp;QK"</f>
        <v>#VALUE!</v>
      </c>
      <c r="DH108" t="e">
        <f>'2.4.Функции'!AHY182+"BYw!&amp;QL"</f>
        <v>#VALUE!</v>
      </c>
      <c r="DI108" t="e">
        <f>'2.4.Функции'!AHZ182+"BYw!&amp;QM"</f>
        <v>#VALUE!</v>
      </c>
      <c r="DJ108" t="e">
        <f>'2.4.Функции'!AIA182+"BYw!&amp;QN"</f>
        <v>#VALUE!</v>
      </c>
      <c r="DK108" t="e">
        <f>'2.4.Функции'!AIB182+"BYw!&amp;QO"</f>
        <v>#VALUE!</v>
      </c>
      <c r="DL108" t="e">
        <f>'2.4.Функции'!AIC182+"BYw!&amp;QP"</f>
        <v>#VALUE!</v>
      </c>
      <c r="DM108" t="e">
        <f>'2.4.Функции'!AID182+"BYw!&amp;QQ"</f>
        <v>#VALUE!</v>
      </c>
      <c r="DN108" t="e">
        <f>'2.4.Функции'!AIE182+"BYw!&amp;QR"</f>
        <v>#VALUE!</v>
      </c>
      <c r="DO108" t="e">
        <f>'2.4.Функции'!AIF182+"BYw!&amp;QS"</f>
        <v>#VALUE!</v>
      </c>
      <c r="DP108" t="e">
        <f>'2.4.Функции'!AIG182+"BYw!&amp;QT"</f>
        <v>#VALUE!</v>
      </c>
      <c r="DQ108" t="e">
        <f>'2.4.Функции'!AIH182+"BYw!&amp;QU"</f>
        <v>#VALUE!</v>
      </c>
      <c r="DR108" t="e">
        <f>'2.4.Функции'!A183+"BYw!&amp;QV"</f>
        <v>#VALUE!</v>
      </c>
      <c r="DS108" s="116" t="e">
        <f>'2.4.Функции'!B183+"BYw!&amp;QW"</f>
        <v>#VALUE!</v>
      </c>
      <c r="DT108" t="e">
        <f>'2.4.Функции'!C183+"BYw!&amp;QX"</f>
        <v>#VALUE!</v>
      </c>
      <c r="DU108" t="e">
        <f>'2.4.Функции'!D183+"BYw!&amp;QY"</f>
        <v>#VALUE!</v>
      </c>
      <c r="DV108" t="e">
        <f>'2.4.Функции'!E183+"BYw!&amp;QZ"</f>
        <v>#VALUE!</v>
      </c>
      <c r="DW108" t="e">
        <f>'2.4.Функции'!F183+"BYw!&amp;Q["</f>
        <v>#VALUE!</v>
      </c>
      <c r="DX108" t="e">
        <f>'2.4.Функции'!G183+"BYw!&amp;Q\"</f>
        <v>#VALUE!</v>
      </c>
      <c r="DY108" t="e">
        <f>'2.4.Функции'!H183+"BYw!&amp;Q]"</f>
        <v>#VALUE!</v>
      </c>
      <c r="DZ108" t="e">
        <f>'2.4.Функции'!I183+"BYw!&amp;Q^"</f>
        <v>#VALUE!</v>
      </c>
      <c r="EA108" t="e">
        <f>'2.4.Функции'!J183+"BYw!&amp;Q_"</f>
        <v>#VALUE!</v>
      </c>
      <c r="EB108" s="119" t="e">
        <f>'2.4.Функции'!K183+"BYw!&amp;Q`"</f>
        <v>#VALUE!</v>
      </c>
      <c r="EC108" t="e">
        <f>'2.4.Функции'!L183+"BYw!&amp;Qa"</f>
        <v>#VALUE!</v>
      </c>
      <c r="ED108" t="e">
        <f>'2.4.Функции'!M183+"BYw!&amp;Qb"</f>
        <v>#VALUE!</v>
      </c>
      <c r="EE108" t="e">
        <f>'2.4.Функции'!N183+"BYw!&amp;Qc"</f>
        <v>#VALUE!</v>
      </c>
      <c r="EF108" t="e">
        <f>'2.4.Функции'!O183+"BYw!&amp;Qd"</f>
        <v>#VALUE!</v>
      </c>
      <c r="EG108" t="e">
        <f>'2.4.Функции'!P183+"BYw!&amp;Qe"</f>
        <v>#VALUE!</v>
      </c>
      <c r="EH108" t="e">
        <f>'2.4.Функции'!Q183+"BYw!&amp;Qf"</f>
        <v>#VALUE!</v>
      </c>
      <c r="EI108" t="e">
        <f>'2.4.Функции'!R183+"BYw!&amp;Qg"</f>
        <v>#VALUE!</v>
      </c>
      <c r="EJ108" t="e">
        <f>'2.4.Функции'!S183+"BYw!&amp;Qh"</f>
        <v>#VALUE!</v>
      </c>
      <c r="EK108" t="e">
        <f>'2.4.Функции'!T183+"BYw!&amp;Qi"</f>
        <v>#VALUE!</v>
      </c>
      <c r="EL108" t="e">
        <f>'2.4.Функции'!U183+"BYw!&amp;Qj"</f>
        <v>#VALUE!</v>
      </c>
      <c r="EM108" t="e">
        <f>'2.4.Функции'!V183+"BYw!&amp;Qk"</f>
        <v>#VALUE!</v>
      </c>
      <c r="EN108" t="e">
        <f>'2.4.Функции'!W183+"BYw!&amp;Ql"</f>
        <v>#VALUE!</v>
      </c>
      <c r="EO108" t="e">
        <f>'2.4.Функции'!X183+"BYw!&amp;Qm"</f>
        <v>#VALUE!</v>
      </c>
      <c r="EP108" t="e">
        <f>'2.4.Функции'!Y183+"BYw!&amp;Qn"</f>
        <v>#VALUE!</v>
      </c>
      <c r="EQ108" t="e">
        <f>'2.4.Функции'!Z183+"BYw!&amp;Qo"</f>
        <v>#VALUE!</v>
      </c>
      <c r="ER108" t="e">
        <f>'2.4.Функции'!AA183+"BYw!&amp;Qp"</f>
        <v>#VALUE!</v>
      </c>
      <c r="ES108" t="e">
        <f>'2.4.Функции'!AB183+"BYw!&amp;Qq"</f>
        <v>#VALUE!</v>
      </c>
      <c r="ET108" t="e">
        <f>'2.4.Функции'!AC183+"BYw!&amp;Qr"</f>
        <v>#VALUE!</v>
      </c>
      <c r="EU108" t="e">
        <f>'2.4.Функции'!AD183+"BYw!&amp;Qs"</f>
        <v>#VALUE!</v>
      </c>
      <c r="EV108" t="e">
        <f>'2.4.Функции'!AE183+"BYw!&amp;Qt"</f>
        <v>#VALUE!</v>
      </c>
      <c r="EW108" t="e">
        <f>'2.4.Функции'!AF183+"BYw!&amp;Qu"</f>
        <v>#VALUE!</v>
      </c>
      <c r="EX108" t="e">
        <f>'2.4.Функции'!AG183+"BYw!&amp;Qv"</f>
        <v>#VALUE!</v>
      </c>
      <c r="EY108" t="e">
        <f>'2.4.Функции'!AH183+"BYw!&amp;Qw"</f>
        <v>#VALUE!</v>
      </c>
      <c r="EZ108" t="e">
        <f>'2.4.Функции'!AI183+"BYw!&amp;Qx"</f>
        <v>#VALUE!</v>
      </c>
      <c r="FA108" t="e">
        <f>'2.4.Функции'!AJ183+"BYw!&amp;Qy"</f>
        <v>#VALUE!</v>
      </c>
      <c r="FB108" t="e">
        <f>'2.4.Функции'!AK183+"BYw!&amp;Qz"</f>
        <v>#VALUE!</v>
      </c>
      <c r="FC108" t="e">
        <f>'2.4.Функции'!AL183+"BYw!&amp;Q{"</f>
        <v>#VALUE!</v>
      </c>
      <c r="FD108" t="e">
        <f>'2.4.Функции'!AM183+"BYw!&amp;Q|"</f>
        <v>#VALUE!</v>
      </c>
      <c r="FE108" t="e">
        <f>'2.4.Функции'!AN183+"BYw!&amp;Q}"</f>
        <v>#VALUE!</v>
      </c>
      <c r="FF108" t="e">
        <f>'2.4.Функции'!AO183+"BYw!&amp;Q~"</f>
        <v>#VALUE!</v>
      </c>
      <c r="FG108" t="e">
        <f>'2.4.Функции'!AP183+"BYw!&amp;R#"</f>
        <v>#VALUE!</v>
      </c>
      <c r="FH108" t="e">
        <f>'2.4.Функции'!AQ183+"BYw!&amp;R$"</f>
        <v>#VALUE!</v>
      </c>
      <c r="FI108" t="e">
        <f>'2.4.Функции'!AR183+"BYw!&amp;R%"</f>
        <v>#VALUE!</v>
      </c>
      <c r="FJ108" t="e">
        <f>'2.4.Функции'!AS183+"BYw!&amp;R&amp;"</f>
        <v>#VALUE!</v>
      </c>
      <c r="FK108" t="e">
        <f>'2.4.Функции'!AT183+"BYw!&amp;R'"</f>
        <v>#VALUE!</v>
      </c>
      <c r="FL108" t="e">
        <f>'2.4.Функции'!AU183+"BYw!&amp;R("</f>
        <v>#VALUE!</v>
      </c>
      <c r="FM108" t="e">
        <f>'2.4.Функции'!AV183+"BYw!&amp;R)"</f>
        <v>#VALUE!</v>
      </c>
      <c r="FN108" t="e">
        <f>'2.4.Функции'!AW183+"BYw!&amp;R."</f>
        <v>#VALUE!</v>
      </c>
      <c r="FO108" t="e">
        <f>'2.4.Функции'!AX183+"BYw!&amp;R/"</f>
        <v>#VALUE!</v>
      </c>
      <c r="FP108" t="e">
        <f>'2.4.Функции'!AY183+"BYw!&amp;R0"</f>
        <v>#VALUE!</v>
      </c>
      <c r="FQ108" t="e">
        <f>'2.4.Функции'!AZ183+"BYw!&amp;R1"</f>
        <v>#VALUE!</v>
      </c>
      <c r="FR108" t="e">
        <f>'2.4.Функции'!BA183+"BYw!&amp;R2"</f>
        <v>#VALUE!</v>
      </c>
      <c r="FS108" t="e">
        <f>'2.4.Функции'!BB183+"BYw!&amp;R3"</f>
        <v>#VALUE!</v>
      </c>
      <c r="FT108" t="e">
        <f>'2.4.Функции'!BC183+"BYw!&amp;R4"</f>
        <v>#VALUE!</v>
      </c>
      <c r="FU108" t="e">
        <f>'2.4.Функции'!BD183+"BYw!&amp;R5"</f>
        <v>#VALUE!</v>
      </c>
      <c r="FV108" t="e">
        <f>'2.4.Функции'!BE183+"BYw!&amp;R6"</f>
        <v>#VALUE!</v>
      </c>
      <c r="FW108" t="e">
        <f>'2.4.Функции'!BF183+"BYw!&amp;R7"</f>
        <v>#VALUE!</v>
      </c>
      <c r="FX108" t="e">
        <f>'2.4.Функции'!BG183+"BYw!&amp;R8"</f>
        <v>#VALUE!</v>
      </c>
      <c r="FY108" t="e">
        <f>'2.4.Функции'!BH183+"BYw!&amp;R9"</f>
        <v>#VALUE!</v>
      </c>
      <c r="FZ108" t="e">
        <f>'2.4.Функции'!BI183+"BYw!&amp;R:"</f>
        <v>#VALUE!</v>
      </c>
      <c r="GA108" t="e">
        <f>'2.4.Функции'!BJ183+"BYw!&amp;R;"</f>
        <v>#VALUE!</v>
      </c>
      <c r="GB108" t="e">
        <f>'2.4.Функции'!BK183+"BYw!&amp;R&lt;"</f>
        <v>#VALUE!</v>
      </c>
      <c r="GC108" t="e">
        <f>'2.4.Функции'!BL183+"BYw!&amp;R="</f>
        <v>#VALUE!</v>
      </c>
      <c r="GD108" t="e">
        <f>'2.4.Функции'!BM183+"BYw!&amp;R&gt;"</f>
        <v>#VALUE!</v>
      </c>
      <c r="GE108" t="e">
        <f>'2.4.Функции'!BN183+"BYw!&amp;R?"</f>
        <v>#VALUE!</v>
      </c>
      <c r="GF108" t="e">
        <f>'2.4.Функции'!BO183+"BYw!&amp;R@"</f>
        <v>#VALUE!</v>
      </c>
      <c r="GG108" t="e">
        <f>'2.4.Функции'!BP183+"BYw!&amp;RA"</f>
        <v>#VALUE!</v>
      </c>
      <c r="GH108" t="e">
        <f>'2.4.Функции'!BQ183+"BYw!&amp;RB"</f>
        <v>#VALUE!</v>
      </c>
      <c r="GI108" t="e">
        <f>'2.4.Функции'!BR183+"BYw!&amp;RC"</f>
        <v>#VALUE!</v>
      </c>
      <c r="GJ108" t="e">
        <f>'2.4.Функции'!BS183+"BYw!&amp;RD"</f>
        <v>#VALUE!</v>
      </c>
      <c r="GK108" t="e">
        <f>'2.4.Функции'!BT183+"BYw!&amp;RE"</f>
        <v>#VALUE!</v>
      </c>
      <c r="GL108" t="e">
        <f>'2.4.Функции'!BU183+"BYw!&amp;RF"</f>
        <v>#VALUE!</v>
      </c>
      <c r="GM108" t="e">
        <f>'2.4.Функции'!BV183+"BYw!&amp;RG"</f>
        <v>#VALUE!</v>
      </c>
      <c r="GN108" t="e">
        <f>'2.4.Функции'!BW183+"BYw!&amp;RH"</f>
        <v>#VALUE!</v>
      </c>
      <c r="GO108" t="e">
        <f>'2.4.Функции'!BX183+"BYw!&amp;RI"</f>
        <v>#VALUE!</v>
      </c>
      <c r="GP108" t="e">
        <f>'2.4.Функции'!BY183+"BYw!&amp;RJ"</f>
        <v>#VALUE!</v>
      </c>
      <c r="GQ108" t="e">
        <f>'2.4.Функции'!BZ183+"BYw!&amp;RK"</f>
        <v>#VALUE!</v>
      </c>
      <c r="GR108" t="e">
        <f>'2.4.Функции'!CA183+"BYw!&amp;RL"</f>
        <v>#VALUE!</v>
      </c>
      <c r="GS108" t="e">
        <f>'2.4.Функции'!CB183+"BYw!&amp;RM"</f>
        <v>#VALUE!</v>
      </c>
      <c r="GT108" t="e">
        <f>'2.4.Функции'!CC183+"BYw!&amp;RN"</f>
        <v>#VALUE!</v>
      </c>
      <c r="GU108" t="e">
        <f>'2.4.Функции'!CD183+"BYw!&amp;RO"</f>
        <v>#VALUE!</v>
      </c>
      <c r="GV108" t="e">
        <f>'2.4.Функции'!CE183+"BYw!&amp;RP"</f>
        <v>#VALUE!</v>
      </c>
      <c r="GW108" t="e">
        <f>'2.4.Функции'!CF183+"BYw!&amp;RQ"</f>
        <v>#VALUE!</v>
      </c>
      <c r="GX108" t="e">
        <f>'2.4.Функции'!CG183+"BYw!&amp;RR"</f>
        <v>#VALUE!</v>
      </c>
      <c r="GY108" t="e">
        <f>'2.4.Функции'!CH183+"BYw!&amp;RS"</f>
        <v>#VALUE!</v>
      </c>
      <c r="GZ108" t="e">
        <f>'2.4.Функции'!CI183+"BYw!&amp;RT"</f>
        <v>#VALUE!</v>
      </c>
      <c r="HA108" t="e">
        <f>'2.4.Функции'!CJ183+"BYw!&amp;RU"</f>
        <v>#VALUE!</v>
      </c>
      <c r="HB108" t="e">
        <f>'2.4.Функции'!CK183+"BYw!&amp;RV"</f>
        <v>#VALUE!</v>
      </c>
      <c r="HC108" t="e">
        <f>'2.4.Функции'!CL183+"BYw!&amp;RW"</f>
        <v>#VALUE!</v>
      </c>
      <c r="HD108" t="e">
        <f>'2.4.Функции'!CM183+"BYw!&amp;RX"</f>
        <v>#VALUE!</v>
      </c>
      <c r="HE108" t="e">
        <f>'2.4.Функции'!CN183+"BYw!&amp;RY"</f>
        <v>#VALUE!</v>
      </c>
      <c r="HF108" t="e">
        <f>'2.4.Функции'!CO183+"BYw!&amp;RZ"</f>
        <v>#VALUE!</v>
      </c>
      <c r="HG108" t="e">
        <f>'2.4.Функции'!CP183+"BYw!&amp;R["</f>
        <v>#VALUE!</v>
      </c>
      <c r="HH108" t="e">
        <f>'2.4.Функции'!CQ183+"BYw!&amp;R\"</f>
        <v>#VALUE!</v>
      </c>
      <c r="HI108" t="e">
        <f>'2.4.Функции'!CR183+"BYw!&amp;R]"</f>
        <v>#VALUE!</v>
      </c>
      <c r="HJ108" t="e">
        <f>'2.4.Функции'!CS183+"BYw!&amp;R^"</f>
        <v>#VALUE!</v>
      </c>
      <c r="HK108" t="e">
        <f>'2.4.Функции'!CT183+"BYw!&amp;R_"</f>
        <v>#VALUE!</v>
      </c>
      <c r="HL108" t="e">
        <f>'2.4.Функции'!CU183+"BYw!&amp;R`"</f>
        <v>#VALUE!</v>
      </c>
      <c r="HM108" t="e">
        <f>'2.4.Функции'!CV183+"BYw!&amp;Ra"</f>
        <v>#VALUE!</v>
      </c>
      <c r="HN108" t="e">
        <f>'2.4.Функции'!CW183+"BYw!&amp;Rb"</f>
        <v>#VALUE!</v>
      </c>
      <c r="HO108" t="e">
        <f>'2.4.Функции'!CX183+"BYw!&amp;Rc"</f>
        <v>#VALUE!</v>
      </c>
      <c r="HP108" t="e">
        <f>'2.4.Функции'!CY183+"BYw!&amp;Rd"</f>
        <v>#VALUE!</v>
      </c>
      <c r="HQ108" t="e">
        <f>'2.4.Функции'!CZ183+"BYw!&amp;Re"</f>
        <v>#VALUE!</v>
      </c>
      <c r="HR108" t="e">
        <f>'2.4.Функции'!DA183+"BYw!&amp;Rf"</f>
        <v>#VALUE!</v>
      </c>
      <c r="HS108" t="e">
        <f>'2.4.Функции'!DB183+"BYw!&amp;Rg"</f>
        <v>#VALUE!</v>
      </c>
      <c r="HT108" t="e">
        <f>'2.4.Функции'!DC183+"BYw!&amp;Rh"</f>
        <v>#VALUE!</v>
      </c>
      <c r="HU108" t="e">
        <f>'2.4.Функции'!DD183+"BYw!&amp;Ri"</f>
        <v>#VALUE!</v>
      </c>
      <c r="HV108" t="e">
        <f>'2.4.Функции'!DE183+"BYw!&amp;Rj"</f>
        <v>#VALUE!</v>
      </c>
      <c r="HW108" t="e">
        <f>'2.4.Функции'!DF183+"BYw!&amp;Rk"</f>
        <v>#VALUE!</v>
      </c>
      <c r="HX108" t="e">
        <f>'2.4.Функции'!DG183+"BYw!&amp;Rl"</f>
        <v>#VALUE!</v>
      </c>
      <c r="HY108" t="e">
        <f>'2.4.Функции'!DH183+"BYw!&amp;Rm"</f>
        <v>#VALUE!</v>
      </c>
      <c r="HZ108" t="e">
        <f>'2.4.Функции'!DI183+"BYw!&amp;Rn"</f>
        <v>#VALUE!</v>
      </c>
      <c r="IA108" t="e">
        <f>'2.4.Функции'!DJ183+"BYw!&amp;Ro"</f>
        <v>#VALUE!</v>
      </c>
      <c r="IB108" t="e">
        <f>'2.4.Функции'!DK183+"BYw!&amp;Rp"</f>
        <v>#VALUE!</v>
      </c>
      <c r="IC108" t="e">
        <f>'2.4.Функции'!DL183+"BYw!&amp;Rq"</f>
        <v>#VALUE!</v>
      </c>
      <c r="ID108" t="e">
        <f>'2.4.Функции'!DM183+"BYw!&amp;Rr"</f>
        <v>#VALUE!</v>
      </c>
      <c r="IE108" t="e">
        <f>'2.4.Функции'!DN183+"BYw!&amp;Rs"</f>
        <v>#VALUE!</v>
      </c>
      <c r="IF108" t="e">
        <f>'2.4.Функции'!DO183+"BYw!&amp;Rt"</f>
        <v>#VALUE!</v>
      </c>
      <c r="IG108" t="e">
        <f>'2.4.Функции'!DP183+"BYw!&amp;Ru"</f>
        <v>#VALUE!</v>
      </c>
      <c r="IH108" t="e">
        <f>'2.4.Функции'!DQ183+"BYw!&amp;Rv"</f>
        <v>#VALUE!</v>
      </c>
      <c r="II108" t="e">
        <f>'2.4.Функции'!DR183+"BYw!&amp;Rw"</f>
        <v>#VALUE!</v>
      </c>
      <c r="IJ108" t="e">
        <f>'2.4.Функции'!DS183+"BYw!&amp;Rx"</f>
        <v>#VALUE!</v>
      </c>
      <c r="IK108" t="e">
        <f>'2.4.Функции'!DT183+"BYw!&amp;Ry"</f>
        <v>#VALUE!</v>
      </c>
      <c r="IL108" t="e">
        <f>'2.4.Функции'!DU183+"BYw!&amp;Rz"</f>
        <v>#VALUE!</v>
      </c>
      <c r="IM108" t="e">
        <f>'2.4.Функции'!DV183+"BYw!&amp;R{"</f>
        <v>#VALUE!</v>
      </c>
      <c r="IN108" t="e">
        <f>'2.4.Функции'!DW183+"BYw!&amp;R|"</f>
        <v>#VALUE!</v>
      </c>
      <c r="IO108" t="e">
        <f>'2.4.Функции'!DX183+"BYw!&amp;R}"</f>
        <v>#VALUE!</v>
      </c>
      <c r="IP108" t="e">
        <f>'2.4.Функции'!DY183+"BYw!&amp;R~"</f>
        <v>#VALUE!</v>
      </c>
      <c r="IQ108" t="e">
        <f>'2.4.Функции'!DZ183+"BYw!&amp;S#"</f>
        <v>#VALUE!</v>
      </c>
      <c r="IR108" t="e">
        <f>'2.4.Функции'!EA183+"BYw!&amp;S$"</f>
        <v>#VALUE!</v>
      </c>
      <c r="IS108" t="e">
        <f>'2.4.Функции'!EB183+"BYw!&amp;S%"</f>
        <v>#VALUE!</v>
      </c>
      <c r="IT108" t="e">
        <f>'2.4.Функции'!EC183+"BYw!&amp;S&amp;"</f>
        <v>#VALUE!</v>
      </c>
      <c r="IU108" t="e">
        <f>'2.4.Функции'!ED183+"BYw!&amp;S'"</f>
        <v>#VALUE!</v>
      </c>
      <c r="IV108" t="e">
        <f>'2.4.Функции'!EE183+"BYw!&amp;S("</f>
        <v>#VALUE!</v>
      </c>
    </row>
    <row r="109" spans="6:256" x14ac:dyDescent="0.2">
      <c r="F109" t="e">
        <f>'2.4.Функции'!EF183+"BYw!&amp;S)"</f>
        <v>#VALUE!</v>
      </c>
      <c r="G109" t="e">
        <f>'2.4.Функции'!EG183+"BYw!&amp;S."</f>
        <v>#VALUE!</v>
      </c>
      <c r="H109" t="e">
        <f>'2.4.Функции'!EH183+"BYw!&amp;S/"</f>
        <v>#VALUE!</v>
      </c>
      <c r="I109" t="e">
        <f>'2.4.Функции'!EI183+"BYw!&amp;S0"</f>
        <v>#VALUE!</v>
      </c>
      <c r="J109" t="e">
        <f>'2.4.Функции'!EJ183+"BYw!&amp;S1"</f>
        <v>#VALUE!</v>
      </c>
      <c r="K109" t="e">
        <f>'2.4.Функции'!EK183+"BYw!&amp;S2"</f>
        <v>#VALUE!</v>
      </c>
      <c r="L109" t="e">
        <f>'2.4.Функции'!EL183+"BYw!&amp;S3"</f>
        <v>#VALUE!</v>
      </c>
      <c r="M109" t="e">
        <f>'2.4.Функции'!EM183+"BYw!&amp;S4"</f>
        <v>#VALUE!</v>
      </c>
      <c r="N109" t="e">
        <f>'2.4.Функции'!EN183+"BYw!&amp;S5"</f>
        <v>#VALUE!</v>
      </c>
      <c r="O109" t="e">
        <f>'2.4.Функции'!EO183+"BYw!&amp;S6"</f>
        <v>#VALUE!</v>
      </c>
      <c r="P109" t="e">
        <f>'2.4.Функции'!EP183+"BYw!&amp;S7"</f>
        <v>#VALUE!</v>
      </c>
      <c r="Q109" t="e">
        <f>'2.4.Функции'!EQ183+"BYw!&amp;S8"</f>
        <v>#VALUE!</v>
      </c>
      <c r="R109" t="e">
        <f>'2.4.Функции'!ER183+"BYw!&amp;S9"</f>
        <v>#VALUE!</v>
      </c>
      <c r="S109" t="e">
        <f>'2.4.Функции'!ES183+"BYw!&amp;S:"</f>
        <v>#VALUE!</v>
      </c>
      <c r="T109" t="e">
        <f>'2.4.Функции'!ET183+"BYw!&amp;S;"</f>
        <v>#VALUE!</v>
      </c>
      <c r="U109" t="e">
        <f>'2.4.Функции'!EU183+"BYw!&amp;S&lt;"</f>
        <v>#VALUE!</v>
      </c>
      <c r="V109" t="e">
        <f>'2.4.Функции'!EV183+"BYw!&amp;S="</f>
        <v>#VALUE!</v>
      </c>
      <c r="W109" t="e">
        <f>'2.4.Функции'!EW183+"BYw!&amp;S&gt;"</f>
        <v>#VALUE!</v>
      </c>
      <c r="X109" t="e">
        <f>'2.4.Функции'!EX183+"BYw!&amp;S?"</f>
        <v>#VALUE!</v>
      </c>
      <c r="Y109" t="e">
        <f>'2.4.Функции'!EY183+"BYw!&amp;S@"</f>
        <v>#VALUE!</v>
      </c>
      <c r="Z109" t="e">
        <f>'2.4.Функции'!EZ183+"BYw!&amp;SA"</f>
        <v>#VALUE!</v>
      </c>
      <c r="AA109" t="e">
        <f>'2.4.Функции'!FA183+"BYw!&amp;SB"</f>
        <v>#VALUE!</v>
      </c>
      <c r="AB109" t="e">
        <f>'2.4.Функции'!FB183+"BYw!&amp;SC"</f>
        <v>#VALUE!</v>
      </c>
      <c r="AC109" t="e">
        <f>'2.4.Функции'!FC183+"BYw!&amp;SD"</f>
        <v>#VALUE!</v>
      </c>
      <c r="AD109" t="e">
        <f>'2.4.Функции'!FD183+"BYw!&amp;SE"</f>
        <v>#VALUE!</v>
      </c>
      <c r="AE109" t="e">
        <f>'2.4.Функции'!FE183+"BYw!&amp;SF"</f>
        <v>#VALUE!</v>
      </c>
      <c r="AF109" t="e">
        <f>'2.4.Функции'!FF183+"BYw!&amp;SG"</f>
        <v>#VALUE!</v>
      </c>
      <c r="AG109" t="e">
        <f>'2.4.Функции'!FG183+"BYw!&amp;SH"</f>
        <v>#VALUE!</v>
      </c>
      <c r="AH109" t="e">
        <f>'2.4.Функции'!FH183+"BYw!&amp;SI"</f>
        <v>#VALUE!</v>
      </c>
      <c r="AI109" t="e">
        <f>'2.4.Функции'!FI183+"BYw!&amp;SJ"</f>
        <v>#VALUE!</v>
      </c>
      <c r="AJ109" t="e">
        <f>'2.4.Функции'!FJ183+"BYw!&amp;SK"</f>
        <v>#VALUE!</v>
      </c>
      <c r="AK109" t="e">
        <f>'2.4.Функции'!FK183+"BYw!&amp;SL"</f>
        <v>#VALUE!</v>
      </c>
      <c r="AL109" t="e">
        <f>'2.4.Функции'!FL183+"BYw!&amp;SM"</f>
        <v>#VALUE!</v>
      </c>
      <c r="AM109" t="e">
        <f>'2.4.Функции'!FM183+"BYw!&amp;SN"</f>
        <v>#VALUE!</v>
      </c>
      <c r="AN109" t="e">
        <f>'2.4.Функции'!FN183+"BYw!&amp;SO"</f>
        <v>#VALUE!</v>
      </c>
      <c r="AO109" t="e">
        <f>'2.4.Функции'!FO183+"BYw!&amp;SP"</f>
        <v>#VALUE!</v>
      </c>
      <c r="AP109" t="e">
        <f>'2.4.Функции'!FP183+"BYw!&amp;SQ"</f>
        <v>#VALUE!</v>
      </c>
      <c r="AQ109" t="e">
        <f>'2.4.Функции'!FQ183+"BYw!&amp;SR"</f>
        <v>#VALUE!</v>
      </c>
      <c r="AR109" t="e">
        <f>'2.4.Функции'!FR183+"BYw!&amp;SS"</f>
        <v>#VALUE!</v>
      </c>
      <c r="AS109" t="e">
        <f>'2.4.Функции'!FS183+"BYw!&amp;ST"</f>
        <v>#VALUE!</v>
      </c>
      <c r="AT109" t="e">
        <f>'2.4.Функции'!FT183+"BYw!&amp;SU"</f>
        <v>#VALUE!</v>
      </c>
      <c r="AU109" t="e">
        <f>'2.4.Функции'!FU183+"BYw!&amp;SV"</f>
        <v>#VALUE!</v>
      </c>
      <c r="AV109" t="e">
        <f>'2.4.Функции'!FV183+"BYw!&amp;SW"</f>
        <v>#VALUE!</v>
      </c>
      <c r="AW109" t="e">
        <f>'2.4.Функции'!FW183+"BYw!&amp;SX"</f>
        <v>#VALUE!</v>
      </c>
      <c r="AX109" t="e">
        <f>'2.4.Функции'!FX183+"BYw!&amp;SY"</f>
        <v>#VALUE!</v>
      </c>
      <c r="AY109" t="e">
        <f>'2.4.Функции'!FY183+"BYw!&amp;SZ"</f>
        <v>#VALUE!</v>
      </c>
      <c r="AZ109" t="e">
        <f>'2.4.Функции'!FZ183+"BYw!&amp;S["</f>
        <v>#VALUE!</v>
      </c>
      <c r="BA109" t="e">
        <f>'2.4.Функции'!GA183+"BYw!&amp;S\"</f>
        <v>#VALUE!</v>
      </c>
      <c r="BB109" t="e">
        <f>'2.4.Функции'!GB183+"BYw!&amp;S]"</f>
        <v>#VALUE!</v>
      </c>
      <c r="BC109" t="e">
        <f>'2.4.Функции'!GC183+"BYw!&amp;S^"</f>
        <v>#VALUE!</v>
      </c>
      <c r="BD109" t="e">
        <f>'2.4.Функции'!GD183+"BYw!&amp;S_"</f>
        <v>#VALUE!</v>
      </c>
      <c r="BE109" t="e">
        <f>'2.4.Функции'!GE183+"BYw!&amp;S`"</f>
        <v>#VALUE!</v>
      </c>
      <c r="BF109" t="e">
        <f>'2.4.Функции'!GF183+"BYw!&amp;Sa"</f>
        <v>#VALUE!</v>
      </c>
      <c r="BG109" t="e">
        <f>'2.4.Функции'!GG183+"BYw!&amp;Sb"</f>
        <v>#VALUE!</v>
      </c>
      <c r="BH109" t="e">
        <f>'2.4.Функции'!GH183+"BYw!&amp;Sc"</f>
        <v>#VALUE!</v>
      </c>
      <c r="BI109" t="e">
        <f>'2.4.Функции'!GI183+"BYw!&amp;Sd"</f>
        <v>#VALUE!</v>
      </c>
      <c r="BJ109" t="e">
        <f>'2.4.Функции'!GJ183+"BYw!&amp;Se"</f>
        <v>#VALUE!</v>
      </c>
      <c r="BK109" t="e">
        <f>'2.4.Функции'!GK183+"BYw!&amp;Sf"</f>
        <v>#VALUE!</v>
      </c>
      <c r="BL109" t="e">
        <f>'2.4.Функции'!GL183+"BYw!&amp;Sg"</f>
        <v>#VALUE!</v>
      </c>
      <c r="BM109" t="e">
        <f>'2.4.Функции'!GM183+"BYw!&amp;Sh"</f>
        <v>#VALUE!</v>
      </c>
      <c r="BN109" t="e">
        <f>'2.4.Функции'!GN183+"BYw!&amp;Si"</f>
        <v>#VALUE!</v>
      </c>
      <c r="BO109" t="e">
        <f>'2.4.Функции'!GO183+"BYw!&amp;Sj"</f>
        <v>#VALUE!</v>
      </c>
      <c r="BP109" t="e">
        <f>'2.4.Функции'!GP183+"BYw!&amp;Sk"</f>
        <v>#VALUE!</v>
      </c>
      <c r="BQ109" t="e">
        <f>'2.4.Функции'!GQ183+"BYw!&amp;Sl"</f>
        <v>#VALUE!</v>
      </c>
      <c r="BR109" t="e">
        <f>'2.4.Функции'!GR183+"BYw!&amp;Sm"</f>
        <v>#VALUE!</v>
      </c>
      <c r="BS109" t="e">
        <f>'2.4.Функции'!GS183+"BYw!&amp;Sn"</f>
        <v>#VALUE!</v>
      </c>
      <c r="BT109" t="e">
        <f>'2.4.Функции'!GT183+"BYw!&amp;So"</f>
        <v>#VALUE!</v>
      </c>
      <c r="BU109" t="e">
        <f>'2.4.Функции'!GU183+"BYw!&amp;Sp"</f>
        <v>#VALUE!</v>
      </c>
      <c r="BV109" t="e">
        <f>'2.4.Функции'!GV183+"BYw!&amp;Sq"</f>
        <v>#VALUE!</v>
      </c>
      <c r="BW109" t="e">
        <f>'2.4.Функции'!GW183+"BYw!&amp;Sr"</f>
        <v>#VALUE!</v>
      </c>
      <c r="BX109" t="e">
        <f>'2.4.Функции'!GX183+"BYw!&amp;Ss"</f>
        <v>#VALUE!</v>
      </c>
      <c r="BY109" t="e">
        <f>'2.4.Функции'!GY183+"BYw!&amp;St"</f>
        <v>#VALUE!</v>
      </c>
      <c r="BZ109" t="e">
        <f>'2.4.Функции'!GZ183+"BYw!&amp;Su"</f>
        <v>#VALUE!</v>
      </c>
      <c r="CA109" t="e">
        <f>'2.4.Функции'!HA183+"BYw!&amp;Sv"</f>
        <v>#VALUE!</v>
      </c>
      <c r="CB109" t="e">
        <f>'2.4.Функции'!HB183+"BYw!&amp;Sw"</f>
        <v>#VALUE!</v>
      </c>
      <c r="CC109" t="e">
        <f>'2.4.Функции'!HC183+"BYw!&amp;Sx"</f>
        <v>#VALUE!</v>
      </c>
      <c r="CD109" t="e">
        <f>'2.4.Функции'!HD183+"BYw!&amp;Sy"</f>
        <v>#VALUE!</v>
      </c>
      <c r="CE109" t="e">
        <f>'2.4.Функции'!HE183+"BYw!&amp;Sz"</f>
        <v>#VALUE!</v>
      </c>
      <c r="CF109" t="e">
        <f>'2.4.Функции'!HF183+"BYw!&amp;S{"</f>
        <v>#VALUE!</v>
      </c>
      <c r="CG109" t="e">
        <f>'2.4.Функции'!HG183+"BYw!&amp;S|"</f>
        <v>#VALUE!</v>
      </c>
      <c r="CH109" t="e">
        <f>'2.4.Функции'!HH183+"BYw!&amp;S}"</f>
        <v>#VALUE!</v>
      </c>
      <c r="CI109" t="e">
        <f>'2.4.Функции'!HI183+"BYw!&amp;S~"</f>
        <v>#VALUE!</v>
      </c>
      <c r="CJ109" t="e">
        <f>'2.4.Функции'!HJ183+"BYw!&amp;T#"</f>
        <v>#VALUE!</v>
      </c>
      <c r="CK109" t="e">
        <f>'2.4.Функции'!HK183+"BYw!&amp;T$"</f>
        <v>#VALUE!</v>
      </c>
      <c r="CL109" t="e">
        <f>'2.4.Функции'!HL183+"BYw!&amp;T%"</f>
        <v>#VALUE!</v>
      </c>
      <c r="CM109" t="e">
        <f>'2.4.Функции'!HM183+"BYw!&amp;T&amp;"</f>
        <v>#VALUE!</v>
      </c>
      <c r="CN109" t="e">
        <f>'2.4.Функции'!HN183+"BYw!&amp;T'"</f>
        <v>#VALUE!</v>
      </c>
      <c r="CO109" t="e">
        <f>'2.4.Функции'!HO183+"BYw!&amp;T("</f>
        <v>#VALUE!</v>
      </c>
      <c r="CP109" t="e">
        <f>'2.4.Функции'!HP183+"BYw!&amp;T)"</f>
        <v>#VALUE!</v>
      </c>
      <c r="CQ109" t="e">
        <f>'2.4.Функции'!HQ183+"BYw!&amp;T."</f>
        <v>#VALUE!</v>
      </c>
      <c r="CR109" t="e">
        <f>'2.4.Функции'!HR183+"BYw!&amp;T/"</f>
        <v>#VALUE!</v>
      </c>
      <c r="CS109" t="e">
        <f>'2.4.Функции'!HS183+"BYw!&amp;T0"</f>
        <v>#VALUE!</v>
      </c>
      <c r="CT109" t="e">
        <f>'2.4.Функции'!HT183+"BYw!&amp;T1"</f>
        <v>#VALUE!</v>
      </c>
      <c r="CU109" t="e">
        <f>'2.4.Функции'!HU183+"BYw!&amp;T2"</f>
        <v>#VALUE!</v>
      </c>
      <c r="CV109" t="e">
        <f>'2.4.Функции'!HV183+"BYw!&amp;T3"</f>
        <v>#VALUE!</v>
      </c>
      <c r="CW109" t="e">
        <f>'2.4.Функции'!HW183+"BYw!&amp;T4"</f>
        <v>#VALUE!</v>
      </c>
      <c r="CX109" t="e">
        <f>'2.4.Функции'!HX183+"BYw!&amp;T5"</f>
        <v>#VALUE!</v>
      </c>
      <c r="CY109" t="e">
        <f>'2.4.Функции'!HY183+"BYw!&amp;T6"</f>
        <v>#VALUE!</v>
      </c>
      <c r="CZ109" t="e">
        <f>'2.4.Функции'!HZ183+"BYw!&amp;T7"</f>
        <v>#VALUE!</v>
      </c>
      <c r="DA109" t="e">
        <f>'2.4.Функции'!IA183+"BYw!&amp;T8"</f>
        <v>#VALUE!</v>
      </c>
      <c r="DB109" t="e">
        <f>'2.4.Функции'!IB183+"BYw!&amp;T9"</f>
        <v>#VALUE!</v>
      </c>
      <c r="DC109" t="e">
        <f>'2.4.Функции'!IC183+"BYw!&amp;T:"</f>
        <v>#VALUE!</v>
      </c>
      <c r="DD109" t="e">
        <f>'2.4.Функции'!ID183+"BYw!&amp;T;"</f>
        <v>#VALUE!</v>
      </c>
      <c r="DE109" t="e">
        <f>'2.4.Функции'!IE183+"BYw!&amp;T&lt;"</f>
        <v>#VALUE!</v>
      </c>
      <c r="DF109" t="e">
        <f>'2.4.Функции'!IF183+"BYw!&amp;T="</f>
        <v>#VALUE!</v>
      </c>
      <c r="DG109" t="e">
        <f>'2.4.Функции'!IG183+"BYw!&amp;T&gt;"</f>
        <v>#VALUE!</v>
      </c>
      <c r="DH109" t="e">
        <f>'2.4.Функции'!IH183+"BYw!&amp;T?"</f>
        <v>#VALUE!</v>
      </c>
      <c r="DI109" t="e">
        <f>'2.4.Функции'!II183+"BYw!&amp;T@"</f>
        <v>#VALUE!</v>
      </c>
      <c r="DJ109" t="e">
        <f>'2.4.Функции'!IJ183+"BYw!&amp;TA"</f>
        <v>#VALUE!</v>
      </c>
      <c r="DK109" t="e">
        <f>'2.4.Функции'!IK183+"BYw!&amp;TB"</f>
        <v>#VALUE!</v>
      </c>
      <c r="DL109" t="e">
        <f>'2.4.Функции'!IL183+"BYw!&amp;TC"</f>
        <v>#VALUE!</v>
      </c>
      <c r="DM109" t="e">
        <f>'2.4.Функции'!IM183+"BYw!&amp;TD"</f>
        <v>#VALUE!</v>
      </c>
      <c r="DN109" t="e">
        <f>'2.4.Функции'!IN183+"BYw!&amp;TE"</f>
        <v>#VALUE!</v>
      </c>
      <c r="DO109" t="e">
        <f>'2.4.Функции'!IO183+"BYw!&amp;TF"</f>
        <v>#VALUE!</v>
      </c>
      <c r="DP109" t="e">
        <f>'2.4.Функции'!IP183+"BYw!&amp;TG"</f>
        <v>#VALUE!</v>
      </c>
      <c r="DQ109" t="e">
        <f>'2.4.Функции'!IQ183+"BYw!&amp;TH"</f>
        <v>#VALUE!</v>
      </c>
      <c r="DR109" t="e">
        <f>'2.4.Функции'!IR183+"BYw!&amp;TI"</f>
        <v>#VALUE!</v>
      </c>
      <c r="DS109" t="e">
        <f>'2.4.Функции'!IS183+"BYw!&amp;TJ"</f>
        <v>#VALUE!</v>
      </c>
      <c r="DT109" t="e">
        <f>'2.4.Функции'!IT183+"BYw!&amp;TK"</f>
        <v>#VALUE!</v>
      </c>
      <c r="DU109" t="e">
        <f>'2.4.Функции'!IU183+"BYw!&amp;TL"</f>
        <v>#VALUE!</v>
      </c>
      <c r="DV109" t="e">
        <f>'2.4.Функции'!IV183+"BYw!&amp;TM"</f>
        <v>#VALUE!</v>
      </c>
      <c r="DW109" t="e">
        <f>'2.4.Функции'!IW183+"BYw!&amp;TN"</f>
        <v>#VALUE!</v>
      </c>
      <c r="DX109" t="e">
        <f>'2.4.Функции'!IX183+"BYw!&amp;TO"</f>
        <v>#VALUE!</v>
      </c>
      <c r="DY109" t="e">
        <f>'2.4.Функции'!IY183+"BYw!&amp;TP"</f>
        <v>#VALUE!</v>
      </c>
      <c r="DZ109" t="e">
        <f>'2.4.Функции'!IZ183+"BYw!&amp;TQ"</f>
        <v>#VALUE!</v>
      </c>
      <c r="EA109" t="e">
        <f>'2.4.Функции'!JA183+"BYw!&amp;TR"</f>
        <v>#VALUE!</v>
      </c>
      <c r="EB109" t="e">
        <f>'2.4.Функции'!JB183+"BYw!&amp;TS"</f>
        <v>#VALUE!</v>
      </c>
      <c r="EC109" t="e">
        <f>'2.4.Функции'!JC183+"BYw!&amp;TT"</f>
        <v>#VALUE!</v>
      </c>
      <c r="ED109" t="e">
        <f>'2.4.Функции'!JD183+"BYw!&amp;TU"</f>
        <v>#VALUE!</v>
      </c>
      <c r="EE109" t="e">
        <f>'2.4.Функции'!JE183+"BYw!&amp;TV"</f>
        <v>#VALUE!</v>
      </c>
      <c r="EF109" t="e">
        <f>'2.4.Функции'!JF183+"BYw!&amp;TW"</f>
        <v>#VALUE!</v>
      </c>
      <c r="EG109" t="e">
        <f>'2.4.Функции'!JG183+"BYw!&amp;TX"</f>
        <v>#VALUE!</v>
      </c>
      <c r="EH109" t="e">
        <f>'2.4.Функции'!JH183+"BYw!&amp;TY"</f>
        <v>#VALUE!</v>
      </c>
      <c r="EI109" t="e">
        <f>'2.4.Функции'!JI183+"BYw!&amp;TZ"</f>
        <v>#VALUE!</v>
      </c>
      <c r="EJ109" t="e">
        <f>'2.4.Функции'!JJ183+"BYw!&amp;T["</f>
        <v>#VALUE!</v>
      </c>
      <c r="EK109" t="e">
        <f>'2.4.Функции'!JK183+"BYw!&amp;T\"</f>
        <v>#VALUE!</v>
      </c>
      <c r="EL109" t="e">
        <f>'2.4.Функции'!JL183+"BYw!&amp;T]"</f>
        <v>#VALUE!</v>
      </c>
      <c r="EM109" t="e">
        <f>'2.4.Функции'!JM183+"BYw!&amp;T^"</f>
        <v>#VALUE!</v>
      </c>
      <c r="EN109" t="e">
        <f>'2.4.Функции'!JN183+"BYw!&amp;T_"</f>
        <v>#VALUE!</v>
      </c>
      <c r="EO109" t="e">
        <f>'2.4.Функции'!JO183+"BYw!&amp;T`"</f>
        <v>#VALUE!</v>
      </c>
      <c r="EP109" t="e">
        <f>'2.4.Функции'!JP183+"BYw!&amp;Ta"</f>
        <v>#VALUE!</v>
      </c>
      <c r="EQ109" t="e">
        <f>'2.4.Функции'!JQ183+"BYw!&amp;Tb"</f>
        <v>#VALUE!</v>
      </c>
      <c r="ER109" t="e">
        <f>'2.4.Функции'!JR183+"BYw!&amp;Tc"</f>
        <v>#VALUE!</v>
      </c>
      <c r="ES109" t="e">
        <f>'2.4.Функции'!JS183+"BYw!&amp;Td"</f>
        <v>#VALUE!</v>
      </c>
      <c r="ET109" t="e">
        <f>'2.4.Функции'!JT183+"BYw!&amp;Te"</f>
        <v>#VALUE!</v>
      </c>
      <c r="EU109" t="e">
        <f>'2.4.Функции'!JU183+"BYw!&amp;Tf"</f>
        <v>#VALUE!</v>
      </c>
      <c r="EV109" t="e">
        <f>'2.4.Функции'!JV183+"BYw!&amp;Tg"</f>
        <v>#VALUE!</v>
      </c>
      <c r="EW109" t="e">
        <f>'2.4.Функции'!JW183+"BYw!&amp;Th"</f>
        <v>#VALUE!</v>
      </c>
      <c r="EX109" t="e">
        <f>'2.4.Функции'!JX183+"BYw!&amp;Ti"</f>
        <v>#VALUE!</v>
      </c>
      <c r="EY109" t="e">
        <f>'2.4.Функции'!JY183+"BYw!&amp;Tj"</f>
        <v>#VALUE!</v>
      </c>
      <c r="EZ109" t="e">
        <f>'2.4.Функции'!JZ183+"BYw!&amp;Tk"</f>
        <v>#VALUE!</v>
      </c>
      <c r="FA109" t="e">
        <f>'2.4.Функции'!KA183+"BYw!&amp;Tl"</f>
        <v>#VALUE!</v>
      </c>
      <c r="FB109" t="e">
        <f>'2.4.Функции'!KB183+"BYw!&amp;Tm"</f>
        <v>#VALUE!</v>
      </c>
      <c r="FC109" t="e">
        <f>'2.4.Функции'!KC183+"BYw!&amp;Tn"</f>
        <v>#VALUE!</v>
      </c>
      <c r="FD109" t="e">
        <f>'2.4.Функции'!KD183+"BYw!&amp;To"</f>
        <v>#VALUE!</v>
      </c>
      <c r="FE109" t="e">
        <f>'2.4.Функции'!KE183+"BYw!&amp;Tp"</f>
        <v>#VALUE!</v>
      </c>
      <c r="FF109" t="e">
        <f>'2.4.Функции'!KF183+"BYw!&amp;Tq"</f>
        <v>#VALUE!</v>
      </c>
      <c r="FG109" t="e">
        <f>'2.4.Функции'!KG183+"BYw!&amp;Tr"</f>
        <v>#VALUE!</v>
      </c>
      <c r="FH109" t="e">
        <f>'2.4.Функции'!KH183+"BYw!&amp;Ts"</f>
        <v>#VALUE!</v>
      </c>
      <c r="FI109" t="e">
        <f>'2.4.Функции'!KI183+"BYw!&amp;Tt"</f>
        <v>#VALUE!</v>
      </c>
      <c r="FJ109" t="e">
        <f>'2.4.Функции'!KJ183+"BYw!&amp;Tu"</f>
        <v>#VALUE!</v>
      </c>
      <c r="FK109" t="e">
        <f>'2.4.Функции'!KK183+"BYw!&amp;Tv"</f>
        <v>#VALUE!</v>
      </c>
      <c r="FL109" t="e">
        <f>'2.4.Функции'!KL183+"BYw!&amp;Tw"</f>
        <v>#VALUE!</v>
      </c>
      <c r="FM109" t="e">
        <f>'2.4.Функции'!KM183+"BYw!&amp;Tx"</f>
        <v>#VALUE!</v>
      </c>
      <c r="FN109" t="e">
        <f>'2.4.Функции'!KN183+"BYw!&amp;Ty"</f>
        <v>#VALUE!</v>
      </c>
      <c r="FO109" t="e">
        <f>'2.4.Функции'!KO183+"BYw!&amp;Tz"</f>
        <v>#VALUE!</v>
      </c>
      <c r="FP109" t="e">
        <f>'2.4.Функции'!KP183+"BYw!&amp;T{"</f>
        <v>#VALUE!</v>
      </c>
      <c r="FQ109" t="e">
        <f>'2.4.Функции'!KQ183+"BYw!&amp;T|"</f>
        <v>#VALUE!</v>
      </c>
      <c r="FR109" t="e">
        <f>'2.4.Функции'!KR183+"BYw!&amp;T}"</f>
        <v>#VALUE!</v>
      </c>
      <c r="FS109" t="e">
        <f>'2.4.Функции'!KS183+"BYw!&amp;T~"</f>
        <v>#VALUE!</v>
      </c>
      <c r="FT109" t="e">
        <f>'2.4.Функции'!KT183+"BYw!&amp;U#"</f>
        <v>#VALUE!</v>
      </c>
      <c r="FU109" t="e">
        <f>'2.4.Функции'!KU183+"BYw!&amp;U$"</f>
        <v>#VALUE!</v>
      </c>
      <c r="FV109" t="e">
        <f>'2.4.Функции'!KV183+"BYw!&amp;U%"</f>
        <v>#VALUE!</v>
      </c>
      <c r="FW109" t="e">
        <f>'2.4.Функции'!KW183+"BYw!&amp;U&amp;"</f>
        <v>#VALUE!</v>
      </c>
      <c r="FX109" t="e">
        <f>'2.4.Функции'!KX183+"BYw!&amp;U'"</f>
        <v>#VALUE!</v>
      </c>
      <c r="FY109" t="e">
        <f>'2.4.Функции'!KY183+"BYw!&amp;U("</f>
        <v>#VALUE!</v>
      </c>
      <c r="FZ109" t="e">
        <f>'2.4.Функции'!KZ183+"BYw!&amp;U)"</f>
        <v>#VALUE!</v>
      </c>
      <c r="GA109" t="e">
        <f>'2.4.Функции'!LA183+"BYw!&amp;U."</f>
        <v>#VALUE!</v>
      </c>
      <c r="GB109" t="e">
        <f>'2.4.Функции'!LB183+"BYw!&amp;U/"</f>
        <v>#VALUE!</v>
      </c>
      <c r="GC109" t="e">
        <f>'2.4.Функции'!LC183+"BYw!&amp;U0"</f>
        <v>#VALUE!</v>
      </c>
      <c r="GD109" t="e">
        <f>'2.4.Функции'!LD183+"BYw!&amp;U1"</f>
        <v>#VALUE!</v>
      </c>
      <c r="GE109" t="e">
        <f>'2.4.Функции'!LE183+"BYw!&amp;U2"</f>
        <v>#VALUE!</v>
      </c>
      <c r="GF109" t="e">
        <f>'2.4.Функции'!LF183+"BYw!&amp;U3"</f>
        <v>#VALUE!</v>
      </c>
      <c r="GG109" t="e">
        <f>'2.4.Функции'!LG183+"BYw!&amp;U4"</f>
        <v>#VALUE!</v>
      </c>
      <c r="GH109" t="e">
        <f>'2.4.Функции'!LH183+"BYw!&amp;U5"</f>
        <v>#VALUE!</v>
      </c>
      <c r="GI109" t="e">
        <f>'2.4.Функции'!LI183+"BYw!&amp;U6"</f>
        <v>#VALUE!</v>
      </c>
      <c r="GJ109" t="e">
        <f>'2.4.Функции'!LJ183+"BYw!&amp;U7"</f>
        <v>#VALUE!</v>
      </c>
      <c r="GK109" t="e">
        <f>'2.4.Функции'!LK183+"BYw!&amp;U8"</f>
        <v>#VALUE!</v>
      </c>
      <c r="GL109" t="e">
        <f>'2.4.Функции'!LL183+"BYw!&amp;U9"</f>
        <v>#VALUE!</v>
      </c>
      <c r="GM109" t="e">
        <f>'2.4.Функции'!LM183+"BYw!&amp;U:"</f>
        <v>#VALUE!</v>
      </c>
      <c r="GN109" t="e">
        <f>'2.4.Функции'!LN183+"BYw!&amp;U;"</f>
        <v>#VALUE!</v>
      </c>
      <c r="GO109" t="e">
        <f>'2.4.Функции'!LO183+"BYw!&amp;U&lt;"</f>
        <v>#VALUE!</v>
      </c>
      <c r="GP109" t="e">
        <f>'2.4.Функции'!LP183+"BYw!&amp;U="</f>
        <v>#VALUE!</v>
      </c>
      <c r="GQ109" t="e">
        <f>'2.4.Функции'!LQ183+"BYw!&amp;U&gt;"</f>
        <v>#VALUE!</v>
      </c>
      <c r="GR109" t="e">
        <f>'2.4.Функции'!LR183+"BYw!&amp;U?"</f>
        <v>#VALUE!</v>
      </c>
      <c r="GS109" t="e">
        <f>'2.4.Функции'!LS183+"BYw!&amp;U@"</f>
        <v>#VALUE!</v>
      </c>
      <c r="GT109" t="e">
        <f>'2.4.Функции'!LT183+"BYw!&amp;UA"</f>
        <v>#VALUE!</v>
      </c>
      <c r="GU109" t="e">
        <f>'2.4.Функции'!LU183+"BYw!&amp;UB"</f>
        <v>#VALUE!</v>
      </c>
      <c r="GV109" t="e">
        <f>'2.4.Функции'!LV183+"BYw!&amp;UC"</f>
        <v>#VALUE!</v>
      </c>
      <c r="GW109" t="e">
        <f>'2.4.Функции'!LW183+"BYw!&amp;UD"</f>
        <v>#VALUE!</v>
      </c>
      <c r="GX109" t="e">
        <f>'2.4.Функции'!LX183+"BYw!&amp;UE"</f>
        <v>#VALUE!</v>
      </c>
      <c r="GY109" t="e">
        <f>'2.4.Функции'!LY183+"BYw!&amp;UF"</f>
        <v>#VALUE!</v>
      </c>
      <c r="GZ109" t="e">
        <f>'2.4.Функции'!LZ183+"BYw!&amp;UG"</f>
        <v>#VALUE!</v>
      </c>
      <c r="HA109" t="e">
        <f>'2.4.Функции'!MA183+"BYw!&amp;UH"</f>
        <v>#VALUE!</v>
      </c>
      <c r="HB109" t="e">
        <f>'2.4.Функции'!MB183+"BYw!&amp;UI"</f>
        <v>#VALUE!</v>
      </c>
      <c r="HC109" t="e">
        <f>'2.4.Функции'!MC183+"BYw!&amp;UJ"</f>
        <v>#VALUE!</v>
      </c>
      <c r="HD109" t="e">
        <f>'2.4.Функции'!MD183+"BYw!&amp;UK"</f>
        <v>#VALUE!</v>
      </c>
      <c r="HE109" t="e">
        <f>'2.4.Функции'!ME183+"BYw!&amp;UL"</f>
        <v>#VALUE!</v>
      </c>
      <c r="HF109" t="e">
        <f>'2.4.Функции'!MF183+"BYw!&amp;UM"</f>
        <v>#VALUE!</v>
      </c>
      <c r="HG109" t="e">
        <f>'2.4.Функции'!MG183+"BYw!&amp;UN"</f>
        <v>#VALUE!</v>
      </c>
      <c r="HH109" t="e">
        <f>'2.4.Функции'!MH183+"BYw!&amp;UO"</f>
        <v>#VALUE!</v>
      </c>
      <c r="HI109" t="e">
        <f>'2.4.Функции'!MI183+"BYw!&amp;UP"</f>
        <v>#VALUE!</v>
      </c>
      <c r="HJ109" t="e">
        <f>'2.4.Функции'!MJ183+"BYw!&amp;UQ"</f>
        <v>#VALUE!</v>
      </c>
      <c r="HK109" t="e">
        <f>'2.4.Функции'!MK183+"BYw!&amp;UR"</f>
        <v>#VALUE!</v>
      </c>
      <c r="HL109" t="e">
        <f>'2.4.Функции'!ML183+"BYw!&amp;US"</f>
        <v>#VALUE!</v>
      </c>
      <c r="HM109" t="e">
        <f>'2.4.Функции'!MM183+"BYw!&amp;UT"</f>
        <v>#VALUE!</v>
      </c>
      <c r="HN109" t="e">
        <f>'2.4.Функции'!MN183+"BYw!&amp;UU"</f>
        <v>#VALUE!</v>
      </c>
      <c r="HO109" t="e">
        <f>'2.4.Функции'!MO183+"BYw!&amp;UV"</f>
        <v>#VALUE!</v>
      </c>
      <c r="HP109" t="e">
        <f>'2.4.Функции'!MP183+"BYw!&amp;UW"</f>
        <v>#VALUE!</v>
      </c>
      <c r="HQ109" t="e">
        <f>'2.4.Функции'!MQ183+"BYw!&amp;UX"</f>
        <v>#VALUE!</v>
      </c>
      <c r="HR109" t="e">
        <f>'2.4.Функции'!MR183+"BYw!&amp;UY"</f>
        <v>#VALUE!</v>
      </c>
      <c r="HS109" t="e">
        <f>'2.4.Функции'!MS183+"BYw!&amp;UZ"</f>
        <v>#VALUE!</v>
      </c>
      <c r="HT109" t="e">
        <f>'2.4.Функции'!MT183+"BYw!&amp;U["</f>
        <v>#VALUE!</v>
      </c>
      <c r="HU109" t="e">
        <f>'2.4.Функции'!MU183+"BYw!&amp;U\"</f>
        <v>#VALUE!</v>
      </c>
      <c r="HV109" t="e">
        <f>'2.4.Функции'!MV183+"BYw!&amp;U]"</f>
        <v>#VALUE!</v>
      </c>
      <c r="HW109" t="e">
        <f>'2.4.Функции'!MW183+"BYw!&amp;U^"</f>
        <v>#VALUE!</v>
      </c>
      <c r="HX109" t="e">
        <f>'2.4.Функции'!MX183+"BYw!&amp;U_"</f>
        <v>#VALUE!</v>
      </c>
      <c r="HY109" t="e">
        <f>'2.4.Функции'!MY183+"BYw!&amp;U`"</f>
        <v>#VALUE!</v>
      </c>
      <c r="HZ109" t="e">
        <f>'2.4.Функции'!MZ183+"BYw!&amp;Ua"</f>
        <v>#VALUE!</v>
      </c>
      <c r="IA109" t="e">
        <f>'2.4.Функции'!NA183+"BYw!&amp;Ub"</f>
        <v>#VALUE!</v>
      </c>
      <c r="IB109" t="e">
        <f>'2.4.Функции'!NB183+"BYw!&amp;Uc"</f>
        <v>#VALUE!</v>
      </c>
      <c r="IC109" t="e">
        <f>'2.4.Функции'!NC183+"BYw!&amp;Ud"</f>
        <v>#VALUE!</v>
      </c>
      <c r="ID109" t="e">
        <f>'2.4.Функции'!ND183+"BYw!&amp;Ue"</f>
        <v>#VALUE!</v>
      </c>
      <c r="IE109" t="e">
        <f>'2.4.Функции'!NE183+"BYw!&amp;Uf"</f>
        <v>#VALUE!</v>
      </c>
      <c r="IF109" t="e">
        <f>'2.4.Функции'!NF183+"BYw!&amp;Ug"</f>
        <v>#VALUE!</v>
      </c>
      <c r="IG109" t="e">
        <f>'2.4.Функции'!NG183+"BYw!&amp;Uh"</f>
        <v>#VALUE!</v>
      </c>
      <c r="IH109" t="e">
        <f>'2.4.Функции'!NH183+"BYw!&amp;Ui"</f>
        <v>#VALUE!</v>
      </c>
      <c r="II109" t="e">
        <f>'2.4.Функции'!NI183+"BYw!&amp;Uj"</f>
        <v>#VALUE!</v>
      </c>
      <c r="IJ109" t="e">
        <f>'2.4.Функции'!NJ183+"BYw!&amp;Uk"</f>
        <v>#VALUE!</v>
      </c>
      <c r="IK109" t="e">
        <f>'2.4.Функции'!NK183+"BYw!&amp;Ul"</f>
        <v>#VALUE!</v>
      </c>
      <c r="IL109" t="e">
        <f>'2.4.Функции'!NL183+"BYw!&amp;Um"</f>
        <v>#VALUE!</v>
      </c>
      <c r="IM109" t="e">
        <f>'2.4.Функции'!NM183+"BYw!&amp;Un"</f>
        <v>#VALUE!</v>
      </c>
      <c r="IN109" t="e">
        <f>'2.4.Функции'!NN183+"BYw!&amp;Uo"</f>
        <v>#VALUE!</v>
      </c>
      <c r="IO109" t="e">
        <f>'2.4.Функции'!NO183+"BYw!&amp;Up"</f>
        <v>#VALUE!</v>
      </c>
      <c r="IP109" t="e">
        <f>'2.4.Функции'!NP183+"BYw!&amp;Uq"</f>
        <v>#VALUE!</v>
      </c>
      <c r="IQ109" t="e">
        <f>'2.4.Функции'!NQ183+"BYw!&amp;Ur"</f>
        <v>#VALUE!</v>
      </c>
      <c r="IR109" t="e">
        <f>'2.4.Функции'!NR183+"BYw!&amp;Us"</f>
        <v>#VALUE!</v>
      </c>
      <c r="IS109" t="e">
        <f>'2.4.Функции'!NS183+"BYw!&amp;Ut"</f>
        <v>#VALUE!</v>
      </c>
      <c r="IT109" t="e">
        <f>'2.4.Функции'!NT183+"BYw!&amp;Uu"</f>
        <v>#VALUE!</v>
      </c>
      <c r="IU109" t="e">
        <f>'2.4.Функции'!NU183+"BYw!&amp;Uv"</f>
        <v>#VALUE!</v>
      </c>
      <c r="IV109" t="e">
        <f>'2.4.Функции'!NV183+"BYw!&amp;Uw"</f>
        <v>#VALUE!</v>
      </c>
    </row>
    <row r="110" spans="6:256" x14ac:dyDescent="0.2">
      <c r="F110" t="e">
        <f>'2.4.Функции'!NW183+"BYw!&amp;Ux"</f>
        <v>#VALUE!</v>
      </c>
      <c r="G110" t="e">
        <f>'2.4.Функции'!NX183+"BYw!&amp;Uy"</f>
        <v>#VALUE!</v>
      </c>
      <c r="H110" t="e">
        <f>'2.4.Функции'!NY183+"BYw!&amp;Uz"</f>
        <v>#VALUE!</v>
      </c>
      <c r="I110" t="e">
        <f>'2.4.Функции'!NZ183+"BYw!&amp;U{"</f>
        <v>#VALUE!</v>
      </c>
      <c r="J110" t="e">
        <f>'2.4.Функции'!OA183+"BYw!&amp;U|"</f>
        <v>#VALUE!</v>
      </c>
      <c r="K110" t="e">
        <f>'2.4.Функции'!OB183+"BYw!&amp;U}"</f>
        <v>#VALUE!</v>
      </c>
      <c r="L110" t="e">
        <f>'2.4.Функции'!OC183+"BYw!&amp;U~"</f>
        <v>#VALUE!</v>
      </c>
      <c r="M110" t="e">
        <f>'2.4.Функции'!OD183+"BYw!&amp;V#"</f>
        <v>#VALUE!</v>
      </c>
      <c r="N110" t="e">
        <f>'2.4.Функции'!OE183+"BYw!&amp;V$"</f>
        <v>#VALUE!</v>
      </c>
      <c r="O110" t="e">
        <f>'2.4.Функции'!OF183+"BYw!&amp;V%"</f>
        <v>#VALUE!</v>
      </c>
      <c r="P110" t="e">
        <f>'2.4.Функции'!OG183+"BYw!&amp;V&amp;"</f>
        <v>#VALUE!</v>
      </c>
      <c r="Q110" t="e">
        <f>'2.4.Функции'!OH183+"BYw!&amp;V'"</f>
        <v>#VALUE!</v>
      </c>
      <c r="R110" t="e">
        <f>'2.4.Функции'!OI183+"BYw!&amp;V("</f>
        <v>#VALUE!</v>
      </c>
      <c r="S110" t="e">
        <f>'2.4.Функции'!OJ183+"BYw!&amp;V)"</f>
        <v>#VALUE!</v>
      </c>
      <c r="T110" t="e">
        <f>'2.4.Функции'!OK183+"BYw!&amp;V."</f>
        <v>#VALUE!</v>
      </c>
      <c r="U110" t="e">
        <f>'2.4.Функции'!OL183+"BYw!&amp;V/"</f>
        <v>#VALUE!</v>
      </c>
      <c r="V110" t="e">
        <f>'2.4.Функции'!OM183+"BYw!&amp;V0"</f>
        <v>#VALUE!</v>
      </c>
      <c r="W110" t="e">
        <f>'2.4.Функции'!ON183+"BYw!&amp;V1"</f>
        <v>#VALUE!</v>
      </c>
      <c r="X110" t="e">
        <f>'2.4.Функции'!OO183+"BYw!&amp;V2"</f>
        <v>#VALUE!</v>
      </c>
      <c r="Y110" t="e">
        <f>'2.4.Функции'!OP183+"BYw!&amp;V3"</f>
        <v>#VALUE!</v>
      </c>
      <c r="Z110" t="e">
        <f>'2.4.Функции'!OQ183+"BYw!&amp;V4"</f>
        <v>#VALUE!</v>
      </c>
      <c r="AA110" t="e">
        <f>'2.4.Функции'!OR183+"BYw!&amp;V5"</f>
        <v>#VALUE!</v>
      </c>
      <c r="AB110" t="e">
        <f>'2.4.Функции'!OS183+"BYw!&amp;V6"</f>
        <v>#VALUE!</v>
      </c>
      <c r="AC110" t="e">
        <f>'2.4.Функции'!OT183+"BYw!&amp;V7"</f>
        <v>#VALUE!</v>
      </c>
      <c r="AD110" t="e">
        <f>'2.4.Функции'!OU183+"BYw!&amp;V8"</f>
        <v>#VALUE!</v>
      </c>
      <c r="AE110" t="e">
        <f>'2.4.Функции'!OV183+"BYw!&amp;V9"</f>
        <v>#VALUE!</v>
      </c>
      <c r="AF110" t="e">
        <f>'2.4.Функции'!OW183+"BYw!&amp;V:"</f>
        <v>#VALUE!</v>
      </c>
      <c r="AG110" t="e">
        <f>'2.4.Функции'!OX183+"BYw!&amp;V;"</f>
        <v>#VALUE!</v>
      </c>
      <c r="AH110" t="e">
        <f>'2.4.Функции'!OY183+"BYw!&amp;V&lt;"</f>
        <v>#VALUE!</v>
      </c>
      <c r="AI110" t="e">
        <f>'2.4.Функции'!OZ183+"BYw!&amp;V="</f>
        <v>#VALUE!</v>
      </c>
      <c r="AJ110" t="e">
        <f>'2.4.Функции'!PA183+"BYw!&amp;V&gt;"</f>
        <v>#VALUE!</v>
      </c>
      <c r="AK110" t="e">
        <f>'2.4.Функции'!PB183+"BYw!&amp;V?"</f>
        <v>#VALUE!</v>
      </c>
      <c r="AL110" t="e">
        <f>'2.4.Функции'!PC183+"BYw!&amp;V@"</f>
        <v>#VALUE!</v>
      </c>
      <c r="AM110" t="e">
        <f>'2.4.Функции'!PD183+"BYw!&amp;VA"</f>
        <v>#VALUE!</v>
      </c>
      <c r="AN110" t="e">
        <f>'2.4.Функции'!PE183+"BYw!&amp;VB"</f>
        <v>#VALUE!</v>
      </c>
      <c r="AO110" t="e">
        <f>'2.4.Функции'!PF183+"BYw!&amp;VC"</f>
        <v>#VALUE!</v>
      </c>
      <c r="AP110" t="e">
        <f>'2.4.Функции'!PG183+"BYw!&amp;VD"</f>
        <v>#VALUE!</v>
      </c>
      <c r="AQ110" t="e">
        <f>'2.4.Функции'!PH183+"BYw!&amp;VE"</f>
        <v>#VALUE!</v>
      </c>
      <c r="AR110" t="e">
        <f>'2.4.Функции'!PI183+"BYw!&amp;VF"</f>
        <v>#VALUE!</v>
      </c>
      <c r="AS110" t="e">
        <f>'2.4.Функции'!PJ183+"BYw!&amp;VG"</f>
        <v>#VALUE!</v>
      </c>
      <c r="AT110" t="e">
        <f>'2.4.Функции'!PK183+"BYw!&amp;VH"</f>
        <v>#VALUE!</v>
      </c>
      <c r="AU110" t="e">
        <f>'2.4.Функции'!PL183+"BYw!&amp;VI"</f>
        <v>#VALUE!</v>
      </c>
      <c r="AV110" t="e">
        <f>'2.4.Функции'!PM183+"BYw!&amp;VJ"</f>
        <v>#VALUE!</v>
      </c>
      <c r="AW110" t="e">
        <f>'2.4.Функции'!PN183+"BYw!&amp;VK"</f>
        <v>#VALUE!</v>
      </c>
      <c r="AX110" t="e">
        <f>'2.4.Функции'!PO183+"BYw!&amp;VL"</f>
        <v>#VALUE!</v>
      </c>
      <c r="AY110" t="e">
        <f>'2.4.Функции'!PP183+"BYw!&amp;VM"</f>
        <v>#VALUE!</v>
      </c>
      <c r="AZ110" t="e">
        <f>'2.4.Функции'!PQ183+"BYw!&amp;VN"</f>
        <v>#VALUE!</v>
      </c>
      <c r="BA110" t="e">
        <f>'2.4.Функции'!PR183+"BYw!&amp;VO"</f>
        <v>#VALUE!</v>
      </c>
      <c r="BB110" t="e">
        <f>'2.4.Функции'!PS183+"BYw!&amp;VP"</f>
        <v>#VALUE!</v>
      </c>
      <c r="BC110" t="e">
        <f>'2.4.Функции'!PT183+"BYw!&amp;VQ"</f>
        <v>#VALUE!</v>
      </c>
      <c r="BD110" t="e">
        <f>'2.4.Функции'!PU183+"BYw!&amp;VR"</f>
        <v>#VALUE!</v>
      </c>
      <c r="BE110" t="e">
        <f>'2.4.Функции'!PV183+"BYw!&amp;VS"</f>
        <v>#VALUE!</v>
      </c>
      <c r="BF110" t="e">
        <f>'2.4.Функции'!PW183+"BYw!&amp;VT"</f>
        <v>#VALUE!</v>
      </c>
      <c r="BG110" t="e">
        <f>'2.4.Функции'!PX183+"BYw!&amp;VU"</f>
        <v>#VALUE!</v>
      </c>
      <c r="BH110" t="e">
        <f>'2.4.Функции'!PY183+"BYw!&amp;VV"</f>
        <v>#VALUE!</v>
      </c>
      <c r="BI110" t="e">
        <f>'2.4.Функции'!PZ183+"BYw!&amp;VW"</f>
        <v>#VALUE!</v>
      </c>
      <c r="BJ110" t="e">
        <f>'2.4.Функции'!QA183+"BYw!&amp;VX"</f>
        <v>#VALUE!</v>
      </c>
      <c r="BK110" t="e">
        <f>'2.4.Функции'!QB183+"BYw!&amp;VY"</f>
        <v>#VALUE!</v>
      </c>
      <c r="BL110" t="e">
        <f>'2.4.Функции'!QC183+"BYw!&amp;VZ"</f>
        <v>#VALUE!</v>
      </c>
      <c r="BM110" t="e">
        <f>'2.4.Функции'!QD183+"BYw!&amp;V["</f>
        <v>#VALUE!</v>
      </c>
      <c r="BN110" t="e">
        <f>'2.4.Функции'!QE183+"BYw!&amp;V\"</f>
        <v>#VALUE!</v>
      </c>
      <c r="BO110" t="e">
        <f>'2.4.Функции'!QF183+"BYw!&amp;V]"</f>
        <v>#VALUE!</v>
      </c>
      <c r="BP110" t="e">
        <f>'2.4.Функции'!QG183+"BYw!&amp;V^"</f>
        <v>#VALUE!</v>
      </c>
      <c r="BQ110" t="e">
        <f>'2.4.Функции'!QH183+"BYw!&amp;V_"</f>
        <v>#VALUE!</v>
      </c>
      <c r="BR110" t="e">
        <f>'2.4.Функции'!QI183+"BYw!&amp;V`"</f>
        <v>#VALUE!</v>
      </c>
      <c r="BS110" t="e">
        <f>'2.4.Функции'!QJ183+"BYw!&amp;Va"</f>
        <v>#VALUE!</v>
      </c>
      <c r="BT110" t="e">
        <f>'2.4.Функции'!QK183+"BYw!&amp;Vb"</f>
        <v>#VALUE!</v>
      </c>
      <c r="BU110" t="e">
        <f>'2.4.Функции'!QL183+"BYw!&amp;Vc"</f>
        <v>#VALUE!</v>
      </c>
      <c r="BV110" t="e">
        <f>'2.4.Функции'!QM183+"BYw!&amp;Vd"</f>
        <v>#VALUE!</v>
      </c>
      <c r="BW110" t="e">
        <f>'2.4.Функции'!QN183+"BYw!&amp;Ve"</f>
        <v>#VALUE!</v>
      </c>
      <c r="BX110" t="e">
        <f>'2.4.Функции'!QO183+"BYw!&amp;Vf"</f>
        <v>#VALUE!</v>
      </c>
      <c r="BY110" t="e">
        <f>'2.4.Функции'!QP183+"BYw!&amp;Vg"</f>
        <v>#VALUE!</v>
      </c>
      <c r="BZ110" t="e">
        <f>'2.4.Функции'!QQ183+"BYw!&amp;Vh"</f>
        <v>#VALUE!</v>
      </c>
      <c r="CA110" t="e">
        <f>'2.4.Функции'!QR183+"BYw!&amp;Vi"</f>
        <v>#VALUE!</v>
      </c>
      <c r="CB110" t="e">
        <f>'2.4.Функции'!QS183+"BYw!&amp;Vj"</f>
        <v>#VALUE!</v>
      </c>
      <c r="CC110" t="e">
        <f>'2.4.Функции'!QT183+"BYw!&amp;Vk"</f>
        <v>#VALUE!</v>
      </c>
      <c r="CD110" t="e">
        <f>'2.4.Функции'!QU183+"BYw!&amp;Vl"</f>
        <v>#VALUE!</v>
      </c>
      <c r="CE110" t="e">
        <f>'2.4.Функции'!QV183+"BYw!&amp;Vm"</f>
        <v>#VALUE!</v>
      </c>
      <c r="CF110" t="e">
        <f>'2.4.Функции'!QW183+"BYw!&amp;Vn"</f>
        <v>#VALUE!</v>
      </c>
      <c r="CG110" t="e">
        <f>'2.4.Функции'!QX183+"BYw!&amp;Vo"</f>
        <v>#VALUE!</v>
      </c>
      <c r="CH110" t="e">
        <f>'2.4.Функции'!QY183+"BYw!&amp;Vp"</f>
        <v>#VALUE!</v>
      </c>
      <c r="CI110" t="e">
        <f>'2.4.Функции'!QZ183+"BYw!&amp;Vq"</f>
        <v>#VALUE!</v>
      </c>
      <c r="CJ110" t="e">
        <f>'2.4.Функции'!RA183+"BYw!&amp;Vr"</f>
        <v>#VALUE!</v>
      </c>
      <c r="CK110" t="e">
        <f>'2.4.Функции'!RB183+"BYw!&amp;Vs"</f>
        <v>#VALUE!</v>
      </c>
      <c r="CL110" t="e">
        <f>'2.4.Функции'!RC183+"BYw!&amp;Vt"</f>
        <v>#VALUE!</v>
      </c>
      <c r="CM110" t="e">
        <f>'2.4.Функции'!RD183+"BYw!&amp;Vu"</f>
        <v>#VALUE!</v>
      </c>
      <c r="CN110" t="e">
        <f>'2.4.Функции'!RE183+"BYw!&amp;Vv"</f>
        <v>#VALUE!</v>
      </c>
      <c r="CO110" t="e">
        <f>'2.4.Функции'!RF183+"BYw!&amp;Vw"</f>
        <v>#VALUE!</v>
      </c>
      <c r="CP110" t="e">
        <f>'2.4.Функции'!RG183+"BYw!&amp;Vx"</f>
        <v>#VALUE!</v>
      </c>
      <c r="CQ110" t="e">
        <f>'2.4.Функции'!RH183+"BYw!&amp;Vy"</f>
        <v>#VALUE!</v>
      </c>
      <c r="CR110" t="e">
        <f>'2.4.Функции'!RI183+"BYw!&amp;Vz"</f>
        <v>#VALUE!</v>
      </c>
      <c r="CS110" t="e">
        <f>'2.4.Функции'!RJ183+"BYw!&amp;V{"</f>
        <v>#VALUE!</v>
      </c>
      <c r="CT110" t="e">
        <f>'2.4.Функции'!RK183+"BYw!&amp;V|"</f>
        <v>#VALUE!</v>
      </c>
      <c r="CU110" t="e">
        <f>'2.4.Функции'!RL183+"BYw!&amp;V}"</f>
        <v>#VALUE!</v>
      </c>
      <c r="CV110" t="e">
        <f>'2.4.Функции'!RM183+"BYw!&amp;V~"</f>
        <v>#VALUE!</v>
      </c>
      <c r="CW110" t="e">
        <f>'2.4.Функции'!RN183+"BYw!&amp;W#"</f>
        <v>#VALUE!</v>
      </c>
      <c r="CX110" t="e">
        <f>'2.4.Функции'!RO183+"BYw!&amp;W$"</f>
        <v>#VALUE!</v>
      </c>
      <c r="CY110" t="e">
        <f>'2.4.Функции'!RP183+"BYw!&amp;W%"</f>
        <v>#VALUE!</v>
      </c>
      <c r="CZ110" t="e">
        <f>'2.4.Функции'!RQ183+"BYw!&amp;W&amp;"</f>
        <v>#VALUE!</v>
      </c>
      <c r="DA110" t="e">
        <f>'2.4.Функции'!RR183+"BYw!&amp;W'"</f>
        <v>#VALUE!</v>
      </c>
      <c r="DB110" t="e">
        <f>'2.4.Функции'!RS183+"BYw!&amp;W("</f>
        <v>#VALUE!</v>
      </c>
      <c r="DC110" t="e">
        <f>'2.4.Функции'!RT183+"BYw!&amp;W)"</f>
        <v>#VALUE!</v>
      </c>
      <c r="DD110" t="e">
        <f>'2.4.Функции'!RU183+"BYw!&amp;W."</f>
        <v>#VALUE!</v>
      </c>
      <c r="DE110" t="e">
        <f>'2.4.Функции'!RV183+"BYw!&amp;W/"</f>
        <v>#VALUE!</v>
      </c>
      <c r="DF110" t="e">
        <f>'2.4.Функции'!RW183+"BYw!&amp;W0"</f>
        <v>#VALUE!</v>
      </c>
      <c r="DG110" t="e">
        <f>'2.4.Функции'!RX183+"BYw!&amp;W1"</f>
        <v>#VALUE!</v>
      </c>
      <c r="DH110" t="e">
        <f>'2.4.Функции'!RY183+"BYw!&amp;W2"</f>
        <v>#VALUE!</v>
      </c>
      <c r="DI110" t="e">
        <f>'2.4.Функции'!RZ183+"BYw!&amp;W3"</f>
        <v>#VALUE!</v>
      </c>
      <c r="DJ110" t="e">
        <f>'2.4.Функции'!SA183+"BYw!&amp;W4"</f>
        <v>#VALUE!</v>
      </c>
      <c r="DK110" t="e">
        <f>'2.4.Функции'!SB183+"BYw!&amp;W5"</f>
        <v>#VALUE!</v>
      </c>
      <c r="DL110" t="e">
        <f>'2.4.Функции'!SC183+"BYw!&amp;W6"</f>
        <v>#VALUE!</v>
      </c>
      <c r="DM110" t="e">
        <f>'2.4.Функции'!SD183+"BYw!&amp;W7"</f>
        <v>#VALUE!</v>
      </c>
      <c r="DN110" t="e">
        <f>'2.4.Функции'!SE183+"BYw!&amp;W8"</f>
        <v>#VALUE!</v>
      </c>
      <c r="DO110" t="e">
        <f>'2.4.Функции'!SF183+"BYw!&amp;W9"</f>
        <v>#VALUE!</v>
      </c>
      <c r="DP110" t="e">
        <f>'2.4.Функции'!SG183+"BYw!&amp;W:"</f>
        <v>#VALUE!</v>
      </c>
      <c r="DQ110" t="e">
        <f>'2.4.Функции'!SH183+"BYw!&amp;W;"</f>
        <v>#VALUE!</v>
      </c>
      <c r="DR110" t="e">
        <f>'2.4.Функции'!SI183+"BYw!&amp;W&lt;"</f>
        <v>#VALUE!</v>
      </c>
      <c r="DS110" t="e">
        <f>'2.4.Функции'!SJ183+"BYw!&amp;W="</f>
        <v>#VALUE!</v>
      </c>
      <c r="DT110" t="e">
        <f>'2.4.Функции'!SK183+"BYw!&amp;W&gt;"</f>
        <v>#VALUE!</v>
      </c>
      <c r="DU110" t="e">
        <f>'2.4.Функции'!SL183+"BYw!&amp;W?"</f>
        <v>#VALUE!</v>
      </c>
      <c r="DV110" t="e">
        <f>'2.4.Функции'!SM183+"BYw!&amp;W@"</f>
        <v>#VALUE!</v>
      </c>
      <c r="DW110" t="e">
        <f>'2.4.Функции'!SN183+"BYw!&amp;WA"</f>
        <v>#VALUE!</v>
      </c>
      <c r="DX110" t="e">
        <f>'2.4.Функции'!SO183+"BYw!&amp;WB"</f>
        <v>#VALUE!</v>
      </c>
      <c r="DY110" t="e">
        <f>'2.4.Функции'!SP183+"BYw!&amp;WC"</f>
        <v>#VALUE!</v>
      </c>
      <c r="DZ110" t="e">
        <f>'2.4.Функции'!SQ183+"BYw!&amp;WD"</f>
        <v>#VALUE!</v>
      </c>
      <c r="EA110" t="e">
        <f>'2.4.Функции'!SR183+"BYw!&amp;WE"</f>
        <v>#VALUE!</v>
      </c>
      <c r="EB110" t="e">
        <f>'2.4.Функции'!SS183+"BYw!&amp;WF"</f>
        <v>#VALUE!</v>
      </c>
      <c r="EC110" t="e">
        <f>'2.4.Функции'!ST183+"BYw!&amp;WG"</f>
        <v>#VALUE!</v>
      </c>
      <c r="ED110" t="e">
        <f>'2.4.Функции'!SU183+"BYw!&amp;WH"</f>
        <v>#VALUE!</v>
      </c>
      <c r="EE110" t="e">
        <f>'2.4.Функции'!SV183+"BYw!&amp;WI"</f>
        <v>#VALUE!</v>
      </c>
      <c r="EF110" t="e">
        <f>'2.4.Функции'!SW183+"BYw!&amp;WJ"</f>
        <v>#VALUE!</v>
      </c>
      <c r="EG110" t="e">
        <f>'2.4.Функции'!SX183+"BYw!&amp;WK"</f>
        <v>#VALUE!</v>
      </c>
      <c r="EH110" t="e">
        <f>'2.4.Функции'!SY183+"BYw!&amp;WL"</f>
        <v>#VALUE!</v>
      </c>
      <c r="EI110" t="e">
        <f>'2.4.Функции'!SZ183+"BYw!&amp;WM"</f>
        <v>#VALUE!</v>
      </c>
      <c r="EJ110" t="e">
        <f>'2.4.Функции'!TA183+"BYw!&amp;WN"</f>
        <v>#VALUE!</v>
      </c>
      <c r="EK110" t="e">
        <f>'2.4.Функции'!TB183+"BYw!&amp;WO"</f>
        <v>#VALUE!</v>
      </c>
      <c r="EL110" t="e">
        <f>'2.4.Функции'!TC183+"BYw!&amp;WP"</f>
        <v>#VALUE!</v>
      </c>
      <c r="EM110" t="e">
        <f>'2.4.Функции'!TD183+"BYw!&amp;WQ"</f>
        <v>#VALUE!</v>
      </c>
      <c r="EN110" t="e">
        <f>'2.4.Функции'!TE183+"BYw!&amp;WR"</f>
        <v>#VALUE!</v>
      </c>
      <c r="EO110" t="e">
        <f>'2.4.Функции'!TF183+"BYw!&amp;WS"</f>
        <v>#VALUE!</v>
      </c>
      <c r="EP110" t="e">
        <f>'2.4.Функции'!TG183+"BYw!&amp;WT"</f>
        <v>#VALUE!</v>
      </c>
      <c r="EQ110" t="e">
        <f>'2.4.Функции'!TH183+"BYw!&amp;WU"</f>
        <v>#VALUE!</v>
      </c>
      <c r="ER110" t="e">
        <f>'2.4.Функции'!TI183+"BYw!&amp;WV"</f>
        <v>#VALUE!</v>
      </c>
      <c r="ES110" t="e">
        <f>'2.4.Функции'!TJ183+"BYw!&amp;WW"</f>
        <v>#VALUE!</v>
      </c>
      <c r="ET110" t="e">
        <f>'2.4.Функции'!TK183+"BYw!&amp;WX"</f>
        <v>#VALUE!</v>
      </c>
      <c r="EU110" t="e">
        <f>'2.4.Функции'!TL183+"BYw!&amp;WY"</f>
        <v>#VALUE!</v>
      </c>
      <c r="EV110" t="e">
        <f>'2.4.Функции'!TM183+"BYw!&amp;WZ"</f>
        <v>#VALUE!</v>
      </c>
      <c r="EW110" t="e">
        <f>'2.4.Функции'!TN183+"BYw!&amp;W["</f>
        <v>#VALUE!</v>
      </c>
      <c r="EX110" t="e">
        <f>'2.4.Функции'!TO183+"BYw!&amp;W\"</f>
        <v>#VALUE!</v>
      </c>
      <c r="EY110" t="e">
        <f>'2.4.Функции'!TP183+"BYw!&amp;W]"</f>
        <v>#VALUE!</v>
      </c>
      <c r="EZ110" t="e">
        <f>'2.4.Функции'!TQ183+"BYw!&amp;W^"</f>
        <v>#VALUE!</v>
      </c>
      <c r="FA110" t="e">
        <f>'2.4.Функции'!TR183+"BYw!&amp;W_"</f>
        <v>#VALUE!</v>
      </c>
      <c r="FB110" t="e">
        <f>'2.4.Функции'!TS183+"BYw!&amp;W`"</f>
        <v>#VALUE!</v>
      </c>
      <c r="FC110" t="e">
        <f>'2.4.Функции'!TT183+"BYw!&amp;Wa"</f>
        <v>#VALUE!</v>
      </c>
      <c r="FD110" t="e">
        <f>'2.4.Функции'!TU183+"BYw!&amp;Wb"</f>
        <v>#VALUE!</v>
      </c>
      <c r="FE110" t="e">
        <f>'2.4.Функции'!TV183+"BYw!&amp;Wc"</f>
        <v>#VALUE!</v>
      </c>
      <c r="FF110" t="e">
        <f>'2.4.Функции'!TW183+"BYw!&amp;Wd"</f>
        <v>#VALUE!</v>
      </c>
      <c r="FG110" t="e">
        <f>'2.4.Функции'!TX183+"BYw!&amp;We"</f>
        <v>#VALUE!</v>
      </c>
      <c r="FH110" t="e">
        <f>'2.4.Функции'!TY183+"BYw!&amp;Wf"</f>
        <v>#VALUE!</v>
      </c>
      <c r="FI110" t="e">
        <f>'2.4.Функции'!TZ183+"BYw!&amp;Wg"</f>
        <v>#VALUE!</v>
      </c>
      <c r="FJ110" t="e">
        <f>'2.4.Функции'!UA183+"BYw!&amp;Wh"</f>
        <v>#VALUE!</v>
      </c>
      <c r="FK110" t="e">
        <f>'2.4.Функции'!UB183+"BYw!&amp;Wi"</f>
        <v>#VALUE!</v>
      </c>
      <c r="FL110" t="e">
        <f>'2.4.Функции'!UC183+"BYw!&amp;Wj"</f>
        <v>#VALUE!</v>
      </c>
      <c r="FM110" t="e">
        <f>'2.4.Функции'!UD183+"BYw!&amp;Wk"</f>
        <v>#VALUE!</v>
      </c>
      <c r="FN110" t="e">
        <f>'2.4.Функции'!UE183+"BYw!&amp;Wl"</f>
        <v>#VALUE!</v>
      </c>
      <c r="FO110" t="e">
        <f>'2.4.Функции'!UF183+"BYw!&amp;Wm"</f>
        <v>#VALUE!</v>
      </c>
      <c r="FP110" t="e">
        <f>'2.4.Функции'!UG183+"BYw!&amp;Wn"</f>
        <v>#VALUE!</v>
      </c>
      <c r="FQ110" t="e">
        <f>'2.4.Функции'!UH183+"BYw!&amp;Wo"</f>
        <v>#VALUE!</v>
      </c>
      <c r="FR110" t="e">
        <f>'2.4.Функции'!UI183+"BYw!&amp;Wp"</f>
        <v>#VALUE!</v>
      </c>
      <c r="FS110" t="e">
        <f>'2.4.Функции'!UJ183+"BYw!&amp;Wq"</f>
        <v>#VALUE!</v>
      </c>
      <c r="FT110" t="e">
        <f>'2.4.Функции'!UK183+"BYw!&amp;Wr"</f>
        <v>#VALUE!</v>
      </c>
      <c r="FU110" t="e">
        <f>'2.4.Функции'!UL183+"BYw!&amp;Ws"</f>
        <v>#VALUE!</v>
      </c>
      <c r="FV110" t="e">
        <f>'2.4.Функции'!UM183+"BYw!&amp;Wt"</f>
        <v>#VALUE!</v>
      </c>
      <c r="FW110" t="e">
        <f>'2.4.Функции'!UN183+"BYw!&amp;Wu"</f>
        <v>#VALUE!</v>
      </c>
      <c r="FX110" t="e">
        <f>'2.4.Функции'!UO183+"BYw!&amp;Wv"</f>
        <v>#VALUE!</v>
      </c>
      <c r="FY110" t="e">
        <f>'2.4.Функции'!UP183+"BYw!&amp;Ww"</f>
        <v>#VALUE!</v>
      </c>
      <c r="FZ110" t="e">
        <f>'2.4.Функции'!UQ183+"BYw!&amp;Wx"</f>
        <v>#VALUE!</v>
      </c>
      <c r="GA110" t="e">
        <f>'2.4.Функции'!UR183+"BYw!&amp;Wy"</f>
        <v>#VALUE!</v>
      </c>
      <c r="GB110" t="e">
        <f>'2.4.Функции'!US183+"BYw!&amp;Wz"</f>
        <v>#VALUE!</v>
      </c>
      <c r="GC110" t="e">
        <f>'2.4.Функции'!UT183+"BYw!&amp;W{"</f>
        <v>#VALUE!</v>
      </c>
      <c r="GD110" t="e">
        <f>'2.4.Функции'!UU183+"BYw!&amp;W|"</f>
        <v>#VALUE!</v>
      </c>
      <c r="GE110" t="e">
        <f>'2.4.Функции'!UV183+"BYw!&amp;W}"</f>
        <v>#VALUE!</v>
      </c>
      <c r="GF110" t="e">
        <f>'2.4.Функции'!UW183+"BYw!&amp;W~"</f>
        <v>#VALUE!</v>
      </c>
      <c r="GG110" t="e">
        <f>'2.4.Функции'!UX183+"BYw!&amp;X#"</f>
        <v>#VALUE!</v>
      </c>
      <c r="GH110" t="e">
        <f>'2.4.Функции'!UY183+"BYw!&amp;X$"</f>
        <v>#VALUE!</v>
      </c>
      <c r="GI110" t="e">
        <f>'2.4.Функции'!UZ183+"BYw!&amp;X%"</f>
        <v>#VALUE!</v>
      </c>
      <c r="GJ110" t="e">
        <f>'2.4.Функции'!VA183+"BYw!&amp;X&amp;"</f>
        <v>#VALUE!</v>
      </c>
      <c r="GK110" t="e">
        <f>'2.4.Функции'!VB183+"BYw!&amp;X'"</f>
        <v>#VALUE!</v>
      </c>
      <c r="GL110" t="e">
        <f>'2.4.Функции'!VC183+"BYw!&amp;X("</f>
        <v>#VALUE!</v>
      </c>
      <c r="GM110" t="e">
        <f>'2.4.Функции'!VD183+"BYw!&amp;X)"</f>
        <v>#VALUE!</v>
      </c>
      <c r="GN110" t="e">
        <f>'2.4.Функции'!VE183+"BYw!&amp;X."</f>
        <v>#VALUE!</v>
      </c>
      <c r="GO110" t="e">
        <f>'2.4.Функции'!VF183+"BYw!&amp;X/"</f>
        <v>#VALUE!</v>
      </c>
      <c r="GP110" t="e">
        <f>'2.4.Функции'!VG183+"BYw!&amp;X0"</f>
        <v>#VALUE!</v>
      </c>
      <c r="GQ110" t="e">
        <f>'2.4.Функции'!VH183+"BYw!&amp;X1"</f>
        <v>#VALUE!</v>
      </c>
      <c r="GR110" t="e">
        <f>'2.4.Функции'!VI183+"BYw!&amp;X2"</f>
        <v>#VALUE!</v>
      </c>
      <c r="GS110" t="e">
        <f>'2.4.Функции'!VJ183+"BYw!&amp;X3"</f>
        <v>#VALUE!</v>
      </c>
      <c r="GT110" t="e">
        <f>'2.4.Функции'!VK183+"BYw!&amp;X4"</f>
        <v>#VALUE!</v>
      </c>
      <c r="GU110" t="e">
        <f>'2.4.Функции'!VL183+"BYw!&amp;X5"</f>
        <v>#VALUE!</v>
      </c>
      <c r="GV110" t="e">
        <f>'2.4.Функции'!VM183+"BYw!&amp;X6"</f>
        <v>#VALUE!</v>
      </c>
      <c r="GW110" t="e">
        <f>'2.4.Функции'!VN183+"BYw!&amp;X7"</f>
        <v>#VALUE!</v>
      </c>
      <c r="GX110" t="e">
        <f>'2.4.Функции'!VO183+"BYw!&amp;X8"</f>
        <v>#VALUE!</v>
      </c>
      <c r="GY110" t="e">
        <f>'2.4.Функции'!VP183+"BYw!&amp;X9"</f>
        <v>#VALUE!</v>
      </c>
      <c r="GZ110" t="e">
        <f>'2.4.Функции'!VQ183+"BYw!&amp;X:"</f>
        <v>#VALUE!</v>
      </c>
      <c r="HA110" t="e">
        <f>'2.4.Функции'!VR183+"BYw!&amp;X;"</f>
        <v>#VALUE!</v>
      </c>
      <c r="HB110" t="e">
        <f>'2.4.Функции'!VS183+"BYw!&amp;X&lt;"</f>
        <v>#VALUE!</v>
      </c>
      <c r="HC110" t="e">
        <f>'2.4.Функции'!VT183+"BYw!&amp;X="</f>
        <v>#VALUE!</v>
      </c>
      <c r="HD110" t="e">
        <f>'2.4.Функции'!VU183+"BYw!&amp;X&gt;"</f>
        <v>#VALUE!</v>
      </c>
      <c r="HE110" t="e">
        <f>'2.4.Функции'!VV183+"BYw!&amp;X?"</f>
        <v>#VALUE!</v>
      </c>
      <c r="HF110" t="e">
        <f>'2.4.Функции'!VW183+"BYw!&amp;X@"</f>
        <v>#VALUE!</v>
      </c>
      <c r="HG110" t="e">
        <f>'2.4.Функции'!VX183+"BYw!&amp;XA"</f>
        <v>#VALUE!</v>
      </c>
      <c r="HH110" t="e">
        <f>'2.4.Функции'!VY183+"BYw!&amp;XB"</f>
        <v>#VALUE!</v>
      </c>
      <c r="HI110" t="e">
        <f>'2.4.Функции'!VZ183+"BYw!&amp;XC"</f>
        <v>#VALUE!</v>
      </c>
      <c r="HJ110" t="e">
        <f>'2.4.Функции'!WA183+"BYw!&amp;XD"</f>
        <v>#VALUE!</v>
      </c>
      <c r="HK110" t="e">
        <f>'2.4.Функции'!WB183+"BYw!&amp;XE"</f>
        <v>#VALUE!</v>
      </c>
      <c r="HL110" t="e">
        <f>'2.4.Функции'!WC183+"BYw!&amp;XF"</f>
        <v>#VALUE!</v>
      </c>
      <c r="HM110" t="e">
        <f>'2.4.Функции'!WD183+"BYw!&amp;XG"</f>
        <v>#VALUE!</v>
      </c>
      <c r="HN110" t="e">
        <f>'2.4.Функции'!WE183+"BYw!&amp;XH"</f>
        <v>#VALUE!</v>
      </c>
      <c r="HO110" t="e">
        <f>'2.4.Функции'!WF183+"BYw!&amp;XI"</f>
        <v>#VALUE!</v>
      </c>
      <c r="HP110" t="e">
        <f>'2.4.Функции'!WG183+"BYw!&amp;XJ"</f>
        <v>#VALUE!</v>
      </c>
      <c r="HQ110" t="e">
        <f>'2.4.Функции'!WH183+"BYw!&amp;XK"</f>
        <v>#VALUE!</v>
      </c>
      <c r="HR110" t="e">
        <f>'2.4.Функции'!WI183+"BYw!&amp;XL"</f>
        <v>#VALUE!</v>
      </c>
      <c r="HS110" t="e">
        <f>'2.4.Функции'!WJ183+"BYw!&amp;XM"</f>
        <v>#VALUE!</v>
      </c>
      <c r="HT110" t="e">
        <f>'2.4.Функции'!WK183+"BYw!&amp;XN"</f>
        <v>#VALUE!</v>
      </c>
      <c r="HU110" t="e">
        <f>'2.4.Функции'!WL183+"BYw!&amp;XO"</f>
        <v>#VALUE!</v>
      </c>
      <c r="HV110" t="e">
        <f>'2.4.Функции'!WM183+"BYw!&amp;XP"</f>
        <v>#VALUE!</v>
      </c>
      <c r="HW110" t="e">
        <f>'2.4.Функции'!WN183+"BYw!&amp;XQ"</f>
        <v>#VALUE!</v>
      </c>
      <c r="HX110" t="e">
        <f>'2.4.Функции'!WO183+"BYw!&amp;XR"</f>
        <v>#VALUE!</v>
      </c>
      <c r="HY110" t="e">
        <f>'2.4.Функции'!WP183+"BYw!&amp;XS"</f>
        <v>#VALUE!</v>
      </c>
      <c r="HZ110" t="e">
        <f>'2.4.Функции'!WQ183+"BYw!&amp;XT"</f>
        <v>#VALUE!</v>
      </c>
      <c r="IA110" t="e">
        <f>'2.4.Функции'!WR183+"BYw!&amp;XU"</f>
        <v>#VALUE!</v>
      </c>
      <c r="IB110" t="e">
        <f>'2.4.Функции'!WS183+"BYw!&amp;XV"</f>
        <v>#VALUE!</v>
      </c>
      <c r="IC110" t="e">
        <f>'2.4.Функции'!WT183+"BYw!&amp;XW"</f>
        <v>#VALUE!</v>
      </c>
      <c r="ID110" t="e">
        <f>'2.4.Функции'!WU183+"BYw!&amp;XX"</f>
        <v>#VALUE!</v>
      </c>
      <c r="IE110" t="e">
        <f>'2.4.Функции'!WV183+"BYw!&amp;XY"</f>
        <v>#VALUE!</v>
      </c>
      <c r="IF110" t="e">
        <f>'2.4.Функции'!WW183+"BYw!&amp;XZ"</f>
        <v>#VALUE!</v>
      </c>
      <c r="IG110" t="e">
        <f>'2.4.Функции'!WX183+"BYw!&amp;X["</f>
        <v>#VALUE!</v>
      </c>
      <c r="IH110" t="e">
        <f>'2.4.Функции'!WY183+"BYw!&amp;X\"</f>
        <v>#VALUE!</v>
      </c>
      <c r="II110" t="e">
        <f>'2.4.Функции'!WZ183+"BYw!&amp;X]"</f>
        <v>#VALUE!</v>
      </c>
      <c r="IJ110" t="e">
        <f>'2.4.Функции'!XA183+"BYw!&amp;X^"</f>
        <v>#VALUE!</v>
      </c>
      <c r="IK110" t="e">
        <f>'2.4.Функции'!XB183+"BYw!&amp;X_"</f>
        <v>#VALUE!</v>
      </c>
      <c r="IL110" t="e">
        <f>'2.4.Функции'!XC183+"BYw!&amp;X`"</f>
        <v>#VALUE!</v>
      </c>
      <c r="IM110" t="e">
        <f>'2.4.Функции'!XD183+"BYw!&amp;Xa"</f>
        <v>#VALUE!</v>
      </c>
      <c r="IN110" t="e">
        <f>'2.4.Функции'!XE183+"BYw!&amp;Xb"</f>
        <v>#VALUE!</v>
      </c>
      <c r="IO110" t="e">
        <f>'2.4.Функции'!XF183+"BYw!&amp;Xc"</f>
        <v>#VALUE!</v>
      </c>
      <c r="IP110" t="e">
        <f>'2.4.Функции'!XG183+"BYw!&amp;Xd"</f>
        <v>#VALUE!</v>
      </c>
      <c r="IQ110" t="e">
        <f>'2.4.Функции'!XH183+"BYw!&amp;Xe"</f>
        <v>#VALUE!</v>
      </c>
      <c r="IR110" t="e">
        <f>'2.4.Функции'!XI183+"BYw!&amp;Xf"</f>
        <v>#VALUE!</v>
      </c>
      <c r="IS110" t="e">
        <f>'2.4.Функции'!XJ183+"BYw!&amp;Xg"</f>
        <v>#VALUE!</v>
      </c>
      <c r="IT110" t="e">
        <f>'2.4.Функции'!XK183+"BYw!&amp;Xh"</f>
        <v>#VALUE!</v>
      </c>
      <c r="IU110" t="e">
        <f>'2.4.Функции'!XL183+"BYw!&amp;Xi"</f>
        <v>#VALUE!</v>
      </c>
      <c r="IV110" t="e">
        <f>'2.4.Функции'!XM183+"BYw!&amp;Xj"</f>
        <v>#VALUE!</v>
      </c>
    </row>
    <row r="111" spans="6:256" x14ac:dyDescent="0.2">
      <c r="F111" t="e">
        <f>'2.4.Функции'!XN183+"BYw!&amp;Xk"</f>
        <v>#VALUE!</v>
      </c>
      <c r="G111" t="e">
        <f>'2.4.Функции'!XO183+"BYw!&amp;Xl"</f>
        <v>#VALUE!</v>
      </c>
      <c r="H111" t="e">
        <f>'2.4.Функции'!XP183+"BYw!&amp;Xm"</f>
        <v>#VALUE!</v>
      </c>
      <c r="I111" t="e">
        <f>'2.4.Функции'!XQ183+"BYw!&amp;Xn"</f>
        <v>#VALUE!</v>
      </c>
      <c r="J111" t="e">
        <f>'2.4.Функции'!XR183+"BYw!&amp;Xo"</f>
        <v>#VALUE!</v>
      </c>
      <c r="K111" t="e">
        <f>'2.4.Функции'!XS183+"BYw!&amp;Xp"</f>
        <v>#VALUE!</v>
      </c>
      <c r="L111" t="e">
        <f>'2.4.Функции'!XT183+"BYw!&amp;Xq"</f>
        <v>#VALUE!</v>
      </c>
      <c r="M111" t="e">
        <f>'2.4.Функции'!XU183+"BYw!&amp;Xr"</f>
        <v>#VALUE!</v>
      </c>
      <c r="N111" t="e">
        <f>'2.4.Функции'!XV183+"BYw!&amp;Xs"</f>
        <v>#VALUE!</v>
      </c>
      <c r="O111" t="e">
        <f>'2.4.Функции'!XW183+"BYw!&amp;Xt"</f>
        <v>#VALUE!</v>
      </c>
      <c r="P111" t="e">
        <f>'2.4.Функции'!XX183+"BYw!&amp;Xu"</f>
        <v>#VALUE!</v>
      </c>
      <c r="Q111" t="e">
        <f>'2.4.Функции'!XY183+"BYw!&amp;Xv"</f>
        <v>#VALUE!</v>
      </c>
      <c r="R111" t="e">
        <f>'2.4.Функции'!XZ183+"BYw!&amp;Xw"</f>
        <v>#VALUE!</v>
      </c>
      <c r="S111" t="e">
        <f>'2.4.Функции'!YA183+"BYw!&amp;Xx"</f>
        <v>#VALUE!</v>
      </c>
      <c r="T111" t="e">
        <f>'2.4.Функции'!YB183+"BYw!&amp;Xy"</f>
        <v>#VALUE!</v>
      </c>
      <c r="U111" t="e">
        <f>'2.4.Функции'!YC183+"BYw!&amp;Xz"</f>
        <v>#VALUE!</v>
      </c>
      <c r="V111" t="e">
        <f>'2.4.Функции'!YD183+"BYw!&amp;X{"</f>
        <v>#VALUE!</v>
      </c>
      <c r="W111" t="e">
        <f>'2.4.Функции'!YE183+"BYw!&amp;X|"</f>
        <v>#VALUE!</v>
      </c>
      <c r="X111" t="e">
        <f>'2.4.Функции'!YF183+"BYw!&amp;X}"</f>
        <v>#VALUE!</v>
      </c>
      <c r="Y111" t="e">
        <f>'2.4.Функции'!YG183+"BYw!&amp;X~"</f>
        <v>#VALUE!</v>
      </c>
      <c r="Z111" t="e">
        <f>'2.4.Функции'!YH183+"BYw!&amp;Y#"</f>
        <v>#VALUE!</v>
      </c>
      <c r="AA111" t="e">
        <f>'2.4.Функции'!YI183+"BYw!&amp;Y$"</f>
        <v>#VALUE!</v>
      </c>
      <c r="AB111" t="e">
        <f>'2.4.Функции'!YJ183+"BYw!&amp;Y%"</f>
        <v>#VALUE!</v>
      </c>
      <c r="AC111" t="e">
        <f>'2.4.Функции'!YK183+"BYw!&amp;Y&amp;"</f>
        <v>#VALUE!</v>
      </c>
      <c r="AD111" t="e">
        <f>'2.4.Функции'!YL183+"BYw!&amp;Y'"</f>
        <v>#VALUE!</v>
      </c>
      <c r="AE111" t="e">
        <f>'2.4.Функции'!YM183+"BYw!&amp;Y("</f>
        <v>#VALUE!</v>
      </c>
      <c r="AF111" t="e">
        <f>'2.4.Функции'!YN183+"BYw!&amp;Y)"</f>
        <v>#VALUE!</v>
      </c>
      <c r="AG111" t="e">
        <f>'2.4.Функции'!YO183+"BYw!&amp;Y."</f>
        <v>#VALUE!</v>
      </c>
      <c r="AH111" t="e">
        <f>'2.4.Функции'!YP183+"BYw!&amp;Y/"</f>
        <v>#VALUE!</v>
      </c>
      <c r="AI111" t="e">
        <f>'2.4.Функции'!YQ183+"BYw!&amp;Y0"</f>
        <v>#VALUE!</v>
      </c>
      <c r="AJ111" t="e">
        <f>'2.4.Функции'!YR183+"BYw!&amp;Y1"</f>
        <v>#VALUE!</v>
      </c>
      <c r="AK111" t="e">
        <f>'2.4.Функции'!YS183+"BYw!&amp;Y2"</f>
        <v>#VALUE!</v>
      </c>
      <c r="AL111" t="e">
        <f>'2.4.Функции'!YT183+"BYw!&amp;Y3"</f>
        <v>#VALUE!</v>
      </c>
      <c r="AM111" t="e">
        <f>'2.4.Функции'!YU183+"BYw!&amp;Y4"</f>
        <v>#VALUE!</v>
      </c>
      <c r="AN111" t="e">
        <f>'2.4.Функции'!YV183+"BYw!&amp;Y5"</f>
        <v>#VALUE!</v>
      </c>
      <c r="AO111" t="e">
        <f>'2.4.Функции'!YW183+"BYw!&amp;Y6"</f>
        <v>#VALUE!</v>
      </c>
      <c r="AP111" t="e">
        <f>'2.4.Функции'!YX183+"BYw!&amp;Y7"</f>
        <v>#VALUE!</v>
      </c>
      <c r="AQ111" t="e">
        <f>'2.4.Функции'!YY183+"BYw!&amp;Y8"</f>
        <v>#VALUE!</v>
      </c>
      <c r="AR111" t="e">
        <f>'2.4.Функции'!YZ183+"BYw!&amp;Y9"</f>
        <v>#VALUE!</v>
      </c>
      <c r="AS111" t="e">
        <f>'2.4.Функции'!ZA183+"BYw!&amp;Y:"</f>
        <v>#VALUE!</v>
      </c>
      <c r="AT111" t="e">
        <f>'2.4.Функции'!ZB183+"BYw!&amp;Y;"</f>
        <v>#VALUE!</v>
      </c>
      <c r="AU111" t="e">
        <f>'2.4.Функции'!ZC183+"BYw!&amp;Y&lt;"</f>
        <v>#VALUE!</v>
      </c>
      <c r="AV111" t="e">
        <f>'2.4.Функции'!ZD183+"BYw!&amp;Y="</f>
        <v>#VALUE!</v>
      </c>
      <c r="AW111" t="e">
        <f>'2.4.Функции'!ZE183+"BYw!&amp;Y&gt;"</f>
        <v>#VALUE!</v>
      </c>
      <c r="AX111" t="e">
        <f>'2.4.Функции'!ZF183+"BYw!&amp;Y?"</f>
        <v>#VALUE!</v>
      </c>
      <c r="AY111" t="e">
        <f>'2.4.Функции'!ZG183+"BYw!&amp;Y@"</f>
        <v>#VALUE!</v>
      </c>
      <c r="AZ111" t="e">
        <f>'2.4.Функции'!ZH183+"BYw!&amp;YA"</f>
        <v>#VALUE!</v>
      </c>
      <c r="BA111" t="e">
        <f>'2.4.Функции'!ZI183+"BYw!&amp;YB"</f>
        <v>#VALUE!</v>
      </c>
      <c r="BB111" t="e">
        <f>'2.4.Функции'!ZJ183+"BYw!&amp;YC"</f>
        <v>#VALUE!</v>
      </c>
      <c r="BC111" t="e">
        <f>'2.4.Функции'!ZK183+"BYw!&amp;YD"</f>
        <v>#VALUE!</v>
      </c>
      <c r="BD111" t="e">
        <f>'2.4.Функции'!ZL183+"BYw!&amp;YE"</f>
        <v>#VALUE!</v>
      </c>
      <c r="BE111" t="e">
        <f>'2.4.Функции'!ZM183+"BYw!&amp;YF"</f>
        <v>#VALUE!</v>
      </c>
      <c r="BF111" t="e">
        <f>'2.4.Функции'!ZN183+"BYw!&amp;YG"</f>
        <v>#VALUE!</v>
      </c>
      <c r="BG111" t="e">
        <f>'2.4.Функции'!ZO183+"BYw!&amp;YH"</f>
        <v>#VALUE!</v>
      </c>
      <c r="BH111" t="e">
        <f>'2.4.Функции'!ZP183+"BYw!&amp;YI"</f>
        <v>#VALUE!</v>
      </c>
      <c r="BI111" t="e">
        <f>'2.4.Функции'!ZQ183+"BYw!&amp;YJ"</f>
        <v>#VALUE!</v>
      </c>
      <c r="BJ111" t="e">
        <f>'2.4.Функции'!ZR183+"BYw!&amp;YK"</f>
        <v>#VALUE!</v>
      </c>
      <c r="BK111" t="e">
        <f>'2.4.Функции'!ZS183+"BYw!&amp;YL"</f>
        <v>#VALUE!</v>
      </c>
      <c r="BL111" t="e">
        <f>'2.4.Функции'!ZT183+"BYw!&amp;YM"</f>
        <v>#VALUE!</v>
      </c>
      <c r="BM111" t="e">
        <f>'2.4.Функции'!ZU183+"BYw!&amp;YN"</f>
        <v>#VALUE!</v>
      </c>
      <c r="BN111" t="e">
        <f>'2.4.Функции'!ZV183+"BYw!&amp;YO"</f>
        <v>#VALUE!</v>
      </c>
      <c r="BO111" t="e">
        <f>'2.4.Функции'!ZW183+"BYw!&amp;YP"</f>
        <v>#VALUE!</v>
      </c>
      <c r="BP111" t="e">
        <f>'2.4.Функции'!ZX183+"BYw!&amp;YQ"</f>
        <v>#VALUE!</v>
      </c>
      <c r="BQ111" t="e">
        <f>'2.4.Функции'!ZY183+"BYw!&amp;YR"</f>
        <v>#VALUE!</v>
      </c>
      <c r="BR111" t="e">
        <f>'2.4.Функции'!ZZ183+"BYw!&amp;YS"</f>
        <v>#VALUE!</v>
      </c>
      <c r="BS111" t="e">
        <f>'2.4.Функции'!AAA183+"BYw!&amp;YT"</f>
        <v>#VALUE!</v>
      </c>
      <c r="BT111" t="e">
        <f>'2.4.Функции'!AAB183+"BYw!&amp;YU"</f>
        <v>#VALUE!</v>
      </c>
      <c r="BU111" t="e">
        <f>'2.4.Функции'!AAC183+"BYw!&amp;YV"</f>
        <v>#VALUE!</v>
      </c>
      <c r="BV111" t="e">
        <f>'2.4.Функции'!AAD183+"BYw!&amp;YW"</f>
        <v>#VALUE!</v>
      </c>
      <c r="BW111" t="e">
        <f>'2.4.Функции'!AAE183+"BYw!&amp;YX"</f>
        <v>#VALUE!</v>
      </c>
      <c r="BX111" t="e">
        <f>'2.4.Функции'!AAF183+"BYw!&amp;YY"</f>
        <v>#VALUE!</v>
      </c>
      <c r="BY111" t="e">
        <f>'2.4.Функции'!AAG183+"BYw!&amp;YZ"</f>
        <v>#VALUE!</v>
      </c>
      <c r="BZ111" t="e">
        <f>'2.4.Функции'!AAH183+"BYw!&amp;Y["</f>
        <v>#VALUE!</v>
      </c>
      <c r="CA111" t="e">
        <f>'2.4.Функции'!AAI183+"BYw!&amp;Y\"</f>
        <v>#VALUE!</v>
      </c>
      <c r="CB111" t="e">
        <f>'2.4.Функции'!AAJ183+"BYw!&amp;Y]"</f>
        <v>#VALUE!</v>
      </c>
      <c r="CC111" t="e">
        <f>'2.4.Функции'!AAK183+"BYw!&amp;Y^"</f>
        <v>#VALUE!</v>
      </c>
      <c r="CD111" t="e">
        <f>'2.4.Функции'!AAL183+"BYw!&amp;Y_"</f>
        <v>#VALUE!</v>
      </c>
      <c r="CE111" t="e">
        <f>'2.4.Функции'!AAM183+"BYw!&amp;Y`"</f>
        <v>#VALUE!</v>
      </c>
      <c r="CF111" t="e">
        <f>'2.4.Функции'!AAN183+"BYw!&amp;Ya"</f>
        <v>#VALUE!</v>
      </c>
      <c r="CG111" t="e">
        <f>'2.4.Функции'!AAO183+"BYw!&amp;Yb"</f>
        <v>#VALUE!</v>
      </c>
      <c r="CH111" t="e">
        <f>'2.4.Функции'!AAP183+"BYw!&amp;Yc"</f>
        <v>#VALUE!</v>
      </c>
      <c r="CI111" t="e">
        <f>'2.4.Функции'!AAQ183+"BYw!&amp;Yd"</f>
        <v>#VALUE!</v>
      </c>
      <c r="CJ111" t="e">
        <f>'2.4.Функции'!AAR183+"BYw!&amp;Ye"</f>
        <v>#VALUE!</v>
      </c>
      <c r="CK111" t="e">
        <f>'2.4.Функции'!AAS183+"BYw!&amp;Yf"</f>
        <v>#VALUE!</v>
      </c>
      <c r="CL111" t="e">
        <f>'2.4.Функции'!AAT183+"BYw!&amp;Yg"</f>
        <v>#VALUE!</v>
      </c>
      <c r="CM111" t="e">
        <f>'2.4.Функции'!AAU183+"BYw!&amp;Yh"</f>
        <v>#VALUE!</v>
      </c>
      <c r="CN111" t="e">
        <f>'2.4.Функции'!AAV183+"BYw!&amp;Yi"</f>
        <v>#VALUE!</v>
      </c>
      <c r="CO111" t="e">
        <f>'2.4.Функции'!AAW183+"BYw!&amp;Yj"</f>
        <v>#VALUE!</v>
      </c>
      <c r="CP111" t="e">
        <f>'2.4.Функции'!AAX183+"BYw!&amp;Yk"</f>
        <v>#VALUE!</v>
      </c>
      <c r="CQ111" t="e">
        <f>'2.4.Функции'!AAY183+"BYw!&amp;Yl"</f>
        <v>#VALUE!</v>
      </c>
      <c r="CR111" t="e">
        <f>'2.4.Функции'!AAZ183+"BYw!&amp;Ym"</f>
        <v>#VALUE!</v>
      </c>
      <c r="CS111" t="e">
        <f>'2.4.Функции'!ABA183+"BYw!&amp;Yn"</f>
        <v>#VALUE!</v>
      </c>
      <c r="CT111" t="e">
        <f>'2.4.Функции'!ABB183+"BYw!&amp;Yo"</f>
        <v>#VALUE!</v>
      </c>
      <c r="CU111" t="e">
        <f>'2.4.Функции'!ABC183+"BYw!&amp;Yp"</f>
        <v>#VALUE!</v>
      </c>
      <c r="CV111" t="e">
        <f>'2.4.Функции'!ABD183+"BYw!&amp;Yq"</f>
        <v>#VALUE!</v>
      </c>
      <c r="CW111" t="e">
        <f>'2.4.Функции'!ABE183+"BYw!&amp;Yr"</f>
        <v>#VALUE!</v>
      </c>
      <c r="CX111" t="e">
        <f>'2.4.Функции'!ABF183+"BYw!&amp;Ys"</f>
        <v>#VALUE!</v>
      </c>
      <c r="CY111" t="e">
        <f>'2.4.Функции'!ABG183+"BYw!&amp;Yt"</f>
        <v>#VALUE!</v>
      </c>
      <c r="CZ111" t="e">
        <f>'2.4.Функции'!ABH183+"BYw!&amp;Yu"</f>
        <v>#VALUE!</v>
      </c>
      <c r="DA111" t="e">
        <f>'2.4.Функции'!ABI183+"BYw!&amp;Yv"</f>
        <v>#VALUE!</v>
      </c>
      <c r="DB111" t="e">
        <f>'2.4.Функции'!ABJ183+"BYw!&amp;Yw"</f>
        <v>#VALUE!</v>
      </c>
      <c r="DC111" t="e">
        <f>'2.4.Функции'!ABK183+"BYw!&amp;Yx"</f>
        <v>#VALUE!</v>
      </c>
      <c r="DD111" t="e">
        <f>'2.4.Функции'!ABL183+"BYw!&amp;Yy"</f>
        <v>#VALUE!</v>
      </c>
      <c r="DE111" t="e">
        <f>'2.4.Функции'!ABM183+"BYw!&amp;Yz"</f>
        <v>#VALUE!</v>
      </c>
      <c r="DF111" t="e">
        <f>'2.4.Функции'!ABN183+"BYw!&amp;Y{"</f>
        <v>#VALUE!</v>
      </c>
      <c r="DG111" t="e">
        <f>'2.4.Функции'!ABO183+"BYw!&amp;Y|"</f>
        <v>#VALUE!</v>
      </c>
      <c r="DH111" t="e">
        <f>'2.4.Функции'!ABP183+"BYw!&amp;Y}"</f>
        <v>#VALUE!</v>
      </c>
      <c r="DI111" t="e">
        <f>'2.4.Функции'!ABQ183+"BYw!&amp;Y~"</f>
        <v>#VALUE!</v>
      </c>
      <c r="DJ111" t="e">
        <f>'2.4.Функции'!ABR183+"BYw!&amp;Z#"</f>
        <v>#VALUE!</v>
      </c>
      <c r="DK111" t="e">
        <f>'2.4.Функции'!ABS183+"BYw!&amp;Z$"</f>
        <v>#VALUE!</v>
      </c>
      <c r="DL111" t="e">
        <f>'2.4.Функции'!ABT183+"BYw!&amp;Z%"</f>
        <v>#VALUE!</v>
      </c>
      <c r="DM111" t="e">
        <f>'2.4.Функции'!ABU183+"BYw!&amp;Z&amp;"</f>
        <v>#VALUE!</v>
      </c>
      <c r="DN111" t="e">
        <f>'2.4.Функции'!ABV183+"BYw!&amp;Z'"</f>
        <v>#VALUE!</v>
      </c>
      <c r="DO111" t="e">
        <f>'2.4.Функции'!ABW183+"BYw!&amp;Z("</f>
        <v>#VALUE!</v>
      </c>
      <c r="DP111" t="e">
        <f>'2.4.Функции'!ABX183+"BYw!&amp;Z)"</f>
        <v>#VALUE!</v>
      </c>
      <c r="DQ111" t="e">
        <f>'2.4.Функции'!ABY183+"BYw!&amp;Z."</f>
        <v>#VALUE!</v>
      </c>
      <c r="DR111" t="e">
        <f>'2.4.Функции'!ABZ183+"BYw!&amp;Z/"</f>
        <v>#VALUE!</v>
      </c>
      <c r="DS111" t="e">
        <f>'2.4.Функции'!ACA183+"BYw!&amp;Z0"</f>
        <v>#VALUE!</v>
      </c>
      <c r="DT111" t="e">
        <f>'2.4.Функции'!ACB183+"BYw!&amp;Z1"</f>
        <v>#VALUE!</v>
      </c>
      <c r="DU111" t="e">
        <f>'2.4.Функции'!ACC183+"BYw!&amp;Z2"</f>
        <v>#VALUE!</v>
      </c>
      <c r="DV111" t="e">
        <f>'2.4.Функции'!ACD183+"BYw!&amp;Z3"</f>
        <v>#VALUE!</v>
      </c>
      <c r="DW111" t="e">
        <f>'2.4.Функции'!ACE183+"BYw!&amp;Z4"</f>
        <v>#VALUE!</v>
      </c>
      <c r="DX111" t="e">
        <f>'2.4.Функции'!ACF183+"BYw!&amp;Z5"</f>
        <v>#VALUE!</v>
      </c>
      <c r="DY111" t="e">
        <f>'2.4.Функции'!ACG183+"BYw!&amp;Z6"</f>
        <v>#VALUE!</v>
      </c>
      <c r="DZ111" t="e">
        <f>'2.4.Функции'!ACH183+"BYw!&amp;Z7"</f>
        <v>#VALUE!</v>
      </c>
      <c r="EA111" t="e">
        <f>'2.4.Функции'!ACI183+"BYw!&amp;Z8"</f>
        <v>#VALUE!</v>
      </c>
      <c r="EB111" t="e">
        <f>'2.4.Функции'!ACJ183+"BYw!&amp;Z9"</f>
        <v>#VALUE!</v>
      </c>
      <c r="EC111" t="e">
        <f>'2.4.Функции'!ACK183+"BYw!&amp;Z:"</f>
        <v>#VALUE!</v>
      </c>
      <c r="ED111" t="e">
        <f>'2.4.Функции'!ACL183+"BYw!&amp;Z;"</f>
        <v>#VALUE!</v>
      </c>
      <c r="EE111" t="e">
        <f>'2.4.Функции'!ACM183+"BYw!&amp;Z&lt;"</f>
        <v>#VALUE!</v>
      </c>
      <c r="EF111" t="e">
        <f>'2.4.Функции'!ACN183+"BYw!&amp;Z="</f>
        <v>#VALUE!</v>
      </c>
      <c r="EG111" t="e">
        <f>'2.4.Функции'!ACO183+"BYw!&amp;Z&gt;"</f>
        <v>#VALUE!</v>
      </c>
      <c r="EH111" t="e">
        <f>'2.4.Функции'!ACP183+"BYw!&amp;Z?"</f>
        <v>#VALUE!</v>
      </c>
      <c r="EI111" t="e">
        <f>'2.4.Функции'!ACQ183+"BYw!&amp;Z@"</f>
        <v>#VALUE!</v>
      </c>
      <c r="EJ111" t="e">
        <f>'2.4.Функции'!ACR183+"BYw!&amp;ZA"</f>
        <v>#VALUE!</v>
      </c>
      <c r="EK111" t="e">
        <f>'2.4.Функции'!ACS183+"BYw!&amp;ZB"</f>
        <v>#VALUE!</v>
      </c>
      <c r="EL111" t="e">
        <f>'2.4.Функции'!ACT183+"BYw!&amp;ZC"</f>
        <v>#VALUE!</v>
      </c>
      <c r="EM111" t="e">
        <f>'2.4.Функции'!ACU183+"BYw!&amp;ZD"</f>
        <v>#VALUE!</v>
      </c>
      <c r="EN111" t="e">
        <f>'2.4.Функции'!ACV183+"BYw!&amp;ZE"</f>
        <v>#VALUE!</v>
      </c>
      <c r="EO111" t="e">
        <f>'2.4.Функции'!ACW183+"BYw!&amp;ZF"</f>
        <v>#VALUE!</v>
      </c>
      <c r="EP111" t="e">
        <f>'2.4.Функции'!ACX183+"BYw!&amp;ZG"</f>
        <v>#VALUE!</v>
      </c>
      <c r="EQ111" t="e">
        <f>'2.4.Функции'!ACY183+"BYw!&amp;ZH"</f>
        <v>#VALUE!</v>
      </c>
      <c r="ER111" t="e">
        <f>'2.4.Функции'!ACZ183+"BYw!&amp;ZI"</f>
        <v>#VALUE!</v>
      </c>
      <c r="ES111" t="e">
        <f>'2.4.Функции'!ADA183+"BYw!&amp;ZJ"</f>
        <v>#VALUE!</v>
      </c>
      <c r="ET111" t="e">
        <f>'2.4.Функции'!ADB183+"BYw!&amp;ZK"</f>
        <v>#VALUE!</v>
      </c>
      <c r="EU111" t="e">
        <f>'2.4.Функции'!ADC183+"BYw!&amp;ZL"</f>
        <v>#VALUE!</v>
      </c>
      <c r="EV111" t="e">
        <f>'2.4.Функции'!ADD183+"BYw!&amp;ZM"</f>
        <v>#VALUE!</v>
      </c>
      <c r="EW111" t="e">
        <f>'2.4.Функции'!ADE183+"BYw!&amp;ZN"</f>
        <v>#VALUE!</v>
      </c>
      <c r="EX111" t="e">
        <f>'2.4.Функции'!ADF183+"BYw!&amp;ZO"</f>
        <v>#VALUE!</v>
      </c>
      <c r="EY111" t="e">
        <f>'2.4.Функции'!ADG183+"BYw!&amp;ZP"</f>
        <v>#VALUE!</v>
      </c>
      <c r="EZ111" t="e">
        <f>'2.4.Функции'!ADH183+"BYw!&amp;ZQ"</f>
        <v>#VALUE!</v>
      </c>
      <c r="FA111" t="e">
        <f>'2.4.Функции'!ADI183+"BYw!&amp;ZR"</f>
        <v>#VALUE!</v>
      </c>
      <c r="FB111" t="e">
        <f>'2.4.Функции'!ADJ183+"BYw!&amp;ZS"</f>
        <v>#VALUE!</v>
      </c>
      <c r="FC111" t="e">
        <f>'2.4.Функции'!ADK183+"BYw!&amp;ZT"</f>
        <v>#VALUE!</v>
      </c>
      <c r="FD111" t="e">
        <f>'2.4.Функции'!ADL183+"BYw!&amp;ZU"</f>
        <v>#VALUE!</v>
      </c>
      <c r="FE111" t="e">
        <f>'2.4.Функции'!ADM183+"BYw!&amp;ZV"</f>
        <v>#VALUE!</v>
      </c>
      <c r="FF111" t="e">
        <f>'2.4.Функции'!ADN183+"BYw!&amp;ZW"</f>
        <v>#VALUE!</v>
      </c>
      <c r="FG111" t="e">
        <f>'2.4.Функции'!ADO183+"BYw!&amp;ZX"</f>
        <v>#VALUE!</v>
      </c>
      <c r="FH111" t="e">
        <f>'2.4.Функции'!ADP183+"BYw!&amp;ZY"</f>
        <v>#VALUE!</v>
      </c>
      <c r="FI111" t="e">
        <f>'2.4.Функции'!ADQ183+"BYw!&amp;ZZ"</f>
        <v>#VALUE!</v>
      </c>
      <c r="FJ111" t="e">
        <f>'2.4.Функции'!ADR183+"BYw!&amp;Z["</f>
        <v>#VALUE!</v>
      </c>
      <c r="FK111" t="e">
        <f>'2.4.Функции'!ADS183+"BYw!&amp;Z\"</f>
        <v>#VALUE!</v>
      </c>
      <c r="FL111" t="e">
        <f>'2.4.Функции'!ADT183+"BYw!&amp;Z]"</f>
        <v>#VALUE!</v>
      </c>
      <c r="FM111" t="e">
        <f>'2.4.Функции'!ADU183+"BYw!&amp;Z^"</f>
        <v>#VALUE!</v>
      </c>
      <c r="FN111" t="e">
        <f>'2.4.Функции'!ADV183+"BYw!&amp;Z_"</f>
        <v>#VALUE!</v>
      </c>
      <c r="FO111" t="e">
        <f>'2.4.Функции'!ADW183+"BYw!&amp;Z`"</f>
        <v>#VALUE!</v>
      </c>
      <c r="FP111" t="e">
        <f>'2.4.Функции'!ADX183+"BYw!&amp;Za"</f>
        <v>#VALUE!</v>
      </c>
      <c r="FQ111" t="e">
        <f>'2.4.Функции'!ADY183+"BYw!&amp;Zb"</f>
        <v>#VALUE!</v>
      </c>
      <c r="FR111" t="e">
        <f>'2.4.Функции'!ADZ183+"BYw!&amp;Zc"</f>
        <v>#VALUE!</v>
      </c>
      <c r="FS111" t="e">
        <f>'2.4.Функции'!AEA183+"BYw!&amp;Zd"</f>
        <v>#VALUE!</v>
      </c>
      <c r="FT111" t="e">
        <f>'2.4.Функции'!AEB183+"BYw!&amp;Ze"</f>
        <v>#VALUE!</v>
      </c>
      <c r="FU111" t="e">
        <f>'2.4.Функции'!AEC183+"BYw!&amp;Zf"</f>
        <v>#VALUE!</v>
      </c>
      <c r="FV111" t="e">
        <f>'2.4.Функции'!AED183+"BYw!&amp;Zg"</f>
        <v>#VALUE!</v>
      </c>
      <c r="FW111" t="e">
        <f>'2.4.Функции'!AEE183+"BYw!&amp;Zh"</f>
        <v>#VALUE!</v>
      </c>
      <c r="FX111" t="e">
        <f>'2.4.Функции'!AEF183+"BYw!&amp;Zi"</f>
        <v>#VALUE!</v>
      </c>
      <c r="FY111" t="e">
        <f>'2.4.Функции'!AEG183+"BYw!&amp;Zj"</f>
        <v>#VALUE!</v>
      </c>
      <c r="FZ111" t="e">
        <f>'2.4.Функции'!AEH183+"BYw!&amp;Zk"</f>
        <v>#VALUE!</v>
      </c>
      <c r="GA111" t="e">
        <f>'2.4.Функции'!AEI183+"BYw!&amp;Zl"</f>
        <v>#VALUE!</v>
      </c>
      <c r="GB111" t="e">
        <f>'2.4.Функции'!AEJ183+"BYw!&amp;Zm"</f>
        <v>#VALUE!</v>
      </c>
      <c r="GC111" t="e">
        <f>'2.4.Функции'!AEK183+"BYw!&amp;Zn"</f>
        <v>#VALUE!</v>
      </c>
      <c r="GD111" t="e">
        <f>'2.4.Функции'!AEL183+"BYw!&amp;Zo"</f>
        <v>#VALUE!</v>
      </c>
      <c r="GE111" t="e">
        <f>'2.4.Функции'!AEM183+"BYw!&amp;Zp"</f>
        <v>#VALUE!</v>
      </c>
      <c r="GF111" t="e">
        <f>'2.4.Функции'!AEN183+"BYw!&amp;Zq"</f>
        <v>#VALUE!</v>
      </c>
      <c r="GG111" t="e">
        <f>'2.4.Функции'!AEO183+"BYw!&amp;Zr"</f>
        <v>#VALUE!</v>
      </c>
      <c r="GH111" t="e">
        <f>'2.4.Функции'!AEP183+"BYw!&amp;Zs"</f>
        <v>#VALUE!</v>
      </c>
      <c r="GI111" t="e">
        <f>'2.4.Функции'!AEQ183+"BYw!&amp;Zt"</f>
        <v>#VALUE!</v>
      </c>
      <c r="GJ111" t="e">
        <f>'2.4.Функции'!AER183+"BYw!&amp;Zu"</f>
        <v>#VALUE!</v>
      </c>
      <c r="GK111" t="e">
        <f>'2.4.Функции'!AES183+"BYw!&amp;Zv"</f>
        <v>#VALUE!</v>
      </c>
      <c r="GL111" t="e">
        <f>'2.4.Функции'!AET183+"BYw!&amp;Zw"</f>
        <v>#VALUE!</v>
      </c>
      <c r="GM111" t="e">
        <f>'2.4.Функции'!AEU183+"BYw!&amp;Zx"</f>
        <v>#VALUE!</v>
      </c>
      <c r="GN111" t="e">
        <f>'2.4.Функции'!AEV183+"BYw!&amp;Zy"</f>
        <v>#VALUE!</v>
      </c>
      <c r="GO111" t="e">
        <f>'2.4.Функции'!AEW183+"BYw!&amp;Zz"</f>
        <v>#VALUE!</v>
      </c>
      <c r="GP111" t="e">
        <f>'2.4.Функции'!AEX183+"BYw!&amp;Z{"</f>
        <v>#VALUE!</v>
      </c>
      <c r="GQ111" t="e">
        <f>'2.4.Функции'!AEY183+"BYw!&amp;Z|"</f>
        <v>#VALUE!</v>
      </c>
      <c r="GR111" t="e">
        <f>'2.4.Функции'!AEZ183+"BYw!&amp;Z}"</f>
        <v>#VALUE!</v>
      </c>
      <c r="GS111" t="e">
        <f>'2.4.Функции'!AFA183+"BYw!&amp;Z~"</f>
        <v>#VALUE!</v>
      </c>
      <c r="GT111" t="e">
        <f>'2.4.Функции'!AFB183+"BYw!&amp;[#"</f>
        <v>#VALUE!</v>
      </c>
      <c r="GU111" t="e">
        <f>'2.4.Функции'!AFC183+"BYw!&amp;[$"</f>
        <v>#VALUE!</v>
      </c>
      <c r="GV111" t="e">
        <f>'2.4.Функции'!AFD183+"BYw!&amp;[%"</f>
        <v>#VALUE!</v>
      </c>
      <c r="GW111" t="e">
        <f>'2.4.Функции'!AFE183+"BYw!&amp;[&amp;"</f>
        <v>#VALUE!</v>
      </c>
      <c r="GX111" t="e">
        <f>'2.4.Функции'!AFF183+"BYw!&amp;['"</f>
        <v>#VALUE!</v>
      </c>
      <c r="GY111" t="e">
        <f>'2.4.Функции'!AFG183+"BYw!&amp;[("</f>
        <v>#VALUE!</v>
      </c>
      <c r="GZ111" t="e">
        <f>'2.4.Функции'!AFH183+"BYw!&amp;[)"</f>
        <v>#VALUE!</v>
      </c>
      <c r="HA111" t="e">
        <f>'2.4.Функции'!AFI183+"BYw!&amp;[."</f>
        <v>#VALUE!</v>
      </c>
      <c r="HB111" t="e">
        <f>'2.4.Функции'!AFJ183+"BYw!&amp;[/"</f>
        <v>#VALUE!</v>
      </c>
      <c r="HC111" t="e">
        <f>'2.4.Функции'!AFK183+"BYw!&amp;[0"</f>
        <v>#VALUE!</v>
      </c>
      <c r="HD111" t="e">
        <f>'2.4.Функции'!AFL183+"BYw!&amp;[1"</f>
        <v>#VALUE!</v>
      </c>
      <c r="HE111" t="e">
        <f>'2.4.Функции'!AFM183+"BYw!&amp;[2"</f>
        <v>#VALUE!</v>
      </c>
      <c r="HF111" t="e">
        <f>'2.4.Функции'!AFN183+"BYw!&amp;[3"</f>
        <v>#VALUE!</v>
      </c>
      <c r="HG111" t="e">
        <f>'2.4.Функции'!AFO183+"BYw!&amp;[4"</f>
        <v>#VALUE!</v>
      </c>
      <c r="HH111" t="e">
        <f>'2.4.Функции'!AFP183+"BYw!&amp;[5"</f>
        <v>#VALUE!</v>
      </c>
      <c r="HI111" t="e">
        <f>'2.4.Функции'!AFQ183+"BYw!&amp;[6"</f>
        <v>#VALUE!</v>
      </c>
      <c r="HJ111" t="e">
        <f>'2.4.Функции'!AFR183+"BYw!&amp;[7"</f>
        <v>#VALUE!</v>
      </c>
      <c r="HK111" t="e">
        <f>'2.4.Функции'!AFS183+"BYw!&amp;[8"</f>
        <v>#VALUE!</v>
      </c>
      <c r="HL111" t="e">
        <f>'2.4.Функции'!AFT183+"BYw!&amp;[9"</f>
        <v>#VALUE!</v>
      </c>
      <c r="HM111" t="e">
        <f>'2.4.Функции'!AFU183+"BYw!&amp;[:"</f>
        <v>#VALUE!</v>
      </c>
      <c r="HN111" t="e">
        <f>'2.4.Функции'!AFV183+"BYw!&amp;[;"</f>
        <v>#VALUE!</v>
      </c>
      <c r="HO111" t="e">
        <f>'2.4.Функции'!AFW183+"BYw!&amp;[&lt;"</f>
        <v>#VALUE!</v>
      </c>
      <c r="HP111" t="e">
        <f>'2.4.Функции'!AFX183+"BYw!&amp;[="</f>
        <v>#VALUE!</v>
      </c>
      <c r="HQ111" t="e">
        <f>'2.4.Функции'!AFY183+"BYw!&amp;[&gt;"</f>
        <v>#VALUE!</v>
      </c>
      <c r="HR111" t="e">
        <f>'2.4.Функции'!AFZ183+"BYw!&amp;[?"</f>
        <v>#VALUE!</v>
      </c>
      <c r="HS111" t="e">
        <f>'2.4.Функции'!AGA183+"BYw!&amp;[@"</f>
        <v>#VALUE!</v>
      </c>
      <c r="HT111" t="e">
        <f>'2.4.Функции'!AGB183+"BYw!&amp;[A"</f>
        <v>#VALUE!</v>
      </c>
      <c r="HU111" t="e">
        <f>'2.4.Функции'!AGC183+"BYw!&amp;[B"</f>
        <v>#VALUE!</v>
      </c>
      <c r="HV111" t="e">
        <f>'2.4.Функции'!AGD183+"BYw!&amp;[C"</f>
        <v>#VALUE!</v>
      </c>
      <c r="HW111" t="e">
        <f>'2.4.Функции'!AGE183+"BYw!&amp;[D"</f>
        <v>#VALUE!</v>
      </c>
      <c r="HX111" t="e">
        <f>'2.4.Функции'!AGF183+"BYw!&amp;[E"</f>
        <v>#VALUE!</v>
      </c>
      <c r="HY111" t="e">
        <f>'2.4.Функции'!AGG183+"BYw!&amp;[F"</f>
        <v>#VALUE!</v>
      </c>
      <c r="HZ111" t="e">
        <f>'2.4.Функции'!AGH183+"BYw!&amp;[G"</f>
        <v>#VALUE!</v>
      </c>
      <c r="IA111" t="e">
        <f>'2.4.Функции'!AGI183+"BYw!&amp;[H"</f>
        <v>#VALUE!</v>
      </c>
      <c r="IB111" t="e">
        <f>'2.4.Функции'!AGJ183+"BYw!&amp;[I"</f>
        <v>#VALUE!</v>
      </c>
      <c r="IC111" t="e">
        <f>'2.4.Функции'!AGK183+"BYw!&amp;[J"</f>
        <v>#VALUE!</v>
      </c>
      <c r="ID111" t="e">
        <f>'2.4.Функции'!AGL183+"BYw!&amp;[K"</f>
        <v>#VALUE!</v>
      </c>
      <c r="IE111" t="e">
        <f>'2.4.Функции'!AGM183+"BYw!&amp;[L"</f>
        <v>#VALUE!</v>
      </c>
      <c r="IF111" t="e">
        <f>'2.4.Функции'!AGN183+"BYw!&amp;[M"</f>
        <v>#VALUE!</v>
      </c>
      <c r="IG111" t="e">
        <f>'2.4.Функции'!AGO183+"BYw!&amp;[N"</f>
        <v>#VALUE!</v>
      </c>
      <c r="IH111" t="e">
        <f>'2.4.Функции'!AGP183+"BYw!&amp;[O"</f>
        <v>#VALUE!</v>
      </c>
      <c r="II111" t="e">
        <f>'2.4.Функции'!AGQ183+"BYw!&amp;[P"</f>
        <v>#VALUE!</v>
      </c>
      <c r="IJ111" t="e">
        <f>'2.4.Функции'!AGR183+"BYw!&amp;[Q"</f>
        <v>#VALUE!</v>
      </c>
      <c r="IK111" t="e">
        <f>'2.4.Функции'!AGS183+"BYw!&amp;[R"</f>
        <v>#VALUE!</v>
      </c>
      <c r="IL111" t="e">
        <f>'2.4.Функции'!AGT183+"BYw!&amp;[S"</f>
        <v>#VALUE!</v>
      </c>
      <c r="IM111" t="e">
        <f>'2.4.Функции'!AGU183+"BYw!&amp;[T"</f>
        <v>#VALUE!</v>
      </c>
      <c r="IN111" t="e">
        <f>'2.4.Функции'!AGV183+"BYw!&amp;[U"</f>
        <v>#VALUE!</v>
      </c>
      <c r="IO111" t="e">
        <f>'2.4.Функции'!AGW183+"BYw!&amp;[V"</f>
        <v>#VALUE!</v>
      </c>
      <c r="IP111" t="e">
        <f>'2.4.Функции'!AGX183+"BYw!&amp;[W"</f>
        <v>#VALUE!</v>
      </c>
      <c r="IQ111" t="e">
        <f>'2.4.Функции'!AGY183+"BYw!&amp;[X"</f>
        <v>#VALUE!</v>
      </c>
      <c r="IR111" t="e">
        <f>'2.4.Функции'!AGZ183+"BYw!&amp;[Y"</f>
        <v>#VALUE!</v>
      </c>
      <c r="IS111" t="e">
        <f>'2.4.Функции'!AHA183+"BYw!&amp;[Z"</f>
        <v>#VALUE!</v>
      </c>
      <c r="IT111" t="e">
        <f>'2.4.Функции'!AHB183+"BYw!&amp;[["</f>
        <v>#VALUE!</v>
      </c>
      <c r="IU111" t="e">
        <f>'2.4.Функции'!AHC183+"BYw!&amp;[\"</f>
        <v>#VALUE!</v>
      </c>
      <c r="IV111" t="e">
        <f>'2.4.Функции'!AHD183+"BYw!&amp;[]"</f>
        <v>#VALUE!</v>
      </c>
    </row>
    <row r="112" spans="6:256" x14ac:dyDescent="0.2">
      <c r="F112" t="e">
        <f>'2.4.Функции'!AHE183+"BYw!&amp;[^"</f>
        <v>#VALUE!</v>
      </c>
      <c r="G112" t="e">
        <f>'2.4.Функции'!AHF183+"BYw!&amp;[_"</f>
        <v>#VALUE!</v>
      </c>
      <c r="H112" t="e">
        <f>'2.4.Функции'!AHG183+"BYw!&amp;[`"</f>
        <v>#VALUE!</v>
      </c>
      <c r="I112" t="e">
        <f>'2.4.Функции'!AHH183+"BYw!&amp;[a"</f>
        <v>#VALUE!</v>
      </c>
      <c r="J112" t="e">
        <f>'2.4.Функции'!AHI183+"BYw!&amp;[b"</f>
        <v>#VALUE!</v>
      </c>
      <c r="K112" t="e">
        <f>'2.4.Функции'!AHJ183+"BYw!&amp;[c"</f>
        <v>#VALUE!</v>
      </c>
      <c r="L112" t="e">
        <f>'2.4.Функции'!AHK183+"BYw!&amp;[d"</f>
        <v>#VALUE!</v>
      </c>
      <c r="M112" t="e">
        <f>'2.4.Функции'!AHL183+"BYw!&amp;[e"</f>
        <v>#VALUE!</v>
      </c>
      <c r="N112" t="e">
        <f>'2.4.Функции'!AHM183+"BYw!&amp;[f"</f>
        <v>#VALUE!</v>
      </c>
      <c r="O112" t="e">
        <f>'2.4.Функции'!AHN183+"BYw!&amp;[g"</f>
        <v>#VALUE!</v>
      </c>
      <c r="P112" t="e">
        <f>'2.4.Функции'!AHO183+"BYw!&amp;[h"</f>
        <v>#VALUE!</v>
      </c>
      <c r="Q112" t="e">
        <f>'2.4.Функции'!AHP183+"BYw!&amp;[i"</f>
        <v>#VALUE!</v>
      </c>
      <c r="R112" t="e">
        <f>'2.4.Функции'!AHQ183+"BYw!&amp;[j"</f>
        <v>#VALUE!</v>
      </c>
      <c r="S112" t="e">
        <f>'2.4.Функции'!AHR183+"BYw!&amp;[k"</f>
        <v>#VALUE!</v>
      </c>
      <c r="T112" t="e">
        <f>'2.4.Функции'!AHS183+"BYw!&amp;[l"</f>
        <v>#VALUE!</v>
      </c>
      <c r="U112" t="e">
        <f>'2.4.Функции'!AHT183+"BYw!&amp;[m"</f>
        <v>#VALUE!</v>
      </c>
      <c r="V112" t="e">
        <f>'2.4.Функции'!AHU183+"BYw!&amp;[n"</f>
        <v>#VALUE!</v>
      </c>
      <c r="W112" t="e">
        <f>'2.4.Функции'!AHV183+"BYw!&amp;[o"</f>
        <v>#VALUE!</v>
      </c>
      <c r="X112" t="e">
        <f>'2.4.Функции'!AHW183+"BYw!&amp;[p"</f>
        <v>#VALUE!</v>
      </c>
      <c r="Y112" t="e">
        <f>'2.4.Функции'!AHX183+"BYw!&amp;[q"</f>
        <v>#VALUE!</v>
      </c>
      <c r="Z112" t="e">
        <f>'2.4.Функции'!AHY183+"BYw!&amp;[r"</f>
        <v>#VALUE!</v>
      </c>
      <c r="AA112" t="e">
        <f>'2.4.Функции'!AHZ183+"BYw!&amp;[s"</f>
        <v>#VALUE!</v>
      </c>
      <c r="AB112" t="e">
        <f>'2.4.Функции'!AIA183+"BYw!&amp;[t"</f>
        <v>#VALUE!</v>
      </c>
      <c r="AC112" t="e">
        <f>'2.4.Функции'!AIB183+"BYw!&amp;[u"</f>
        <v>#VALUE!</v>
      </c>
      <c r="AD112" t="e">
        <f>'2.4.Функции'!AIC183+"BYw!&amp;[v"</f>
        <v>#VALUE!</v>
      </c>
      <c r="AE112" t="e">
        <f>'2.4.Функции'!AID183+"BYw!&amp;[w"</f>
        <v>#VALUE!</v>
      </c>
      <c r="AF112" t="e">
        <f>'2.4.Функции'!AIE183+"BYw!&amp;[x"</f>
        <v>#VALUE!</v>
      </c>
      <c r="AG112" t="e">
        <f>'2.4.Функции'!AIF183+"BYw!&amp;[y"</f>
        <v>#VALUE!</v>
      </c>
      <c r="AH112" t="e">
        <f>'2.4.Функции'!AIG183+"BYw!&amp;[z"</f>
        <v>#VALUE!</v>
      </c>
      <c r="AI112" t="e">
        <f>'2.4.Функции'!AIH183+"BYw!&amp;[{"</f>
        <v>#VALUE!</v>
      </c>
      <c r="AJ112" s="116" t="e">
        <f>'2.4.Функции'!B184+"BYw!&amp;[|"</f>
        <v>#VALUE!</v>
      </c>
      <c r="AK112" t="e">
        <f>'2.4.Функции'!C184+"BYw!&amp;[}"</f>
        <v>#VALUE!</v>
      </c>
      <c r="AL112" s="119" t="e">
        <f>'2.4.Функции'!D184+"BYw!&amp;[~"</f>
        <v>#VALUE!</v>
      </c>
      <c r="AM112" s="119" t="e">
        <f>'2.4.Функции'!E184+"BYw!&amp;\#"</f>
        <v>#VALUE!</v>
      </c>
      <c r="AN112" s="119" t="e">
        <f>'2.4.Функции'!F184+"BYw!&amp;\$"</f>
        <v>#VALUE!</v>
      </c>
      <c r="AO112" s="119" t="e">
        <f>'2.4.Функции'!G184+"BYw!&amp;\%"</f>
        <v>#VALUE!</v>
      </c>
      <c r="AP112" s="119" t="e">
        <f>'2.4.Функции'!H184+"BYw!&amp;\&amp;"</f>
        <v>#VALUE!</v>
      </c>
      <c r="AQ112" s="119" t="e">
        <f>'2.4.Функции'!I184+"BYw!&amp;\'"</f>
        <v>#VALUE!</v>
      </c>
      <c r="AR112" s="119" t="e">
        <f>'2.4.Функции'!J184+"BYw!&amp;\("</f>
        <v>#VALUE!</v>
      </c>
      <c r="AS112" s="119" t="e">
        <f>'2.4.Функции'!K184+"BYw!&amp;\)"</f>
        <v>#VALUE!</v>
      </c>
      <c r="AT112" t="e">
        <f>'2.4.Функции'!L184+"BYw!&amp;\."</f>
        <v>#VALUE!</v>
      </c>
      <c r="AU112" t="e">
        <f>'2.4.Функции'!M184+"BYw!&amp;\/"</f>
        <v>#VALUE!</v>
      </c>
      <c r="AV112" t="e">
        <f>'2.4.Функции'!N184+"BYw!&amp;\0"</f>
        <v>#VALUE!</v>
      </c>
      <c r="AW112" t="e">
        <f>'2.4.Функции'!O184+"BYw!&amp;\1"</f>
        <v>#VALUE!</v>
      </c>
      <c r="AX112" t="e">
        <f>'2.4.Функции'!P184+"BYw!&amp;\2"</f>
        <v>#VALUE!</v>
      </c>
      <c r="AY112" t="e">
        <f>'2.4.Функции'!Q184+"BYw!&amp;\3"</f>
        <v>#VALUE!</v>
      </c>
      <c r="AZ112" t="e">
        <f>'2.4.Функции'!R184+"BYw!&amp;\4"</f>
        <v>#VALUE!</v>
      </c>
      <c r="BA112" t="e">
        <f>'2.4.Функции'!S184+"BYw!&amp;\5"</f>
        <v>#VALUE!</v>
      </c>
      <c r="BB112" t="e">
        <f>'2.4.Функции'!T184+"BYw!&amp;\6"</f>
        <v>#VALUE!</v>
      </c>
      <c r="BC112" t="e">
        <f>'2.4.Функции'!U184+"BYw!&amp;\7"</f>
        <v>#VALUE!</v>
      </c>
      <c r="BD112" t="e">
        <f>'2.4.Функции'!V184+"BYw!&amp;\8"</f>
        <v>#VALUE!</v>
      </c>
      <c r="BE112" t="e">
        <f>'2.4.Функции'!W184+"BYw!&amp;\9"</f>
        <v>#VALUE!</v>
      </c>
      <c r="BF112" t="e">
        <f>'2.4.Функции'!X184+"BYw!&amp;\:"</f>
        <v>#VALUE!</v>
      </c>
      <c r="BG112" t="e">
        <f>'2.4.Функции'!Y184+"BYw!&amp;\;"</f>
        <v>#VALUE!</v>
      </c>
      <c r="BH112" t="e">
        <f>'2.4.Функции'!Z184+"BYw!&amp;\&lt;"</f>
        <v>#VALUE!</v>
      </c>
      <c r="BI112" t="e">
        <f>'2.4.Функции'!AA184+"BYw!&amp;\="</f>
        <v>#VALUE!</v>
      </c>
      <c r="BJ112" t="e">
        <f>'2.4.Функции'!AB184+"BYw!&amp;\&gt;"</f>
        <v>#VALUE!</v>
      </c>
      <c r="BK112" t="e">
        <f>'2.4.Функции'!AC184+"BYw!&amp;\?"</f>
        <v>#VALUE!</v>
      </c>
      <c r="BL112" s="116" t="e">
        <f>'2.4.Функции'!B185+"BYw!&amp;\@"</f>
        <v>#VALUE!</v>
      </c>
      <c r="BM112" t="e">
        <f>'2.4.Функции'!C185+"BYw!&amp;\A"</f>
        <v>#VALUE!</v>
      </c>
      <c r="BN112" s="119" t="e">
        <f>'2.4.Функции'!D185+"BYw!&amp;\B"</f>
        <v>#VALUE!</v>
      </c>
      <c r="BO112" s="119" t="e">
        <f>'2.4.Функции'!E185+"BYw!&amp;\C"</f>
        <v>#VALUE!</v>
      </c>
      <c r="BP112" s="119" t="e">
        <f>'2.4.Функции'!F185+"BYw!&amp;\D"</f>
        <v>#VALUE!</v>
      </c>
      <c r="BQ112" s="119" t="e">
        <f>'2.4.Функции'!G185+"BYw!&amp;\E"</f>
        <v>#VALUE!</v>
      </c>
      <c r="BR112" s="119" t="e">
        <f>'2.4.Функции'!H185+"BYw!&amp;\F"</f>
        <v>#VALUE!</v>
      </c>
      <c r="BS112" s="119" t="e">
        <f>'2.4.Функции'!I185+"BYw!&amp;\G"</f>
        <v>#VALUE!</v>
      </c>
      <c r="BT112" s="119" t="e">
        <f>'2.4.Функции'!J185+"BYw!&amp;\H"</f>
        <v>#VALUE!</v>
      </c>
      <c r="BU112" s="119" t="e">
        <f>'2.4.Функции'!K185+"BYw!&amp;\I"</f>
        <v>#VALUE!</v>
      </c>
      <c r="BV112" t="e">
        <f>'2.4.Функции'!L185+"BYw!&amp;\J"</f>
        <v>#VALUE!</v>
      </c>
      <c r="BW112" t="e">
        <f>'2.4.Функции'!M185+"BYw!&amp;\K"</f>
        <v>#VALUE!</v>
      </c>
      <c r="BX112" t="e">
        <f>'2.4.Функции'!N185+"BYw!&amp;\L"</f>
        <v>#VALUE!</v>
      </c>
      <c r="BY112" t="e">
        <f>'2.4.Функции'!O185+"BYw!&amp;\M"</f>
        <v>#VALUE!</v>
      </c>
      <c r="BZ112" t="e">
        <f>'2.4.Функции'!P185+"BYw!&amp;\N"</f>
        <v>#VALUE!</v>
      </c>
      <c r="CA112" t="e">
        <f>'2.4.Функции'!Q185+"BYw!&amp;\O"</f>
        <v>#VALUE!</v>
      </c>
      <c r="CB112" t="e">
        <f>'2.4.Функции'!R185+"BYw!&amp;\P"</f>
        <v>#VALUE!</v>
      </c>
      <c r="CC112" t="e">
        <f>'2.4.Функции'!S185+"BYw!&amp;\Q"</f>
        <v>#VALUE!</v>
      </c>
      <c r="CD112" t="e">
        <f>'2.4.Функции'!T185+"BYw!&amp;\R"</f>
        <v>#VALUE!</v>
      </c>
      <c r="CE112" t="e">
        <f>'2.4.Функции'!U185+"BYw!&amp;\S"</f>
        <v>#VALUE!</v>
      </c>
      <c r="CF112" t="e">
        <f>'2.4.Функции'!V185+"BYw!&amp;\T"</f>
        <v>#VALUE!</v>
      </c>
      <c r="CG112" t="e">
        <f>'2.4.Функции'!W185+"BYw!&amp;\U"</f>
        <v>#VALUE!</v>
      </c>
      <c r="CH112" t="e">
        <f>'2.4.Функции'!X185+"BYw!&amp;\V"</f>
        <v>#VALUE!</v>
      </c>
      <c r="CI112" t="e">
        <f>'2.4.Функции'!Y185+"BYw!&amp;\W"</f>
        <v>#VALUE!</v>
      </c>
      <c r="CJ112" t="e">
        <f>'2.4.Функции'!Z185+"BYw!&amp;\X"</f>
        <v>#VALUE!</v>
      </c>
      <c r="CK112" t="e">
        <f>'2.4.Функции'!AA185+"BYw!&amp;\Y"</f>
        <v>#VALUE!</v>
      </c>
      <c r="CL112" t="e">
        <f>'2.4.Функции'!AB185+"BYw!&amp;\Z"</f>
        <v>#VALUE!</v>
      </c>
      <c r="CM112" t="e">
        <f>'2.4.Функции'!AC185+"BYw!&amp;\["</f>
        <v>#VALUE!</v>
      </c>
      <c r="CN112" t="e">
        <f>'2.4.Функции'!A186+"BYw!&amp;\\"</f>
        <v>#VALUE!</v>
      </c>
      <c r="CO112" s="116" t="e">
        <f>'2.4.Функции'!B186+"BYw!&amp;\]"</f>
        <v>#VALUE!</v>
      </c>
      <c r="CP112" t="e">
        <f>'2.4.Функции'!C186+"BYw!&amp;\^"</f>
        <v>#VALUE!</v>
      </c>
      <c r="CQ112" s="119" t="e">
        <f>'2.4.Функции'!D186+"BYw!&amp;\_"</f>
        <v>#VALUE!</v>
      </c>
      <c r="CR112" s="119" t="e">
        <f>'2.4.Функции'!E186+"BYw!&amp;\`"</f>
        <v>#VALUE!</v>
      </c>
      <c r="CS112" s="119" t="e">
        <f>'2.4.Функции'!F186+"BYw!&amp;\a"</f>
        <v>#VALUE!</v>
      </c>
      <c r="CT112" s="119" t="e">
        <f>'2.4.Функции'!G186+"BYw!&amp;\b"</f>
        <v>#VALUE!</v>
      </c>
      <c r="CU112" s="119" t="e">
        <f>'2.4.Функции'!H186+"BYw!&amp;\c"</f>
        <v>#VALUE!</v>
      </c>
      <c r="CV112" s="119" t="e">
        <f>'2.4.Функции'!I186+"BYw!&amp;\d"</f>
        <v>#VALUE!</v>
      </c>
      <c r="CW112" s="119" t="e">
        <f>'2.4.Функции'!J186+"BYw!&amp;\e"</f>
        <v>#VALUE!</v>
      </c>
      <c r="CX112" s="119" t="e">
        <f>'2.4.Функции'!K186+"BYw!&amp;\f"</f>
        <v>#VALUE!</v>
      </c>
      <c r="CY112" t="e">
        <f>'2.4.Функции'!L186+"BYw!&amp;\g"</f>
        <v>#VALUE!</v>
      </c>
      <c r="CZ112" t="e">
        <f>'2.4.Функции'!M186+"BYw!&amp;\h"</f>
        <v>#VALUE!</v>
      </c>
      <c r="DA112" t="e">
        <f>'2.4.Функции'!N186+"BYw!&amp;\i"</f>
        <v>#VALUE!</v>
      </c>
      <c r="DB112" t="e">
        <f>'2.4.Функции'!O186+"BYw!&amp;\j"</f>
        <v>#VALUE!</v>
      </c>
      <c r="DC112" t="e">
        <f>'2.4.Функции'!P186+"BYw!&amp;\k"</f>
        <v>#VALUE!</v>
      </c>
      <c r="DD112" t="e">
        <f>'2.4.Функции'!Q186+"BYw!&amp;\l"</f>
        <v>#VALUE!</v>
      </c>
      <c r="DE112" t="e">
        <f>'2.4.Функции'!R186+"BYw!&amp;\m"</f>
        <v>#VALUE!</v>
      </c>
      <c r="DF112" t="e">
        <f>'2.4.Функции'!S186+"BYw!&amp;\n"</f>
        <v>#VALUE!</v>
      </c>
      <c r="DG112" t="e">
        <f>'2.4.Функции'!T186+"BYw!&amp;\o"</f>
        <v>#VALUE!</v>
      </c>
      <c r="DH112" t="e">
        <f>'2.4.Функции'!U186+"BYw!&amp;\p"</f>
        <v>#VALUE!</v>
      </c>
      <c r="DI112" t="e">
        <f>'2.4.Функции'!V186+"BYw!&amp;\q"</f>
        <v>#VALUE!</v>
      </c>
      <c r="DJ112" t="e">
        <f>'2.4.Функции'!W186+"BYw!&amp;\r"</f>
        <v>#VALUE!</v>
      </c>
      <c r="DK112" t="e">
        <f>'2.4.Функции'!X186+"BYw!&amp;\s"</f>
        <v>#VALUE!</v>
      </c>
      <c r="DL112" t="e">
        <f>'2.4.Функции'!Y186+"BYw!&amp;\t"</f>
        <v>#VALUE!</v>
      </c>
      <c r="DM112" t="e">
        <f>'2.4.Функции'!Z186+"BYw!&amp;\u"</f>
        <v>#VALUE!</v>
      </c>
      <c r="DN112" t="e">
        <f>'2.4.Функции'!AA186+"BYw!&amp;\v"</f>
        <v>#VALUE!</v>
      </c>
      <c r="DO112" t="e">
        <f>'2.4.Функции'!AB186+"BYw!&amp;\w"</f>
        <v>#VALUE!</v>
      </c>
      <c r="DP112" t="e">
        <f>'2.4.Функции'!AC186+"BYw!&amp;\x"</f>
        <v>#VALUE!</v>
      </c>
      <c r="DQ112" t="e">
        <f>'2.4.Функции'!AD186+"BYw!&amp;\y"</f>
        <v>#VALUE!</v>
      </c>
      <c r="DR112" t="e">
        <f>'2.4.Функции'!AE186+"BYw!&amp;\z"</f>
        <v>#VALUE!</v>
      </c>
      <c r="DS112" t="e">
        <f>'2.4.Функции'!AF186+"BYw!&amp;\{"</f>
        <v>#VALUE!</v>
      </c>
      <c r="DT112" t="e">
        <f>'2.4.Функции'!AG186+"BYw!&amp;\|"</f>
        <v>#VALUE!</v>
      </c>
      <c r="DU112" t="e">
        <f>'2.4.Функции'!AH186+"BYw!&amp;\}"</f>
        <v>#VALUE!</v>
      </c>
      <c r="DV112" t="e">
        <f>'2.4.Функции'!AI186+"BYw!&amp;\~"</f>
        <v>#VALUE!</v>
      </c>
      <c r="DW112" t="e">
        <f>'2.4.Функции'!AJ186+"BYw!&amp;]#"</f>
        <v>#VALUE!</v>
      </c>
      <c r="DX112" t="e">
        <f>'2.4.Функции'!AK186+"BYw!&amp;]$"</f>
        <v>#VALUE!</v>
      </c>
      <c r="DY112" t="e">
        <f>'2.4.Функции'!AL186+"BYw!&amp;]%"</f>
        <v>#VALUE!</v>
      </c>
      <c r="DZ112" t="e">
        <f>'2.4.Функции'!AM186+"BYw!&amp;]&amp;"</f>
        <v>#VALUE!</v>
      </c>
      <c r="EA112" t="e">
        <f>'2.4.Функции'!AN186+"BYw!&amp;]'"</f>
        <v>#VALUE!</v>
      </c>
      <c r="EB112" t="e">
        <f>'2.4.Функции'!AO186+"BYw!&amp;]("</f>
        <v>#VALUE!</v>
      </c>
      <c r="EC112" t="e">
        <f>'2.4.Функции'!AP186+"BYw!&amp;])"</f>
        <v>#VALUE!</v>
      </c>
      <c r="ED112" t="e">
        <f>'2.4.Функции'!AQ186+"BYw!&amp;]."</f>
        <v>#VALUE!</v>
      </c>
      <c r="EE112" t="e">
        <f>'2.4.Функции'!AR186+"BYw!&amp;]/"</f>
        <v>#VALUE!</v>
      </c>
      <c r="EF112" t="e">
        <f>'2.4.Функции'!AS186+"BYw!&amp;]0"</f>
        <v>#VALUE!</v>
      </c>
      <c r="EG112" t="e">
        <f>'2.4.Функции'!AT186+"BYw!&amp;]1"</f>
        <v>#VALUE!</v>
      </c>
      <c r="EH112" t="e">
        <f>'2.4.Функции'!AU186+"BYw!&amp;]2"</f>
        <v>#VALUE!</v>
      </c>
      <c r="EI112" t="e">
        <f>'2.4.Функции'!AV186+"BYw!&amp;]3"</f>
        <v>#VALUE!</v>
      </c>
      <c r="EJ112" t="e">
        <f>'2.4.Функции'!AW186+"BYw!&amp;]4"</f>
        <v>#VALUE!</v>
      </c>
      <c r="EK112" t="e">
        <f>'2.4.Функции'!AX186+"BYw!&amp;]5"</f>
        <v>#VALUE!</v>
      </c>
      <c r="EL112" t="e">
        <f>'2.4.Функции'!AY186+"BYw!&amp;]6"</f>
        <v>#VALUE!</v>
      </c>
      <c r="EM112" t="e">
        <f>'2.4.Функции'!AZ186+"BYw!&amp;]7"</f>
        <v>#VALUE!</v>
      </c>
      <c r="EN112" t="e">
        <f>'2.4.Функции'!BA186+"BYw!&amp;]8"</f>
        <v>#VALUE!</v>
      </c>
      <c r="EO112" t="e">
        <f>'2.4.Функции'!BB186+"BYw!&amp;]9"</f>
        <v>#VALUE!</v>
      </c>
      <c r="EP112" t="e">
        <f>'2.4.Функции'!BC186+"BYw!&amp;]:"</f>
        <v>#VALUE!</v>
      </c>
      <c r="EQ112" t="e">
        <f>'2.4.Функции'!BD186+"BYw!&amp;];"</f>
        <v>#VALUE!</v>
      </c>
      <c r="ER112" t="e">
        <f>'2.4.Функции'!BE186+"BYw!&amp;]&lt;"</f>
        <v>#VALUE!</v>
      </c>
      <c r="ES112" t="e">
        <f>'2.4.Функции'!BF186+"BYw!&amp;]="</f>
        <v>#VALUE!</v>
      </c>
      <c r="ET112" t="e">
        <f>'2.4.Функции'!BG186+"BYw!&amp;]&gt;"</f>
        <v>#VALUE!</v>
      </c>
      <c r="EU112" t="e">
        <f>'2.4.Функции'!BH186+"BYw!&amp;]?"</f>
        <v>#VALUE!</v>
      </c>
      <c r="EV112" t="e">
        <f>'2.4.Функции'!BI186+"BYw!&amp;]@"</f>
        <v>#VALUE!</v>
      </c>
      <c r="EW112" t="e">
        <f>'2.4.Функции'!BJ186+"BYw!&amp;]A"</f>
        <v>#VALUE!</v>
      </c>
      <c r="EX112" t="e">
        <f>'2.4.Функции'!BK186+"BYw!&amp;]B"</f>
        <v>#VALUE!</v>
      </c>
      <c r="EY112" t="e">
        <f>'2.4.Функции'!BL186+"BYw!&amp;]C"</f>
        <v>#VALUE!</v>
      </c>
      <c r="EZ112" t="e">
        <f>'2.4.Функции'!BM186+"BYw!&amp;]D"</f>
        <v>#VALUE!</v>
      </c>
      <c r="FA112" t="e">
        <f>'2.4.Функции'!BN186+"BYw!&amp;]E"</f>
        <v>#VALUE!</v>
      </c>
      <c r="FB112" t="e">
        <f>'2.4.Функции'!BO186+"BYw!&amp;]F"</f>
        <v>#VALUE!</v>
      </c>
      <c r="FC112" t="e">
        <f>'2.4.Функции'!BP186+"BYw!&amp;]G"</f>
        <v>#VALUE!</v>
      </c>
      <c r="FD112" t="e">
        <f>'2.4.Функции'!BQ186+"BYw!&amp;]H"</f>
        <v>#VALUE!</v>
      </c>
      <c r="FE112" t="e">
        <f>'2.4.Функции'!BR186+"BYw!&amp;]I"</f>
        <v>#VALUE!</v>
      </c>
      <c r="FF112" t="e">
        <f>'2.4.Функции'!BS186+"BYw!&amp;]J"</f>
        <v>#VALUE!</v>
      </c>
      <c r="FG112" t="e">
        <f>'2.4.Функции'!BT186+"BYw!&amp;]K"</f>
        <v>#VALUE!</v>
      </c>
      <c r="FH112" t="e">
        <f>'2.4.Функции'!BU186+"BYw!&amp;]L"</f>
        <v>#VALUE!</v>
      </c>
      <c r="FI112" t="e">
        <f>'2.4.Функции'!BV186+"BYw!&amp;]M"</f>
        <v>#VALUE!</v>
      </c>
      <c r="FJ112" t="e">
        <f>'2.4.Функции'!BW186+"BYw!&amp;]N"</f>
        <v>#VALUE!</v>
      </c>
      <c r="FK112" t="e">
        <f>'2.4.Функции'!BX186+"BYw!&amp;]O"</f>
        <v>#VALUE!</v>
      </c>
      <c r="FL112" t="e">
        <f>'2.4.Функции'!BY186+"BYw!&amp;]P"</f>
        <v>#VALUE!</v>
      </c>
      <c r="FM112" t="e">
        <f>'2.4.Функции'!BZ186+"BYw!&amp;]Q"</f>
        <v>#VALUE!</v>
      </c>
      <c r="FN112" t="e">
        <f>'2.4.Функции'!CA186+"BYw!&amp;]R"</f>
        <v>#VALUE!</v>
      </c>
      <c r="FO112" t="e">
        <f>'2.4.Функции'!CB186+"BYw!&amp;]S"</f>
        <v>#VALUE!</v>
      </c>
      <c r="FP112" t="e">
        <f>'2.4.Функции'!CC186+"BYw!&amp;]T"</f>
        <v>#VALUE!</v>
      </c>
      <c r="FQ112" t="e">
        <f>'2.4.Функции'!CD186+"BYw!&amp;]U"</f>
        <v>#VALUE!</v>
      </c>
      <c r="FR112" t="e">
        <f>'2.4.Функции'!CE186+"BYw!&amp;]V"</f>
        <v>#VALUE!</v>
      </c>
      <c r="FS112" t="e">
        <f>'2.4.Функции'!CF186+"BYw!&amp;]W"</f>
        <v>#VALUE!</v>
      </c>
      <c r="FT112" t="e">
        <f>'2.4.Функции'!CG186+"BYw!&amp;]X"</f>
        <v>#VALUE!</v>
      </c>
      <c r="FU112" t="e">
        <f>'2.4.Функции'!CH186+"BYw!&amp;]Y"</f>
        <v>#VALUE!</v>
      </c>
      <c r="FV112" t="e">
        <f>'2.4.Функции'!CI186+"BYw!&amp;]Z"</f>
        <v>#VALUE!</v>
      </c>
      <c r="FW112" t="e">
        <f>'2.4.Функции'!CJ186+"BYw!&amp;]["</f>
        <v>#VALUE!</v>
      </c>
      <c r="FX112" t="e">
        <f>'2.4.Функции'!CK186+"BYw!&amp;]\"</f>
        <v>#VALUE!</v>
      </c>
      <c r="FY112" t="e">
        <f>'2.4.Функции'!CL186+"BYw!&amp;]]"</f>
        <v>#VALUE!</v>
      </c>
      <c r="FZ112" t="e">
        <f>'2.4.Функции'!CM186+"BYw!&amp;]^"</f>
        <v>#VALUE!</v>
      </c>
      <c r="GA112" t="e">
        <f>'2.4.Функции'!CN186+"BYw!&amp;]_"</f>
        <v>#VALUE!</v>
      </c>
      <c r="GB112" t="e">
        <f>'2.4.Функции'!CO186+"BYw!&amp;]`"</f>
        <v>#VALUE!</v>
      </c>
      <c r="GC112" t="e">
        <f>'2.4.Функции'!CP186+"BYw!&amp;]a"</f>
        <v>#VALUE!</v>
      </c>
      <c r="GD112" t="e">
        <f>'2.4.Функции'!CQ186+"BYw!&amp;]b"</f>
        <v>#VALUE!</v>
      </c>
      <c r="GE112" t="e">
        <f>'2.4.Функции'!CR186+"BYw!&amp;]c"</f>
        <v>#VALUE!</v>
      </c>
      <c r="GF112" t="e">
        <f>'2.4.Функции'!CS186+"BYw!&amp;]d"</f>
        <v>#VALUE!</v>
      </c>
      <c r="GG112" t="e">
        <f>'2.4.Функции'!CT186+"BYw!&amp;]e"</f>
        <v>#VALUE!</v>
      </c>
      <c r="GH112" t="e">
        <f>'2.4.Функции'!CU186+"BYw!&amp;]f"</f>
        <v>#VALUE!</v>
      </c>
      <c r="GI112" t="e">
        <f>'2.4.Функции'!CV186+"BYw!&amp;]g"</f>
        <v>#VALUE!</v>
      </c>
      <c r="GJ112" t="e">
        <f>'2.4.Функции'!CW186+"BYw!&amp;]h"</f>
        <v>#VALUE!</v>
      </c>
      <c r="GK112" t="e">
        <f>'2.4.Функции'!CX186+"BYw!&amp;]i"</f>
        <v>#VALUE!</v>
      </c>
      <c r="GL112" t="e">
        <f>'2.4.Функции'!CY186+"BYw!&amp;]j"</f>
        <v>#VALUE!</v>
      </c>
      <c r="GM112" t="e">
        <f>'2.4.Функции'!CZ186+"BYw!&amp;]k"</f>
        <v>#VALUE!</v>
      </c>
      <c r="GN112" t="e">
        <f>'2.4.Функции'!DA186+"BYw!&amp;]l"</f>
        <v>#VALUE!</v>
      </c>
      <c r="GO112" t="e">
        <f>'2.4.Функции'!DB186+"BYw!&amp;]m"</f>
        <v>#VALUE!</v>
      </c>
      <c r="GP112" t="e">
        <f>'2.4.Функции'!DC186+"BYw!&amp;]n"</f>
        <v>#VALUE!</v>
      </c>
      <c r="GQ112" t="e">
        <f>'2.4.Функции'!DD186+"BYw!&amp;]o"</f>
        <v>#VALUE!</v>
      </c>
      <c r="GR112" t="e">
        <f>'2.4.Функции'!DE186+"BYw!&amp;]p"</f>
        <v>#VALUE!</v>
      </c>
      <c r="GS112" t="e">
        <f>'2.4.Функции'!DF186+"BYw!&amp;]q"</f>
        <v>#VALUE!</v>
      </c>
      <c r="GT112" t="e">
        <f>'2.4.Функции'!DG186+"BYw!&amp;]r"</f>
        <v>#VALUE!</v>
      </c>
      <c r="GU112" t="e">
        <f>'2.4.Функции'!DH186+"BYw!&amp;]s"</f>
        <v>#VALUE!</v>
      </c>
      <c r="GV112" t="e">
        <f>'2.4.Функции'!DI186+"BYw!&amp;]t"</f>
        <v>#VALUE!</v>
      </c>
      <c r="GW112" t="e">
        <f>'2.4.Функции'!DJ186+"BYw!&amp;]u"</f>
        <v>#VALUE!</v>
      </c>
      <c r="GX112" t="e">
        <f>'2.4.Функции'!DK186+"BYw!&amp;]v"</f>
        <v>#VALUE!</v>
      </c>
      <c r="GY112" t="e">
        <f>'2.4.Функции'!DL186+"BYw!&amp;]w"</f>
        <v>#VALUE!</v>
      </c>
      <c r="GZ112" t="e">
        <f>'2.4.Функции'!DM186+"BYw!&amp;]x"</f>
        <v>#VALUE!</v>
      </c>
      <c r="HA112" t="e">
        <f>'2.4.Функции'!DN186+"BYw!&amp;]y"</f>
        <v>#VALUE!</v>
      </c>
      <c r="HB112" t="e">
        <f>'2.4.Функции'!DO186+"BYw!&amp;]z"</f>
        <v>#VALUE!</v>
      </c>
      <c r="HC112" t="e">
        <f>'2.4.Функции'!DP186+"BYw!&amp;]{"</f>
        <v>#VALUE!</v>
      </c>
      <c r="HD112" t="e">
        <f>'2.4.Функции'!DQ186+"BYw!&amp;]|"</f>
        <v>#VALUE!</v>
      </c>
      <c r="HE112" t="e">
        <f>'2.4.Функции'!DR186+"BYw!&amp;]}"</f>
        <v>#VALUE!</v>
      </c>
      <c r="HF112" t="e">
        <f>'2.4.Функции'!DS186+"BYw!&amp;]~"</f>
        <v>#VALUE!</v>
      </c>
      <c r="HG112" t="e">
        <f>'2.4.Функции'!DT186+"BYw!&amp;^#"</f>
        <v>#VALUE!</v>
      </c>
      <c r="HH112" t="e">
        <f>'2.4.Функции'!DU186+"BYw!&amp;^$"</f>
        <v>#VALUE!</v>
      </c>
      <c r="HI112" t="e">
        <f>'2.4.Функции'!DV186+"BYw!&amp;^%"</f>
        <v>#VALUE!</v>
      </c>
      <c r="HJ112" t="e">
        <f>'2.4.Функции'!DW186+"BYw!&amp;^&amp;"</f>
        <v>#VALUE!</v>
      </c>
      <c r="HK112" t="e">
        <f>'2.4.Функции'!DX186+"BYw!&amp;^'"</f>
        <v>#VALUE!</v>
      </c>
      <c r="HL112" t="e">
        <f>'2.4.Функции'!DY186+"BYw!&amp;^("</f>
        <v>#VALUE!</v>
      </c>
      <c r="HM112" t="e">
        <f>'2.4.Функции'!DZ186+"BYw!&amp;^)"</f>
        <v>#VALUE!</v>
      </c>
      <c r="HN112" t="e">
        <f>'2.4.Функции'!EA186+"BYw!&amp;^."</f>
        <v>#VALUE!</v>
      </c>
      <c r="HO112" t="e">
        <f>'2.4.Функции'!EB186+"BYw!&amp;^/"</f>
        <v>#VALUE!</v>
      </c>
      <c r="HP112" t="e">
        <f>'2.4.Функции'!EC186+"BYw!&amp;^0"</f>
        <v>#VALUE!</v>
      </c>
      <c r="HQ112" t="e">
        <f>'2.4.Функции'!ED186+"BYw!&amp;^1"</f>
        <v>#VALUE!</v>
      </c>
      <c r="HR112" t="e">
        <f>'2.4.Функции'!EE186+"BYw!&amp;^2"</f>
        <v>#VALUE!</v>
      </c>
      <c r="HS112" t="e">
        <f>'2.4.Функции'!EF186+"BYw!&amp;^3"</f>
        <v>#VALUE!</v>
      </c>
      <c r="HT112" t="e">
        <f>'2.4.Функции'!EG186+"BYw!&amp;^4"</f>
        <v>#VALUE!</v>
      </c>
      <c r="HU112" t="e">
        <f>'2.4.Функции'!EH186+"BYw!&amp;^5"</f>
        <v>#VALUE!</v>
      </c>
      <c r="HV112" t="e">
        <f>'2.4.Функции'!EI186+"BYw!&amp;^6"</f>
        <v>#VALUE!</v>
      </c>
      <c r="HW112" t="e">
        <f>'2.4.Функции'!EJ186+"BYw!&amp;^7"</f>
        <v>#VALUE!</v>
      </c>
      <c r="HX112" t="e">
        <f>'2.4.Функции'!EK186+"BYw!&amp;^8"</f>
        <v>#VALUE!</v>
      </c>
      <c r="HY112" t="e">
        <f>'2.4.Функции'!EL186+"BYw!&amp;^9"</f>
        <v>#VALUE!</v>
      </c>
      <c r="HZ112" t="e">
        <f>'2.4.Функции'!EM186+"BYw!&amp;^:"</f>
        <v>#VALUE!</v>
      </c>
      <c r="IA112" t="e">
        <f>'2.4.Функции'!EN186+"BYw!&amp;^;"</f>
        <v>#VALUE!</v>
      </c>
      <c r="IB112" t="e">
        <f>'2.4.Функции'!EO186+"BYw!&amp;^&lt;"</f>
        <v>#VALUE!</v>
      </c>
      <c r="IC112" t="e">
        <f>'2.4.Функции'!EP186+"BYw!&amp;^="</f>
        <v>#VALUE!</v>
      </c>
      <c r="ID112" t="e">
        <f>'2.4.Функции'!EQ186+"BYw!&amp;^&gt;"</f>
        <v>#VALUE!</v>
      </c>
      <c r="IE112" t="e">
        <f>'2.4.Функции'!ER186+"BYw!&amp;^?"</f>
        <v>#VALUE!</v>
      </c>
      <c r="IF112" t="e">
        <f>'2.4.Функции'!ES186+"BYw!&amp;^@"</f>
        <v>#VALUE!</v>
      </c>
      <c r="IG112" t="e">
        <f>'2.4.Функции'!ET186+"BYw!&amp;^A"</f>
        <v>#VALUE!</v>
      </c>
      <c r="IH112" t="e">
        <f>'2.4.Функции'!EU186+"BYw!&amp;^B"</f>
        <v>#VALUE!</v>
      </c>
      <c r="II112" t="e">
        <f>'2.4.Функции'!EV186+"BYw!&amp;^C"</f>
        <v>#VALUE!</v>
      </c>
      <c r="IJ112" t="e">
        <f>'2.4.Функции'!EW186+"BYw!&amp;^D"</f>
        <v>#VALUE!</v>
      </c>
      <c r="IK112" t="e">
        <f>'2.4.Функции'!EX186+"BYw!&amp;^E"</f>
        <v>#VALUE!</v>
      </c>
      <c r="IL112" t="e">
        <f>'2.4.Функции'!EY186+"BYw!&amp;^F"</f>
        <v>#VALUE!</v>
      </c>
      <c r="IM112" t="e">
        <f>'2.4.Функции'!EZ186+"BYw!&amp;^G"</f>
        <v>#VALUE!</v>
      </c>
      <c r="IN112" t="e">
        <f>'2.4.Функции'!FA186+"BYw!&amp;^H"</f>
        <v>#VALUE!</v>
      </c>
      <c r="IO112" t="e">
        <f>'2.4.Функции'!FB186+"BYw!&amp;^I"</f>
        <v>#VALUE!</v>
      </c>
      <c r="IP112" t="e">
        <f>'2.4.Функции'!FC186+"BYw!&amp;^J"</f>
        <v>#VALUE!</v>
      </c>
      <c r="IQ112" t="e">
        <f>'2.4.Функции'!FD186+"BYw!&amp;^K"</f>
        <v>#VALUE!</v>
      </c>
      <c r="IR112" t="e">
        <f>'2.4.Функции'!FE186+"BYw!&amp;^L"</f>
        <v>#VALUE!</v>
      </c>
      <c r="IS112" t="e">
        <f>'2.4.Функции'!FF186+"BYw!&amp;^M"</f>
        <v>#VALUE!</v>
      </c>
      <c r="IT112" t="e">
        <f>'2.4.Функции'!FG186+"BYw!&amp;^N"</f>
        <v>#VALUE!</v>
      </c>
      <c r="IU112" t="e">
        <f>'2.4.Функции'!FH186+"BYw!&amp;^O"</f>
        <v>#VALUE!</v>
      </c>
      <c r="IV112" t="e">
        <f>'2.4.Функции'!FI186+"BYw!&amp;^P"</f>
        <v>#VALUE!</v>
      </c>
    </row>
    <row r="113" spans="6:256" x14ac:dyDescent="0.2">
      <c r="F113" t="e">
        <f>'2.4.Функции'!FJ186+"BYw!&amp;^Q"</f>
        <v>#VALUE!</v>
      </c>
      <c r="G113" t="e">
        <f>'2.4.Функции'!FK186+"BYw!&amp;^R"</f>
        <v>#VALUE!</v>
      </c>
      <c r="H113" t="e">
        <f>'2.4.Функции'!FL186+"BYw!&amp;^S"</f>
        <v>#VALUE!</v>
      </c>
      <c r="I113" t="e">
        <f>'2.4.Функции'!FM186+"BYw!&amp;^T"</f>
        <v>#VALUE!</v>
      </c>
      <c r="J113" t="e">
        <f>'2.4.Функции'!FN186+"BYw!&amp;^U"</f>
        <v>#VALUE!</v>
      </c>
      <c r="K113" t="e">
        <f>'2.4.Функции'!FO186+"BYw!&amp;^V"</f>
        <v>#VALUE!</v>
      </c>
      <c r="L113" t="e">
        <f>'2.4.Функции'!FP186+"BYw!&amp;^W"</f>
        <v>#VALUE!</v>
      </c>
      <c r="M113" t="e">
        <f>'2.4.Функции'!FQ186+"BYw!&amp;^X"</f>
        <v>#VALUE!</v>
      </c>
      <c r="N113" t="e">
        <f>'2.4.Функции'!FR186+"BYw!&amp;^Y"</f>
        <v>#VALUE!</v>
      </c>
      <c r="O113" t="e">
        <f>'2.4.Функции'!FS186+"BYw!&amp;^Z"</f>
        <v>#VALUE!</v>
      </c>
      <c r="P113" t="e">
        <f>'2.4.Функции'!FT186+"BYw!&amp;^["</f>
        <v>#VALUE!</v>
      </c>
      <c r="Q113" t="e">
        <f>'2.4.Функции'!FU186+"BYw!&amp;^\"</f>
        <v>#VALUE!</v>
      </c>
      <c r="R113" t="e">
        <f>'2.4.Функции'!FV186+"BYw!&amp;^]"</f>
        <v>#VALUE!</v>
      </c>
      <c r="S113" t="e">
        <f>'2.4.Функции'!FW186+"BYw!&amp;^^"</f>
        <v>#VALUE!</v>
      </c>
      <c r="T113" t="e">
        <f>'2.4.Функции'!FX186+"BYw!&amp;^_"</f>
        <v>#VALUE!</v>
      </c>
      <c r="U113" t="e">
        <f>'2.4.Функции'!FY186+"BYw!&amp;^`"</f>
        <v>#VALUE!</v>
      </c>
      <c r="V113" t="e">
        <f>'2.4.Функции'!FZ186+"BYw!&amp;^a"</f>
        <v>#VALUE!</v>
      </c>
      <c r="W113" t="e">
        <f>'2.4.Функции'!GA186+"BYw!&amp;^b"</f>
        <v>#VALUE!</v>
      </c>
      <c r="X113" t="e">
        <f>'2.4.Функции'!GB186+"BYw!&amp;^c"</f>
        <v>#VALUE!</v>
      </c>
      <c r="Y113" t="e">
        <f>'2.4.Функции'!GC186+"BYw!&amp;^d"</f>
        <v>#VALUE!</v>
      </c>
      <c r="Z113" t="e">
        <f>'2.4.Функции'!GD186+"BYw!&amp;^e"</f>
        <v>#VALUE!</v>
      </c>
      <c r="AA113" t="e">
        <f>'2.4.Функции'!GE186+"BYw!&amp;^f"</f>
        <v>#VALUE!</v>
      </c>
      <c r="AB113" t="e">
        <f>'2.4.Функции'!GF186+"BYw!&amp;^g"</f>
        <v>#VALUE!</v>
      </c>
      <c r="AC113" t="e">
        <f>'2.4.Функции'!GG186+"BYw!&amp;^h"</f>
        <v>#VALUE!</v>
      </c>
      <c r="AD113" t="e">
        <f>'2.4.Функции'!GH186+"BYw!&amp;^i"</f>
        <v>#VALUE!</v>
      </c>
      <c r="AE113" t="e">
        <f>'2.4.Функции'!GI186+"BYw!&amp;^j"</f>
        <v>#VALUE!</v>
      </c>
      <c r="AF113" t="e">
        <f>'2.4.Функции'!GJ186+"BYw!&amp;^k"</f>
        <v>#VALUE!</v>
      </c>
      <c r="AG113" t="e">
        <f>'2.4.Функции'!GK186+"BYw!&amp;^l"</f>
        <v>#VALUE!</v>
      </c>
      <c r="AH113" t="e">
        <f>'2.4.Функции'!GL186+"BYw!&amp;^m"</f>
        <v>#VALUE!</v>
      </c>
      <c r="AI113" t="e">
        <f>'2.4.Функции'!GM186+"BYw!&amp;^n"</f>
        <v>#VALUE!</v>
      </c>
      <c r="AJ113" t="e">
        <f>'2.4.Функции'!GN186+"BYw!&amp;^o"</f>
        <v>#VALUE!</v>
      </c>
      <c r="AK113" t="e">
        <f>'2.4.Функции'!GO186+"BYw!&amp;^p"</f>
        <v>#VALUE!</v>
      </c>
      <c r="AL113" t="e">
        <f>'2.4.Функции'!GP186+"BYw!&amp;^q"</f>
        <v>#VALUE!</v>
      </c>
      <c r="AM113" t="e">
        <f>'2.4.Функции'!GQ186+"BYw!&amp;^r"</f>
        <v>#VALUE!</v>
      </c>
      <c r="AN113" t="e">
        <f>'2.4.Функции'!GR186+"BYw!&amp;^s"</f>
        <v>#VALUE!</v>
      </c>
      <c r="AO113" t="e">
        <f>'2.4.Функции'!GS186+"BYw!&amp;^t"</f>
        <v>#VALUE!</v>
      </c>
      <c r="AP113" t="e">
        <f>'2.4.Функции'!GT186+"BYw!&amp;^u"</f>
        <v>#VALUE!</v>
      </c>
      <c r="AQ113" t="e">
        <f>'2.4.Функции'!GU186+"BYw!&amp;^v"</f>
        <v>#VALUE!</v>
      </c>
      <c r="AR113" t="e">
        <f>'2.4.Функции'!GV186+"BYw!&amp;^w"</f>
        <v>#VALUE!</v>
      </c>
      <c r="AS113" t="e">
        <f>'2.4.Функции'!GW186+"BYw!&amp;^x"</f>
        <v>#VALUE!</v>
      </c>
      <c r="AT113" t="e">
        <f>'2.4.Функции'!GX186+"BYw!&amp;^y"</f>
        <v>#VALUE!</v>
      </c>
      <c r="AU113" t="e">
        <f>'2.4.Функции'!GY186+"BYw!&amp;^z"</f>
        <v>#VALUE!</v>
      </c>
      <c r="AV113" t="e">
        <f>'2.4.Функции'!GZ186+"BYw!&amp;^{"</f>
        <v>#VALUE!</v>
      </c>
      <c r="AW113" t="e">
        <f>'2.4.Функции'!HA186+"BYw!&amp;^|"</f>
        <v>#VALUE!</v>
      </c>
      <c r="AX113" t="e">
        <f>'2.4.Функции'!HB186+"BYw!&amp;^}"</f>
        <v>#VALUE!</v>
      </c>
      <c r="AY113" t="e">
        <f>'2.4.Функции'!HC186+"BYw!&amp;^~"</f>
        <v>#VALUE!</v>
      </c>
      <c r="AZ113" t="e">
        <f>'2.4.Функции'!HD186+"BYw!&amp;_#"</f>
        <v>#VALUE!</v>
      </c>
      <c r="BA113" t="e">
        <f>'2.4.Функции'!HE186+"BYw!&amp;_$"</f>
        <v>#VALUE!</v>
      </c>
      <c r="BB113" t="e">
        <f>'2.4.Функции'!HF186+"BYw!&amp;_%"</f>
        <v>#VALUE!</v>
      </c>
      <c r="BC113" t="e">
        <f>'2.4.Функции'!HG186+"BYw!&amp;_&amp;"</f>
        <v>#VALUE!</v>
      </c>
      <c r="BD113" t="e">
        <f>'2.4.Функции'!HH186+"BYw!&amp;_'"</f>
        <v>#VALUE!</v>
      </c>
      <c r="BE113" t="e">
        <f>'2.4.Функции'!HI186+"BYw!&amp;_("</f>
        <v>#VALUE!</v>
      </c>
      <c r="BF113" t="e">
        <f>'2.4.Функции'!HJ186+"BYw!&amp;_)"</f>
        <v>#VALUE!</v>
      </c>
      <c r="BG113" t="e">
        <f>'2.4.Функции'!HK186+"BYw!&amp;_."</f>
        <v>#VALUE!</v>
      </c>
      <c r="BH113" t="e">
        <f>'2.4.Функции'!HL186+"BYw!&amp;_/"</f>
        <v>#VALUE!</v>
      </c>
      <c r="BI113" t="e">
        <f>'2.4.Функции'!HM186+"BYw!&amp;_0"</f>
        <v>#VALUE!</v>
      </c>
      <c r="BJ113" t="e">
        <f>'2.4.Функции'!HN186+"BYw!&amp;_1"</f>
        <v>#VALUE!</v>
      </c>
      <c r="BK113" t="e">
        <f>'2.4.Функции'!HO186+"BYw!&amp;_2"</f>
        <v>#VALUE!</v>
      </c>
      <c r="BL113" t="e">
        <f>'2.4.Функции'!HP186+"BYw!&amp;_3"</f>
        <v>#VALUE!</v>
      </c>
      <c r="BM113" t="e">
        <f>'2.4.Функции'!HQ186+"BYw!&amp;_4"</f>
        <v>#VALUE!</v>
      </c>
      <c r="BN113" t="e">
        <f>'2.4.Функции'!HR186+"BYw!&amp;_5"</f>
        <v>#VALUE!</v>
      </c>
      <c r="BO113" t="e">
        <f>'2.4.Функции'!HS186+"BYw!&amp;_6"</f>
        <v>#VALUE!</v>
      </c>
      <c r="BP113" t="e">
        <f>'2.4.Функции'!HT186+"BYw!&amp;_7"</f>
        <v>#VALUE!</v>
      </c>
      <c r="BQ113" t="e">
        <f>'2.4.Функции'!HU186+"BYw!&amp;_8"</f>
        <v>#VALUE!</v>
      </c>
      <c r="BR113" t="e">
        <f>'2.4.Функции'!HV186+"BYw!&amp;_9"</f>
        <v>#VALUE!</v>
      </c>
      <c r="BS113" t="e">
        <f>'2.4.Функции'!HW186+"BYw!&amp;_:"</f>
        <v>#VALUE!</v>
      </c>
      <c r="BT113" t="e">
        <f>'2.4.Функции'!HX186+"BYw!&amp;_;"</f>
        <v>#VALUE!</v>
      </c>
      <c r="BU113" t="e">
        <f>'2.4.Функции'!HY186+"BYw!&amp;_&lt;"</f>
        <v>#VALUE!</v>
      </c>
      <c r="BV113" t="e">
        <f>'2.4.Функции'!HZ186+"BYw!&amp;_="</f>
        <v>#VALUE!</v>
      </c>
      <c r="BW113" t="e">
        <f>'2.4.Функции'!IA186+"BYw!&amp;_&gt;"</f>
        <v>#VALUE!</v>
      </c>
      <c r="BX113" t="e">
        <f>'2.4.Функции'!IB186+"BYw!&amp;_?"</f>
        <v>#VALUE!</v>
      </c>
      <c r="BY113" t="e">
        <f>'2.4.Функции'!IC186+"BYw!&amp;_@"</f>
        <v>#VALUE!</v>
      </c>
      <c r="BZ113" t="e">
        <f>'2.4.Функции'!ID186+"BYw!&amp;_A"</f>
        <v>#VALUE!</v>
      </c>
      <c r="CA113" t="e">
        <f>'2.4.Функции'!IE186+"BYw!&amp;_B"</f>
        <v>#VALUE!</v>
      </c>
      <c r="CB113" t="e">
        <f>'2.4.Функции'!IF186+"BYw!&amp;_C"</f>
        <v>#VALUE!</v>
      </c>
      <c r="CC113" t="e">
        <f>'2.4.Функции'!IG186+"BYw!&amp;_D"</f>
        <v>#VALUE!</v>
      </c>
      <c r="CD113" t="e">
        <f>'2.4.Функции'!IH186+"BYw!&amp;_E"</f>
        <v>#VALUE!</v>
      </c>
      <c r="CE113" t="e">
        <f>'2.4.Функции'!II186+"BYw!&amp;_F"</f>
        <v>#VALUE!</v>
      </c>
      <c r="CF113" t="e">
        <f>'2.4.Функции'!IJ186+"BYw!&amp;_G"</f>
        <v>#VALUE!</v>
      </c>
      <c r="CG113" t="e">
        <f>'2.4.Функции'!IK186+"BYw!&amp;_H"</f>
        <v>#VALUE!</v>
      </c>
      <c r="CH113" t="e">
        <f>'2.4.Функции'!IL186+"BYw!&amp;_I"</f>
        <v>#VALUE!</v>
      </c>
      <c r="CI113" t="e">
        <f>'2.4.Функции'!IM186+"BYw!&amp;_J"</f>
        <v>#VALUE!</v>
      </c>
      <c r="CJ113" t="e">
        <f>'2.4.Функции'!IN186+"BYw!&amp;_K"</f>
        <v>#VALUE!</v>
      </c>
      <c r="CK113" t="e">
        <f>'2.4.Функции'!IO186+"BYw!&amp;_L"</f>
        <v>#VALUE!</v>
      </c>
      <c r="CL113" t="e">
        <f>'2.4.Функции'!IP186+"BYw!&amp;_M"</f>
        <v>#VALUE!</v>
      </c>
      <c r="CM113" t="e">
        <f>'2.4.Функции'!IQ186+"BYw!&amp;_N"</f>
        <v>#VALUE!</v>
      </c>
      <c r="CN113" t="e">
        <f>'2.4.Функции'!IR186+"BYw!&amp;_O"</f>
        <v>#VALUE!</v>
      </c>
      <c r="CO113" t="e">
        <f>'2.4.Функции'!IS186+"BYw!&amp;_P"</f>
        <v>#VALUE!</v>
      </c>
      <c r="CP113" t="e">
        <f>'2.4.Функции'!IT186+"BYw!&amp;_Q"</f>
        <v>#VALUE!</v>
      </c>
      <c r="CQ113" t="e">
        <f>'2.4.Функции'!IU186+"BYw!&amp;_R"</f>
        <v>#VALUE!</v>
      </c>
      <c r="CR113" t="e">
        <f>'2.4.Функции'!IV186+"BYw!&amp;_S"</f>
        <v>#VALUE!</v>
      </c>
      <c r="CS113" t="e">
        <f>'2.4.Функции'!IW186+"BYw!&amp;_T"</f>
        <v>#VALUE!</v>
      </c>
      <c r="CT113" t="e">
        <f>'2.4.Функции'!IX186+"BYw!&amp;_U"</f>
        <v>#VALUE!</v>
      </c>
      <c r="CU113" t="e">
        <f>'2.4.Функции'!IY186+"BYw!&amp;_V"</f>
        <v>#VALUE!</v>
      </c>
      <c r="CV113" t="e">
        <f>'2.4.Функции'!IZ186+"BYw!&amp;_W"</f>
        <v>#VALUE!</v>
      </c>
      <c r="CW113" t="e">
        <f>'2.4.Функции'!JA186+"BYw!&amp;_X"</f>
        <v>#VALUE!</v>
      </c>
      <c r="CX113" t="e">
        <f>'2.4.Функции'!JB186+"BYw!&amp;_Y"</f>
        <v>#VALUE!</v>
      </c>
      <c r="CY113" t="e">
        <f>'2.4.Функции'!JC186+"BYw!&amp;_Z"</f>
        <v>#VALUE!</v>
      </c>
      <c r="CZ113" t="e">
        <f>'2.4.Функции'!JD186+"BYw!&amp;_["</f>
        <v>#VALUE!</v>
      </c>
      <c r="DA113" t="e">
        <f>'2.4.Функции'!JE186+"BYw!&amp;_\"</f>
        <v>#VALUE!</v>
      </c>
      <c r="DB113" t="e">
        <f>'2.4.Функции'!JF186+"BYw!&amp;_]"</f>
        <v>#VALUE!</v>
      </c>
      <c r="DC113" t="e">
        <f>'2.4.Функции'!JG186+"BYw!&amp;_^"</f>
        <v>#VALUE!</v>
      </c>
      <c r="DD113" t="e">
        <f>'2.4.Функции'!JH186+"BYw!&amp;__"</f>
        <v>#VALUE!</v>
      </c>
      <c r="DE113" t="e">
        <f>'2.4.Функции'!JI186+"BYw!&amp;_`"</f>
        <v>#VALUE!</v>
      </c>
      <c r="DF113" t="e">
        <f>'2.4.Функции'!JJ186+"BYw!&amp;_a"</f>
        <v>#VALUE!</v>
      </c>
      <c r="DG113" t="e">
        <f>'2.4.Функции'!JK186+"BYw!&amp;_b"</f>
        <v>#VALUE!</v>
      </c>
      <c r="DH113" t="e">
        <f>'2.4.Функции'!JL186+"BYw!&amp;_c"</f>
        <v>#VALUE!</v>
      </c>
      <c r="DI113" t="e">
        <f>'2.4.Функции'!JM186+"BYw!&amp;_d"</f>
        <v>#VALUE!</v>
      </c>
      <c r="DJ113" t="e">
        <f>'2.4.Функции'!JN186+"BYw!&amp;_e"</f>
        <v>#VALUE!</v>
      </c>
      <c r="DK113" t="e">
        <f>'2.4.Функции'!JO186+"BYw!&amp;_f"</f>
        <v>#VALUE!</v>
      </c>
      <c r="DL113" t="e">
        <f>'2.4.Функции'!JP186+"BYw!&amp;_g"</f>
        <v>#VALUE!</v>
      </c>
      <c r="DM113" t="e">
        <f>'2.4.Функции'!JQ186+"BYw!&amp;_h"</f>
        <v>#VALUE!</v>
      </c>
      <c r="DN113" t="e">
        <f>'2.4.Функции'!JR186+"BYw!&amp;_i"</f>
        <v>#VALUE!</v>
      </c>
      <c r="DO113" t="e">
        <f>'2.4.Функции'!JS186+"BYw!&amp;_j"</f>
        <v>#VALUE!</v>
      </c>
      <c r="DP113" t="e">
        <f>'2.4.Функции'!JT186+"BYw!&amp;_k"</f>
        <v>#VALUE!</v>
      </c>
      <c r="DQ113" t="e">
        <f>'2.4.Функции'!JU186+"BYw!&amp;_l"</f>
        <v>#VALUE!</v>
      </c>
      <c r="DR113" t="e">
        <f>'2.4.Функции'!JV186+"BYw!&amp;_m"</f>
        <v>#VALUE!</v>
      </c>
      <c r="DS113" t="e">
        <f>'2.4.Функции'!JW186+"BYw!&amp;_n"</f>
        <v>#VALUE!</v>
      </c>
      <c r="DT113" t="e">
        <f>'2.4.Функции'!JX186+"BYw!&amp;_o"</f>
        <v>#VALUE!</v>
      </c>
      <c r="DU113" t="e">
        <f>'2.4.Функции'!JY186+"BYw!&amp;_p"</f>
        <v>#VALUE!</v>
      </c>
      <c r="DV113" t="e">
        <f>'2.4.Функции'!JZ186+"BYw!&amp;_q"</f>
        <v>#VALUE!</v>
      </c>
      <c r="DW113" t="e">
        <f>'2.4.Функции'!KA186+"BYw!&amp;_r"</f>
        <v>#VALUE!</v>
      </c>
      <c r="DX113" t="e">
        <f>'2.4.Функции'!KB186+"BYw!&amp;_s"</f>
        <v>#VALUE!</v>
      </c>
      <c r="DY113" t="e">
        <f>'2.4.Функции'!KC186+"BYw!&amp;_t"</f>
        <v>#VALUE!</v>
      </c>
      <c r="DZ113" t="e">
        <f>'2.4.Функции'!KD186+"BYw!&amp;_u"</f>
        <v>#VALUE!</v>
      </c>
      <c r="EA113" t="e">
        <f>'2.4.Функции'!KE186+"BYw!&amp;_v"</f>
        <v>#VALUE!</v>
      </c>
      <c r="EB113" t="e">
        <f>'2.4.Функции'!KF186+"BYw!&amp;_w"</f>
        <v>#VALUE!</v>
      </c>
      <c r="EC113" t="e">
        <f>'2.4.Функции'!KG186+"BYw!&amp;_x"</f>
        <v>#VALUE!</v>
      </c>
      <c r="ED113" t="e">
        <f>'2.4.Функции'!KH186+"BYw!&amp;_y"</f>
        <v>#VALUE!</v>
      </c>
      <c r="EE113" t="e">
        <f>'2.4.Функции'!KI186+"BYw!&amp;_z"</f>
        <v>#VALUE!</v>
      </c>
      <c r="EF113" t="e">
        <f>'2.4.Функции'!KJ186+"BYw!&amp;_{"</f>
        <v>#VALUE!</v>
      </c>
      <c r="EG113" t="e">
        <f>'2.4.Функции'!KK186+"BYw!&amp;_|"</f>
        <v>#VALUE!</v>
      </c>
      <c r="EH113" t="e">
        <f>'2.4.Функции'!KL186+"BYw!&amp;_}"</f>
        <v>#VALUE!</v>
      </c>
      <c r="EI113" t="e">
        <f>'2.4.Функции'!KM186+"BYw!&amp;_~"</f>
        <v>#VALUE!</v>
      </c>
      <c r="EJ113" t="e">
        <f>'2.4.Функции'!KN186+"BYw!&amp;`#"</f>
        <v>#VALUE!</v>
      </c>
      <c r="EK113" t="e">
        <f>'2.4.Функции'!KO186+"BYw!&amp;`$"</f>
        <v>#VALUE!</v>
      </c>
      <c r="EL113" t="e">
        <f>'2.4.Функции'!KP186+"BYw!&amp;`%"</f>
        <v>#VALUE!</v>
      </c>
      <c r="EM113" t="e">
        <f>'2.4.Функции'!KQ186+"BYw!&amp;`&amp;"</f>
        <v>#VALUE!</v>
      </c>
      <c r="EN113" t="e">
        <f>'2.4.Функции'!KR186+"BYw!&amp;`'"</f>
        <v>#VALUE!</v>
      </c>
      <c r="EO113" t="e">
        <f>'2.4.Функции'!KS186+"BYw!&amp;`("</f>
        <v>#VALUE!</v>
      </c>
      <c r="EP113" t="e">
        <f>'2.4.Функции'!KT186+"BYw!&amp;`)"</f>
        <v>#VALUE!</v>
      </c>
      <c r="EQ113" t="e">
        <f>'2.4.Функции'!KU186+"BYw!&amp;`."</f>
        <v>#VALUE!</v>
      </c>
      <c r="ER113" t="e">
        <f>'2.4.Функции'!KV186+"BYw!&amp;`/"</f>
        <v>#VALUE!</v>
      </c>
      <c r="ES113" t="e">
        <f>'2.4.Функции'!KW186+"BYw!&amp;`0"</f>
        <v>#VALUE!</v>
      </c>
      <c r="ET113" t="e">
        <f>'2.4.Функции'!KX186+"BYw!&amp;`1"</f>
        <v>#VALUE!</v>
      </c>
      <c r="EU113" t="e">
        <f>'2.4.Функции'!KY186+"BYw!&amp;`2"</f>
        <v>#VALUE!</v>
      </c>
      <c r="EV113" t="e">
        <f>'2.4.Функции'!KZ186+"BYw!&amp;`3"</f>
        <v>#VALUE!</v>
      </c>
      <c r="EW113" t="e">
        <f>'2.4.Функции'!LA186+"BYw!&amp;`4"</f>
        <v>#VALUE!</v>
      </c>
      <c r="EX113" t="e">
        <f>'2.4.Функции'!LB186+"BYw!&amp;`5"</f>
        <v>#VALUE!</v>
      </c>
      <c r="EY113" t="e">
        <f>'2.4.Функции'!LC186+"BYw!&amp;`6"</f>
        <v>#VALUE!</v>
      </c>
      <c r="EZ113" t="e">
        <f>'2.4.Функции'!LD186+"BYw!&amp;`7"</f>
        <v>#VALUE!</v>
      </c>
      <c r="FA113" t="e">
        <f>'2.4.Функции'!LE186+"BYw!&amp;`8"</f>
        <v>#VALUE!</v>
      </c>
      <c r="FB113" t="e">
        <f>'2.4.Функции'!LF186+"BYw!&amp;`9"</f>
        <v>#VALUE!</v>
      </c>
      <c r="FC113" t="e">
        <f>'2.4.Функции'!LG186+"BYw!&amp;`:"</f>
        <v>#VALUE!</v>
      </c>
      <c r="FD113" t="e">
        <f>'2.4.Функции'!LH186+"BYw!&amp;`;"</f>
        <v>#VALUE!</v>
      </c>
      <c r="FE113" t="e">
        <f>'2.4.Функции'!LI186+"BYw!&amp;`&lt;"</f>
        <v>#VALUE!</v>
      </c>
      <c r="FF113" t="e">
        <f>'2.4.Функции'!LJ186+"BYw!&amp;`="</f>
        <v>#VALUE!</v>
      </c>
      <c r="FG113" t="e">
        <f>'2.4.Функции'!LK186+"BYw!&amp;`&gt;"</f>
        <v>#VALUE!</v>
      </c>
      <c r="FH113" t="e">
        <f>'2.4.Функции'!LL186+"BYw!&amp;`?"</f>
        <v>#VALUE!</v>
      </c>
      <c r="FI113" t="e">
        <f>'2.4.Функции'!LM186+"BYw!&amp;`@"</f>
        <v>#VALUE!</v>
      </c>
      <c r="FJ113" t="e">
        <f>'2.4.Функции'!LN186+"BYw!&amp;`A"</f>
        <v>#VALUE!</v>
      </c>
      <c r="FK113" t="e">
        <f>'2.4.Функции'!LO186+"BYw!&amp;`B"</f>
        <v>#VALUE!</v>
      </c>
      <c r="FL113" t="e">
        <f>'2.4.Функции'!LP186+"BYw!&amp;`C"</f>
        <v>#VALUE!</v>
      </c>
      <c r="FM113" t="e">
        <f>'2.4.Функции'!LQ186+"BYw!&amp;`D"</f>
        <v>#VALUE!</v>
      </c>
      <c r="FN113" t="e">
        <f>'2.4.Функции'!LR186+"BYw!&amp;`E"</f>
        <v>#VALUE!</v>
      </c>
      <c r="FO113" t="e">
        <f>'2.4.Функции'!LS186+"BYw!&amp;`F"</f>
        <v>#VALUE!</v>
      </c>
      <c r="FP113" t="e">
        <f>'2.4.Функции'!LT186+"BYw!&amp;`G"</f>
        <v>#VALUE!</v>
      </c>
      <c r="FQ113" t="e">
        <f>'2.4.Функции'!LU186+"BYw!&amp;`H"</f>
        <v>#VALUE!</v>
      </c>
      <c r="FR113" t="e">
        <f>'2.4.Функции'!LV186+"BYw!&amp;`I"</f>
        <v>#VALUE!</v>
      </c>
      <c r="FS113" t="e">
        <f>'2.4.Функции'!LW186+"BYw!&amp;`J"</f>
        <v>#VALUE!</v>
      </c>
      <c r="FT113" t="e">
        <f>'2.4.Функции'!LX186+"BYw!&amp;`K"</f>
        <v>#VALUE!</v>
      </c>
      <c r="FU113" t="e">
        <f>'2.4.Функции'!LY186+"BYw!&amp;`L"</f>
        <v>#VALUE!</v>
      </c>
      <c r="FV113" t="e">
        <f>'2.4.Функции'!LZ186+"BYw!&amp;`M"</f>
        <v>#VALUE!</v>
      </c>
      <c r="FW113" t="e">
        <f>'2.4.Функции'!MA186+"BYw!&amp;`N"</f>
        <v>#VALUE!</v>
      </c>
      <c r="FX113" t="e">
        <f>'2.4.Функции'!MB186+"BYw!&amp;`O"</f>
        <v>#VALUE!</v>
      </c>
      <c r="FY113" t="e">
        <f>'2.4.Функции'!MC186+"BYw!&amp;`P"</f>
        <v>#VALUE!</v>
      </c>
      <c r="FZ113" t="e">
        <f>'2.4.Функции'!MD186+"BYw!&amp;`Q"</f>
        <v>#VALUE!</v>
      </c>
      <c r="GA113" t="e">
        <f>'2.4.Функции'!ME186+"BYw!&amp;`R"</f>
        <v>#VALUE!</v>
      </c>
      <c r="GB113" t="e">
        <f>'2.4.Функции'!MF186+"BYw!&amp;`S"</f>
        <v>#VALUE!</v>
      </c>
      <c r="GC113" t="e">
        <f>'2.4.Функции'!MG186+"BYw!&amp;`T"</f>
        <v>#VALUE!</v>
      </c>
      <c r="GD113" t="e">
        <f>'2.4.Функции'!MH186+"BYw!&amp;`U"</f>
        <v>#VALUE!</v>
      </c>
      <c r="GE113" t="e">
        <f>'2.4.Функции'!MI186+"BYw!&amp;`V"</f>
        <v>#VALUE!</v>
      </c>
      <c r="GF113" t="e">
        <f>'2.4.Функции'!MJ186+"BYw!&amp;`W"</f>
        <v>#VALUE!</v>
      </c>
      <c r="GG113" t="e">
        <f>'2.4.Функции'!MK186+"BYw!&amp;`X"</f>
        <v>#VALUE!</v>
      </c>
      <c r="GH113" t="e">
        <f>'2.4.Функции'!ML186+"BYw!&amp;`Y"</f>
        <v>#VALUE!</v>
      </c>
      <c r="GI113" t="e">
        <f>'2.4.Функции'!MM186+"BYw!&amp;`Z"</f>
        <v>#VALUE!</v>
      </c>
      <c r="GJ113" t="e">
        <f>'2.4.Функции'!MN186+"BYw!&amp;`["</f>
        <v>#VALUE!</v>
      </c>
      <c r="GK113" t="e">
        <f>'2.4.Функции'!MO186+"BYw!&amp;`\"</f>
        <v>#VALUE!</v>
      </c>
      <c r="GL113" t="e">
        <f>'2.4.Функции'!MP186+"BYw!&amp;`]"</f>
        <v>#VALUE!</v>
      </c>
      <c r="GM113" t="e">
        <f>'2.4.Функции'!MQ186+"BYw!&amp;`^"</f>
        <v>#VALUE!</v>
      </c>
      <c r="GN113" t="e">
        <f>'2.4.Функции'!MR186+"BYw!&amp;`_"</f>
        <v>#VALUE!</v>
      </c>
      <c r="GO113" t="e">
        <f>'2.4.Функции'!MS186+"BYw!&amp;``"</f>
        <v>#VALUE!</v>
      </c>
      <c r="GP113" t="e">
        <f>'2.4.Функции'!MT186+"BYw!&amp;`a"</f>
        <v>#VALUE!</v>
      </c>
      <c r="GQ113" t="e">
        <f>'2.4.Функции'!MU186+"BYw!&amp;`b"</f>
        <v>#VALUE!</v>
      </c>
      <c r="GR113" t="e">
        <f>'2.4.Функции'!MV186+"BYw!&amp;`c"</f>
        <v>#VALUE!</v>
      </c>
      <c r="GS113" t="e">
        <f>'2.4.Функции'!MW186+"BYw!&amp;`d"</f>
        <v>#VALUE!</v>
      </c>
      <c r="GT113" t="e">
        <f>'2.4.Функции'!MX186+"BYw!&amp;`e"</f>
        <v>#VALUE!</v>
      </c>
      <c r="GU113" t="e">
        <f>'2.4.Функции'!MY186+"BYw!&amp;`f"</f>
        <v>#VALUE!</v>
      </c>
      <c r="GV113" t="e">
        <f>'2.4.Функции'!MZ186+"BYw!&amp;`g"</f>
        <v>#VALUE!</v>
      </c>
      <c r="GW113" t="e">
        <f>'2.4.Функции'!NA186+"BYw!&amp;`h"</f>
        <v>#VALUE!</v>
      </c>
      <c r="GX113" t="e">
        <f>'2.4.Функции'!NB186+"BYw!&amp;`i"</f>
        <v>#VALUE!</v>
      </c>
      <c r="GY113" t="e">
        <f>'2.4.Функции'!NC186+"BYw!&amp;`j"</f>
        <v>#VALUE!</v>
      </c>
      <c r="GZ113" t="e">
        <f>'2.4.Функции'!ND186+"BYw!&amp;`k"</f>
        <v>#VALUE!</v>
      </c>
      <c r="HA113" t="e">
        <f>'2.4.Функции'!NE186+"BYw!&amp;`l"</f>
        <v>#VALUE!</v>
      </c>
      <c r="HB113" t="e">
        <f>'2.4.Функции'!NF186+"BYw!&amp;`m"</f>
        <v>#VALUE!</v>
      </c>
      <c r="HC113" t="e">
        <f>'2.4.Функции'!NG186+"BYw!&amp;`n"</f>
        <v>#VALUE!</v>
      </c>
      <c r="HD113" t="e">
        <f>'2.4.Функции'!NH186+"BYw!&amp;`o"</f>
        <v>#VALUE!</v>
      </c>
      <c r="HE113" t="e">
        <f>'2.4.Функции'!NI186+"BYw!&amp;`p"</f>
        <v>#VALUE!</v>
      </c>
      <c r="HF113" t="e">
        <f>'2.4.Функции'!NJ186+"BYw!&amp;`q"</f>
        <v>#VALUE!</v>
      </c>
      <c r="HG113" t="e">
        <f>'2.4.Функции'!NK186+"BYw!&amp;`r"</f>
        <v>#VALUE!</v>
      </c>
      <c r="HH113" t="e">
        <f>'2.4.Функции'!NL186+"BYw!&amp;`s"</f>
        <v>#VALUE!</v>
      </c>
      <c r="HI113" t="e">
        <f>'2.4.Функции'!NM186+"BYw!&amp;`t"</f>
        <v>#VALUE!</v>
      </c>
      <c r="HJ113" t="e">
        <f>'2.4.Функции'!NN186+"BYw!&amp;`u"</f>
        <v>#VALUE!</v>
      </c>
      <c r="HK113" t="e">
        <f>'2.4.Функции'!NO186+"BYw!&amp;`v"</f>
        <v>#VALUE!</v>
      </c>
      <c r="HL113" t="e">
        <f>'2.4.Функции'!NP186+"BYw!&amp;`w"</f>
        <v>#VALUE!</v>
      </c>
      <c r="HM113" t="e">
        <f>'2.4.Функции'!NQ186+"BYw!&amp;`x"</f>
        <v>#VALUE!</v>
      </c>
      <c r="HN113" t="e">
        <f>'2.4.Функции'!NR186+"BYw!&amp;`y"</f>
        <v>#VALUE!</v>
      </c>
      <c r="HO113" t="e">
        <f>'2.4.Функции'!NS186+"BYw!&amp;`z"</f>
        <v>#VALUE!</v>
      </c>
      <c r="HP113" t="e">
        <f>'2.4.Функции'!NT186+"BYw!&amp;`{"</f>
        <v>#VALUE!</v>
      </c>
      <c r="HQ113" t="e">
        <f>'2.4.Функции'!NU186+"BYw!&amp;`|"</f>
        <v>#VALUE!</v>
      </c>
      <c r="HR113" t="e">
        <f>'2.4.Функции'!NV186+"BYw!&amp;`}"</f>
        <v>#VALUE!</v>
      </c>
      <c r="HS113" t="e">
        <f>'2.4.Функции'!NW186+"BYw!&amp;`~"</f>
        <v>#VALUE!</v>
      </c>
      <c r="HT113" t="e">
        <f>'2.4.Функции'!NX186+"BYw!&amp;a#"</f>
        <v>#VALUE!</v>
      </c>
      <c r="HU113" t="e">
        <f>'2.4.Функции'!NY186+"BYw!&amp;a$"</f>
        <v>#VALUE!</v>
      </c>
      <c r="HV113" t="e">
        <f>'2.4.Функции'!NZ186+"BYw!&amp;a%"</f>
        <v>#VALUE!</v>
      </c>
      <c r="HW113" t="e">
        <f>'2.4.Функции'!OA186+"BYw!&amp;a&amp;"</f>
        <v>#VALUE!</v>
      </c>
      <c r="HX113" t="e">
        <f>'2.4.Функции'!OB186+"BYw!&amp;a'"</f>
        <v>#VALUE!</v>
      </c>
      <c r="HY113" t="e">
        <f>'2.4.Функции'!OC186+"BYw!&amp;a("</f>
        <v>#VALUE!</v>
      </c>
      <c r="HZ113" t="e">
        <f>'2.4.Функции'!OD186+"BYw!&amp;a)"</f>
        <v>#VALUE!</v>
      </c>
      <c r="IA113" t="e">
        <f>'2.4.Функции'!OE186+"BYw!&amp;a."</f>
        <v>#VALUE!</v>
      </c>
      <c r="IB113" t="e">
        <f>'2.4.Функции'!OF186+"BYw!&amp;a/"</f>
        <v>#VALUE!</v>
      </c>
      <c r="IC113" t="e">
        <f>'2.4.Функции'!OG186+"BYw!&amp;a0"</f>
        <v>#VALUE!</v>
      </c>
      <c r="ID113" t="e">
        <f>'2.4.Функции'!OH186+"BYw!&amp;a1"</f>
        <v>#VALUE!</v>
      </c>
      <c r="IE113" t="e">
        <f>'2.4.Функции'!OI186+"BYw!&amp;a2"</f>
        <v>#VALUE!</v>
      </c>
      <c r="IF113" t="e">
        <f>'2.4.Функции'!OJ186+"BYw!&amp;a3"</f>
        <v>#VALUE!</v>
      </c>
      <c r="IG113" t="e">
        <f>'2.4.Функции'!OK186+"BYw!&amp;a4"</f>
        <v>#VALUE!</v>
      </c>
      <c r="IH113" t="e">
        <f>'2.4.Функции'!OL186+"BYw!&amp;a5"</f>
        <v>#VALUE!</v>
      </c>
      <c r="II113" t="e">
        <f>'2.4.Функции'!OM186+"BYw!&amp;a6"</f>
        <v>#VALUE!</v>
      </c>
      <c r="IJ113" t="e">
        <f>'2.4.Функции'!ON186+"BYw!&amp;a7"</f>
        <v>#VALUE!</v>
      </c>
      <c r="IK113" t="e">
        <f>'2.4.Функции'!OO186+"BYw!&amp;a8"</f>
        <v>#VALUE!</v>
      </c>
      <c r="IL113" t="e">
        <f>'2.4.Функции'!OP186+"BYw!&amp;a9"</f>
        <v>#VALUE!</v>
      </c>
      <c r="IM113" t="e">
        <f>'2.4.Функции'!OQ186+"BYw!&amp;a:"</f>
        <v>#VALUE!</v>
      </c>
      <c r="IN113" t="e">
        <f>'2.4.Функции'!OR186+"BYw!&amp;a;"</f>
        <v>#VALUE!</v>
      </c>
      <c r="IO113" t="e">
        <f>'2.4.Функции'!OS186+"BYw!&amp;a&lt;"</f>
        <v>#VALUE!</v>
      </c>
      <c r="IP113" t="e">
        <f>'2.4.Функции'!OT186+"BYw!&amp;a="</f>
        <v>#VALUE!</v>
      </c>
      <c r="IQ113" t="e">
        <f>'2.4.Функции'!OU186+"BYw!&amp;a&gt;"</f>
        <v>#VALUE!</v>
      </c>
      <c r="IR113" t="e">
        <f>'2.4.Функции'!OV186+"BYw!&amp;a?"</f>
        <v>#VALUE!</v>
      </c>
      <c r="IS113" t="e">
        <f>'2.4.Функции'!OW186+"BYw!&amp;a@"</f>
        <v>#VALUE!</v>
      </c>
      <c r="IT113" t="e">
        <f>'2.4.Функции'!OX186+"BYw!&amp;aA"</f>
        <v>#VALUE!</v>
      </c>
      <c r="IU113" t="e">
        <f>'2.4.Функции'!OY186+"BYw!&amp;aB"</f>
        <v>#VALUE!</v>
      </c>
      <c r="IV113" t="e">
        <f>'2.4.Функции'!OZ186+"BYw!&amp;aC"</f>
        <v>#VALUE!</v>
      </c>
    </row>
    <row r="114" spans="6:256" x14ac:dyDescent="0.2">
      <c r="F114" t="e">
        <f>'2.4.Функции'!PA186+"BYw!&amp;aD"</f>
        <v>#VALUE!</v>
      </c>
      <c r="G114" t="e">
        <f>'2.4.Функции'!PB186+"BYw!&amp;aE"</f>
        <v>#VALUE!</v>
      </c>
      <c r="H114" t="e">
        <f>'2.4.Функции'!PC186+"BYw!&amp;aF"</f>
        <v>#VALUE!</v>
      </c>
      <c r="I114" t="e">
        <f>'2.4.Функции'!PD186+"BYw!&amp;aG"</f>
        <v>#VALUE!</v>
      </c>
      <c r="J114" t="e">
        <f>'2.4.Функции'!PE186+"BYw!&amp;aH"</f>
        <v>#VALUE!</v>
      </c>
      <c r="K114" t="e">
        <f>'2.4.Функции'!PF186+"BYw!&amp;aI"</f>
        <v>#VALUE!</v>
      </c>
      <c r="L114" t="e">
        <f>'2.4.Функции'!PG186+"BYw!&amp;aJ"</f>
        <v>#VALUE!</v>
      </c>
      <c r="M114" t="e">
        <f>'2.4.Функции'!PH186+"BYw!&amp;aK"</f>
        <v>#VALUE!</v>
      </c>
      <c r="N114" t="e">
        <f>'2.4.Функции'!PI186+"BYw!&amp;aL"</f>
        <v>#VALUE!</v>
      </c>
      <c r="O114" t="e">
        <f>'2.4.Функции'!PJ186+"BYw!&amp;aM"</f>
        <v>#VALUE!</v>
      </c>
      <c r="P114" t="e">
        <f>'2.4.Функции'!PK186+"BYw!&amp;aN"</f>
        <v>#VALUE!</v>
      </c>
      <c r="Q114" t="e">
        <f>'2.4.Функции'!PL186+"BYw!&amp;aO"</f>
        <v>#VALUE!</v>
      </c>
      <c r="R114" t="e">
        <f>'2.4.Функции'!PM186+"BYw!&amp;aP"</f>
        <v>#VALUE!</v>
      </c>
      <c r="S114" t="e">
        <f>'2.4.Функции'!PN186+"BYw!&amp;aQ"</f>
        <v>#VALUE!</v>
      </c>
      <c r="T114" t="e">
        <f>'2.4.Функции'!PO186+"BYw!&amp;aR"</f>
        <v>#VALUE!</v>
      </c>
      <c r="U114" t="e">
        <f>'2.4.Функции'!PP186+"BYw!&amp;aS"</f>
        <v>#VALUE!</v>
      </c>
      <c r="V114" t="e">
        <f>'2.4.Функции'!PQ186+"BYw!&amp;aT"</f>
        <v>#VALUE!</v>
      </c>
      <c r="W114" t="e">
        <f>'2.4.Функции'!PR186+"BYw!&amp;aU"</f>
        <v>#VALUE!</v>
      </c>
      <c r="X114" t="e">
        <f>'2.4.Функции'!PS186+"BYw!&amp;aV"</f>
        <v>#VALUE!</v>
      </c>
      <c r="Y114" t="e">
        <f>'2.4.Функции'!PT186+"BYw!&amp;aW"</f>
        <v>#VALUE!</v>
      </c>
      <c r="Z114" t="e">
        <f>'2.4.Функции'!PU186+"BYw!&amp;aX"</f>
        <v>#VALUE!</v>
      </c>
      <c r="AA114" t="e">
        <f>'2.4.Функции'!PV186+"BYw!&amp;aY"</f>
        <v>#VALUE!</v>
      </c>
      <c r="AB114" t="e">
        <f>'2.4.Функции'!PW186+"BYw!&amp;aZ"</f>
        <v>#VALUE!</v>
      </c>
      <c r="AC114" t="e">
        <f>'2.4.Функции'!PX186+"BYw!&amp;a["</f>
        <v>#VALUE!</v>
      </c>
      <c r="AD114" t="e">
        <f>'2.4.Функции'!PY186+"BYw!&amp;a\"</f>
        <v>#VALUE!</v>
      </c>
      <c r="AE114" t="e">
        <f>'2.4.Функции'!PZ186+"BYw!&amp;a]"</f>
        <v>#VALUE!</v>
      </c>
      <c r="AF114" t="e">
        <f>'2.4.Функции'!QA186+"BYw!&amp;a^"</f>
        <v>#VALUE!</v>
      </c>
      <c r="AG114" t="e">
        <f>'2.4.Функции'!QB186+"BYw!&amp;a_"</f>
        <v>#VALUE!</v>
      </c>
      <c r="AH114" t="e">
        <f>'2.4.Функции'!QC186+"BYw!&amp;a`"</f>
        <v>#VALUE!</v>
      </c>
      <c r="AI114" t="e">
        <f>'2.4.Функции'!QD186+"BYw!&amp;aa"</f>
        <v>#VALUE!</v>
      </c>
      <c r="AJ114" t="e">
        <f>'2.4.Функции'!QE186+"BYw!&amp;ab"</f>
        <v>#VALUE!</v>
      </c>
      <c r="AK114" t="e">
        <f>'2.4.Функции'!QF186+"BYw!&amp;ac"</f>
        <v>#VALUE!</v>
      </c>
      <c r="AL114" t="e">
        <f>'2.4.Функции'!QG186+"BYw!&amp;ad"</f>
        <v>#VALUE!</v>
      </c>
      <c r="AM114" t="e">
        <f>'2.4.Функции'!QH186+"BYw!&amp;ae"</f>
        <v>#VALUE!</v>
      </c>
      <c r="AN114" t="e">
        <f>'2.4.Функции'!QI186+"BYw!&amp;af"</f>
        <v>#VALUE!</v>
      </c>
      <c r="AO114" t="e">
        <f>'2.4.Функции'!QJ186+"BYw!&amp;ag"</f>
        <v>#VALUE!</v>
      </c>
      <c r="AP114" t="e">
        <f>'2.4.Функции'!QK186+"BYw!&amp;ah"</f>
        <v>#VALUE!</v>
      </c>
      <c r="AQ114" t="e">
        <f>'2.4.Функции'!QL186+"BYw!&amp;ai"</f>
        <v>#VALUE!</v>
      </c>
      <c r="AR114" t="e">
        <f>'2.4.Функции'!QM186+"BYw!&amp;aj"</f>
        <v>#VALUE!</v>
      </c>
      <c r="AS114" t="e">
        <f>'2.4.Функции'!QN186+"BYw!&amp;ak"</f>
        <v>#VALUE!</v>
      </c>
      <c r="AT114" t="e">
        <f>'2.4.Функции'!QO186+"BYw!&amp;al"</f>
        <v>#VALUE!</v>
      </c>
      <c r="AU114" t="e">
        <f>'2.4.Функции'!QP186+"BYw!&amp;am"</f>
        <v>#VALUE!</v>
      </c>
      <c r="AV114" t="e">
        <f>'2.4.Функции'!QQ186+"BYw!&amp;an"</f>
        <v>#VALUE!</v>
      </c>
      <c r="AW114" t="e">
        <f>'2.4.Функции'!QR186+"BYw!&amp;ao"</f>
        <v>#VALUE!</v>
      </c>
      <c r="AX114" t="e">
        <f>'2.4.Функции'!QS186+"BYw!&amp;ap"</f>
        <v>#VALUE!</v>
      </c>
      <c r="AY114" t="e">
        <f>'2.4.Функции'!QT186+"BYw!&amp;aq"</f>
        <v>#VALUE!</v>
      </c>
      <c r="AZ114" t="e">
        <f>'2.4.Функции'!QU186+"BYw!&amp;ar"</f>
        <v>#VALUE!</v>
      </c>
      <c r="BA114" t="e">
        <f>'2.4.Функции'!QV186+"BYw!&amp;as"</f>
        <v>#VALUE!</v>
      </c>
      <c r="BB114" t="e">
        <f>'2.4.Функции'!QW186+"BYw!&amp;at"</f>
        <v>#VALUE!</v>
      </c>
      <c r="BC114" t="e">
        <f>'2.4.Функции'!QX186+"BYw!&amp;au"</f>
        <v>#VALUE!</v>
      </c>
      <c r="BD114" t="e">
        <f>'2.4.Функции'!QY186+"BYw!&amp;av"</f>
        <v>#VALUE!</v>
      </c>
      <c r="BE114" t="e">
        <f>'2.4.Функции'!QZ186+"BYw!&amp;aw"</f>
        <v>#VALUE!</v>
      </c>
      <c r="BF114" t="e">
        <f>'2.4.Функции'!RA186+"BYw!&amp;ax"</f>
        <v>#VALUE!</v>
      </c>
      <c r="BG114" t="e">
        <f>'2.4.Функции'!RB186+"BYw!&amp;ay"</f>
        <v>#VALUE!</v>
      </c>
      <c r="BH114" t="e">
        <f>'2.4.Функции'!RC186+"BYw!&amp;az"</f>
        <v>#VALUE!</v>
      </c>
      <c r="BI114" t="e">
        <f>'2.4.Функции'!RD186+"BYw!&amp;a{"</f>
        <v>#VALUE!</v>
      </c>
      <c r="BJ114" t="e">
        <f>'2.4.Функции'!RE186+"BYw!&amp;a|"</f>
        <v>#VALUE!</v>
      </c>
      <c r="BK114" t="e">
        <f>'2.4.Функции'!RF186+"BYw!&amp;a}"</f>
        <v>#VALUE!</v>
      </c>
      <c r="BL114" t="e">
        <f>'2.4.Функции'!RG186+"BYw!&amp;a~"</f>
        <v>#VALUE!</v>
      </c>
      <c r="BM114" t="e">
        <f>'2.4.Функции'!RH186+"BYw!&amp;b#"</f>
        <v>#VALUE!</v>
      </c>
      <c r="BN114" t="e">
        <f>'2.4.Функции'!RI186+"BYw!&amp;b$"</f>
        <v>#VALUE!</v>
      </c>
      <c r="BO114" t="e">
        <f>'2.4.Функции'!RJ186+"BYw!&amp;b%"</f>
        <v>#VALUE!</v>
      </c>
      <c r="BP114" t="e">
        <f>'2.4.Функции'!RK186+"BYw!&amp;b&amp;"</f>
        <v>#VALUE!</v>
      </c>
      <c r="BQ114" t="e">
        <f>'2.4.Функции'!RL186+"BYw!&amp;b'"</f>
        <v>#VALUE!</v>
      </c>
      <c r="BR114" t="e">
        <f>'2.4.Функции'!RM186+"BYw!&amp;b("</f>
        <v>#VALUE!</v>
      </c>
      <c r="BS114" t="e">
        <f>'2.4.Функции'!RN186+"BYw!&amp;b)"</f>
        <v>#VALUE!</v>
      </c>
      <c r="BT114" t="e">
        <f>'2.4.Функции'!RO186+"BYw!&amp;b."</f>
        <v>#VALUE!</v>
      </c>
      <c r="BU114" t="e">
        <f>'2.4.Функции'!RP186+"BYw!&amp;b/"</f>
        <v>#VALUE!</v>
      </c>
      <c r="BV114" t="e">
        <f>'2.4.Функции'!RQ186+"BYw!&amp;b0"</f>
        <v>#VALUE!</v>
      </c>
      <c r="BW114" t="e">
        <f>'2.4.Функции'!RR186+"BYw!&amp;b1"</f>
        <v>#VALUE!</v>
      </c>
      <c r="BX114" t="e">
        <f>'2.4.Функции'!RS186+"BYw!&amp;b2"</f>
        <v>#VALUE!</v>
      </c>
      <c r="BY114" t="e">
        <f>'2.4.Функции'!RT186+"BYw!&amp;b3"</f>
        <v>#VALUE!</v>
      </c>
      <c r="BZ114" t="e">
        <f>'2.4.Функции'!RU186+"BYw!&amp;b4"</f>
        <v>#VALUE!</v>
      </c>
      <c r="CA114" t="e">
        <f>'2.4.Функции'!RV186+"BYw!&amp;b5"</f>
        <v>#VALUE!</v>
      </c>
      <c r="CB114" t="e">
        <f>'2.4.Функции'!RW186+"BYw!&amp;b6"</f>
        <v>#VALUE!</v>
      </c>
      <c r="CC114" t="e">
        <f>'2.4.Функции'!RX186+"BYw!&amp;b7"</f>
        <v>#VALUE!</v>
      </c>
      <c r="CD114" t="e">
        <f>'2.4.Функции'!RY186+"BYw!&amp;b8"</f>
        <v>#VALUE!</v>
      </c>
      <c r="CE114" t="e">
        <f>'2.4.Функции'!RZ186+"BYw!&amp;b9"</f>
        <v>#VALUE!</v>
      </c>
      <c r="CF114" t="e">
        <f>'2.4.Функции'!SA186+"BYw!&amp;b:"</f>
        <v>#VALUE!</v>
      </c>
      <c r="CG114" t="e">
        <f>'2.4.Функции'!SB186+"BYw!&amp;b;"</f>
        <v>#VALUE!</v>
      </c>
      <c r="CH114" t="e">
        <f>'2.4.Функции'!SC186+"BYw!&amp;b&lt;"</f>
        <v>#VALUE!</v>
      </c>
      <c r="CI114" t="e">
        <f>'2.4.Функции'!SD186+"BYw!&amp;b="</f>
        <v>#VALUE!</v>
      </c>
      <c r="CJ114" t="e">
        <f>'2.4.Функции'!SE186+"BYw!&amp;b&gt;"</f>
        <v>#VALUE!</v>
      </c>
      <c r="CK114" t="e">
        <f>'2.4.Функции'!SF186+"BYw!&amp;b?"</f>
        <v>#VALUE!</v>
      </c>
      <c r="CL114" t="e">
        <f>'2.4.Функции'!SG186+"BYw!&amp;b@"</f>
        <v>#VALUE!</v>
      </c>
      <c r="CM114" t="e">
        <f>'2.4.Функции'!SH186+"BYw!&amp;bA"</f>
        <v>#VALUE!</v>
      </c>
      <c r="CN114" t="e">
        <f>'2.4.Функции'!SI186+"BYw!&amp;bB"</f>
        <v>#VALUE!</v>
      </c>
      <c r="CO114" t="e">
        <f>'2.4.Функции'!SJ186+"BYw!&amp;bC"</f>
        <v>#VALUE!</v>
      </c>
      <c r="CP114" t="e">
        <f>'2.4.Функции'!SK186+"BYw!&amp;bD"</f>
        <v>#VALUE!</v>
      </c>
      <c r="CQ114" t="e">
        <f>'2.4.Функции'!SL186+"BYw!&amp;bE"</f>
        <v>#VALUE!</v>
      </c>
      <c r="CR114" t="e">
        <f>'2.4.Функции'!SM186+"BYw!&amp;bF"</f>
        <v>#VALUE!</v>
      </c>
      <c r="CS114" t="e">
        <f>'2.4.Функции'!SN186+"BYw!&amp;bG"</f>
        <v>#VALUE!</v>
      </c>
      <c r="CT114" t="e">
        <f>'2.4.Функции'!SO186+"BYw!&amp;bH"</f>
        <v>#VALUE!</v>
      </c>
      <c r="CU114" t="e">
        <f>'2.4.Функции'!SP186+"BYw!&amp;bI"</f>
        <v>#VALUE!</v>
      </c>
      <c r="CV114" t="e">
        <f>'2.4.Функции'!SQ186+"BYw!&amp;bJ"</f>
        <v>#VALUE!</v>
      </c>
      <c r="CW114" t="e">
        <f>'2.4.Функции'!SR186+"BYw!&amp;bK"</f>
        <v>#VALUE!</v>
      </c>
      <c r="CX114" t="e">
        <f>'2.4.Функции'!SS186+"BYw!&amp;bL"</f>
        <v>#VALUE!</v>
      </c>
      <c r="CY114" t="e">
        <f>'2.4.Функции'!ST186+"BYw!&amp;bM"</f>
        <v>#VALUE!</v>
      </c>
      <c r="CZ114" t="e">
        <f>'2.4.Функции'!SU186+"BYw!&amp;bN"</f>
        <v>#VALUE!</v>
      </c>
      <c r="DA114" t="e">
        <f>'2.4.Функции'!SV186+"BYw!&amp;bO"</f>
        <v>#VALUE!</v>
      </c>
      <c r="DB114" t="e">
        <f>'2.4.Функции'!SW186+"BYw!&amp;bP"</f>
        <v>#VALUE!</v>
      </c>
      <c r="DC114" t="e">
        <f>'2.4.Функции'!SX186+"BYw!&amp;bQ"</f>
        <v>#VALUE!</v>
      </c>
      <c r="DD114" t="e">
        <f>'2.4.Функции'!SY186+"BYw!&amp;bR"</f>
        <v>#VALUE!</v>
      </c>
      <c r="DE114" t="e">
        <f>'2.4.Функции'!SZ186+"BYw!&amp;bS"</f>
        <v>#VALUE!</v>
      </c>
      <c r="DF114" t="e">
        <f>'2.4.Функции'!TA186+"BYw!&amp;bT"</f>
        <v>#VALUE!</v>
      </c>
      <c r="DG114" t="e">
        <f>'2.4.Функции'!TB186+"BYw!&amp;bU"</f>
        <v>#VALUE!</v>
      </c>
      <c r="DH114" t="e">
        <f>'2.4.Функции'!TC186+"BYw!&amp;bV"</f>
        <v>#VALUE!</v>
      </c>
      <c r="DI114" t="e">
        <f>'2.4.Функции'!TD186+"BYw!&amp;bW"</f>
        <v>#VALUE!</v>
      </c>
      <c r="DJ114" t="e">
        <f>'2.4.Функции'!TE186+"BYw!&amp;bX"</f>
        <v>#VALUE!</v>
      </c>
      <c r="DK114" t="e">
        <f>'2.4.Функции'!TF186+"BYw!&amp;bY"</f>
        <v>#VALUE!</v>
      </c>
      <c r="DL114" t="e">
        <f>'2.4.Функции'!TG186+"BYw!&amp;bZ"</f>
        <v>#VALUE!</v>
      </c>
      <c r="DM114" t="e">
        <f>'2.4.Функции'!TH186+"BYw!&amp;b["</f>
        <v>#VALUE!</v>
      </c>
      <c r="DN114" t="e">
        <f>'2.4.Функции'!TI186+"BYw!&amp;b\"</f>
        <v>#VALUE!</v>
      </c>
      <c r="DO114" t="e">
        <f>'2.4.Функции'!TJ186+"BYw!&amp;b]"</f>
        <v>#VALUE!</v>
      </c>
      <c r="DP114" t="e">
        <f>'2.4.Функции'!TK186+"BYw!&amp;b^"</f>
        <v>#VALUE!</v>
      </c>
      <c r="DQ114" t="e">
        <f>'2.4.Функции'!TL186+"BYw!&amp;b_"</f>
        <v>#VALUE!</v>
      </c>
      <c r="DR114" t="e">
        <f>'2.4.Функции'!TM186+"BYw!&amp;b`"</f>
        <v>#VALUE!</v>
      </c>
      <c r="DS114" t="e">
        <f>'2.4.Функции'!TN186+"BYw!&amp;ba"</f>
        <v>#VALUE!</v>
      </c>
      <c r="DT114" t="e">
        <f>'2.4.Функции'!TO186+"BYw!&amp;bb"</f>
        <v>#VALUE!</v>
      </c>
      <c r="DU114" t="e">
        <f>'2.4.Функции'!TP186+"BYw!&amp;bc"</f>
        <v>#VALUE!</v>
      </c>
      <c r="DV114" t="e">
        <f>'2.4.Функции'!TQ186+"BYw!&amp;bd"</f>
        <v>#VALUE!</v>
      </c>
      <c r="DW114" t="e">
        <f>'2.4.Функции'!TR186+"BYw!&amp;be"</f>
        <v>#VALUE!</v>
      </c>
      <c r="DX114" t="e">
        <f>'2.4.Функции'!TS186+"BYw!&amp;bf"</f>
        <v>#VALUE!</v>
      </c>
      <c r="DY114" t="e">
        <f>'2.4.Функции'!TT186+"BYw!&amp;bg"</f>
        <v>#VALUE!</v>
      </c>
      <c r="DZ114" t="e">
        <f>'2.4.Функции'!TU186+"BYw!&amp;bh"</f>
        <v>#VALUE!</v>
      </c>
      <c r="EA114" t="e">
        <f>'2.4.Функции'!TV186+"BYw!&amp;bi"</f>
        <v>#VALUE!</v>
      </c>
      <c r="EB114" t="e">
        <f>'2.4.Функции'!TW186+"BYw!&amp;bj"</f>
        <v>#VALUE!</v>
      </c>
      <c r="EC114" t="e">
        <f>'2.4.Функции'!TX186+"BYw!&amp;bk"</f>
        <v>#VALUE!</v>
      </c>
      <c r="ED114" t="e">
        <f>'2.4.Функции'!TY186+"BYw!&amp;bl"</f>
        <v>#VALUE!</v>
      </c>
      <c r="EE114" t="e">
        <f>'2.4.Функции'!TZ186+"BYw!&amp;bm"</f>
        <v>#VALUE!</v>
      </c>
      <c r="EF114" t="e">
        <f>'2.4.Функции'!UA186+"BYw!&amp;bn"</f>
        <v>#VALUE!</v>
      </c>
      <c r="EG114" t="e">
        <f>'2.4.Функции'!UB186+"BYw!&amp;bo"</f>
        <v>#VALUE!</v>
      </c>
      <c r="EH114" t="e">
        <f>'2.4.Функции'!UC186+"BYw!&amp;bp"</f>
        <v>#VALUE!</v>
      </c>
      <c r="EI114" t="e">
        <f>'2.4.Функции'!UD186+"BYw!&amp;bq"</f>
        <v>#VALUE!</v>
      </c>
      <c r="EJ114" t="e">
        <f>'2.4.Функции'!UE186+"BYw!&amp;br"</f>
        <v>#VALUE!</v>
      </c>
      <c r="EK114" t="e">
        <f>'2.4.Функции'!UF186+"BYw!&amp;bs"</f>
        <v>#VALUE!</v>
      </c>
      <c r="EL114" t="e">
        <f>'2.4.Функции'!UG186+"BYw!&amp;bt"</f>
        <v>#VALUE!</v>
      </c>
      <c r="EM114" t="e">
        <f>'2.4.Функции'!UH186+"BYw!&amp;bu"</f>
        <v>#VALUE!</v>
      </c>
      <c r="EN114" t="e">
        <f>'2.4.Функции'!UI186+"BYw!&amp;bv"</f>
        <v>#VALUE!</v>
      </c>
      <c r="EO114" t="e">
        <f>'2.4.Функции'!UJ186+"BYw!&amp;bw"</f>
        <v>#VALUE!</v>
      </c>
      <c r="EP114" t="e">
        <f>'2.4.Функции'!UK186+"BYw!&amp;bx"</f>
        <v>#VALUE!</v>
      </c>
      <c r="EQ114" t="e">
        <f>'2.4.Функции'!UL186+"BYw!&amp;by"</f>
        <v>#VALUE!</v>
      </c>
      <c r="ER114" t="e">
        <f>'2.4.Функции'!UM186+"BYw!&amp;bz"</f>
        <v>#VALUE!</v>
      </c>
      <c r="ES114" t="e">
        <f>'2.4.Функции'!UN186+"BYw!&amp;b{"</f>
        <v>#VALUE!</v>
      </c>
      <c r="ET114" t="e">
        <f>'2.4.Функции'!UO186+"BYw!&amp;b|"</f>
        <v>#VALUE!</v>
      </c>
      <c r="EU114" t="e">
        <f>'2.4.Функции'!UP186+"BYw!&amp;b}"</f>
        <v>#VALUE!</v>
      </c>
      <c r="EV114" t="e">
        <f>'2.4.Функции'!UQ186+"BYw!&amp;b~"</f>
        <v>#VALUE!</v>
      </c>
      <c r="EW114" t="e">
        <f>'2.4.Функции'!UR186+"BYw!&amp;c#"</f>
        <v>#VALUE!</v>
      </c>
      <c r="EX114" t="e">
        <f>'2.4.Функции'!US186+"BYw!&amp;c$"</f>
        <v>#VALUE!</v>
      </c>
      <c r="EY114" t="e">
        <f>'2.4.Функции'!UT186+"BYw!&amp;c%"</f>
        <v>#VALUE!</v>
      </c>
      <c r="EZ114" t="e">
        <f>'2.4.Функции'!UU186+"BYw!&amp;c&amp;"</f>
        <v>#VALUE!</v>
      </c>
      <c r="FA114" t="e">
        <f>'2.4.Функции'!UV186+"BYw!&amp;c'"</f>
        <v>#VALUE!</v>
      </c>
      <c r="FB114" t="e">
        <f>'2.4.Функции'!UW186+"BYw!&amp;c("</f>
        <v>#VALUE!</v>
      </c>
      <c r="FC114" t="e">
        <f>'2.4.Функции'!UX186+"BYw!&amp;c)"</f>
        <v>#VALUE!</v>
      </c>
      <c r="FD114" t="e">
        <f>'2.4.Функции'!UY186+"BYw!&amp;c."</f>
        <v>#VALUE!</v>
      </c>
      <c r="FE114" t="e">
        <f>'2.4.Функции'!UZ186+"BYw!&amp;c/"</f>
        <v>#VALUE!</v>
      </c>
      <c r="FF114" t="e">
        <f>'2.4.Функции'!VA186+"BYw!&amp;c0"</f>
        <v>#VALUE!</v>
      </c>
      <c r="FG114" t="e">
        <f>'2.4.Функции'!VB186+"BYw!&amp;c1"</f>
        <v>#VALUE!</v>
      </c>
      <c r="FH114" t="e">
        <f>'2.4.Функции'!VC186+"BYw!&amp;c2"</f>
        <v>#VALUE!</v>
      </c>
      <c r="FI114" t="e">
        <f>'2.4.Функции'!VD186+"BYw!&amp;c3"</f>
        <v>#VALUE!</v>
      </c>
      <c r="FJ114" t="e">
        <f>'2.4.Функции'!VE186+"BYw!&amp;c4"</f>
        <v>#VALUE!</v>
      </c>
      <c r="FK114" t="e">
        <f>'2.4.Функции'!VF186+"BYw!&amp;c5"</f>
        <v>#VALUE!</v>
      </c>
      <c r="FL114" t="e">
        <f>'2.4.Функции'!VG186+"BYw!&amp;c6"</f>
        <v>#VALUE!</v>
      </c>
      <c r="FM114" t="e">
        <f>'2.4.Функции'!VH186+"BYw!&amp;c7"</f>
        <v>#VALUE!</v>
      </c>
      <c r="FN114" t="e">
        <f>'2.4.Функции'!VI186+"BYw!&amp;c8"</f>
        <v>#VALUE!</v>
      </c>
      <c r="FO114" t="e">
        <f>'2.4.Функции'!VJ186+"BYw!&amp;c9"</f>
        <v>#VALUE!</v>
      </c>
      <c r="FP114" t="e">
        <f>'2.4.Функции'!VK186+"BYw!&amp;c:"</f>
        <v>#VALUE!</v>
      </c>
      <c r="FQ114" t="e">
        <f>'2.4.Функции'!VL186+"BYw!&amp;c;"</f>
        <v>#VALUE!</v>
      </c>
      <c r="FR114" t="e">
        <f>'2.4.Функции'!VM186+"BYw!&amp;c&lt;"</f>
        <v>#VALUE!</v>
      </c>
      <c r="FS114" t="e">
        <f>'2.4.Функции'!VN186+"BYw!&amp;c="</f>
        <v>#VALUE!</v>
      </c>
      <c r="FT114" t="e">
        <f>'2.4.Функции'!VO186+"BYw!&amp;c&gt;"</f>
        <v>#VALUE!</v>
      </c>
      <c r="FU114" t="e">
        <f>'2.4.Функции'!VP186+"BYw!&amp;c?"</f>
        <v>#VALUE!</v>
      </c>
      <c r="FV114" t="e">
        <f>'2.4.Функции'!VQ186+"BYw!&amp;c@"</f>
        <v>#VALUE!</v>
      </c>
      <c r="FW114" t="e">
        <f>'2.4.Функции'!VR186+"BYw!&amp;cA"</f>
        <v>#VALUE!</v>
      </c>
      <c r="FX114" t="e">
        <f>'2.4.Функции'!VS186+"BYw!&amp;cB"</f>
        <v>#VALUE!</v>
      </c>
      <c r="FY114" t="e">
        <f>'2.4.Функции'!VT186+"BYw!&amp;cC"</f>
        <v>#VALUE!</v>
      </c>
      <c r="FZ114" t="e">
        <f>'2.4.Функции'!VU186+"BYw!&amp;cD"</f>
        <v>#VALUE!</v>
      </c>
      <c r="GA114" t="e">
        <f>'2.4.Функции'!VV186+"BYw!&amp;cE"</f>
        <v>#VALUE!</v>
      </c>
      <c r="GB114" t="e">
        <f>'2.4.Функции'!VW186+"BYw!&amp;cF"</f>
        <v>#VALUE!</v>
      </c>
      <c r="GC114" t="e">
        <f>'2.4.Функции'!VX186+"BYw!&amp;cG"</f>
        <v>#VALUE!</v>
      </c>
      <c r="GD114" t="e">
        <f>'2.4.Функции'!VY186+"BYw!&amp;cH"</f>
        <v>#VALUE!</v>
      </c>
      <c r="GE114" t="e">
        <f>'2.4.Функции'!VZ186+"BYw!&amp;cI"</f>
        <v>#VALUE!</v>
      </c>
      <c r="GF114" t="e">
        <f>'2.4.Функции'!WA186+"BYw!&amp;cJ"</f>
        <v>#VALUE!</v>
      </c>
      <c r="GG114" t="e">
        <f>'2.4.Функции'!WB186+"BYw!&amp;cK"</f>
        <v>#VALUE!</v>
      </c>
      <c r="GH114" t="e">
        <f>'2.4.Функции'!WC186+"BYw!&amp;cL"</f>
        <v>#VALUE!</v>
      </c>
      <c r="GI114" t="e">
        <f>'2.4.Функции'!WD186+"BYw!&amp;cM"</f>
        <v>#VALUE!</v>
      </c>
      <c r="GJ114" t="e">
        <f>'2.4.Функции'!WE186+"BYw!&amp;cN"</f>
        <v>#VALUE!</v>
      </c>
      <c r="GK114" t="e">
        <f>'2.4.Функции'!WF186+"BYw!&amp;cO"</f>
        <v>#VALUE!</v>
      </c>
      <c r="GL114" t="e">
        <f>'2.4.Функции'!WG186+"BYw!&amp;cP"</f>
        <v>#VALUE!</v>
      </c>
      <c r="GM114" t="e">
        <f>'2.4.Функции'!WH186+"BYw!&amp;cQ"</f>
        <v>#VALUE!</v>
      </c>
      <c r="GN114" t="e">
        <f>'2.4.Функции'!WI186+"BYw!&amp;cR"</f>
        <v>#VALUE!</v>
      </c>
      <c r="GO114" t="e">
        <f>'2.4.Функции'!WJ186+"BYw!&amp;cS"</f>
        <v>#VALUE!</v>
      </c>
      <c r="GP114" t="e">
        <f>'2.4.Функции'!WK186+"BYw!&amp;cT"</f>
        <v>#VALUE!</v>
      </c>
      <c r="GQ114" t="e">
        <f>'2.4.Функции'!WL186+"BYw!&amp;cU"</f>
        <v>#VALUE!</v>
      </c>
      <c r="GR114" t="e">
        <f>'2.4.Функции'!WM186+"BYw!&amp;cV"</f>
        <v>#VALUE!</v>
      </c>
      <c r="GS114" t="e">
        <f>'2.4.Функции'!WN186+"BYw!&amp;cW"</f>
        <v>#VALUE!</v>
      </c>
      <c r="GT114" t="e">
        <f>'2.4.Функции'!WO186+"BYw!&amp;cX"</f>
        <v>#VALUE!</v>
      </c>
      <c r="GU114" t="e">
        <f>'2.4.Функции'!WP186+"BYw!&amp;cY"</f>
        <v>#VALUE!</v>
      </c>
      <c r="GV114" t="e">
        <f>'2.4.Функции'!WQ186+"BYw!&amp;cZ"</f>
        <v>#VALUE!</v>
      </c>
      <c r="GW114" t="e">
        <f>'2.4.Функции'!WR186+"BYw!&amp;c["</f>
        <v>#VALUE!</v>
      </c>
      <c r="GX114" t="e">
        <f>'2.4.Функции'!WS186+"BYw!&amp;c\"</f>
        <v>#VALUE!</v>
      </c>
      <c r="GY114" t="e">
        <f>'2.4.Функции'!WT186+"BYw!&amp;c]"</f>
        <v>#VALUE!</v>
      </c>
      <c r="GZ114" t="e">
        <f>'2.4.Функции'!WU186+"BYw!&amp;c^"</f>
        <v>#VALUE!</v>
      </c>
      <c r="HA114" t="e">
        <f>'2.4.Функции'!WV186+"BYw!&amp;c_"</f>
        <v>#VALUE!</v>
      </c>
      <c r="HB114" t="e">
        <f>'2.4.Функции'!WW186+"BYw!&amp;c`"</f>
        <v>#VALUE!</v>
      </c>
      <c r="HC114" t="e">
        <f>'2.4.Функции'!WX186+"BYw!&amp;ca"</f>
        <v>#VALUE!</v>
      </c>
      <c r="HD114" t="e">
        <f>'2.4.Функции'!WY186+"BYw!&amp;cb"</f>
        <v>#VALUE!</v>
      </c>
      <c r="HE114" t="e">
        <f>'2.4.Функции'!WZ186+"BYw!&amp;cc"</f>
        <v>#VALUE!</v>
      </c>
      <c r="HF114" t="e">
        <f>'2.4.Функции'!XA186+"BYw!&amp;cd"</f>
        <v>#VALUE!</v>
      </c>
      <c r="HG114" t="e">
        <f>'2.4.Функции'!XB186+"BYw!&amp;ce"</f>
        <v>#VALUE!</v>
      </c>
      <c r="HH114" t="e">
        <f>'2.4.Функции'!XC186+"BYw!&amp;cf"</f>
        <v>#VALUE!</v>
      </c>
      <c r="HI114" t="e">
        <f>'2.4.Функции'!XD186+"BYw!&amp;cg"</f>
        <v>#VALUE!</v>
      </c>
      <c r="HJ114" t="e">
        <f>'2.4.Функции'!XE186+"BYw!&amp;ch"</f>
        <v>#VALUE!</v>
      </c>
      <c r="HK114" t="e">
        <f>'2.4.Функции'!XF186+"BYw!&amp;ci"</f>
        <v>#VALUE!</v>
      </c>
      <c r="HL114" t="e">
        <f>'2.4.Функции'!XG186+"BYw!&amp;cj"</f>
        <v>#VALUE!</v>
      </c>
      <c r="HM114" t="e">
        <f>'2.4.Функции'!XH186+"BYw!&amp;ck"</f>
        <v>#VALUE!</v>
      </c>
      <c r="HN114" t="e">
        <f>'2.4.Функции'!XI186+"BYw!&amp;cl"</f>
        <v>#VALUE!</v>
      </c>
      <c r="HO114" t="e">
        <f>'2.4.Функции'!XJ186+"BYw!&amp;cm"</f>
        <v>#VALUE!</v>
      </c>
      <c r="HP114" t="e">
        <f>'2.4.Функции'!XK186+"BYw!&amp;cn"</f>
        <v>#VALUE!</v>
      </c>
      <c r="HQ114" t="e">
        <f>'2.4.Функции'!XL186+"BYw!&amp;co"</f>
        <v>#VALUE!</v>
      </c>
      <c r="HR114" t="e">
        <f>'2.4.Функции'!XM186+"BYw!&amp;cp"</f>
        <v>#VALUE!</v>
      </c>
      <c r="HS114" t="e">
        <f>'2.4.Функции'!XN186+"BYw!&amp;cq"</f>
        <v>#VALUE!</v>
      </c>
      <c r="HT114" t="e">
        <f>'2.4.Функции'!XO186+"BYw!&amp;cr"</f>
        <v>#VALUE!</v>
      </c>
      <c r="HU114" t="e">
        <f>'2.4.Функции'!XP186+"BYw!&amp;cs"</f>
        <v>#VALUE!</v>
      </c>
      <c r="HV114" t="e">
        <f>'2.4.Функции'!XQ186+"BYw!&amp;ct"</f>
        <v>#VALUE!</v>
      </c>
      <c r="HW114" t="e">
        <f>'2.4.Функции'!XR186+"BYw!&amp;cu"</f>
        <v>#VALUE!</v>
      </c>
      <c r="HX114" t="e">
        <f>'2.4.Функции'!XS186+"BYw!&amp;cv"</f>
        <v>#VALUE!</v>
      </c>
      <c r="HY114" t="e">
        <f>'2.4.Функции'!XT186+"BYw!&amp;cw"</f>
        <v>#VALUE!</v>
      </c>
      <c r="HZ114" t="e">
        <f>'2.4.Функции'!XU186+"BYw!&amp;cx"</f>
        <v>#VALUE!</v>
      </c>
      <c r="IA114" t="e">
        <f>'2.4.Функции'!XV186+"BYw!&amp;cy"</f>
        <v>#VALUE!</v>
      </c>
      <c r="IB114" t="e">
        <f>'2.4.Функции'!XW186+"BYw!&amp;cz"</f>
        <v>#VALUE!</v>
      </c>
      <c r="IC114" t="e">
        <f>'2.4.Функции'!XX186+"BYw!&amp;c{"</f>
        <v>#VALUE!</v>
      </c>
      <c r="ID114" t="e">
        <f>'2.4.Функции'!XY186+"BYw!&amp;c|"</f>
        <v>#VALUE!</v>
      </c>
      <c r="IE114" t="e">
        <f>'2.4.Функции'!XZ186+"BYw!&amp;c}"</f>
        <v>#VALUE!</v>
      </c>
      <c r="IF114" t="e">
        <f>'2.4.Функции'!YA186+"BYw!&amp;c~"</f>
        <v>#VALUE!</v>
      </c>
      <c r="IG114" t="e">
        <f>'2.4.Функции'!YB186+"BYw!&amp;d#"</f>
        <v>#VALUE!</v>
      </c>
      <c r="IH114" t="e">
        <f>'2.4.Функции'!YC186+"BYw!&amp;d$"</f>
        <v>#VALUE!</v>
      </c>
      <c r="II114" t="e">
        <f>'2.4.Функции'!YD186+"BYw!&amp;d%"</f>
        <v>#VALUE!</v>
      </c>
      <c r="IJ114" t="e">
        <f>'2.4.Функции'!YE186+"BYw!&amp;d&amp;"</f>
        <v>#VALUE!</v>
      </c>
      <c r="IK114" t="e">
        <f>'2.4.Функции'!YF186+"BYw!&amp;d'"</f>
        <v>#VALUE!</v>
      </c>
      <c r="IL114" t="e">
        <f>'2.4.Функции'!YG186+"BYw!&amp;d("</f>
        <v>#VALUE!</v>
      </c>
      <c r="IM114" t="e">
        <f>'2.4.Функции'!YH186+"BYw!&amp;d)"</f>
        <v>#VALUE!</v>
      </c>
      <c r="IN114" t="e">
        <f>'2.4.Функции'!YI186+"BYw!&amp;d."</f>
        <v>#VALUE!</v>
      </c>
      <c r="IO114" t="e">
        <f>'2.4.Функции'!YJ186+"BYw!&amp;d/"</f>
        <v>#VALUE!</v>
      </c>
      <c r="IP114" t="e">
        <f>'2.4.Функции'!YK186+"BYw!&amp;d0"</f>
        <v>#VALUE!</v>
      </c>
      <c r="IQ114" t="e">
        <f>'2.4.Функции'!YL186+"BYw!&amp;d1"</f>
        <v>#VALUE!</v>
      </c>
      <c r="IR114" t="e">
        <f>'2.4.Функции'!YM186+"BYw!&amp;d2"</f>
        <v>#VALUE!</v>
      </c>
      <c r="IS114" t="e">
        <f>'2.4.Функции'!YN186+"BYw!&amp;d3"</f>
        <v>#VALUE!</v>
      </c>
      <c r="IT114" t="e">
        <f>'2.4.Функции'!YO186+"BYw!&amp;d4"</f>
        <v>#VALUE!</v>
      </c>
      <c r="IU114" t="e">
        <f>'2.4.Функции'!YP186+"BYw!&amp;d5"</f>
        <v>#VALUE!</v>
      </c>
      <c r="IV114" t="e">
        <f>'2.4.Функции'!YQ186+"BYw!&amp;d6"</f>
        <v>#VALUE!</v>
      </c>
    </row>
    <row r="115" spans="6:256" x14ac:dyDescent="0.2">
      <c r="F115" t="e">
        <f>'2.4.Функции'!YR186+"BYw!&amp;d7"</f>
        <v>#VALUE!</v>
      </c>
      <c r="G115" t="e">
        <f>'2.4.Функции'!YS186+"BYw!&amp;d8"</f>
        <v>#VALUE!</v>
      </c>
      <c r="H115" t="e">
        <f>'2.4.Функции'!YT186+"BYw!&amp;d9"</f>
        <v>#VALUE!</v>
      </c>
      <c r="I115" t="e">
        <f>'2.4.Функции'!YU186+"BYw!&amp;d:"</f>
        <v>#VALUE!</v>
      </c>
      <c r="J115" t="e">
        <f>'2.4.Функции'!YV186+"BYw!&amp;d;"</f>
        <v>#VALUE!</v>
      </c>
      <c r="K115" t="e">
        <f>'2.4.Функции'!YW186+"BYw!&amp;d&lt;"</f>
        <v>#VALUE!</v>
      </c>
      <c r="L115" t="e">
        <f>'2.4.Функции'!YX186+"BYw!&amp;d="</f>
        <v>#VALUE!</v>
      </c>
      <c r="M115" t="e">
        <f>'2.4.Функции'!YY186+"BYw!&amp;d&gt;"</f>
        <v>#VALUE!</v>
      </c>
      <c r="N115" t="e">
        <f>'2.4.Функции'!YZ186+"BYw!&amp;d?"</f>
        <v>#VALUE!</v>
      </c>
      <c r="O115" t="e">
        <f>'2.4.Функции'!ZA186+"BYw!&amp;d@"</f>
        <v>#VALUE!</v>
      </c>
      <c r="P115" t="e">
        <f>'2.4.Функции'!ZB186+"BYw!&amp;dA"</f>
        <v>#VALUE!</v>
      </c>
      <c r="Q115" t="e">
        <f>'2.4.Функции'!ZC186+"BYw!&amp;dB"</f>
        <v>#VALUE!</v>
      </c>
      <c r="R115" t="e">
        <f>'2.4.Функции'!ZD186+"BYw!&amp;dC"</f>
        <v>#VALUE!</v>
      </c>
      <c r="S115" t="e">
        <f>'2.4.Функции'!ZE186+"BYw!&amp;dD"</f>
        <v>#VALUE!</v>
      </c>
      <c r="T115" t="e">
        <f>'2.4.Функции'!ZF186+"BYw!&amp;dE"</f>
        <v>#VALUE!</v>
      </c>
      <c r="U115" t="e">
        <f>'2.4.Функции'!ZG186+"BYw!&amp;dF"</f>
        <v>#VALUE!</v>
      </c>
      <c r="V115" t="e">
        <f>'2.4.Функции'!ZH186+"BYw!&amp;dG"</f>
        <v>#VALUE!</v>
      </c>
      <c r="W115" t="e">
        <f>'2.4.Функции'!ZI186+"BYw!&amp;dH"</f>
        <v>#VALUE!</v>
      </c>
      <c r="X115" t="e">
        <f>'2.4.Функции'!ZJ186+"BYw!&amp;dI"</f>
        <v>#VALUE!</v>
      </c>
      <c r="Y115" t="e">
        <f>'2.4.Функции'!ZK186+"BYw!&amp;dJ"</f>
        <v>#VALUE!</v>
      </c>
      <c r="Z115" t="e">
        <f>'2.4.Функции'!ZL186+"BYw!&amp;dK"</f>
        <v>#VALUE!</v>
      </c>
      <c r="AA115" t="e">
        <f>'2.4.Функции'!ZM186+"BYw!&amp;dL"</f>
        <v>#VALUE!</v>
      </c>
      <c r="AB115" t="e">
        <f>'2.4.Функции'!ZN186+"BYw!&amp;dM"</f>
        <v>#VALUE!</v>
      </c>
      <c r="AC115" t="e">
        <f>'2.4.Функции'!ZO186+"BYw!&amp;dN"</f>
        <v>#VALUE!</v>
      </c>
      <c r="AD115" t="e">
        <f>'2.4.Функции'!ZP186+"BYw!&amp;dO"</f>
        <v>#VALUE!</v>
      </c>
      <c r="AE115" t="e">
        <f>'2.4.Функции'!ZQ186+"BYw!&amp;dP"</f>
        <v>#VALUE!</v>
      </c>
      <c r="AF115" t="e">
        <f>'2.4.Функции'!ZR186+"BYw!&amp;dQ"</f>
        <v>#VALUE!</v>
      </c>
      <c r="AG115" t="e">
        <f>'2.4.Функции'!ZS186+"BYw!&amp;dR"</f>
        <v>#VALUE!</v>
      </c>
      <c r="AH115" t="e">
        <f>'2.4.Функции'!ZT186+"BYw!&amp;dS"</f>
        <v>#VALUE!</v>
      </c>
      <c r="AI115" t="e">
        <f>'2.4.Функции'!ZU186+"BYw!&amp;dT"</f>
        <v>#VALUE!</v>
      </c>
      <c r="AJ115" t="e">
        <f>'2.4.Функции'!ZV186+"BYw!&amp;dU"</f>
        <v>#VALUE!</v>
      </c>
      <c r="AK115" t="e">
        <f>'2.4.Функции'!ZW186+"BYw!&amp;dV"</f>
        <v>#VALUE!</v>
      </c>
      <c r="AL115" t="e">
        <f>'2.4.Функции'!ZX186+"BYw!&amp;dW"</f>
        <v>#VALUE!</v>
      </c>
      <c r="AM115" t="e">
        <f>'2.4.Функции'!ZY186+"BYw!&amp;dX"</f>
        <v>#VALUE!</v>
      </c>
      <c r="AN115" t="e">
        <f>'2.4.Функции'!ZZ186+"BYw!&amp;dY"</f>
        <v>#VALUE!</v>
      </c>
      <c r="AO115" t="e">
        <f>'2.4.Функции'!AAA186+"BYw!&amp;dZ"</f>
        <v>#VALUE!</v>
      </c>
      <c r="AP115" t="e">
        <f>'2.4.Функции'!AAB186+"BYw!&amp;d["</f>
        <v>#VALUE!</v>
      </c>
      <c r="AQ115" t="e">
        <f>'2.4.Функции'!AAC186+"BYw!&amp;d\"</f>
        <v>#VALUE!</v>
      </c>
      <c r="AR115" t="e">
        <f>'2.4.Функции'!AAD186+"BYw!&amp;d]"</f>
        <v>#VALUE!</v>
      </c>
      <c r="AS115" t="e">
        <f>'2.4.Функции'!AAE186+"BYw!&amp;d^"</f>
        <v>#VALUE!</v>
      </c>
      <c r="AT115" t="e">
        <f>'2.4.Функции'!AAF186+"BYw!&amp;d_"</f>
        <v>#VALUE!</v>
      </c>
      <c r="AU115" t="e">
        <f>'2.4.Функции'!AAG186+"BYw!&amp;d`"</f>
        <v>#VALUE!</v>
      </c>
      <c r="AV115" t="e">
        <f>'2.4.Функции'!AAH186+"BYw!&amp;da"</f>
        <v>#VALUE!</v>
      </c>
      <c r="AW115" t="e">
        <f>'2.4.Функции'!AAI186+"BYw!&amp;db"</f>
        <v>#VALUE!</v>
      </c>
      <c r="AX115" t="e">
        <f>'2.4.Функции'!AAJ186+"BYw!&amp;dc"</f>
        <v>#VALUE!</v>
      </c>
      <c r="AY115" t="e">
        <f>'2.4.Функции'!AAK186+"BYw!&amp;dd"</f>
        <v>#VALUE!</v>
      </c>
      <c r="AZ115" t="e">
        <f>'2.4.Функции'!AAL186+"BYw!&amp;de"</f>
        <v>#VALUE!</v>
      </c>
      <c r="BA115" t="e">
        <f>'2.4.Функции'!AAM186+"BYw!&amp;df"</f>
        <v>#VALUE!</v>
      </c>
      <c r="BB115" t="e">
        <f>'2.4.Функции'!AAN186+"BYw!&amp;dg"</f>
        <v>#VALUE!</v>
      </c>
      <c r="BC115" t="e">
        <f>'2.4.Функции'!AAO186+"BYw!&amp;dh"</f>
        <v>#VALUE!</v>
      </c>
      <c r="BD115" t="e">
        <f>'2.4.Функции'!AAP186+"BYw!&amp;di"</f>
        <v>#VALUE!</v>
      </c>
      <c r="BE115" t="e">
        <f>'2.4.Функции'!AAQ186+"BYw!&amp;dj"</f>
        <v>#VALUE!</v>
      </c>
      <c r="BF115" t="e">
        <f>'2.4.Функции'!AAR186+"BYw!&amp;dk"</f>
        <v>#VALUE!</v>
      </c>
      <c r="BG115" t="e">
        <f>'2.4.Функции'!AAS186+"BYw!&amp;dl"</f>
        <v>#VALUE!</v>
      </c>
      <c r="BH115" t="e">
        <f>'2.4.Функции'!AAT186+"BYw!&amp;dm"</f>
        <v>#VALUE!</v>
      </c>
      <c r="BI115" t="e">
        <f>'2.4.Функции'!AAU186+"BYw!&amp;dn"</f>
        <v>#VALUE!</v>
      </c>
      <c r="BJ115" t="e">
        <f>'2.4.Функции'!AAV186+"BYw!&amp;do"</f>
        <v>#VALUE!</v>
      </c>
      <c r="BK115" t="e">
        <f>'2.4.Функции'!AAW186+"BYw!&amp;dp"</f>
        <v>#VALUE!</v>
      </c>
      <c r="BL115" t="e">
        <f>'2.4.Функции'!AAX186+"BYw!&amp;dq"</f>
        <v>#VALUE!</v>
      </c>
      <c r="BM115" t="e">
        <f>'2.4.Функции'!AAY186+"BYw!&amp;dr"</f>
        <v>#VALUE!</v>
      </c>
      <c r="BN115" t="e">
        <f>'2.4.Функции'!AAZ186+"BYw!&amp;ds"</f>
        <v>#VALUE!</v>
      </c>
      <c r="BO115" t="e">
        <f>'2.4.Функции'!ABA186+"BYw!&amp;dt"</f>
        <v>#VALUE!</v>
      </c>
      <c r="BP115" t="e">
        <f>'2.4.Функции'!ABB186+"BYw!&amp;du"</f>
        <v>#VALUE!</v>
      </c>
      <c r="BQ115" t="e">
        <f>'2.4.Функции'!ABC186+"BYw!&amp;dv"</f>
        <v>#VALUE!</v>
      </c>
      <c r="BR115" t="e">
        <f>'2.4.Функции'!ABD186+"BYw!&amp;dw"</f>
        <v>#VALUE!</v>
      </c>
      <c r="BS115" t="e">
        <f>'2.4.Функции'!ABE186+"BYw!&amp;dx"</f>
        <v>#VALUE!</v>
      </c>
      <c r="BT115" t="e">
        <f>'2.4.Функции'!ABF186+"BYw!&amp;dy"</f>
        <v>#VALUE!</v>
      </c>
      <c r="BU115" t="e">
        <f>'2.4.Функции'!ABG186+"BYw!&amp;dz"</f>
        <v>#VALUE!</v>
      </c>
      <c r="BV115" t="e">
        <f>'2.4.Функции'!ABH186+"BYw!&amp;d{"</f>
        <v>#VALUE!</v>
      </c>
      <c r="BW115" t="e">
        <f>'2.4.Функции'!ABI186+"BYw!&amp;d|"</f>
        <v>#VALUE!</v>
      </c>
      <c r="BX115" t="e">
        <f>'2.4.Функции'!ABJ186+"BYw!&amp;d}"</f>
        <v>#VALUE!</v>
      </c>
      <c r="BY115" t="e">
        <f>'2.4.Функции'!ABK186+"BYw!&amp;d~"</f>
        <v>#VALUE!</v>
      </c>
      <c r="BZ115" t="e">
        <f>'2.4.Функции'!ABL186+"BYw!&amp;e#"</f>
        <v>#VALUE!</v>
      </c>
      <c r="CA115" t="e">
        <f>'2.4.Функции'!ABM186+"BYw!&amp;e$"</f>
        <v>#VALUE!</v>
      </c>
      <c r="CB115" t="e">
        <f>'2.4.Функции'!ABN186+"BYw!&amp;e%"</f>
        <v>#VALUE!</v>
      </c>
      <c r="CC115" t="e">
        <f>'2.4.Функции'!ABO186+"BYw!&amp;e&amp;"</f>
        <v>#VALUE!</v>
      </c>
      <c r="CD115" t="e">
        <f>'2.4.Функции'!ABP186+"BYw!&amp;e'"</f>
        <v>#VALUE!</v>
      </c>
      <c r="CE115" t="e">
        <f>'2.4.Функции'!ABQ186+"BYw!&amp;e("</f>
        <v>#VALUE!</v>
      </c>
      <c r="CF115" t="e">
        <f>'2.4.Функции'!ABR186+"BYw!&amp;e)"</f>
        <v>#VALUE!</v>
      </c>
      <c r="CG115" t="e">
        <f>'2.4.Функции'!ABS186+"BYw!&amp;e."</f>
        <v>#VALUE!</v>
      </c>
      <c r="CH115" t="e">
        <f>'2.4.Функции'!ABT186+"BYw!&amp;e/"</f>
        <v>#VALUE!</v>
      </c>
      <c r="CI115" t="e">
        <f>'2.4.Функции'!ABU186+"BYw!&amp;e0"</f>
        <v>#VALUE!</v>
      </c>
      <c r="CJ115" t="e">
        <f>'2.4.Функции'!ABV186+"BYw!&amp;e1"</f>
        <v>#VALUE!</v>
      </c>
      <c r="CK115" t="e">
        <f>'2.4.Функции'!ABW186+"BYw!&amp;e2"</f>
        <v>#VALUE!</v>
      </c>
      <c r="CL115" t="e">
        <f>'2.4.Функции'!ABX186+"BYw!&amp;e3"</f>
        <v>#VALUE!</v>
      </c>
      <c r="CM115" t="e">
        <f>'2.4.Функции'!ABY186+"BYw!&amp;e4"</f>
        <v>#VALUE!</v>
      </c>
      <c r="CN115" t="e">
        <f>'2.4.Функции'!ABZ186+"BYw!&amp;e5"</f>
        <v>#VALUE!</v>
      </c>
      <c r="CO115" t="e">
        <f>'2.4.Функции'!ACA186+"BYw!&amp;e6"</f>
        <v>#VALUE!</v>
      </c>
      <c r="CP115" t="e">
        <f>'2.4.Функции'!ACB186+"BYw!&amp;e7"</f>
        <v>#VALUE!</v>
      </c>
      <c r="CQ115" t="e">
        <f>'2.4.Функции'!ACC186+"BYw!&amp;e8"</f>
        <v>#VALUE!</v>
      </c>
      <c r="CR115" t="e">
        <f>'2.4.Функции'!ACD186+"BYw!&amp;e9"</f>
        <v>#VALUE!</v>
      </c>
      <c r="CS115" t="e">
        <f>'2.4.Функции'!ACE186+"BYw!&amp;e:"</f>
        <v>#VALUE!</v>
      </c>
      <c r="CT115" t="e">
        <f>'2.4.Функции'!ACF186+"BYw!&amp;e;"</f>
        <v>#VALUE!</v>
      </c>
      <c r="CU115" t="e">
        <f>'2.4.Функции'!ACG186+"BYw!&amp;e&lt;"</f>
        <v>#VALUE!</v>
      </c>
      <c r="CV115" t="e">
        <f>'2.4.Функции'!ACH186+"BYw!&amp;e="</f>
        <v>#VALUE!</v>
      </c>
      <c r="CW115" t="e">
        <f>'2.4.Функции'!ACI186+"BYw!&amp;e&gt;"</f>
        <v>#VALUE!</v>
      </c>
      <c r="CX115" t="e">
        <f>'2.4.Функции'!ACJ186+"BYw!&amp;e?"</f>
        <v>#VALUE!</v>
      </c>
      <c r="CY115" t="e">
        <f>'2.4.Функции'!ACK186+"BYw!&amp;e@"</f>
        <v>#VALUE!</v>
      </c>
      <c r="CZ115" t="e">
        <f>'2.4.Функции'!ACL186+"BYw!&amp;eA"</f>
        <v>#VALUE!</v>
      </c>
      <c r="DA115" t="e">
        <f>'2.4.Функции'!ACM186+"BYw!&amp;eB"</f>
        <v>#VALUE!</v>
      </c>
      <c r="DB115" t="e">
        <f>'2.4.Функции'!ACN186+"BYw!&amp;eC"</f>
        <v>#VALUE!</v>
      </c>
      <c r="DC115" t="e">
        <f>'2.4.Функции'!ACO186+"BYw!&amp;eD"</f>
        <v>#VALUE!</v>
      </c>
      <c r="DD115" t="e">
        <f>'2.4.Функции'!ACP186+"BYw!&amp;eE"</f>
        <v>#VALUE!</v>
      </c>
      <c r="DE115" t="e">
        <f>'2.4.Функции'!ACQ186+"BYw!&amp;eF"</f>
        <v>#VALUE!</v>
      </c>
      <c r="DF115" t="e">
        <f>'2.4.Функции'!ACR186+"BYw!&amp;eG"</f>
        <v>#VALUE!</v>
      </c>
      <c r="DG115" t="e">
        <f>'2.4.Функции'!ACS186+"BYw!&amp;eH"</f>
        <v>#VALUE!</v>
      </c>
      <c r="DH115" t="e">
        <f>'2.4.Функции'!ACT186+"BYw!&amp;eI"</f>
        <v>#VALUE!</v>
      </c>
      <c r="DI115" t="e">
        <f>'2.4.Функции'!ACU186+"BYw!&amp;eJ"</f>
        <v>#VALUE!</v>
      </c>
      <c r="DJ115" t="e">
        <f>'2.4.Функции'!ACV186+"BYw!&amp;eK"</f>
        <v>#VALUE!</v>
      </c>
      <c r="DK115" t="e">
        <f>'2.4.Функции'!ACW186+"BYw!&amp;eL"</f>
        <v>#VALUE!</v>
      </c>
      <c r="DL115" t="e">
        <f>'2.4.Функции'!ACX186+"BYw!&amp;eM"</f>
        <v>#VALUE!</v>
      </c>
      <c r="DM115" t="e">
        <f>'2.4.Функции'!ACY186+"BYw!&amp;eN"</f>
        <v>#VALUE!</v>
      </c>
      <c r="DN115" t="e">
        <f>'2.4.Функции'!ACZ186+"BYw!&amp;eO"</f>
        <v>#VALUE!</v>
      </c>
      <c r="DO115" t="e">
        <f>'2.4.Функции'!ADA186+"BYw!&amp;eP"</f>
        <v>#VALUE!</v>
      </c>
      <c r="DP115" t="e">
        <f>'2.4.Функции'!ADB186+"BYw!&amp;eQ"</f>
        <v>#VALUE!</v>
      </c>
      <c r="DQ115" t="e">
        <f>'2.4.Функции'!ADC186+"BYw!&amp;eR"</f>
        <v>#VALUE!</v>
      </c>
      <c r="DR115" t="e">
        <f>'2.4.Функции'!ADD186+"BYw!&amp;eS"</f>
        <v>#VALUE!</v>
      </c>
      <c r="DS115" t="e">
        <f>'2.4.Функции'!ADE186+"BYw!&amp;eT"</f>
        <v>#VALUE!</v>
      </c>
      <c r="DT115" t="e">
        <f>'2.4.Функции'!ADF186+"BYw!&amp;eU"</f>
        <v>#VALUE!</v>
      </c>
      <c r="DU115" t="e">
        <f>'2.4.Функции'!ADG186+"BYw!&amp;eV"</f>
        <v>#VALUE!</v>
      </c>
      <c r="DV115" t="e">
        <f>'2.4.Функции'!ADH186+"BYw!&amp;eW"</f>
        <v>#VALUE!</v>
      </c>
      <c r="DW115" t="e">
        <f>'2.4.Функции'!ADI186+"BYw!&amp;eX"</f>
        <v>#VALUE!</v>
      </c>
      <c r="DX115" t="e">
        <f>'2.4.Функции'!ADJ186+"BYw!&amp;eY"</f>
        <v>#VALUE!</v>
      </c>
      <c r="DY115" t="e">
        <f>'2.4.Функции'!ADK186+"BYw!&amp;eZ"</f>
        <v>#VALUE!</v>
      </c>
      <c r="DZ115" t="e">
        <f>'2.4.Функции'!ADL186+"BYw!&amp;e["</f>
        <v>#VALUE!</v>
      </c>
      <c r="EA115" t="e">
        <f>'2.4.Функции'!ADM186+"BYw!&amp;e\"</f>
        <v>#VALUE!</v>
      </c>
      <c r="EB115" t="e">
        <f>'2.4.Функции'!ADN186+"BYw!&amp;e]"</f>
        <v>#VALUE!</v>
      </c>
      <c r="EC115" t="e">
        <f>'2.4.Функции'!ADO186+"BYw!&amp;e^"</f>
        <v>#VALUE!</v>
      </c>
      <c r="ED115" t="e">
        <f>'2.4.Функции'!ADP186+"BYw!&amp;e_"</f>
        <v>#VALUE!</v>
      </c>
      <c r="EE115" t="e">
        <f>'2.4.Функции'!ADQ186+"BYw!&amp;e`"</f>
        <v>#VALUE!</v>
      </c>
      <c r="EF115" t="e">
        <f>'2.4.Функции'!ADR186+"BYw!&amp;ea"</f>
        <v>#VALUE!</v>
      </c>
      <c r="EG115" t="e">
        <f>'2.4.Функции'!ADS186+"BYw!&amp;eb"</f>
        <v>#VALUE!</v>
      </c>
      <c r="EH115" t="e">
        <f>'2.4.Функции'!ADT186+"BYw!&amp;ec"</f>
        <v>#VALUE!</v>
      </c>
      <c r="EI115" t="e">
        <f>'2.4.Функции'!ADU186+"BYw!&amp;ed"</f>
        <v>#VALUE!</v>
      </c>
      <c r="EJ115" t="e">
        <f>'2.4.Функции'!ADV186+"BYw!&amp;ee"</f>
        <v>#VALUE!</v>
      </c>
      <c r="EK115" t="e">
        <f>'2.4.Функции'!ADW186+"BYw!&amp;ef"</f>
        <v>#VALUE!</v>
      </c>
      <c r="EL115" t="e">
        <f>'2.4.Функции'!ADX186+"BYw!&amp;eg"</f>
        <v>#VALUE!</v>
      </c>
      <c r="EM115" t="e">
        <f>'2.4.Функции'!ADY186+"BYw!&amp;eh"</f>
        <v>#VALUE!</v>
      </c>
      <c r="EN115" t="e">
        <f>'2.4.Функции'!ADZ186+"BYw!&amp;ei"</f>
        <v>#VALUE!</v>
      </c>
      <c r="EO115" t="e">
        <f>'2.4.Функции'!AEA186+"BYw!&amp;ej"</f>
        <v>#VALUE!</v>
      </c>
      <c r="EP115" t="e">
        <f>'2.4.Функции'!AEB186+"BYw!&amp;ek"</f>
        <v>#VALUE!</v>
      </c>
      <c r="EQ115" t="e">
        <f>'2.4.Функции'!AEC186+"BYw!&amp;el"</f>
        <v>#VALUE!</v>
      </c>
      <c r="ER115" t="e">
        <f>'2.4.Функции'!AED186+"BYw!&amp;em"</f>
        <v>#VALUE!</v>
      </c>
      <c r="ES115" t="e">
        <f>'2.4.Функции'!AEE186+"BYw!&amp;en"</f>
        <v>#VALUE!</v>
      </c>
      <c r="ET115" t="e">
        <f>'2.4.Функции'!AEF186+"BYw!&amp;eo"</f>
        <v>#VALUE!</v>
      </c>
      <c r="EU115" t="e">
        <f>'2.4.Функции'!AEG186+"BYw!&amp;ep"</f>
        <v>#VALUE!</v>
      </c>
      <c r="EV115" t="e">
        <f>'2.4.Функции'!AEH186+"BYw!&amp;eq"</f>
        <v>#VALUE!</v>
      </c>
      <c r="EW115" t="e">
        <f>'2.4.Функции'!AEI186+"BYw!&amp;er"</f>
        <v>#VALUE!</v>
      </c>
      <c r="EX115" t="e">
        <f>'2.4.Функции'!AEJ186+"BYw!&amp;es"</f>
        <v>#VALUE!</v>
      </c>
      <c r="EY115" t="e">
        <f>'2.4.Функции'!AEK186+"BYw!&amp;et"</f>
        <v>#VALUE!</v>
      </c>
      <c r="EZ115" t="e">
        <f>'2.4.Функции'!AEL186+"BYw!&amp;eu"</f>
        <v>#VALUE!</v>
      </c>
      <c r="FA115" t="e">
        <f>'2.4.Функции'!AEM186+"BYw!&amp;ev"</f>
        <v>#VALUE!</v>
      </c>
      <c r="FB115" t="e">
        <f>'2.4.Функции'!AEN186+"BYw!&amp;ew"</f>
        <v>#VALUE!</v>
      </c>
      <c r="FC115" t="e">
        <f>'2.4.Функции'!AEO186+"BYw!&amp;ex"</f>
        <v>#VALUE!</v>
      </c>
      <c r="FD115" t="e">
        <f>'2.4.Функции'!AEP186+"BYw!&amp;ey"</f>
        <v>#VALUE!</v>
      </c>
      <c r="FE115" t="e">
        <f>'2.4.Функции'!AEQ186+"BYw!&amp;ez"</f>
        <v>#VALUE!</v>
      </c>
      <c r="FF115" t="e">
        <f>'2.4.Функции'!AER186+"BYw!&amp;e{"</f>
        <v>#VALUE!</v>
      </c>
      <c r="FG115" t="e">
        <f>'2.4.Функции'!AES186+"BYw!&amp;e|"</f>
        <v>#VALUE!</v>
      </c>
      <c r="FH115" t="e">
        <f>'2.4.Функции'!AET186+"BYw!&amp;e}"</f>
        <v>#VALUE!</v>
      </c>
      <c r="FI115" t="e">
        <f>'2.4.Функции'!AEU186+"BYw!&amp;e~"</f>
        <v>#VALUE!</v>
      </c>
      <c r="FJ115" t="e">
        <f>'2.4.Функции'!AEV186+"BYw!&amp;f#"</f>
        <v>#VALUE!</v>
      </c>
      <c r="FK115" t="e">
        <f>'2.4.Функции'!AEW186+"BYw!&amp;f$"</f>
        <v>#VALUE!</v>
      </c>
      <c r="FL115" t="e">
        <f>'2.4.Функции'!AEX186+"BYw!&amp;f%"</f>
        <v>#VALUE!</v>
      </c>
      <c r="FM115" t="e">
        <f>'2.4.Функции'!AEY186+"BYw!&amp;f&amp;"</f>
        <v>#VALUE!</v>
      </c>
      <c r="FN115" t="e">
        <f>'2.4.Функции'!AEZ186+"BYw!&amp;f'"</f>
        <v>#VALUE!</v>
      </c>
      <c r="FO115" t="e">
        <f>'2.4.Функции'!AFA186+"BYw!&amp;f("</f>
        <v>#VALUE!</v>
      </c>
      <c r="FP115" t="e">
        <f>'2.4.Функции'!AFB186+"BYw!&amp;f)"</f>
        <v>#VALUE!</v>
      </c>
      <c r="FQ115" t="e">
        <f>'2.4.Функции'!AFC186+"BYw!&amp;f."</f>
        <v>#VALUE!</v>
      </c>
      <c r="FR115" t="e">
        <f>'2.4.Функции'!AFD186+"BYw!&amp;f/"</f>
        <v>#VALUE!</v>
      </c>
      <c r="FS115" t="e">
        <f>'2.4.Функции'!AFE186+"BYw!&amp;f0"</f>
        <v>#VALUE!</v>
      </c>
      <c r="FT115" t="e">
        <f>'2.4.Функции'!AFF186+"BYw!&amp;f1"</f>
        <v>#VALUE!</v>
      </c>
      <c r="FU115" t="e">
        <f>'2.4.Функции'!AFG186+"BYw!&amp;f2"</f>
        <v>#VALUE!</v>
      </c>
      <c r="FV115" t="e">
        <f>'2.4.Функции'!AFH186+"BYw!&amp;f3"</f>
        <v>#VALUE!</v>
      </c>
      <c r="FW115" t="e">
        <f>'2.4.Функции'!AFI186+"BYw!&amp;f4"</f>
        <v>#VALUE!</v>
      </c>
      <c r="FX115" t="e">
        <f>'2.4.Функции'!AFJ186+"BYw!&amp;f5"</f>
        <v>#VALUE!</v>
      </c>
      <c r="FY115" t="e">
        <f>'2.4.Функции'!AFK186+"BYw!&amp;f6"</f>
        <v>#VALUE!</v>
      </c>
      <c r="FZ115" t="e">
        <f>'2.4.Функции'!AFL186+"BYw!&amp;f7"</f>
        <v>#VALUE!</v>
      </c>
      <c r="GA115" t="e">
        <f>'2.4.Функции'!AFM186+"BYw!&amp;f8"</f>
        <v>#VALUE!</v>
      </c>
      <c r="GB115" t="e">
        <f>'2.4.Функции'!AFN186+"BYw!&amp;f9"</f>
        <v>#VALUE!</v>
      </c>
      <c r="GC115" t="e">
        <f>'2.4.Функции'!AFO186+"BYw!&amp;f:"</f>
        <v>#VALUE!</v>
      </c>
      <c r="GD115" t="e">
        <f>'2.4.Функции'!AFP186+"BYw!&amp;f;"</f>
        <v>#VALUE!</v>
      </c>
      <c r="GE115" t="e">
        <f>'2.4.Функции'!AFQ186+"BYw!&amp;f&lt;"</f>
        <v>#VALUE!</v>
      </c>
      <c r="GF115" t="e">
        <f>'2.4.Функции'!AFR186+"BYw!&amp;f="</f>
        <v>#VALUE!</v>
      </c>
      <c r="GG115" t="e">
        <f>'2.4.Функции'!AFS186+"BYw!&amp;f&gt;"</f>
        <v>#VALUE!</v>
      </c>
      <c r="GH115" t="e">
        <f>'2.4.Функции'!AFT186+"BYw!&amp;f?"</f>
        <v>#VALUE!</v>
      </c>
      <c r="GI115" t="e">
        <f>'2.4.Функции'!AFU186+"BYw!&amp;f@"</f>
        <v>#VALUE!</v>
      </c>
      <c r="GJ115" t="e">
        <f>'2.4.Функции'!AFV186+"BYw!&amp;fA"</f>
        <v>#VALUE!</v>
      </c>
      <c r="GK115" t="e">
        <f>'2.4.Функции'!AFW186+"BYw!&amp;fB"</f>
        <v>#VALUE!</v>
      </c>
      <c r="GL115" t="e">
        <f>'2.4.Функции'!AFX186+"BYw!&amp;fC"</f>
        <v>#VALUE!</v>
      </c>
      <c r="GM115" t="e">
        <f>'2.4.Функции'!AFY186+"BYw!&amp;fD"</f>
        <v>#VALUE!</v>
      </c>
      <c r="GN115" t="e">
        <f>'2.4.Функции'!AFZ186+"BYw!&amp;fE"</f>
        <v>#VALUE!</v>
      </c>
      <c r="GO115" t="e">
        <f>'2.4.Функции'!AGA186+"BYw!&amp;fF"</f>
        <v>#VALUE!</v>
      </c>
      <c r="GP115" t="e">
        <f>'2.4.Функции'!AGB186+"BYw!&amp;fG"</f>
        <v>#VALUE!</v>
      </c>
      <c r="GQ115" t="e">
        <f>'2.4.Функции'!AGC186+"BYw!&amp;fH"</f>
        <v>#VALUE!</v>
      </c>
      <c r="GR115" t="e">
        <f>'2.4.Функции'!AGD186+"BYw!&amp;fI"</f>
        <v>#VALUE!</v>
      </c>
      <c r="GS115" t="e">
        <f>'2.4.Функции'!AGE186+"BYw!&amp;fJ"</f>
        <v>#VALUE!</v>
      </c>
      <c r="GT115" t="e">
        <f>'2.4.Функции'!AGF186+"BYw!&amp;fK"</f>
        <v>#VALUE!</v>
      </c>
      <c r="GU115" t="e">
        <f>'2.4.Функции'!AGG186+"BYw!&amp;fL"</f>
        <v>#VALUE!</v>
      </c>
      <c r="GV115" t="e">
        <f>'2.4.Функции'!AGH186+"BYw!&amp;fM"</f>
        <v>#VALUE!</v>
      </c>
      <c r="GW115" t="e">
        <f>'2.4.Функции'!AGI186+"BYw!&amp;fN"</f>
        <v>#VALUE!</v>
      </c>
      <c r="GX115" t="e">
        <f>'2.4.Функции'!AGJ186+"BYw!&amp;fO"</f>
        <v>#VALUE!</v>
      </c>
      <c r="GY115" t="e">
        <f>'2.4.Функции'!AGK186+"BYw!&amp;fP"</f>
        <v>#VALUE!</v>
      </c>
      <c r="GZ115" t="e">
        <f>'2.4.Функции'!AGL186+"BYw!&amp;fQ"</f>
        <v>#VALUE!</v>
      </c>
      <c r="HA115" t="e">
        <f>'2.4.Функции'!AGM186+"BYw!&amp;fR"</f>
        <v>#VALUE!</v>
      </c>
      <c r="HB115" t="e">
        <f>'2.4.Функции'!AGN186+"BYw!&amp;fS"</f>
        <v>#VALUE!</v>
      </c>
      <c r="HC115" t="e">
        <f>'2.4.Функции'!AGO186+"BYw!&amp;fT"</f>
        <v>#VALUE!</v>
      </c>
      <c r="HD115" t="e">
        <f>'2.4.Функции'!AGP186+"BYw!&amp;fU"</f>
        <v>#VALUE!</v>
      </c>
      <c r="HE115" t="e">
        <f>'2.4.Функции'!AGQ186+"BYw!&amp;fV"</f>
        <v>#VALUE!</v>
      </c>
      <c r="HF115" t="e">
        <f>'2.4.Функции'!AGR186+"BYw!&amp;fW"</f>
        <v>#VALUE!</v>
      </c>
      <c r="HG115" t="e">
        <f>'2.4.Функции'!AGS186+"BYw!&amp;fX"</f>
        <v>#VALUE!</v>
      </c>
      <c r="HH115" t="e">
        <f>'2.4.Функции'!AGT186+"BYw!&amp;fY"</f>
        <v>#VALUE!</v>
      </c>
      <c r="HI115" t="e">
        <f>'2.4.Функции'!AGU186+"BYw!&amp;fZ"</f>
        <v>#VALUE!</v>
      </c>
      <c r="HJ115" t="e">
        <f>'2.4.Функции'!AGV186+"BYw!&amp;f["</f>
        <v>#VALUE!</v>
      </c>
      <c r="HK115" t="e">
        <f>'2.4.Функции'!AGW186+"BYw!&amp;f\"</f>
        <v>#VALUE!</v>
      </c>
      <c r="HL115" t="e">
        <f>'2.4.Функции'!AGX186+"BYw!&amp;f]"</f>
        <v>#VALUE!</v>
      </c>
      <c r="HM115" t="e">
        <f>'2.4.Функции'!AGY186+"BYw!&amp;f^"</f>
        <v>#VALUE!</v>
      </c>
      <c r="HN115" t="e">
        <f>'2.4.Функции'!AGZ186+"BYw!&amp;f_"</f>
        <v>#VALUE!</v>
      </c>
      <c r="HO115" t="e">
        <f>'2.4.Функции'!AHA186+"BYw!&amp;f`"</f>
        <v>#VALUE!</v>
      </c>
      <c r="HP115" t="e">
        <f>'2.4.Функции'!AHB186+"BYw!&amp;fa"</f>
        <v>#VALUE!</v>
      </c>
      <c r="HQ115" t="e">
        <f>'2.4.Функции'!AHC186+"BYw!&amp;fb"</f>
        <v>#VALUE!</v>
      </c>
      <c r="HR115" t="e">
        <f>'2.4.Функции'!AHD186+"BYw!&amp;fc"</f>
        <v>#VALUE!</v>
      </c>
      <c r="HS115" t="e">
        <f>'2.4.Функции'!AHE186+"BYw!&amp;fd"</f>
        <v>#VALUE!</v>
      </c>
      <c r="HT115" t="e">
        <f>'2.4.Функции'!AHF186+"BYw!&amp;fe"</f>
        <v>#VALUE!</v>
      </c>
      <c r="HU115" t="e">
        <f>'2.4.Функции'!AHG186+"BYw!&amp;ff"</f>
        <v>#VALUE!</v>
      </c>
      <c r="HV115" t="e">
        <f>'2.4.Функции'!AHH186+"BYw!&amp;fg"</f>
        <v>#VALUE!</v>
      </c>
      <c r="HW115" t="e">
        <f>'2.4.Функции'!AHI186+"BYw!&amp;fh"</f>
        <v>#VALUE!</v>
      </c>
      <c r="HX115" t="e">
        <f>'2.4.Функции'!AHJ186+"BYw!&amp;fi"</f>
        <v>#VALUE!</v>
      </c>
      <c r="HY115" t="e">
        <f>'2.4.Функции'!AHK186+"BYw!&amp;fj"</f>
        <v>#VALUE!</v>
      </c>
      <c r="HZ115" t="e">
        <f>'2.4.Функции'!AHL186+"BYw!&amp;fk"</f>
        <v>#VALUE!</v>
      </c>
      <c r="IA115" t="e">
        <f>'2.4.Функции'!AHM186+"BYw!&amp;fl"</f>
        <v>#VALUE!</v>
      </c>
      <c r="IB115" t="e">
        <f>'2.4.Функции'!AHN186+"BYw!&amp;fm"</f>
        <v>#VALUE!</v>
      </c>
      <c r="IC115" t="e">
        <f>'2.4.Функции'!AHO186+"BYw!&amp;fn"</f>
        <v>#VALUE!</v>
      </c>
      <c r="ID115" t="e">
        <f>'2.4.Функции'!AHP186+"BYw!&amp;fo"</f>
        <v>#VALUE!</v>
      </c>
      <c r="IE115" t="e">
        <f>'2.4.Функции'!AHQ186+"BYw!&amp;fp"</f>
        <v>#VALUE!</v>
      </c>
      <c r="IF115" t="e">
        <f>'2.4.Функции'!AHR186+"BYw!&amp;fq"</f>
        <v>#VALUE!</v>
      </c>
      <c r="IG115" t="e">
        <f>'2.4.Функции'!AHS186+"BYw!&amp;fr"</f>
        <v>#VALUE!</v>
      </c>
      <c r="IH115" t="e">
        <f>'2.4.Функции'!AHT186+"BYw!&amp;fs"</f>
        <v>#VALUE!</v>
      </c>
      <c r="II115" t="e">
        <f>'2.4.Функции'!AHU186+"BYw!&amp;ft"</f>
        <v>#VALUE!</v>
      </c>
      <c r="IJ115" t="e">
        <f>'2.4.Функции'!AHV186+"BYw!&amp;fu"</f>
        <v>#VALUE!</v>
      </c>
      <c r="IK115" t="e">
        <f>'2.4.Функции'!AHW186+"BYw!&amp;fv"</f>
        <v>#VALUE!</v>
      </c>
      <c r="IL115" t="e">
        <f>'2.4.Функции'!AHX186+"BYw!&amp;fw"</f>
        <v>#VALUE!</v>
      </c>
      <c r="IM115" t="e">
        <f>'2.4.Функции'!AHY186+"BYw!&amp;fx"</f>
        <v>#VALUE!</v>
      </c>
      <c r="IN115" t="e">
        <f>'2.4.Функции'!AHZ186+"BYw!&amp;fy"</f>
        <v>#VALUE!</v>
      </c>
      <c r="IO115" t="e">
        <f>'2.4.Функции'!AIA186+"BYw!&amp;fz"</f>
        <v>#VALUE!</v>
      </c>
      <c r="IP115" t="e">
        <f>'2.4.Функции'!AIB186+"BYw!&amp;f{"</f>
        <v>#VALUE!</v>
      </c>
      <c r="IQ115" t="e">
        <f>'2.4.Функции'!AIC186+"BYw!&amp;f|"</f>
        <v>#VALUE!</v>
      </c>
      <c r="IR115" t="e">
        <f>'2.4.Функции'!AID186+"BYw!&amp;f}"</f>
        <v>#VALUE!</v>
      </c>
      <c r="IS115" t="e">
        <f>'2.4.Функции'!AIE186+"BYw!&amp;f~"</f>
        <v>#VALUE!</v>
      </c>
      <c r="IT115" t="e">
        <f>'2.4.Функции'!AIF186+"BYw!&amp;g#"</f>
        <v>#VALUE!</v>
      </c>
      <c r="IU115" t="e">
        <f>'2.4.Функции'!AIG186+"BYw!&amp;g$"</f>
        <v>#VALUE!</v>
      </c>
      <c r="IV115" t="e">
        <f>'2.4.Функции'!AIH186+"BYw!&amp;g%"</f>
        <v>#VALUE!</v>
      </c>
    </row>
    <row r="116" spans="6:256" x14ac:dyDescent="0.2">
      <c r="F116" t="e">
        <f>'2.4.Функции'!A187+"BYw!&amp;g&amp;"</f>
        <v>#VALUE!</v>
      </c>
      <c r="G116" s="116" t="e">
        <f>'2.4.Функции'!B187+"BYw!&amp;g'"</f>
        <v>#VALUE!</v>
      </c>
      <c r="H116" t="e">
        <f>'2.4.Функции'!C187+"BYw!&amp;g("</f>
        <v>#VALUE!</v>
      </c>
      <c r="I116" s="119" t="e">
        <f>'2.4.Функции'!D187+"BYw!&amp;g)"</f>
        <v>#VALUE!</v>
      </c>
      <c r="J116" s="119" t="e">
        <f>'2.4.Функции'!E187+"BYw!&amp;g."</f>
        <v>#VALUE!</v>
      </c>
      <c r="K116" s="119" t="e">
        <f>'2.4.Функции'!F187+"BYw!&amp;g/"</f>
        <v>#VALUE!</v>
      </c>
      <c r="L116" s="119" t="e">
        <f>'2.4.Функции'!G187+"BYw!&amp;g0"</f>
        <v>#VALUE!</v>
      </c>
      <c r="M116" s="119" t="e">
        <f>'2.4.Функции'!H187+"BYw!&amp;g1"</f>
        <v>#VALUE!</v>
      </c>
      <c r="N116" s="119" t="e">
        <f>'2.4.Функции'!I187+"BYw!&amp;g2"</f>
        <v>#VALUE!</v>
      </c>
      <c r="O116" s="119" t="e">
        <f>'2.4.Функции'!J187+"BYw!&amp;g3"</f>
        <v>#VALUE!</v>
      </c>
      <c r="P116" s="119" t="e">
        <f>'2.4.Функции'!K187+"BYw!&amp;g4"</f>
        <v>#VALUE!</v>
      </c>
      <c r="Q116" t="e">
        <f>'2.4.Функции'!L187+"BYw!&amp;g5"</f>
        <v>#VALUE!</v>
      </c>
      <c r="R116" t="e">
        <f>'2.4.Функции'!M187+"BYw!&amp;g6"</f>
        <v>#VALUE!</v>
      </c>
      <c r="S116" t="e">
        <f>'2.4.Функции'!N187+"BYw!&amp;g7"</f>
        <v>#VALUE!</v>
      </c>
      <c r="T116" t="e">
        <f>'2.4.Функции'!O187+"BYw!&amp;g8"</f>
        <v>#VALUE!</v>
      </c>
      <c r="U116" t="e">
        <f>'2.4.Функции'!P187+"BYw!&amp;g9"</f>
        <v>#VALUE!</v>
      </c>
      <c r="V116" t="e">
        <f>'2.4.Функции'!Q187+"BYw!&amp;g:"</f>
        <v>#VALUE!</v>
      </c>
      <c r="W116" t="e">
        <f>'2.4.Функции'!R187+"BYw!&amp;g;"</f>
        <v>#VALUE!</v>
      </c>
      <c r="X116" t="e">
        <f>'2.4.Функции'!S187+"BYw!&amp;g&lt;"</f>
        <v>#VALUE!</v>
      </c>
      <c r="Y116" t="e">
        <f>'2.4.Функции'!T187+"BYw!&amp;g="</f>
        <v>#VALUE!</v>
      </c>
      <c r="Z116" t="e">
        <f>'2.4.Функции'!U187+"BYw!&amp;g&gt;"</f>
        <v>#VALUE!</v>
      </c>
      <c r="AA116" t="e">
        <f>'2.4.Функции'!V187+"BYw!&amp;g?"</f>
        <v>#VALUE!</v>
      </c>
      <c r="AB116" t="e">
        <f>'2.4.Функции'!W187+"BYw!&amp;g@"</f>
        <v>#VALUE!</v>
      </c>
      <c r="AC116" t="e">
        <f>'2.4.Функции'!X187+"BYw!&amp;gA"</f>
        <v>#VALUE!</v>
      </c>
      <c r="AD116" t="e">
        <f>'2.4.Функции'!Y187+"BYw!&amp;gB"</f>
        <v>#VALUE!</v>
      </c>
      <c r="AE116" t="e">
        <f>'2.4.Функции'!Z187+"BYw!&amp;gC"</f>
        <v>#VALUE!</v>
      </c>
      <c r="AF116" t="e">
        <f>'2.4.Функции'!AA187+"BYw!&amp;gD"</f>
        <v>#VALUE!</v>
      </c>
      <c r="AG116" t="e">
        <f>'2.4.Функции'!AB187+"BYw!&amp;gE"</f>
        <v>#VALUE!</v>
      </c>
      <c r="AH116" t="e">
        <f>'2.4.Функции'!AC187+"BYw!&amp;gF"</f>
        <v>#VALUE!</v>
      </c>
      <c r="AI116" t="e">
        <f>'2.4.Функции'!AD187+"BYw!&amp;gG"</f>
        <v>#VALUE!</v>
      </c>
      <c r="AJ116" t="e">
        <f>'2.4.Функции'!AE187+"BYw!&amp;gH"</f>
        <v>#VALUE!</v>
      </c>
      <c r="AK116" t="e">
        <f>'2.4.Функции'!AF187+"BYw!&amp;gI"</f>
        <v>#VALUE!</v>
      </c>
      <c r="AL116" t="e">
        <f>'2.4.Функции'!AG187+"BYw!&amp;gJ"</f>
        <v>#VALUE!</v>
      </c>
      <c r="AM116" t="e">
        <f>'2.4.Функции'!AH187+"BYw!&amp;gK"</f>
        <v>#VALUE!</v>
      </c>
      <c r="AN116" t="e">
        <f>'2.4.Функции'!AI187+"BYw!&amp;gL"</f>
        <v>#VALUE!</v>
      </c>
      <c r="AO116" t="e">
        <f>'2.4.Функции'!AJ187+"BYw!&amp;gM"</f>
        <v>#VALUE!</v>
      </c>
      <c r="AP116" t="e">
        <f>'2.4.Функции'!AK187+"BYw!&amp;gN"</f>
        <v>#VALUE!</v>
      </c>
      <c r="AQ116" t="e">
        <f>'2.4.Функции'!AL187+"BYw!&amp;gO"</f>
        <v>#VALUE!</v>
      </c>
      <c r="AR116" t="e">
        <f>'2.4.Функции'!AM187+"BYw!&amp;gP"</f>
        <v>#VALUE!</v>
      </c>
      <c r="AS116" t="e">
        <f>'2.4.Функции'!AN187+"BYw!&amp;gQ"</f>
        <v>#VALUE!</v>
      </c>
      <c r="AT116" t="e">
        <f>'2.4.Функции'!AO187+"BYw!&amp;gR"</f>
        <v>#VALUE!</v>
      </c>
      <c r="AU116" t="e">
        <f>'2.4.Функции'!AP187+"BYw!&amp;gS"</f>
        <v>#VALUE!</v>
      </c>
      <c r="AV116" t="e">
        <f>'2.4.Функции'!AQ187+"BYw!&amp;gT"</f>
        <v>#VALUE!</v>
      </c>
      <c r="AW116" t="e">
        <f>'2.4.Функции'!AR187+"BYw!&amp;gU"</f>
        <v>#VALUE!</v>
      </c>
      <c r="AX116" t="e">
        <f>'2.4.Функции'!AS187+"BYw!&amp;gV"</f>
        <v>#VALUE!</v>
      </c>
      <c r="AY116" t="e">
        <f>'2.4.Функции'!AT187+"BYw!&amp;gW"</f>
        <v>#VALUE!</v>
      </c>
      <c r="AZ116" t="e">
        <f>'2.4.Функции'!AU187+"BYw!&amp;gX"</f>
        <v>#VALUE!</v>
      </c>
      <c r="BA116" t="e">
        <f>'2.4.Функции'!AV187+"BYw!&amp;gY"</f>
        <v>#VALUE!</v>
      </c>
      <c r="BB116" t="e">
        <f>'2.4.Функции'!AW187+"BYw!&amp;gZ"</f>
        <v>#VALUE!</v>
      </c>
      <c r="BC116" t="e">
        <f>'2.4.Функции'!AX187+"BYw!&amp;g["</f>
        <v>#VALUE!</v>
      </c>
      <c r="BD116" t="e">
        <f>'2.4.Функции'!AY187+"BYw!&amp;g\"</f>
        <v>#VALUE!</v>
      </c>
      <c r="BE116" t="e">
        <f>'2.4.Функции'!AZ187+"BYw!&amp;g]"</f>
        <v>#VALUE!</v>
      </c>
      <c r="BF116" t="e">
        <f>'2.4.Функции'!BA187+"BYw!&amp;g^"</f>
        <v>#VALUE!</v>
      </c>
      <c r="BG116" t="e">
        <f>'2.4.Функции'!BB187+"BYw!&amp;g_"</f>
        <v>#VALUE!</v>
      </c>
      <c r="BH116" t="e">
        <f>'2.4.Функции'!BC187+"BYw!&amp;g`"</f>
        <v>#VALUE!</v>
      </c>
      <c r="BI116" t="e">
        <f>'2.4.Функции'!BD187+"BYw!&amp;ga"</f>
        <v>#VALUE!</v>
      </c>
      <c r="BJ116" t="e">
        <f>'2.4.Функции'!BE187+"BYw!&amp;gb"</f>
        <v>#VALUE!</v>
      </c>
      <c r="BK116" t="e">
        <f>'2.4.Функции'!BF187+"BYw!&amp;gc"</f>
        <v>#VALUE!</v>
      </c>
      <c r="BL116" t="e">
        <f>'2.4.Функции'!BG187+"BYw!&amp;gd"</f>
        <v>#VALUE!</v>
      </c>
      <c r="BM116" t="e">
        <f>'2.4.Функции'!BH187+"BYw!&amp;ge"</f>
        <v>#VALUE!</v>
      </c>
      <c r="BN116" t="e">
        <f>'2.4.Функции'!BI187+"BYw!&amp;gf"</f>
        <v>#VALUE!</v>
      </c>
      <c r="BO116" t="e">
        <f>'2.4.Функции'!BJ187+"BYw!&amp;gg"</f>
        <v>#VALUE!</v>
      </c>
      <c r="BP116" t="e">
        <f>'2.4.Функции'!BK187+"BYw!&amp;gh"</f>
        <v>#VALUE!</v>
      </c>
      <c r="BQ116" t="e">
        <f>'2.4.Функции'!BL187+"BYw!&amp;gi"</f>
        <v>#VALUE!</v>
      </c>
      <c r="BR116" t="e">
        <f>'2.4.Функции'!BM187+"BYw!&amp;gj"</f>
        <v>#VALUE!</v>
      </c>
      <c r="BS116" t="e">
        <f>'2.4.Функции'!BN187+"BYw!&amp;gk"</f>
        <v>#VALUE!</v>
      </c>
      <c r="BT116" t="e">
        <f>'2.4.Функции'!BO187+"BYw!&amp;gl"</f>
        <v>#VALUE!</v>
      </c>
      <c r="BU116" t="e">
        <f>'2.4.Функции'!BP187+"BYw!&amp;gm"</f>
        <v>#VALUE!</v>
      </c>
      <c r="BV116" t="e">
        <f>'2.4.Функции'!BQ187+"BYw!&amp;gn"</f>
        <v>#VALUE!</v>
      </c>
      <c r="BW116" t="e">
        <f>'2.4.Функции'!BR187+"BYw!&amp;go"</f>
        <v>#VALUE!</v>
      </c>
      <c r="BX116" t="e">
        <f>'2.4.Функции'!BS187+"BYw!&amp;gp"</f>
        <v>#VALUE!</v>
      </c>
      <c r="BY116" t="e">
        <f>'2.4.Функции'!BT187+"BYw!&amp;gq"</f>
        <v>#VALUE!</v>
      </c>
      <c r="BZ116" t="e">
        <f>'2.4.Функции'!BU187+"BYw!&amp;gr"</f>
        <v>#VALUE!</v>
      </c>
      <c r="CA116" t="e">
        <f>'2.4.Функции'!BV187+"BYw!&amp;gs"</f>
        <v>#VALUE!</v>
      </c>
      <c r="CB116" t="e">
        <f>'2.4.Функции'!BW187+"BYw!&amp;gt"</f>
        <v>#VALUE!</v>
      </c>
      <c r="CC116" t="e">
        <f>'2.4.Функции'!BX187+"BYw!&amp;gu"</f>
        <v>#VALUE!</v>
      </c>
      <c r="CD116" t="e">
        <f>'2.4.Функции'!BY187+"BYw!&amp;gv"</f>
        <v>#VALUE!</v>
      </c>
      <c r="CE116" t="e">
        <f>'2.4.Функции'!BZ187+"BYw!&amp;gw"</f>
        <v>#VALUE!</v>
      </c>
      <c r="CF116" t="e">
        <f>'2.4.Функции'!CA187+"BYw!&amp;gx"</f>
        <v>#VALUE!</v>
      </c>
      <c r="CG116" t="e">
        <f>'2.4.Функции'!CB187+"BYw!&amp;gy"</f>
        <v>#VALUE!</v>
      </c>
      <c r="CH116" t="e">
        <f>'2.4.Функции'!CC187+"BYw!&amp;gz"</f>
        <v>#VALUE!</v>
      </c>
      <c r="CI116" t="e">
        <f>'2.4.Функции'!CD187+"BYw!&amp;g{"</f>
        <v>#VALUE!</v>
      </c>
      <c r="CJ116" t="e">
        <f>'2.4.Функции'!CE187+"BYw!&amp;g|"</f>
        <v>#VALUE!</v>
      </c>
      <c r="CK116" t="e">
        <f>'2.4.Функции'!CF187+"BYw!&amp;g}"</f>
        <v>#VALUE!</v>
      </c>
      <c r="CL116" t="e">
        <f>'2.4.Функции'!CG187+"BYw!&amp;g~"</f>
        <v>#VALUE!</v>
      </c>
      <c r="CM116" t="e">
        <f>'2.4.Функции'!CH187+"BYw!&amp;h#"</f>
        <v>#VALUE!</v>
      </c>
      <c r="CN116" t="e">
        <f>'2.4.Функции'!CI187+"BYw!&amp;h$"</f>
        <v>#VALUE!</v>
      </c>
      <c r="CO116" t="e">
        <f>'2.4.Функции'!CJ187+"BYw!&amp;h%"</f>
        <v>#VALUE!</v>
      </c>
      <c r="CP116" t="e">
        <f>'2.4.Функции'!CK187+"BYw!&amp;h&amp;"</f>
        <v>#VALUE!</v>
      </c>
      <c r="CQ116" t="e">
        <f>'2.4.Функции'!CL187+"BYw!&amp;h'"</f>
        <v>#VALUE!</v>
      </c>
      <c r="CR116" t="e">
        <f>'2.4.Функции'!CM187+"BYw!&amp;h("</f>
        <v>#VALUE!</v>
      </c>
      <c r="CS116" t="e">
        <f>'2.4.Функции'!CN187+"BYw!&amp;h)"</f>
        <v>#VALUE!</v>
      </c>
      <c r="CT116" t="e">
        <f>'2.4.Функции'!CO187+"BYw!&amp;h."</f>
        <v>#VALUE!</v>
      </c>
      <c r="CU116" t="e">
        <f>'2.4.Функции'!CP187+"BYw!&amp;h/"</f>
        <v>#VALUE!</v>
      </c>
      <c r="CV116" t="e">
        <f>'2.4.Функции'!CQ187+"BYw!&amp;h0"</f>
        <v>#VALUE!</v>
      </c>
      <c r="CW116" t="e">
        <f>'2.4.Функции'!CR187+"BYw!&amp;h1"</f>
        <v>#VALUE!</v>
      </c>
      <c r="CX116" t="e">
        <f>'2.4.Функции'!CS187+"BYw!&amp;h2"</f>
        <v>#VALUE!</v>
      </c>
      <c r="CY116" t="e">
        <f>'2.4.Функции'!CT187+"BYw!&amp;h3"</f>
        <v>#VALUE!</v>
      </c>
      <c r="CZ116" t="e">
        <f>'2.4.Функции'!CU187+"BYw!&amp;h4"</f>
        <v>#VALUE!</v>
      </c>
      <c r="DA116" t="e">
        <f>'2.4.Функции'!CV187+"BYw!&amp;h5"</f>
        <v>#VALUE!</v>
      </c>
      <c r="DB116" t="e">
        <f>'2.4.Функции'!CW187+"BYw!&amp;h6"</f>
        <v>#VALUE!</v>
      </c>
      <c r="DC116" t="e">
        <f>'2.4.Функции'!CX187+"BYw!&amp;h7"</f>
        <v>#VALUE!</v>
      </c>
      <c r="DD116" t="e">
        <f>'2.4.Функции'!CY187+"BYw!&amp;h8"</f>
        <v>#VALUE!</v>
      </c>
      <c r="DE116" t="e">
        <f>'2.4.Функции'!CZ187+"BYw!&amp;h9"</f>
        <v>#VALUE!</v>
      </c>
      <c r="DF116" t="e">
        <f>'2.4.Функции'!DA187+"BYw!&amp;h:"</f>
        <v>#VALUE!</v>
      </c>
      <c r="DG116" t="e">
        <f>'2.4.Функции'!DB187+"BYw!&amp;h;"</f>
        <v>#VALUE!</v>
      </c>
      <c r="DH116" t="e">
        <f>'2.4.Функции'!DC187+"BYw!&amp;h&lt;"</f>
        <v>#VALUE!</v>
      </c>
      <c r="DI116" t="e">
        <f>'2.4.Функции'!DD187+"BYw!&amp;h="</f>
        <v>#VALUE!</v>
      </c>
      <c r="DJ116" t="e">
        <f>'2.4.Функции'!DE187+"BYw!&amp;h&gt;"</f>
        <v>#VALUE!</v>
      </c>
      <c r="DK116" t="e">
        <f>'2.4.Функции'!DF187+"BYw!&amp;h?"</f>
        <v>#VALUE!</v>
      </c>
      <c r="DL116" t="e">
        <f>'2.4.Функции'!DG187+"BYw!&amp;h@"</f>
        <v>#VALUE!</v>
      </c>
      <c r="DM116" t="e">
        <f>'2.4.Функции'!DH187+"BYw!&amp;hA"</f>
        <v>#VALUE!</v>
      </c>
      <c r="DN116" t="e">
        <f>'2.4.Функции'!DI187+"BYw!&amp;hB"</f>
        <v>#VALUE!</v>
      </c>
      <c r="DO116" t="e">
        <f>'2.4.Функции'!DJ187+"BYw!&amp;hC"</f>
        <v>#VALUE!</v>
      </c>
      <c r="DP116" t="e">
        <f>'2.4.Функции'!DK187+"BYw!&amp;hD"</f>
        <v>#VALUE!</v>
      </c>
      <c r="DQ116" t="e">
        <f>'2.4.Функции'!DL187+"BYw!&amp;hE"</f>
        <v>#VALUE!</v>
      </c>
      <c r="DR116" t="e">
        <f>'2.4.Функции'!DM187+"BYw!&amp;hF"</f>
        <v>#VALUE!</v>
      </c>
      <c r="DS116" t="e">
        <f>'2.4.Функции'!DN187+"BYw!&amp;hG"</f>
        <v>#VALUE!</v>
      </c>
      <c r="DT116" t="e">
        <f>'2.4.Функции'!DO187+"BYw!&amp;hH"</f>
        <v>#VALUE!</v>
      </c>
      <c r="DU116" t="e">
        <f>'2.4.Функции'!DP187+"BYw!&amp;hI"</f>
        <v>#VALUE!</v>
      </c>
      <c r="DV116" t="e">
        <f>'2.4.Функции'!DQ187+"BYw!&amp;hJ"</f>
        <v>#VALUE!</v>
      </c>
      <c r="DW116" t="e">
        <f>'2.4.Функции'!DR187+"BYw!&amp;hK"</f>
        <v>#VALUE!</v>
      </c>
      <c r="DX116" t="e">
        <f>'2.4.Функции'!DS187+"BYw!&amp;hL"</f>
        <v>#VALUE!</v>
      </c>
      <c r="DY116" t="e">
        <f>'2.4.Функции'!DT187+"BYw!&amp;hM"</f>
        <v>#VALUE!</v>
      </c>
      <c r="DZ116" t="e">
        <f>'2.4.Функции'!DU187+"BYw!&amp;hN"</f>
        <v>#VALUE!</v>
      </c>
      <c r="EA116" t="e">
        <f>'2.4.Функции'!DV187+"BYw!&amp;hO"</f>
        <v>#VALUE!</v>
      </c>
      <c r="EB116" t="e">
        <f>'2.4.Функции'!DW187+"BYw!&amp;hP"</f>
        <v>#VALUE!</v>
      </c>
      <c r="EC116" t="e">
        <f>'2.4.Функции'!DX187+"BYw!&amp;hQ"</f>
        <v>#VALUE!</v>
      </c>
      <c r="ED116" t="e">
        <f>'2.4.Функции'!DY187+"BYw!&amp;hR"</f>
        <v>#VALUE!</v>
      </c>
      <c r="EE116" t="e">
        <f>'2.4.Функции'!DZ187+"BYw!&amp;hS"</f>
        <v>#VALUE!</v>
      </c>
      <c r="EF116" t="e">
        <f>'2.4.Функции'!EA187+"BYw!&amp;hT"</f>
        <v>#VALUE!</v>
      </c>
      <c r="EG116" t="e">
        <f>'2.4.Функции'!EB187+"BYw!&amp;hU"</f>
        <v>#VALUE!</v>
      </c>
      <c r="EH116" t="e">
        <f>'2.4.Функции'!EC187+"BYw!&amp;hV"</f>
        <v>#VALUE!</v>
      </c>
      <c r="EI116" t="e">
        <f>'2.4.Функции'!ED187+"BYw!&amp;hW"</f>
        <v>#VALUE!</v>
      </c>
      <c r="EJ116" t="e">
        <f>'2.4.Функции'!EE187+"BYw!&amp;hX"</f>
        <v>#VALUE!</v>
      </c>
      <c r="EK116" t="e">
        <f>'2.4.Функции'!EF187+"BYw!&amp;hY"</f>
        <v>#VALUE!</v>
      </c>
      <c r="EL116" t="e">
        <f>'2.4.Функции'!EG187+"BYw!&amp;hZ"</f>
        <v>#VALUE!</v>
      </c>
      <c r="EM116" t="e">
        <f>'2.4.Функции'!EH187+"BYw!&amp;h["</f>
        <v>#VALUE!</v>
      </c>
      <c r="EN116" t="e">
        <f>'2.4.Функции'!EI187+"BYw!&amp;h\"</f>
        <v>#VALUE!</v>
      </c>
      <c r="EO116" t="e">
        <f>'2.4.Функции'!EJ187+"BYw!&amp;h]"</f>
        <v>#VALUE!</v>
      </c>
      <c r="EP116" t="e">
        <f>'2.4.Функции'!EK187+"BYw!&amp;h^"</f>
        <v>#VALUE!</v>
      </c>
      <c r="EQ116" t="e">
        <f>'2.4.Функции'!EL187+"BYw!&amp;h_"</f>
        <v>#VALUE!</v>
      </c>
      <c r="ER116" t="e">
        <f>'2.4.Функции'!EM187+"BYw!&amp;h`"</f>
        <v>#VALUE!</v>
      </c>
      <c r="ES116" t="e">
        <f>'2.4.Функции'!EN187+"BYw!&amp;ha"</f>
        <v>#VALUE!</v>
      </c>
      <c r="ET116" t="e">
        <f>'2.4.Функции'!EO187+"BYw!&amp;hb"</f>
        <v>#VALUE!</v>
      </c>
      <c r="EU116" t="e">
        <f>'2.4.Функции'!EP187+"BYw!&amp;hc"</f>
        <v>#VALUE!</v>
      </c>
      <c r="EV116" t="e">
        <f>'2.4.Функции'!EQ187+"BYw!&amp;hd"</f>
        <v>#VALUE!</v>
      </c>
      <c r="EW116" t="e">
        <f>'2.4.Функции'!ER187+"BYw!&amp;he"</f>
        <v>#VALUE!</v>
      </c>
      <c r="EX116" t="e">
        <f>'2.4.Функции'!ES187+"BYw!&amp;hf"</f>
        <v>#VALUE!</v>
      </c>
      <c r="EY116" t="e">
        <f>'2.4.Функции'!ET187+"BYw!&amp;hg"</f>
        <v>#VALUE!</v>
      </c>
      <c r="EZ116" t="e">
        <f>'2.4.Функции'!EU187+"BYw!&amp;hh"</f>
        <v>#VALUE!</v>
      </c>
      <c r="FA116" t="e">
        <f>'2.4.Функции'!EV187+"BYw!&amp;hi"</f>
        <v>#VALUE!</v>
      </c>
      <c r="FB116" t="e">
        <f>'2.4.Функции'!EW187+"BYw!&amp;hj"</f>
        <v>#VALUE!</v>
      </c>
      <c r="FC116" t="e">
        <f>'2.4.Функции'!EX187+"BYw!&amp;hk"</f>
        <v>#VALUE!</v>
      </c>
      <c r="FD116" t="e">
        <f>'2.4.Функции'!EY187+"BYw!&amp;hl"</f>
        <v>#VALUE!</v>
      </c>
      <c r="FE116" t="e">
        <f>'2.4.Функции'!EZ187+"BYw!&amp;hm"</f>
        <v>#VALUE!</v>
      </c>
      <c r="FF116" t="e">
        <f>'2.4.Функции'!FA187+"BYw!&amp;hn"</f>
        <v>#VALUE!</v>
      </c>
      <c r="FG116" t="e">
        <f>'2.4.Функции'!FB187+"BYw!&amp;ho"</f>
        <v>#VALUE!</v>
      </c>
      <c r="FH116" t="e">
        <f>'2.4.Функции'!FC187+"BYw!&amp;hp"</f>
        <v>#VALUE!</v>
      </c>
      <c r="FI116" t="e">
        <f>'2.4.Функции'!FD187+"BYw!&amp;hq"</f>
        <v>#VALUE!</v>
      </c>
      <c r="FJ116" t="e">
        <f>'2.4.Функции'!FE187+"BYw!&amp;hr"</f>
        <v>#VALUE!</v>
      </c>
      <c r="FK116" t="e">
        <f>'2.4.Функции'!FF187+"BYw!&amp;hs"</f>
        <v>#VALUE!</v>
      </c>
      <c r="FL116" t="e">
        <f>'2.4.Функции'!FG187+"BYw!&amp;ht"</f>
        <v>#VALUE!</v>
      </c>
      <c r="FM116" t="e">
        <f>'2.4.Функции'!FH187+"BYw!&amp;hu"</f>
        <v>#VALUE!</v>
      </c>
      <c r="FN116" t="e">
        <f>'2.4.Функции'!FI187+"BYw!&amp;hv"</f>
        <v>#VALUE!</v>
      </c>
      <c r="FO116" t="e">
        <f>'2.4.Функции'!FJ187+"BYw!&amp;hw"</f>
        <v>#VALUE!</v>
      </c>
      <c r="FP116" t="e">
        <f>'2.4.Функции'!FK187+"BYw!&amp;hx"</f>
        <v>#VALUE!</v>
      </c>
      <c r="FQ116" t="e">
        <f>'2.4.Функции'!FL187+"BYw!&amp;hy"</f>
        <v>#VALUE!</v>
      </c>
      <c r="FR116" t="e">
        <f>'2.4.Функции'!FM187+"BYw!&amp;hz"</f>
        <v>#VALUE!</v>
      </c>
      <c r="FS116" t="e">
        <f>'2.4.Функции'!FN187+"BYw!&amp;h{"</f>
        <v>#VALUE!</v>
      </c>
      <c r="FT116" t="e">
        <f>'2.4.Функции'!FO187+"BYw!&amp;h|"</f>
        <v>#VALUE!</v>
      </c>
      <c r="FU116" t="e">
        <f>'2.4.Функции'!FP187+"BYw!&amp;h}"</f>
        <v>#VALUE!</v>
      </c>
      <c r="FV116" t="e">
        <f>'2.4.Функции'!FQ187+"BYw!&amp;h~"</f>
        <v>#VALUE!</v>
      </c>
      <c r="FW116" t="e">
        <f>'2.4.Функции'!FR187+"BYw!&amp;i#"</f>
        <v>#VALUE!</v>
      </c>
      <c r="FX116" t="e">
        <f>'2.4.Функции'!FS187+"BYw!&amp;i$"</f>
        <v>#VALUE!</v>
      </c>
      <c r="FY116" t="e">
        <f>'2.4.Функции'!FT187+"BYw!&amp;i%"</f>
        <v>#VALUE!</v>
      </c>
      <c r="FZ116" t="e">
        <f>'2.4.Функции'!FU187+"BYw!&amp;i&amp;"</f>
        <v>#VALUE!</v>
      </c>
      <c r="GA116" t="e">
        <f>'2.4.Функции'!FV187+"BYw!&amp;i'"</f>
        <v>#VALUE!</v>
      </c>
      <c r="GB116" t="e">
        <f>'2.4.Функции'!FW187+"BYw!&amp;i("</f>
        <v>#VALUE!</v>
      </c>
      <c r="GC116" t="e">
        <f>'2.4.Функции'!FX187+"BYw!&amp;i)"</f>
        <v>#VALUE!</v>
      </c>
      <c r="GD116" t="e">
        <f>'2.4.Функции'!FY187+"BYw!&amp;i."</f>
        <v>#VALUE!</v>
      </c>
      <c r="GE116" t="e">
        <f>'2.4.Функции'!FZ187+"BYw!&amp;i/"</f>
        <v>#VALUE!</v>
      </c>
      <c r="GF116" t="e">
        <f>'2.4.Функции'!GA187+"BYw!&amp;i0"</f>
        <v>#VALUE!</v>
      </c>
      <c r="GG116" t="e">
        <f>'2.4.Функции'!GB187+"BYw!&amp;i1"</f>
        <v>#VALUE!</v>
      </c>
      <c r="GH116" t="e">
        <f>'2.4.Функции'!GC187+"BYw!&amp;i2"</f>
        <v>#VALUE!</v>
      </c>
      <c r="GI116" t="e">
        <f>'2.4.Функции'!GD187+"BYw!&amp;i3"</f>
        <v>#VALUE!</v>
      </c>
      <c r="GJ116" t="e">
        <f>'2.4.Функции'!GE187+"BYw!&amp;i4"</f>
        <v>#VALUE!</v>
      </c>
      <c r="GK116" t="e">
        <f>'2.4.Функции'!GF187+"BYw!&amp;i5"</f>
        <v>#VALUE!</v>
      </c>
      <c r="GL116" t="e">
        <f>'2.4.Функции'!GG187+"BYw!&amp;i6"</f>
        <v>#VALUE!</v>
      </c>
      <c r="GM116" t="e">
        <f>'2.4.Функции'!GH187+"BYw!&amp;i7"</f>
        <v>#VALUE!</v>
      </c>
      <c r="GN116" t="e">
        <f>'2.4.Функции'!GI187+"BYw!&amp;i8"</f>
        <v>#VALUE!</v>
      </c>
      <c r="GO116" t="e">
        <f>'2.4.Функции'!GJ187+"BYw!&amp;i9"</f>
        <v>#VALUE!</v>
      </c>
      <c r="GP116" t="e">
        <f>'2.4.Функции'!GK187+"BYw!&amp;i:"</f>
        <v>#VALUE!</v>
      </c>
      <c r="GQ116" t="e">
        <f>'2.4.Функции'!GL187+"BYw!&amp;i;"</f>
        <v>#VALUE!</v>
      </c>
      <c r="GR116" t="e">
        <f>'2.4.Функции'!GM187+"BYw!&amp;i&lt;"</f>
        <v>#VALUE!</v>
      </c>
      <c r="GS116" t="e">
        <f>'2.4.Функции'!GN187+"BYw!&amp;i="</f>
        <v>#VALUE!</v>
      </c>
      <c r="GT116" t="e">
        <f>'2.4.Функции'!GO187+"BYw!&amp;i&gt;"</f>
        <v>#VALUE!</v>
      </c>
      <c r="GU116" t="e">
        <f>'2.4.Функции'!GP187+"BYw!&amp;i?"</f>
        <v>#VALUE!</v>
      </c>
      <c r="GV116" t="e">
        <f>'2.4.Функции'!GQ187+"BYw!&amp;i@"</f>
        <v>#VALUE!</v>
      </c>
      <c r="GW116" t="e">
        <f>'2.4.Функции'!GR187+"BYw!&amp;iA"</f>
        <v>#VALUE!</v>
      </c>
      <c r="GX116" t="e">
        <f>'2.4.Функции'!GS187+"BYw!&amp;iB"</f>
        <v>#VALUE!</v>
      </c>
      <c r="GY116" t="e">
        <f>'2.4.Функции'!GT187+"BYw!&amp;iC"</f>
        <v>#VALUE!</v>
      </c>
      <c r="GZ116" t="e">
        <f>'2.4.Функции'!GU187+"BYw!&amp;iD"</f>
        <v>#VALUE!</v>
      </c>
      <c r="HA116" t="e">
        <f>'2.4.Функции'!GV187+"BYw!&amp;iE"</f>
        <v>#VALUE!</v>
      </c>
      <c r="HB116" t="e">
        <f>'2.4.Функции'!GW187+"BYw!&amp;iF"</f>
        <v>#VALUE!</v>
      </c>
      <c r="HC116" t="e">
        <f>'2.4.Функции'!GX187+"BYw!&amp;iG"</f>
        <v>#VALUE!</v>
      </c>
      <c r="HD116" t="e">
        <f>'2.4.Функции'!GY187+"BYw!&amp;iH"</f>
        <v>#VALUE!</v>
      </c>
      <c r="HE116" t="e">
        <f>'2.4.Функции'!GZ187+"BYw!&amp;iI"</f>
        <v>#VALUE!</v>
      </c>
      <c r="HF116" t="e">
        <f>'2.4.Функции'!HA187+"BYw!&amp;iJ"</f>
        <v>#VALUE!</v>
      </c>
      <c r="HG116" t="e">
        <f>'2.4.Функции'!HB187+"BYw!&amp;iK"</f>
        <v>#VALUE!</v>
      </c>
      <c r="HH116" t="e">
        <f>'2.4.Функции'!HC187+"BYw!&amp;iL"</f>
        <v>#VALUE!</v>
      </c>
      <c r="HI116" t="e">
        <f>'2.4.Функции'!HD187+"BYw!&amp;iM"</f>
        <v>#VALUE!</v>
      </c>
      <c r="HJ116" t="e">
        <f>'2.4.Функции'!HE187+"BYw!&amp;iN"</f>
        <v>#VALUE!</v>
      </c>
      <c r="HK116" t="e">
        <f>'2.4.Функции'!HF187+"BYw!&amp;iO"</f>
        <v>#VALUE!</v>
      </c>
      <c r="HL116" t="e">
        <f>'2.4.Функции'!HG187+"BYw!&amp;iP"</f>
        <v>#VALUE!</v>
      </c>
      <c r="HM116" t="e">
        <f>'2.4.Функции'!HH187+"BYw!&amp;iQ"</f>
        <v>#VALUE!</v>
      </c>
      <c r="HN116" t="e">
        <f>'2.4.Функции'!HI187+"BYw!&amp;iR"</f>
        <v>#VALUE!</v>
      </c>
      <c r="HO116" t="e">
        <f>'2.4.Функции'!HJ187+"BYw!&amp;iS"</f>
        <v>#VALUE!</v>
      </c>
      <c r="HP116" t="e">
        <f>'2.4.Функции'!HK187+"BYw!&amp;iT"</f>
        <v>#VALUE!</v>
      </c>
      <c r="HQ116" t="e">
        <f>'2.4.Функции'!HL187+"BYw!&amp;iU"</f>
        <v>#VALUE!</v>
      </c>
      <c r="HR116" t="e">
        <f>'2.4.Функции'!HM187+"BYw!&amp;iV"</f>
        <v>#VALUE!</v>
      </c>
      <c r="HS116" t="e">
        <f>'2.4.Функции'!HN187+"BYw!&amp;iW"</f>
        <v>#VALUE!</v>
      </c>
      <c r="HT116" t="e">
        <f>'2.4.Функции'!HO187+"BYw!&amp;iX"</f>
        <v>#VALUE!</v>
      </c>
      <c r="HU116" t="e">
        <f>'2.4.Функции'!HP187+"BYw!&amp;iY"</f>
        <v>#VALUE!</v>
      </c>
      <c r="HV116" t="e">
        <f>'2.4.Функции'!HQ187+"BYw!&amp;iZ"</f>
        <v>#VALUE!</v>
      </c>
      <c r="HW116" t="e">
        <f>'2.4.Функции'!HR187+"BYw!&amp;i["</f>
        <v>#VALUE!</v>
      </c>
      <c r="HX116" t="e">
        <f>'2.4.Функции'!HS187+"BYw!&amp;i\"</f>
        <v>#VALUE!</v>
      </c>
      <c r="HY116" t="e">
        <f>'2.4.Функции'!HT187+"BYw!&amp;i]"</f>
        <v>#VALUE!</v>
      </c>
      <c r="HZ116" t="e">
        <f>'2.4.Функции'!HU187+"BYw!&amp;i^"</f>
        <v>#VALUE!</v>
      </c>
      <c r="IA116" t="e">
        <f>'2.4.Функции'!HV187+"BYw!&amp;i_"</f>
        <v>#VALUE!</v>
      </c>
      <c r="IB116" t="e">
        <f>'2.4.Функции'!HW187+"BYw!&amp;i`"</f>
        <v>#VALUE!</v>
      </c>
      <c r="IC116" t="e">
        <f>'2.4.Функции'!HX187+"BYw!&amp;ia"</f>
        <v>#VALUE!</v>
      </c>
      <c r="ID116" t="e">
        <f>'2.4.Функции'!HY187+"BYw!&amp;ib"</f>
        <v>#VALUE!</v>
      </c>
      <c r="IE116" t="e">
        <f>'2.4.Функции'!HZ187+"BYw!&amp;ic"</f>
        <v>#VALUE!</v>
      </c>
      <c r="IF116" t="e">
        <f>'2.4.Функции'!IA187+"BYw!&amp;id"</f>
        <v>#VALUE!</v>
      </c>
      <c r="IG116" t="e">
        <f>'2.4.Функции'!IB187+"BYw!&amp;ie"</f>
        <v>#VALUE!</v>
      </c>
      <c r="IH116" t="e">
        <f>'2.4.Функции'!IC187+"BYw!&amp;if"</f>
        <v>#VALUE!</v>
      </c>
      <c r="II116" t="e">
        <f>'2.4.Функции'!ID187+"BYw!&amp;ig"</f>
        <v>#VALUE!</v>
      </c>
      <c r="IJ116" t="e">
        <f>'2.4.Функции'!IE187+"BYw!&amp;ih"</f>
        <v>#VALUE!</v>
      </c>
      <c r="IK116" t="e">
        <f>'2.4.Функции'!IF187+"BYw!&amp;ii"</f>
        <v>#VALUE!</v>
      </c>
      <c r="IL116" t="e">
        <f>'2.4.Функции'!IG187+"BYw!&amp;ij"</f>
        <v>#VALUE!</v>
      </c>
      <c r="IM116" t="e">
        <f>'2.4.Функции'!IH187+"BYw!&amp;ik"</f>
        <v>#VALUE!</v>
      </c>
      <c r="IN116" t="e">
        <f>'2.4.Функции'!II187+"BYw!&amp;il"</f>
        <v>#VALUE!</v>
      </c>
      <c r="IO116" t="e">
        <f>'2.4.Функции'!IJ187+"BYw!&amp;im"</f>
        <v>#VALUE!</v>
      </c>
      <c r="IP116" t="e">
        <f>'2.4.Функции'!IK187+"BYw!&amp;in"</f>
        <v>#VALUE!</v>
      </c>
      <c r="IQ116" t="e">
        <f>'2.4.Функции'!IL187+"BYw!&amp;io"</f>
        <v>#VALUE!</v>
      </c>
      <c r="IR116" t="e">
        <f>'2.4.Функции'!IM187+"BYw!&amp;ip"</f>
        <v>#VALUE!</v>
      </c>
      <c r="IS116" t="e">
        <f>'2.4.Функции'!IN187+"BYw!&amp;iq"</f>
        <v>#VALUE!</v>
      </c>
      <c r="IT116" t="e">
        <f>'2.4.Функции'!IO187+"BYw!&amp;ir"</f>
        <v>#VALUE!</v>
      </c>
      <c r="IU116" t="e">
        <f>'2.4.Функции'!IP187+"BYw!&amp;is"</f>
        <v>#VALUE!</v>
      </c>
      <c r="IV116" t="e">
        <f>'2.4.Функции'!IQ187+"BYw!&amp;it"</f>
        <v>#VALUE!</v>
      </c>
    </row>
    <row r="117" spans="6:256" x14ac:dyDescent="0.2">
      <c r="F117" t="e">
        <f>'2.4.Функции'!IR187+"BYw!&amp;iu"</f>
        <v>#VALUE!</v>
      </c>
      <c r="G117" t="e">
        <f>'2.4.Функции'!IS187+"BYw!&amp;iv"</f>
        <v>#VALUE!</v>
      </c>
      <c r="H117" t="e">
        <f>'2.4.Функции'!IT187+"BYw!&amp;iw"</f>
        <v>#VALUE!</v>
      </c>
      <c r="I117" t="e">
        <f>'2.4.Функции'!IU187+"BYw!&amp;ix"</f>
        <v>#VALUE!</v>
      </c>
      <c r="J117" t="e">
        <f>'2.4.Функции'!IV187+"BYw!&amp;iy"</f>
        <v>#VALUE!</v>
      </c>
      <c r="K117" t="e">
        <f>'2.4.Функции'!IW187+"BYw!&amp;iz"</f>
        <v>#VALUE!</v>
      </c>
      <c r="L117" t="e">
        <f>'2.4.Функции'!IX187+"BYw!&amp;i{"</f>
        <v>#VALUE!</v>
      </c>
      <c r="M117" t="e">
        <f>'2.4.Функции'!IY187+"BYw!&amp;i|"</f>
        <v>#VALUE!</v>
      </c>
      <c r="N117" t="e">
        <f>'2.4.Функции'!IZ187+"BYw!&amp;i}"</f>
        <v>#VALUE!</v>
      </c>
      <c r="O117" t="e">
        <f>'2.4.Функции'!JA187+"BYw!&amp;i~"</f>
        <v>#VALUE!</v>
      </c>
      <c r="P117" t="e">
        <f>'2.4.Функции'!JB187+"BYw!&amp;j#"</f>
        <v>#VALUE!</v>
      </c>
      <c r="Q117" t="e">
        <f>'2.4.Функции'!JC187+"BYw!&amp;j$"</f>
        <v>#VALUE!</v>
      </c>
      <c r="R117" t="e">
        <f>'2.4.Функции'!JD187+"BYw!&amp;j%"</f>
        <v>#VALUE!</v>
      </c>
      <c r="S117" t="e">
        <f>'2.4.Функции'!JE187+"BYw!&amp;j&amp;"</f>
        <v>#VALUE!</v>
      </c>
      <c r="T117" t="e">
        <f>'2.4.Функции'!JF187+"BYw!&amp;j'"</f>
        <v>#VALUE!</v>
      </c>
      <c r="U117" t="e">
        <f>'2.4.Функции'!JG187+"BYw!&amp;j("</f>
        <v>#VALUE!</v>
      </c>
      <c r="V117" t="e">
        <f>'2.4.Функции'!JH187+"BYw!&amp;j)"</f>
        <v>#VALUE!</v>
      </c>
      <c r="W117" t="e">
        <f>'2.4.Функции'!JI187+"BYw!&amp;j."</f>
        <v>#VALUE!</v>
      </c>
      <c r="X117" t="e">
        <f>'2.4.Функции'!JJ187+"BYw!&amp;j/"</f>
        <v>#VALUE!</v>
      </c>
      <c r="Y117" t="e">
        <f>'2.4.Функции'!JK187+"BYw!&amp;j0"</f>
        <v>#VALUE!</v>
      </c>
      <c r="Z117" t="e">
        <f>'2.4.Функции'!JL187+"BYw!&amp;j1"</f>
        <v>#VALUE!</v>
      </c>
      <c r="AA117" t="e">
        <f>'2.4.Функции'!JM187+"BYw!&amp;j2"</f>
        <v>#VALUE!</v>
      </c>
      <c r="AB117" t="e">
        <f>'2.4.Функции'!JN187+"BYw!&amp;j3"</f>
        <v>#VALUE!</v>
      </c>
      <c r="AC117" t="e">
        <f>'2.4.Функции'!JO187+"BYw!&amp;j4"</f>
        <v>#VALUE!</v>
      </c>
      <c r="AD117" t="e">
        <f>'2.4.Функции'!JP187+"BYw!&amp;j5"</f>
        <v>#VALUE!</v>
      </c>
      <c r="AE117" t="e">
        <f>'2.4.Функции'!JQ187+"BYw!&amp;j6"</f>
        <v>#VALUE!</v>
      </c>
      <c r="AF117" t="e">
        <f>'2.4.Функции'!JR187+"BYw!&amp;j7"</f>
        <v>#VALUE!</v>
      </c>
      <c r="AG117" t="e">
        <f>'2.4.Функции'!JS187+"BYw!&amp;j8"</f>
        <v>#VALUE!</v>
      </c>
      <c r="AH117" t="e">
        <f>'2.4.Функции'!JT187+"BYw!&amp;j9"</f>
        <v>#VALUE!</v>
      </c>
      <c r="AI117" t="e">
        <f>'2.4.Функции'!JU187+"BYw!&amp;j:"</f>
        <v>#VALUE!</v>
      </c>
      <c r="AJ117" t="e">
        <f>'2.4.Функции'!JV187+"BYw!&amp;j;"</f>
        <v>#VALUE!</v>
      </c>
      <c r="AK117" t="e">
        <f>'2.4.Функции'!JW187+"BYw!&amp;j&lt;"</f>
        <v>#VALUE!</v>
      </c>
      <c r="AL117" t="e">
        <f>'2.4.Функции'!JX187+"BYw!&amp;j="</f>
        <v>#VALUE!</v>
      </c>
      <c r="AM117" t="e">
        <f>'2.4.Функции'!JY187+"BYw!&amp;j&gt;"</f>
        <v>#VALUE!</v>
      </c>
      <c r="AN117" t="e">
        <f>'2.4.Функции'!JZ187+"BYw!&amp;j?"</f>
        <v>#VALUE!</v>
      </c>
      <c r="AO117" t="e">
        <f>'2.4.Функции'!KA187+"BYw!&amp;j@"</f>
        <v>#VALUE!</v>
      </c>
      <c r="AP117" t="e">
        <f>'2.4.Функции'!KB187+"BYw!&amp;jA"</f>
        <v>#VALUE!</v>
      </c>
      <c r="AQ117" t="e">
        <f>'2.4.Функции'!KC187+"BYw!&amp;jB"</f>
        <v>#VALUE!</v>
      </c>
      <c r="AR117" t="e">
        <f>'2.4.Функции'!KD187+"BYw!&amp;jC"</f>
        <v>#VALUE!</v>
      </c>
      <c r="AS117" t="e">
        <f>'2.4.Функции'!KE187+"BYw!&amp;jD"</f>
        <v>#VALUE!</v>
      </c>
      <c r="AT117" t="e">
        <f>'2.4.Функции'!KF187+"BYw!&amp;jE"</f>
        <v>#VALUE!</v>
      </c>
      <c r="AU117" t="e">
        <f>'2.4.Функции'!KG187+"BYw!&amp;jF"</f>
        <v>#VALUE!</v>
      </c>
      <c r="AV117" t="e">
        <f>'2.4.Функции'!KH187+"BYw!&amp;jG"</f>
        <v>#VALUE!</v>
      </c>
      <c r="AW117" t="e">
        <f>'2.4.Функции'!KI187+"BYw!&amp;jH"</f>
        <v>#VALUE!</v>
      </c>
      <c r="AX117" t="e">
        <f>'2.4.Функции'!KJ187+"BYw!&amp;jI"</f>
        <v>#VALUE!</v>
      </c>
      <c r="AY117" t="e">
        <f>'2.4.Функции'!KK187+"BYw!&amp;jJ"</f>
        <v>#VALUE!</v>
      </c>
      <c r="AZ117" t="e">
        <f>'2.4.Функции'!KL187+"BYw!&amp;jK"</f>
        <v>#VALUE!</v>
      </c>
      <c r="BA117" t="e">
        <f>'2.4.Функции'!KM187+"BYw!&amp;jL"</f>
        <v>#VALUE!</v>
      </c>
      <c r="BB117" t="e">
        <f>'2.4.Функции'!KN187+"BYw!&amp;jM"</f>
        <v>#VALUE!</v>
      </c>
      <c r="BC117" t="e">
        <f>'2.4.Функции'!KO187+"BYw!&amp;jN"</f>
        <v>#VALUE!</v>
      </c>
      <c r="BD117" t="e">
        <f>'2.4.Функции'!KP187+"BYw!&amp;jO"</f>
        <v>#VALUE!</v>
      </c>
      <c r="BE117" t="e">
        <f>'2.4.Функции'!KQ187+"BYw!&amp;jP"</f>
        <v>#VALUE!</v>
      </c>
      <c r="BF117" t="e">
        <f>'2.4.Функции'!KR187+"BYw!&amp;jQ"</f>
        <v>#VALUE!</v>
      </c>
      <c r="BG117" t="e">
        <f>'2.4.Функции'!KS187+"BYw!&amp;jR"</f>
        <v>#VALUE!</v>
      </c>
      <c r="BH117" t="e">
        <f>'2.4.Функции'!KT187+"BYw!&amp;jS"</f>
        <v>#VALUE!</v>
      </c>
      <c r="BI117" t="e">
        <f>'2.4.Функции'!KU187+"BYw!&amp;jT"</f>
        <v>#VALUE!</v>
      </c>
      <c r="BJ117" t="e">
        <f>'2.4.Функции'!KV187+"BYw!&amp;jU"</f>
        <v>#VALUE!</v>
      </c>
      <c r="BK117" t="e">
        <f>'2.4.Функции'!KW187+"BYw!&amp;jV"</f>
        <v>#VALUE!</v>
      </c>
      <c r="BL117" t="e">
        <f>'2.4.Функции'!KX187+"BYw!&amp;jW"</f>
        <v>#VALUE!</v>
      </c>
      <c r="BM117" t="e">
        <f>'2.4.Функции'!KY187+"BYw!&amp;jX"</f>
        <v>#VALUE!</v>
      </c>
      <c r="BN117" t="e">
        <f>'2.4.Функции'!KZ187+"BYw!&amp;jY"</f>
        <v>#VALUE!</v>
      </c>
      <c r="BO117" t="e">
        <f>'2.4.Функции'!LA187+"BYw!&amp;jZ"</f>
        <v>#VALUE!</v>
      </c>
      <c r="BP117" t="e">
        <f>'2.4.Функции'!LB187+"BYw!&amp;j["</f>
        <v>#VALUE!</v>
      </c>
      <c r="BQ117" t="e">
        <f>'2.4.Функции'!LC187+"BYw!&amp;j\"</f>
        <v>#VALUE!</v>
      </c>
      <c r="BR117" t="e">
        <f>'2.4.Функции'!LD187+"BYw!&amp;j]"</f>
        <v>#VALUE!</v>
      </c>
      <c r="BS117" t="e">
        <f>'2.4.Функции'!LE187+"BYw!&amp;j^"</f>
        <v>#VALUE!</v>
      </c>
      <c r="BT117" t="e">
        <f>'2.4.Функции'!LF187+"BYw!&amp;j_"</f>
        <v>#VALUE!</v>
      </c>
      <c r="BU117" t="e">
        <f>'2.4.Функции'!LG187+"BYw!&amp;j`"</f>
        <v>#VALUE!</v>
      </c>
      <c r="BV117" t="e">
        <f>'2.4.Функции'!LH187+"BYw!&amp;ja"</f>
        <v>#VALUE!</v>
      </c>
      <c r="BW117" t="e">
        <f>'2.4.Функции'!LI187+"BYw!&amp;jb"</f>
        <v>#VALUE!</v>
      </c>
      <c r="BX117" t="e">
        <f>'2.4.Функции'!LJ187+"BYw!&amp;jc"</f>
        <v>#VALUE!</v>
      </c>
      <c r="BY117" t="e">
        <f>'2.4.Функции'!LK187+"BYw!&amp;jd"</f>
        <v>#VALUE!</v>
      </c>
      <c r="BZ117" t="e">
        <f>'2.4.Функции'!LL187+"BYw!&amp;je"</f>
        <v>#VALUE!</v>
      </c>
      <c r="CA117" t="e">
        <f>'2.4.Функции'!LM187+"BYw!&amp;jf"</f>
        <v>#VALUE!</v>
      </c>
      <c r="CB117" t="e">
        <f>'2.4.Функции'!LN187+"BYw!&amp;jg"</f>
        <v>#VALUE!</v>
      </c>
      <c r="CC117" t="e">
        <f>'2.4.Функции'!LO187+"BYw!&amp;jh"</f>
        <v>#VALUE!</v>
      </c>
      <c r="CD117" t="e">
        <f>'2.4.Функции'!LP187+"BYw!&amp;ji"</f>
        <v>#VALUE!</v>
      </c>
      <c r="CE117" t="e">
        <f>'2.4.Функции'!LQ187+"BYw!&amp;jj"</f>
        <v>#VALUE!</v>
      </c>
      <c r="CF117" t="e">
        <f>'2.4.Функции'!LR187+"BYw!&amp;jk"</f>
        <v>#VALUE!</v>
      </c>
      <c r="CG117" t="e">
        <f>'2.4.Функции'!LS187+"BYw!&amp;jl"</f>
        <v>#VALUE!</v>
      </c>
      <c r="CH117" t="e">
        <f>'2.4.Функции'!LT187+"BYw!&amp;jm"</f>
        <v>#VALUE!</v>
      </c>
      <c r="CI117" t="e">
        <f>'2.4.Функции'!LU187+"BYw!&amp;jn"</f>
        <v>#VALUE!</v>
      </c>
      <c r="CJ117" t="e">
        <f>'2.4.Функции'!LV187+"BYw!&amp;jo"</f>
        <v>#VALUE!</v>
      </c>
      <c r="CK117" t="e">
        <f>'2.4.Функции'!LW187+"BYw!&amp;jp"</f>
        <v>#VALUE!</v>
      </c>
      <c r="CL117" t="e">
        <f>'2.4.Функции'!LX187+"BYw!&amp;jq"</f>
        <v>#VALUE!</v>
      </c>
      <c r="CM117" t="e">
        <f>'2.4.Функции'!LY187+"BYw!&amp;jr"</f>
        <v>#VALUE!</v>
      </c>
      <c r="CN117" t="e">
        <f>'2.4.Функции'!LZ187+"BYw!&amp;js"</f>
        <v>#VALUE!</v>
      </c>
      <c r="CO117" t="e">
        <f>'2.4.Функции'!MA187+"BYw!&amp;jt"</f>
        <v>#VALUE!</v>
      </c>
      <c r="CP117" t="e">
        <f>'2.4.Функции'!MB187+"BYw!&amp;ju"</f>
        <v>#VALUE!</v>
      </c>
      <c r="CQ117" t="e">
        <f>'2.4.Функции'!MC187+"BYw!&amp;jv"</f>
        <v>#VALUE!</v>
      </c>
      <c r="CR117" t="e">
        <f>'2.4.Функции'!MD187+"BYw!&amp;jw"</f>
        <v>#VALUE!</v>
      </c>
      <c r="CS117" t="e">
        <f>'2.4.Функции'!ME187+"BYw!&amp;jx"</f>
        <v>#VALUE!</v>
      </c>
      <c r="CT117" t="e">
        <f>'2.4.Функции'!MF187+"BYw!&amp;jy"</f>
        <v>#VALUE!</v>
      </c>
      <c r="CU117" t="e">
        <f>'2.4.Функции'!MG187+"BYw!&amp;jz"</f>
        <v>#VALUE!</v>
      </c>
      <c r="CV117" t="e">
        <f>'2.4.Функции'!MH187+"BYw!&amp;j{"</f>
        <v>#VALUE!</v>
      </c>
      <c r="CW117" t="e">
        <f>'2.4.Функции'!MI187+"BYw!&amp;j|"</f>
        <v>#VALUE!</v>
      </c>
      <c r="CX117" t="e">
        <f>'2.4.Функции'!MJ187+"BYw!&amp;j}"</f>
        <v>#VALUE!</v>
      </c>
      <c r="CY117" t="e">
        <f>'2.4.Функции'!MK187+"BYw!&amp;j~"</f>
        <v>#VALUE!</v>
      </c>
      <c r="CZ117" t="e">
        <f>'2.4.Функции'!ML187+"BYw!&amp;k#"</f>
        <v>#VALUE!</v>
      </c>
      <c r="DA117" t="e">
        <f>'2.4.Функции'!MM187+"BYw!&amp;k$"</f>
        <v>#VALUE!</v>
      </c>
      <c r="DB117" t="e">
        <f>'2.4.Функции'!MN187+"BYw!&amp;k%"</f>
        <v>#VALUE!</v>
      </c>
      <c r="DC117" t="e">
        <f>'2.4.Функции'!MO187+"BYw!&amp;k&amp;"</f>
        <v>#VALUE!</v>
      </c>
      <c r="DD117" t="e">
        <f>'2.4.Функции'!MP187+"BYw!&amp;k'"</f>
        <v>#VALUE!</v>
      </c>
      <c r="DE117" t="e">
        <f>'2.4.Функции'!MQ187+"BYw!&amp;k("</f>
        <v>#VALUE!</v>
      </c>
      <c r="DF117" t="e">
        <f>'2.4.Функции'!MR187+"BYw!&amp;k)"</f>
        <v>#VALUE!</v>
      </c>
      <c r="DG117" t="e">
        <f>'2.4.Функции'!MS187+"BYw!&amp;k."</f>
        <v>#VALUE!</v>
      </c>
      <c r="DH117" t="e">
        <f>'2.4.Функции'!MT187+"BYw!&amp;k/"</f>
        <v>#VALUE!</v>
      </c>
      <c r="DI117" t="e">
        <f>'2.4.Функции'!MU187+"BYw!&amp;k0"</f>
        <v>#VALUE!</v>
      </c>
      <c r="DJ117" t="e">
        <f>'2.4.Функции'!MV187+"BYw!&amp;k1"</f>
        <v>#VALUE!</v>
      </c>
      <c r="DK117" t="e">
        <f>'2.4.Функции'!MW187+"BYw!&amp;k2"</f>
        <v>#VALUE!</v>
      </c>
      <c r="DL117" t="e">
        <f>'2.4.Функции'!MX187+"BYw!&amp;k3"</f>
        <v>#VALUE!</v>
      </c>
      <c r="DM117" t="e">
        <f>'2.4.Функции'!MY187+"BYw!&amp;k4"</f>
        <v>#VALUE!</v>
      </c>
      <c r="DN117" t="e">
        <f>'2.4.Функции'!MZ187+"BYw!&amp;k5"</f>
        <v>#VALUE!</v>
      </c>
      <c r="DO117" t="e">
        <f>'2.4.Функции'!NA187+"BYw!&amp;k6"</f>
        <v>#VALUE!</v>
      </c>
      <c r="DP117" t="e">
        <f>'2.4.Функции'!NB187+"BYw!&amp;k7"</f>
        <v>#VALUE!</v>
      </c>
      <c r="DQ117" t="e">
        <f>'2.4.Функции'!NC187+"BYw!&amp;k8"</f>
        <v>#VALUE!</v>
      </c>
      <c r="DR117" t="e">
        <f>'2.4.Функции'!ND187+"BYw!&amp;k9"</f>
        <v>#VALUE!</v>
      </c>
      <c r="DS117" t="e">
        <f>'2.4.Функции'!NE187+"BYw!&amp;k:"</f>
        <v>#VALUE!</v>
      </c>
      <c r="DT117" t="e">
        <f>'2.4.Функции'!NF187+"BYw!&amp;k;"</f>
        <v>#VALUE!</v>
      </c>
      <c r="DU117" t="e">
        <f>'2.4.Функции'!NG187+"BYw!&amp;k&lt;"</f>
        <v>#VALUE!</v>
      </c>
      <c r="DV117" t="e">
        <f>'2.4.Функции'!NH187+"BYw!&amp;k="</f>
        <v>#VALUE!</v>
      </c>
      <c r="DW117" t="e">
        <f>'2.4.Функции'!NI187+"BYw!&amp;k&gt;"</f>
        <v>#VALUE!</v>
      </c>
      <c r="DX117" t="e">
        <f>'2.4.Функции'!NJ187+"BYw!&amp;k?"</f>
        <v>#VALUE!</v>
      </c>
      <c r="DY117" t="e">
        <f>'2.4.Функции'!NK187+"BYw!&amp;k@"</f>
        <v>#VALUE!</v>
      </c>
      <c r="DZ117" t="e">
        <f>'2.4.Функции'!NL187+"BYw!&amp;kA"</f>
        <v>#VALUE!</v>
      </c>
      <c r="EA117" t="e">
        <f>'2.4.Функции'!NM187+"BYw!&amp;kB"</f>
        <v>#VALUE!</v>
      </c>
      <c r="EB117" t="e">
        <f>'2.4.Функции'!NN187+"BYw!&amp;kC"</f>
        <v>#VALUE!</v>
      </c>
      <c r="EC117" t="e">
        <f>'2.4.Функции'!NO187+"BYw!&amp;kD"</f>
        <v>#VALUE!</v>
      </c>
      <c r="ED117" t="e">
        <f>'2.4.Функции'!NP187+"BYw!&amp;kE"</f>
        <v>#VALUE!</v>
      </c>
      <c r="EE117" t="e">
        <f>'2.4.Функции'!NQ187+"BYw!&amp;kF"</f>
        <v>#VALUE!</v>
      </c>
      <c r="EF117" t="e">
        <f>'2.4.Функции'!NR187+"BYw!&amp;kG"</f>
        <v>#VALUE!</v>
      </c>
      <c r="EG117" t="e">
        <f>'2.4.Функции'!NS187+"BYw!&amp;kH"</f>
        <v>#VALUE!</v>
      </c>
      <c r="EH117" t="e">
        <f>'2.4.Функции'!NT187+"BYw!&amp;kI"</f>
        <v>#VALUE!</v>
      </c>
      <c r="EI117" t="e">
        <f>'2.4.Функции'!NU187+"BYw!&amp;kJ"</f>
        <v>#VALUE!</v>
      </c>
      <c r="EJ117" t="e">
        <f>'2.4.Функции'!NV187+"BYw!&amp;kK"</f>
        <v>#VALUE!</v>
      </c>
      <c r="EK117" t="e">
        <f>'2.4.Функции'!NW187+"BYw!&amp;kL"</f>
        <v>#VALUE!</v>
      </c>
      <c r="EL117" t="e">
        <f>'2.4.Функции'!NX187+"BYw!&amp;kM"</f>
        <v>#VALUE!</v>
      </c>
      <c r="EM117" t="e">
        <f>'2.4.Функции'!NY187+"BYw!&amp;kN"</f>
        <v>#VALUE!</v>
      </c>
      <c r="EN117" t="e">
        <f>'2.4.Функции'!NZ187+"BYw!&amp;kO"</f>
        <v>#VALUE!</v>
      </c>
      <c r="EO117" t="e">
        <f>'2.4.Функции'!OA187+"BYw!&amp;kP"</f>
        <v>#VALUE!</v>
      </c>
      <c r="EP117" t="e">
        <f>'2.4.Функции'!OB187+"BYw!&amp;kQ"</f>
        <v>#VALUE!</v>
      </c>
      <c r="EQ117" t="e">
        <f>'2.4.Функции'!OC187+"BYw!&amp;kR"</f>
        <v>#VALUE!</v>
      </c>
      <c r="ER117" t="e">
        <f>'2.4.Функции'!OD187+"BYw!&amp;kS"</f>
        <v>#VALUE!</v>
      </c>
      <c r="ES117" t="e">
        <f>'2.4.Функции'!OE187+"BYw!&amp;kT"</f>
        <v>#VALUE!</v>
      </c>
      <c r="ET117" t="e">
        <f>'2.4.Функции'!OF187+"BYw!&amp;kU"</f>
        <v>#VALUE!</v>
      </c>
      <c r="EU117" t="e">
        <f>'2.4.Функции'!OG187+"BYw!&amp;kV"</f>
        <v>#VALUE!</v>
      </c>
      <c r="EV117" t="e">
        <f>'2.4.Функции'!OH187+"BYw!&amp;kW"</f>
        <v>#VALUE!</v>
      </c>
      <c r="EW117" t="e">
        <f>'2.4.Функции'!OI187+"BYw!&amp;kX"</f>
        <v>#VALUE!</v>
      </c>
      <c r="EX117" t="e">
        <f>'2.4.Функции'!OJ187+"BYw!&amp;kY"</f>
        <v>#VALUE!</v>
      </c>
      <c r="EY117" t="e">
        <f>'2.4.Функции'!OK187+"BYw!&amp;kZ"</f>
        <v>#VALUE!</v>
      </c>
      <c r="EZ117" t="e">
        <f>'2.4.Функции'!OL187+"BYw!&amp;k["</f>
        <v>#VALUE!</v>
      </c>
      <c r="FA117" t="e">
        <f>'2.4.Функции'!OM187+"BYw!&amp;k\"</f>
        <v>#VALUE!</v>
      </c>
      <c r="FB117" t="e">
        <f>'2.4.Функции'!ON187+"BYw!&amp;k]"</f>
        <v>#VALUE!</v>
      </c>
      <c r="FC117" t="e">
        <f>'2.4.Функции'!OO187+"BYw!&amp;k^"</f>
        <v>#VALUE!</v>
      </c>
      <c r="FD117" t="e">
        <f>'2.4.Функции'!OP187+"BYw!&amp;k_"</f>
        <v>#VALUE!</v>
      </c>
      <c r="FE117" t="e">
        <f>'2.4.Функции'!OQ187+"BYw!&amp;k`"</f>
        <v>#VALUE!</v>
      </c>
      <c r="FF117" t="e">
        <f>'2.4.Функции'!OR187+"BYw!&amp;ka"</f>
        <v>#VALUE!</v>
      </c>
      <c r="FG117" t="e">
        <f>'2.4.Функции'!OS187+"BYw!&amp;kb"</f>
        <v>#VALUE!</v>
      </c>
      <c r="FH117" t="e">
        <f>'2.4.Функции'!OT187+"BYw!&amp;kc"</f>
        <v>#VALUE!</v>
      </c>
      <c r="FI117" t="e">
        <f>'2.4.Функции'!OU187+"BYw!&amp;kd"</f>
        <v>#VALUE!</v>
      </c>
      <c r="FJ117" t="e">
        <f>'2.4.Функции'!OV187+"BYw!&amp;ke"</f>
        <v>#VALUE!</v>
      </c>
      <c r="FK117" t="e">
        <f>'2.4.Функции'!OW187+"BYw!&amp;kf"</f>
        <v>#VALUE!</v>
      </c>
      <c r="FL117" t="e">
        <f>'2.4.Функции'!OX187+"BYw!&amp;kg"</f>
        <v>#VALUE!</v>
      </c>
      <c r="FM117" t="e">
        <f>'2.4.Функции'!OY187+"BYw!&amp;kh"</f>
        <v>#VALUE!</v>
      </c>
      <c r="FN117" t="e">
        <f>'2.4.Функции'!OZ187+"BYw!&amp;ki"</f>
        <v>#VALUE!</v>
      </c>
      <c r="FO117" t="e">
        <f>'2.4.Функции'!PA187+"BYw!&amp;kj"</f>
        <v>#VALUE!</v>
      </c>
      <c r="FP117" t="e">
        <f>'2.4.Функции'!PB187+"BYw!&amp;kk"</f>
        <v>#VALUE!</v>
      </c>
      <c r="FQ117" t="e">
        <f>'2.4.Функции'!PC187+"BYw!&amp;kl"</f>
        <v>#VALUE!</v>
      </c>
      <c r="FR117" t="e">
        <f>'2.4.Функции'!PD187+"BYw!&amp;km"</f>
        <v>#VALUE!</v>
      </c>
      <c r="FS117" t="e">
        <f>'2.4.Функции'!PE187+"BYw!&amp;kn"</f>
        <v>#VALUE!</v>
      </c>
      <c r="FT117" t="e">
        <f>'2.4.Функции'!PF187+"BYw!&amp;ko"</f>
        <v>#VALUE!</v>
      </c>
      <c r="FU117" t="e">
        <f>'2.4.Функции'!PG187+"BYw!&amp;kp"</f>
        <v>#VALUE!</v>
      </c>
      <c r="FV117" t="e">
        <f>'2.4.Функции'!PH187+"BYw!&amp;kq"</f>
        <v>#VALUE!</v>
      </c>
      <c r="FW117" t="e">
        <f>'2.4.Функции'!PI187+"BYw!&amp;kr"</f>
        <v>#VALUE!</v>
      </c>
      <c r="FX117" t="e">
        <f>'2.4.Функции'!PJ187+"BYw!&amp;ks"</f>
        <v>#VALUE!</v>
      </c>
      <c r="FY117" t="e">
        <f>'2.4.Функции'!PK187+"BYw!&amp;kt"</f>
        <v>#VALUE!</v>
      </c>
      <c r="FZ117" t="e">
        <f>'2.4.Функции'!PL187+"BYw!&amp;ku"</f>
        <v>#VALUE!</v>
      </c>
      <c r="GA117" t="e">
        <f>'2.4.Функции'!PM187+"BYw!&amp;kv"</f>
        <v>#VALUE!</v>
      </c>
      <c r="GB117" t="e">
        <f>'2.4.Функции'!PN187+"BYw!&amp;kw"</f>
        <v>#VALUE!</v>
      </c>
      <c r="GC117" t="e">
        <f>'2.4.Функции'!PO187+"BYw!&amp;kx"</f>
        <v>#VALUE!</v>
      </c>
      <c r="GD117" t="e">
        <f>'2.4.Функции'!PP187+"BYw!&amp;ky"</f>
        <v>#VALUE!</v>
      </c>
      <c r="GE117" t="e">
        <f>'2.4.Функции'!PQ187+"BYw!&amp;kz"</f>
        <v>#VALUE!</v>
      </c>
      <c r="GF117" t="e">
        <f>'2.4.Функции'!PR187+"BYw!&amp;k{"</f>
        <v>#VALUE!</v>
      </c>
      <c r="GG117" t="e">
        <f>'2.4.Функции'!PS187+"BYw!&amp;k|"</f>
        <v>#VALUE!</v>
      </c>
      <c r="GH117" t="e">
        <f>'2.4.Функции'!PT187+"BYw!&amp;k}"</f>
        <v>#VALUE!</v>
      </c>
      <c r="GI117" t="e">
        <f>'2.4.Функции'!PU187+"BYw!&amp;k~"</f>
        <v>#VALUE!</v>
      </c>
      <c r="GJ117" t="e">
        <f>'2.4.Функции'!PV187+"BYw!&amp;l#"</f>
        <v>#VALUE!</v>
      </c>
      <c r="GK117" t="e">
        <f>'2.4.Функции'!PW187+"BYw!&amp;l$"</f>
        <v>#VALUE!</v>
      </c>
      <c r="GL117" t="e">
        <f>'2.4.Функции'!PX187+"BYw!&amp;l%"</f>
        <v>#VALUE!</v>
      </c>
      <c r="GM117" t="e">
        <f>'2.4.Функции'!PY187+"BYw!&amp;l&amp;"</f>
        <v>#VALUE!</v>
      </c>
      <c r="GN117" t="e">
        <f>'2.4.Функции'!PZ187+"BYw!&amp;l'"</f>
        <v>#VALUE!</v>
      </c>
      <c r="GO117" t="e">
        <f>'2.4.Функции'!QA187+"BYw!&amp;l("</f>
        <v>#VALUE!</v>
      </c>
      <c r="GP117" t="e">
        <f>'2.4.Функции'!QB187+"BYw!&amp;l)"</f>
        <v>#VALUE!</v>
      </c>
      <c r="GQ117" t="e">
        <f>'2.4.Функции'!QC187+"BYw!&amp;l."</f>
        <v>#VALUE!</v>
      </c>
      <c r="GR117" t="e">
        <f>'2.4.Функции'!QD187+"BYw!&amp;l/"</f>
        <v>#VALUE!</v>
      </c>
      <c r="GS117" t="e">
        <f>'2.4.Функции'!QE187+"BYw!&amp;l0"</f>
        <v>#VALUE!</v>
      </c>
      <c r="GT117" t="e">
        <f>'2.4.Функции'!QF187+"BYw!&amp;l1"</f>
        <v>#VALUE!</v>
      </c>
      <c r="GU117" t="e">
        <f>'2.4.Функции'!QG187+"BYw!&amp;l2"</f>
        <v>#VALUE!</v>
      </c>
      <c r="GV117" t="e">
        <f>'2.4.Функции'!QH187+"BYw!&amp;l3"</f>
        <v>#VALUE!</v>
      </c>
      <c r="GW117" t="e">
        <f>'2.4.Функции'!QI187+"BYw!&amp;l4"</f>
        <v>#VALUE!</v>
      </c>
      <c r="GX117" t="e">
        <f>'2.4.Функции'!QJ187+"BYw!&amp;l5"</f>
        <v>#VALUE!</v>
      </c>
      <c r="GY117" t="e">
        <f>'2.4.Функции'!QK187+"BYw!&amp;l6"</f>
        <v>#VALUE!</v>
      </c>
      <c r="GZ117" t="e">
        <f>'2.4.Функции'!QL187+"BYw!&amp;l7"</f>
        <v>#VALUE!</v>
      </c>
      <c r="HA117" t="e">
        <f>'2.4.Функции'!QM187+"BYw!&amp;l8"</f>
        <v>#VALUE!</v>
      </c>
      <c r="HB117" t="e">
        <f>'2.4.Функции'!QN187+"BYw!&amp;l9"</f>
        <v>#VALUE!</v>
      </c>
      <c r="HC117" t="e">
        <f>'2.4.Функции'!QO187+"BYw!&amp;l:"</f>
        <v>#VALUE!</v>
      </c>
      <c r="HD117" t="e">
        <f>'2.4.Функции'!QP187+"BYw!&amp;l;"</f>
        <v>#VALUE!</v>
      </c>
      <c r="HE117" t="e">
        <f>'2.4.Функции'!QQ187+"BYw!&amp;l&lt;"</f>
        <v>#VALUE!</v>
      </c>
      <c r="HF117" t="e">
        <f>'2.4.Функции'!QR187+"BYw!&amp;l="</f>
        <v>#VALUE!</v>
      </c>
      <c r="HG117" t="e">
        <f>'2.4.Функции'!QS187+"BYw!&amp;l&gt;"</f>
        <v>#VALUE!</v>
      </c>
      <c r="HH117" t="e">
        <f>'2.4.Функции'!QT187+"BYw!&amp;l?"</f>
        <v>#VALUE!</v>
      </c>
      <c r="HI117" t="e">
        <f>'2.4.Функции'!QU187+"BYw!&amp;l@"</f>
        <v>#VALUE!</v>
      </c>
      <c r="HJ117" t="e">
        <f>'2.4.Функции'!QV187+"BYw!&amp;lA"</f>
        <v>#VALUE!</v>
      </c>
      <c r="HK117" t="e">
        <f>'2.4.Функции'!QW187+"BYw!&amp;lB"</f>
        <v>#VALUE!</v>
      </c>
      <c r="HL117" t="e">
        <f>'2.4.Функции'!QX187+"BYw!&amp;lC"</f>
        <v>#VALUE!</v>
      </c>
      <c r="HM117" t="e">
        <f>'2.4.Функции'!QY187+"BYw!&amp;lD"</f>
        <v>#VALUE!</v>
      </c>
      <c r="HN117" t="e">
        <f>'2.4.Функции'!QZ187+"BYw!&amp;lE"</f>
        <v>#VALUE!</v>
      </c>
      <c r="HO117" t="e">
        <f>'2.4.Функции'!RA187+"BYw!&amp;lF"</f>
        <v>#VALUE!</v>
      </c>
      <c r="HP117" t="e">
        <f>'2.4.Функции'!RB187+"BYw!&amp;lG"</f>
        <v>#VALUE!</v>
      </c>
      <c r="HQ117" t="e">
        <f>'2.4.Функции'!RC187+"BYw!&amp;lH"</f>
        <v>#VALUE!</v>
      </c>
      <c r="HR117" t="e">
        <f>'2.4.Функции'!RD187+"BYw!&amp;lI"</f>
        <v>#VALUE!</v>
      </c>
      <c r="HS117" t="e">
        <f>'2.4.Функции'!RE187+"BYw!&amp;lJ"</f>
        <v>#VALUE!</v>
      </c>
      <c r="HT117" t="e">
        <f>'2.4.Функции'!RF187+"BYw!&amp;lK"</f>
        <v>#VALUE!</v>
      </c>
      <c r="HU117" t="e">
        <f>'2.4.Функции'!RG187+"BYw!&amp;lL"</f>
        <v>#VALUE!</v>
      </c>
      <c r="HV117" t="e">
        <f>'2.4.Функции'!RH187+"BYw!&amp;lM"</f>
        <v>#VALUE!</v>
      </c>
      <c r="HW117" t="e">
        <f>'2.4.Функции'!RI187+"BYw!&amp;lN"</f>
        <v>#VALUE!</v>
      </c>
      <c r="HX117" t="e">
        <f>'2.4.Функции'!RJ187+"BYw!&amp;lO"</f>
        <v>#VALUE!</v>
      </c>
      <c r="HY117" t="e">
        <f>'2.4.Функции'!RK187+"BYw!&amp;lP"</f>
        <v>#VALUE!</v>
      </c>
      <c r="HZ117" t="e">
        <f>'2.4.Функции'!RL187+"BYw!&amp;lQ"</f>
        <v>#VALUE!</v>
      </c>
      <c r="IA117" t="e">
        <f>'2.4.Функции'!RM187+"BYw!&amp;lR"</f>
        <v>#VALUE!</v>
      </c>
      <c r="IB117" t="e">
        <f>'2.4.Функции'!RN187+"BYw!&amp;lS"</f>
        <v>#VALUE!</v>
      </c>
      <c r="IC117" t="e">
        <f>'2.4.Функции'!RO187+"BYw!&amp;lT"</f>
        <v>#VALUE!</v>
      </c>
      <c r="ID117" t="e">
        <f>'2.4.Функции'!RP187+"BYw!&amp;lU"</f>
        <v>#VALUE!</v>
      </c>
      <c r="IE117" t="e">
        <f>'2.4.Функции'!RQ187+"BYw!&amp;lV"</f>
        <v>#VALUE!</v>
      </c>
      <c r="IF117" t="e">
        <f>'2.4.Функции'!RR187+"BYw!&amp;lW"</f>
        <v>#VALUE!</v>
      </c>
      <c r="IG117" t="e">
        <f>'2.4.Функции'!RS187+"BYw!&amp;lX"</f>
        <v>#VALUE!</v>
      </c>
      <c r="IH117" t="e">
        <f>'2.4.Функции'!RT187+"BYw!&amp;lY"</f>
        <v>#VALUE!</v>
      </c>
      <c r="II117" t="e">
        <f>'2.4.Функции'!RU187+"BYw!&amp;lZ"</f>
        <v>#VALUE!</v>
      </c>
      <c r="IJ117" t="e">
        <f>'2.4.Функции'!RV187+"BYw!&amp;l["</f>
        <v>#VALUE!</v>
      </c>
      <c r="IK117" t="e">
        <f>'2.4.Функции'!RW187+"BYw!&amp;l\"</f>
        <v>#VALUE!</v>
      </c>
      <c r="IL117" t="e">
        <f>'2.4.Функции'!RX187+"BYw!&amp;l]"</f>
        <v>#VALUE!</v>
      </c>
      <c r="IM117" t="e">
        <f>'2.4.Функции'!RY187+"BYw!&amp;l^"</f>
        <v>#VALUE!</v>
      </c>
      <c r="IN117" t="e">
        <f>'2.4.Функции'!RZ187+"BYw!&amp;l_"</f>
        <v>#VALUE!</v>
      </c>
      <c r="IO117" t="e">
        <f>'2.4.Функции'!SA187+"BYw!&amp;l`"</f>
        <v>#VALUE!</v>
      </c>
      <c r="IP117" t="e">
        <f>'2.4.Функции'!SB187+"BYw!&amp;la"</f>
        <v>#VALUE!</v>
      </c>
      <c r="IQ117" t="e">
        <f>'2.4.Функции'!SC187+"BYw!&amp;lb"</f>
        <v>#VALUE!</v>
      </c>
      <c r="IR117" t="e">
        <f>'2.4.Функции'!SD187+"BYw!&amp;lc"</f>
        <v>#VALUE!</v>
      </c>
      <c r="IS117" t="e">
        <f>'2.4.Функции'!SE187+"BYw!&amp;ld"</f>
        <v>#VALUE!</v>
      </c>
      <c r="IT117" t="e">
        <f>'2.4.Функции'!SF187+"BYw!&amp;le"</f>
        <v>#VALUE!</v>
      </c>
      <c r="IU117" t="e">
        <f>'2.4.Функции'!SG187+"BYw!&amp;lf"</f>
        <v>#VALUE!</v>
      </c>
      <c r="IV117" t="e">
        <f>'2.4.Функции'!SH187+"BYw!&amp;lg"</f>
        <v>#VALUE!</v>
      </c>
    </row>
    <row r="118" spans="6:256" x14ac:dyDescent="0.2">
      <c r="F118" t="e">
        <f>'2.4.Функции'!SI187+"BYw!&amp;lh"</f>
        <v>#VALUE!</v>
      </c>
      <c r="G118" t="e">
        <f>'2.4.Функции'!SJ187+"BYw!&amp;li"</f>
        <v>#VALUE!</v>
      </c>
      <c r="H118" t="e">
        <f>'2.4.Функции'!SK187+"BYw!&amp;lj"</f>
        <v>#VALUE!</v>
      </c>
      <c r="I118" t="e">
        <f>'2.4.Функции'!SL187+"BYw!&amp;lk"</f>
        <v>#VALUE!</v>
      </c>
      <c r="J118" t="e">
        <f>'2.4.Функции'!SM187+"BYw!&amp;ll"</f>
        <v>#VALUE!</v>
      </c>
      <c r="K118" t="e">
        <f>'2.4.Функции'!SN187+"BYw!&amp;lm"</f>
        <v>#VALUE!</v>
      </c>
      <c r="L118" t="e">
        <f>'2.4.Функции'!SO187+"BYw!&amp;ln"</f>
        <v>#VALUE!</v>
      </c>
      <c r="M118" t="e">
        <f>'2.4.Функции'!SP187+"BYw!&amp;lo"</f>
        <v>#VALUE!</v>
      </c>
      <c r="N118" t="e">
        <f>'2.4.Функции'!SQ187+"BYw!&amp;lp"</f>
        <v>#VALUE!</v>
      </c>
      <c r="O118" t="e">
        <f>'2.4.Функции'!SR187+"BYw!&amp;lq"</f>
        <v>#VALUE!</v>
      </c>
      <c r="P118" t="e">
        <f>'2.4.Функции'!SS187+"BYw!&amp;lr"</f>
        <v>#VALUE!</v>
      </c>
      <c r="Q118" t="e">
        <f>'2.4.Функции'!ST187+"BYw!&amp;ls"</f>
        <v>#VALUE!</v>
      </c>
      <c r="R118" t="e">
        <f>'2.4.Функции'!SU187+"BYw!&amp;lt"</f>
        <v>#VALUE!</v>
      </c>
      <c r="S118" t="e">
        <f>'2.4.Функции'!SV187+"BYw!&amp;lu"</f>
        <v>#VALUE!</v>
      </c>
      <c r="T118" t="e">
        <f>'2.4.Функции'!SW187+"BYw!&amp;lv"</f>
        <v>#VALUE!</v>
      </c>
      <c r="U118" t="e">
        <f>'2.4.Функции'!SX187+"BYw!&amp;lw"</f>
        <v>#VALUE!</v>
      </c>
      <c r="V118" t="e">
        <f>'2.4.Функции'!SY187+"BYw!&amp;lx"</f>
        <v>#VALUE!</v>
      </c>
      <c r="W118" t="e">
        <f>'2.4.Функции'!SZ187+"BYw!&amp;ly"</f>
        <v>#VALUE!</v>
      </c>
      <c r="X118" t="e">
        <f>'2.4.Функции'!TA187+"BYw!&amp;lz"</f>
        <v>#VALUE!</v>
      </c>
      <c r="Y118" t="e">
        <f>'2.4.Функции'!TB187+"BYw!&amp;l{"</f>
        <v>#VALUE!</v>
      </c>
      <c r="Z118" t="e">
        <f>'2.4.Функции'!TC187+"BYw!&amp;l|"</f>
        <v>#VALUE!</v>
      </c>
      <c r="AA118" t="e">
        <f>'2.4.Функции'!TD187+"BYw!&amp;l}"</f>
        <v>#VALUE!</v>
      </c>
      <c r="AB118" t="e">
        <f>'2.4.Функции'!TE187+"BYw!&amp;l~"</f>
        <v>#VALUE!</v>
      </c>
      <c r="AC118" t="e">
        <f>'2.4.Функции'!TF187+"BYw!&amp;m#"</f>
        <v>#VALUE!</v>
      </c>
      <c r="AD118" t="e">
        <f>'2.4.Функции'!TG187+"BYw!&amp;m$"</f>
        <v>#VALUE!</v>
      </c>
      <c r="AE118" t="e">
        <f>'2.4.Функции'!TH187+"BYw!&amp;m%"</f>
        <v>#VALUE!</v>
      </c>
      <c r="AF118" t="e">
        <f>'2.4.Функции'!TI187+"BYw!&amp;m&amp;"</f>
        <v>#VALUE!</v>
      </c>
      <c r="AG118" t="e">
        <f>'2.4.Функции'!TJ187+"BYw!&amp;m'"</f>
        <v>#VALUE!</v>
      </c>
      <c r="AH118" t="e">
        <f>'2.4.Функции'!TK187+"BYw!&amp;m("</f>
        <v>#VALUE!</v>
      </c>
      <c r="AI118" t="e">
        <f>'2.4.Функции'!TL187+"BYw!&amp;m)"</f>
        <v>#VALUE!</v>
      </c>
      <c r="AJ118" t="e">
        <f>'2.4.Функции'!TM187+"BYw!&amp;m."</f>
        <v>#VALUE!</v>
      </c>
      <c r="AK118" t="e">
        <f>'2.4.Функции'!TN187+"BYw!&amp;m/"</f>
        <v>#VALUE!</v>
      </c>
      <c r="AL118" t="e">
        <f>'2.4.Функции'!TO187+"BYw!&amp;m0"</f>
        <v>#VALUE!</v>
      </c>
      <c r="AM118" t="e">
        <f>'2.4.Функции'!TP187+"BYw!&amp;m1"</f>
        <v>#VALUE!</v>
      </c>
      <c r="AN118" t="e">
        <f>'2.4.Функции'!TQ187+"BYw!&amp;m2"</f>
        <v>#VALUE!</v>
      </c>
      <c r="AO118" t="e">
        <f>'2.4.Функции'!TR187+"BYw!&amp;m3"</f>
        <v>#VALUE!</v>
      </c>
      <c r="AP118" t="e">
        <f>'2.4.Функции'!TS187+"BYw!&amp;m4"</f>
        <v>#VALUE!</v>
      </c>
      <c r="AQ118" t="e">
        <f>'2.4.Функции'!TT187+"BYw!&amp;m5"</f>
        <v>#VALUE!</v>
      </c>
      <c r="AR118" t="e">
        <f>'2.4.Функции'!TU187+"BYw!&amp;m6"</f>
        <v>#VALUE!</v>
      </c>
      <c r="AS118" t="e">
        <f>'2.4.Функции'!TV187+"BYw!&amp;m7"</f>
        <v>#VALUE!</v>
      </c>
      <c r="AT118" t="e">
        <f>'2.4.Функции'!TW187+"BYw!&amp;m8"</f>
        <v>#VALUE!</v>
      </c>
      <c r="AU118" t="e">
        <f>'2.4.Функции'!TX187+"BYw!&amp;m9"</f>
        <v>#VALUE!</v>
      </c>
      <c r="AV118" t="e">
        <f>'2.4.Функции'!TY187+"BYw!&amp;m:"</f>
        <v>#VALUE!</v>
      </c>
      <c r="AW118" t="e">
        <f>'2.4.Функции'!TZ187+"BYw!&amp;m;"</f>
        <v>#VALUE!</v>
      </c>
      <c r="AX118" t="e">
        <f>'2.4.Функции'!UA187+"BYw!&amp;m&lt;"</f>
        <v>#VALUE!</v>
      </c>
      <c r="AY118" t="e">
        <f>'2.4.Функции'!UB187+"BYw!&amp;m="</f>
        <v>#VALUE!</v>
      </c>
      <c r="AZ118" t="e">
        <f>'2.4.Функции'!UC187+"BYw!&amp;m&gt;"</f>
        <v>#VALUE!</v>
      </c>
      <c r="BA118" t="e">
        <f>'2.4.Функции'!UD187+"BYw!&amp;m?"</f>
        <v>#VALUE!</v>
      </c>
      <c r="BB118" t="e">
        <f>'2.4.Функции'!UE187+"BYw!&amp;m@"</f>
        <v>#VALUE!</v>
      </c>
      <c r="BC118" t="e">
        <f>'2.4.Функции'!UF187+"BYw!&amp;mA"</f>
        <v>#VALUE!</v>
      </c>
      <c r="BD118" t="e">
        <f>'2.4.Функции'!UG187+"BYw!&amp;mB"</f>
        <v>#VALUE!</v>
      </c>
      <c r="BE118" t="e">
        <f>'2.4.Функции'!UH187+"BYw!&amp;mC"</f>
        <v>#VALUE!</v>
      </c>
      <c r="BF118" t="e">
        <f>'2.4.Функции'!UI187+"BYw!&amp;mD"</f>
        <v>#VALUE!</v>
      </c>
      <c r="BG118" t="e">
        <f>'2.4.Функции'!UJ187+"BYw!&amp;mE"</f>
        <v>#VALUE!</v>
      </c>
      <c r="BH118" t="e">
        <f>'2.4.Функции'!UK187+"BYw!&amp;mF"</f>
        <v>#VALUE!</v>
      </c>
      <c r="BI118" t="e">
        <f>'2.4.Функции'!UL187+"BYw!&amp;mG"</f>
        <v>#VALUE!</v>
      </c>
      <c r="BJ118" t="e">
        <f>'2.4.Функции'!UM187+"BYw!&amp;mH"</f>
        <v>#VALUE!</v>
      </c>
      <c r="BK118" t="e">
        <f>'2.4.Функции'!UN187+"BYw!&amp;mI"</f>
        <v>#VALUE!</v>
      </c>
      <c r="BL118" t="e">
        <f>'2.4.Функции'!UO187+"BYw!&amp;mJ"</f>
        <v>#VALUE!</v>
      </c>
      <c r="BM118" t="e">
        <f>'2.4.Функции'!UP187+"BYw!&amp;mK"</f>
        <v>#VALUE!</v>
      </c>
      <c r="BN118" t="e">
        <f>'2.4.Функции'!UQ187+"BYw!&amp;mL"</f>
        <v>#VALUE!</v>
      </c>
      <c r="BO118" t="e">
        <f>'2.4.Функции'!UR187+"BYw!&amp;mM"</f>
        <v>#VALUE!</v>
      </c>
      <c r="BP118" t="e">
        <f>'2.4.Функции'!US187+"BYw!&amp;mN"</f>
        <v>#VALUE!</v>
      </c>
      <c r="BQ118" t="e">
        <f>'2.4.Функции'!UT187+"BYw!&amp;mO"</f>
        <v>#VALUE!</v>
      </c>
      <c r="BR118" t="e">
        <f>'2.4.Функции'!UU187+"BYw!&amp;mP"</f>
        <v>#VALUE!</v>
      </c>
      <c r="BS118" t="e">
        <f>'2.4.Функции'!UV187+"BYw!&amp;mQ"</f>
        <v>#VALUE!</v>
      </c>
      <c r="BT118" t="e">
        <f>'2.4.Функции'!UW187+"BYw!&amp;mR"</f>
        <v>#VALUE!</v>
      </c>
      <c r="BU118" t="e">
        <f>'2.4.Функции'!UX187+"BYw!&amp;mS"</f>
        <v>#VALUE!</v>
      </c>
      <c r="BV118" t="e">
        <f>'2.4.Функции'!UY187+"BYw!&amp;mT"</f>
        <v>#VALUE!</v>
      </c>
      <c r="BW118" t="e">
        <f>'2.4.Функции'!UZ187+"BYw!&amp;mU"</f>
        <v>#VALUE!</v>
      </c>
      <c r="BX118" t="e">
        <f>'2.4.Функции'!VA187+"BYw!&amp;mV"</f>
        <v>#VALUE!</v>
      </c>
      <c r="BY118" t="e">
        <f>'2.4.Функции'!VB187+"BYw!&amp;mW"</f>
        <v>#VALUE!</v>
      </c>
      <c r="BZ118" t="e">
        <f>'2.4.Функции'!VC187+"BYw!&amp;mX"</f>
        <v>#VALUE!</v>
      </c>
      <c r="CA118" t="e">
        <f>'2.4.Функции'!VD187+"BYw!&amp;mY"</f>
        <v>#VALUE!</v>
      </c>
      <c r="CB118" t="e">
        <f>'2.4.Функции'!VE187+"BYw!&amp;mZ"</f>
        <v>#VALUE!</v>
      </c>
      <c r="CC118" t="e">
        <f>'2.4.Функции'!VF187+"BYw!&amp;m["</f>
        <v>#VALUE!</v>
      </c>
      <c r="CD118" t="e">
        <f>'2.4.Функции'!VG187+"BYw!&amp;m\"</f>
        <v>#VALUE!</v>
      </c>
      <c r="CE118" t="e">
        <f>'2.4.Функции'!VH187+"BYw!&amp;m]"</f>
        <v>#VALUE!</v>
      </c>
      <c r="CF118" t="e">
        <f>'2.4.Функции'!VI187+"BYw!&amp;m^"</f>
        <v>#VALUE!</v>
      </c>
      <c r="CG118" t="e">
        <f>'2.4.Функции'!VJ187+"BYw!&amp;m_"</f>
        <v>#VALUE!</v>
      </c>
      <c r="CH118" t="e">
        <f>'2.4.Функции'!VK187+"BYw!&amp;m`"</f>
        <v>#VALUE!</v>
      </c>
      <c r="CI118" t="e">
        <f>'2.4.Функции'!VL187+"BYw!&amp;ma"</f>
        <v>#VALUE!</v>
      </c>
      <c r="CJ118" t="e">
        <f>'2.4.Функции'!VM187+"BYw!&amp;mb"</f>
        <v>#VALUE!</v>
      </c>
      <c r="CK118" t="e">
        <f>'2.4.Функции'!VN187+"BYw!&amp;mc"</f>
        <v>#VALUE!</v>
      </c>
      <c r="CL118" t="e">
        <f>'2.4.Функции'!VO187+"BYw!&amp;md"</f>
        <v>#VALUE!</v>
      </c>
      <c r="CM118" t="e">
        <f>'2.4.Функции'!VP187+"BYw!&amp;me"</f>
        <v>#VALUE!</v>
      </c>
      <c r="CN118" t="e">
        <f>'2.4.Функции'!VQ187+"BYw!&amp;mf"</f>
        <v>#VALUE!</v>
      </c>
      <c r="CO118" t="e">
        <f>'2.4.Функции'!VR187+"BYw!&amp;mg"</f>
        <v>#VALUE!</v>
      </c>
      <c r="CP118" t="e">
        <f>'2.4.Функции'!VS187+"BYw!&amp;mh"</f>
        <v>#VALUE!</v>
      </c>
      <c r="CQ118" t="e">
        <f>'2.4.Функции'!VT187+"BYw!&amp;mi"</f>
        <v>#VALUE!</v>
      </c>
      <c r="CR118" t="e">
        <f>'2.4.Функции'!VU187+"BYw!&amp;mj"</f>
        <v>#VALUE!</v>
      </c>
      <c r="CS118" t="e">
        <f>'2.4.Функции'!VV187+"BYw!&amp;mk"</f>
        <v>#VALUE!</v>
      </c>
      <c r="CT118" t="e">
        <f>'2.4.Функции'!VW187+"BYw!&amp;ml"</f>
        <v>#VALUE!</v>
      </c>
      <c r="CU118" t="e">
        <f>'2.4.Функции'!VX187+"BYw!&amp;mm"</f>
        <v>#VALUE!</v>
      </c>
      <c r="CV118" t="e">
        <f>'2.4.Функции'!VY187+"BYw!&amp;mn"</f>
        <v>#VALUE!</v>
      </c>
      <c r="CW118" t="e">
        <f>'2.4.Функции'!VZ187+"BYw!&amp;mo"</f>
        <v>#VALUE!</v>
      </c>
      <c r="CX118" t="e">
        <f>'2.4.Функции'!WA187+"BYw!&amp;mp"</f>
        <v>#VALUE!</v>
      </c>
      <c r="CY118" t="e">
        <f>'2.4.Функции'!WB187+"BYw!&amp;mq"</f>
        <v>#VALUE!</v>
      </c>
      <c r="CZ118" t="e">
        <f>'2.4.Функции'!WC187+"BYw!&amp;mr"</f>
        <v>#VALUE!</v>
      </c>
      <c r="DA118" t="e">
        <f>'2.4.Функции'!WD187+"BYw!&amp;ms"</f>
        <v>#VALUE!</v>
      </c>
      <c r="DB118" t="e">
        <f>'2.4.Функции'!WE187+"BYw!&amp;mt"</f>
        <v>#VALUE!</v>
      </c>
      <c r="DC118" t="e">
        <f>'2.4.Функции'!WF187+"BYw!&amp;mu"</f>
        <v>#VALUE!</v>
      </c>
      <c r="DD118" t="e">
        <f>'2.4.Функции'!WG187+"BYw!&amp;mv"</f>
        <v>#VALUE!</v>
      </c>
      <c r="DE118" t="e">
        <f>'2.4.Функции'!WH187+"BYw!&amp;mw"</f>
        <v>#VALUE!</v>
      </c>
      <c r="DF118" t="e">
        <f>'2.4.Функции'!WI187+"BYw!&amp;mx"</f>
        <v>#VALUE!</v>
      </c>
      <c r="DG118" t="e">
        <f>'2.4.Функции'!WJ187+"BYw!&amp;my"</f>
        <v>#VALUE!</v>
      </c>
      <c r="DH118" t="e">
        <f>'2.4.Функции'!WK187+"BYw!&amp;mz"</f>
        <v>#VALUE!</v>
      </c>
      <c r="DI118" t="e">
        <f>'2.4.Функции'!WL187+"BYw!&amp;m{"</f>
        <v>#VALUE!</v>
      </c>
      <c r="DJ118" t="e">
        <f>'2.4.Функции'!WM187+"BYw!&amp;m|"</f>
        <v>#VALUE!</v>
      </c>
      <c r="DK118" t="e">
        <f>'2.4.Функции'!WN187+"BYw!&amp;m}"</f>
        <v>#VALUE!</v>
      </c>
      <c r="DL118" t="e">
        <f>'2.4.Функции'!WO187+"BYw!&amp;m~"</f>
        <v>#VALUE!</v>
      </c>
      <c r="DM118" t="e">
        <f>'2.4.Функции'!WP187+"BYw!&amp;n#"</f>
        <v>#VALUE!</v>
      </c>
      <c r="DN118" t="e">
        <f>'2.4.Функции'!WQ187+"BYw!&amp;n$"</f>
        <v>#VALUE!</v>
      </c>
      <c r="DO118" t="e">
        <f>'2.4.Функции'!WR187+"BYw!&amp;n%"</f>
        <v>#VALUE!</v>
      </c>
      <c r="DP118" t="e">
        <f>'2.4.Функции'!WS187+"BYw!&amp;n&amp;"</f>
        <v>#VALUE!</v>
      </c>
      <c r="DQ118" t="e">
        <f>'2.4.Функции'!WT187+"BYw!&amp;n'"</f>
        <v>#VALUE!</v>
      </c>
      <c r="DR118" t="e">
        <f>'2.4.Функции'!WU187+"BYw!&amp;n("</f>
        <v>#VALUE!</v>
      </c>
      <c r="DS118" t="e">
        <f>'2.4.Функции'!WV187+"BYw!&amp;n)"</f>
        <v>#VALUE!</v>
      </c>
      <c r="DT118" t="e">
        <f>'2.4.Функции'!WW187+"BYw!&amp;n."</f>
        <v>#VALUE!</v>
      </c>
      <c r="DU118" t="e">
        <f>'2.4.Функции'!WX187+"BYw!&amp;n/"</f>
        <v>#VALUE!</v>
      </c>
      <c r="DV118" t="e">
        <f>'2.4.Функции'!WY187+"BYw!&amp;n0"</f>
        <v>#VALUE!</v>
      </c>
      <c r="DW118" t="e">
        <f>'2.4.Функции'!WZ187+"BYw!&amp;n1"</f>
        <v>#VALUE!</v>
      </c>
      <c r="DX118" t="e">
        <f>'2.4.Функции'!XA187+"BYw!&amp;n2"</f>
        <v>#VALUE!</v>
      </c>
      <c r="DY118" t="e">
        <f>'2.4.Функции'!XB187+"BYw!&amp;n3"</f>
        <v>#VALUE!</v>
      </c>
      <c r="DZ118" t="e">
        <f>'2.4.Функции'!XC187+"BYw!&amp;n4"</f>
        <v>#VALUE!</v>
      </c>
      <c r="EA118" t="e">
        <f>'2.4.Функции'!XD187+"BYw!&amp;n5"</f>
        <v>#VALUE!</v>
      </c>
      <c r="EB118" t="e">
        <f>'2.4.Функции'!XE187+"BYw!&amp;n6"</f>
        <v>#VALUE!</v>
      </c>
      <c r="EC118" t="e">
        <f>'2.4.Функции'!XF187+"BYw!&amp;n7"</f>
        <v>#VALUE!</v>
      </c>
      <c r="ED118" t="e">
        <f>'2.4.Функции'!XG187+"BYw!&amp;n8"</f>
        <v>#VALUE!</v>
      </c>
      <c r="EE118" t="e">
        <f>'2.4.Функции'!XH187+"BYw!&amp;n9"</f>
        <v>#VALUE!</v>
      </c>
      <c r="EF118" t="e">
        <f>'2.4.Функции'!XI187+"BYw!&amp;n:"</f>
        <v>#VALUE!</v>
      </c>
      <c r="EG118" t="e">
        <f>'2.4.Функции'!XJ187+"BYw!&amp;n;"</f>
        <v>#VALUE!</v>
      </c>
      <c r="EH118" t="e">
        <f>'2.4.Функции'!XK187+"BYw!&amp;n&lt;"</f>
        <v>#VALUE!</v>
      </c>
      <c r="EI118" t="e">
        <f>'2.4.Функции'!XL187+"BYw!&amp;n="</f>
        <v>#VALUE!</v>
      </c>
      <c r="EJ118" t="e">
        <f>'2.4.Функции'!XM187+"BYw!&amp;n&gt;"</f>
        <v>#VALUE!</v>
      </c>
      <c r="EK118" t="e">
        <f>'2.4.Функции'!XN187+"BYw!&amp;n?"</f>
        <v>#VALUE!</v>
      </c>
      <c r="EL118" t="e">
        <f>'2.4.Функции'!XO187+"BYw!&amp;n@"</f>
        <v>#VALUE!</v>
      </c>
      <c r="EM118" t="e">
        <f>'2.4.Функции'!XP187+"BYw!&amp;nA"</f>
        <v>#VALUE!</v>
      </c>
      <c r="EN118" t="e">
        <f>'2.4.Функции'!XQ187+"BYw!&amp;nB"</f>
        <v>#VALUE!</v>
      </c>
      <c r="EO118" t="e">
        <f>'2.4.Функции'!XR187+"BYw!&amp;nC"</f>
        <v>#VALUE!</v>
      </c>
      <c r="EP118" t="e">
        <f>'2.4.Функции'!XS187+"BYw!&amp;nD"</f>
        <v>#VALUE!</v>
      </c>
      <c r="EQ118" t="e">
        <f>'2.4.Функции'!XT187+"BYw!&amp;nE"</f>
        <v>#VALUE!</v>
      </c>
      <c r="ER118" t="e">
        <f>'2.4.Функции'!XU187+"BYw!&amp;nF"</f>
        <v>#VALUE!</v>
      </c>
      <c r="ES118" t="e">
        <f>'2.4.Функции'!XV187+"BYw!&amp;nG"</f>
        <v>#VALUE!</v>
      </c>
      <c r="ET118" t="e">
        <f>'2.4.Функции'!XW187+"BYw!&amp;nH"</f>
        <v>#VALUE!</v>
      </c>
      <c r="EU118" t="e">
        <f>'2.4.Функции'!XX187+"BYw!&amp;nI"</f>
        <v>#VALUE!</v>
      </c>
      <c r="EV118" t="e">
        <f>'2.4.Функции'!XY187+"BYw!&amp;nJ"</f>
        <v>#VALUE!</v>
      </c>
      <c r="EW118" t="e">
        <f>'2.4.Функции'!XZ187+"BYw!&amp;nK"</f>
        <v>#VALUE!</v>
      </c>
      <c r="EX118" t="e">
        <f>'2.4.Функции'!YA187+"BYw!&amp;nL"</f>
        <v>#VALUE!</v>
      </c>
      <c r="EY118" t="e">
        <f>'2.4.Функции'!YB187+"BYw!&amp;nM"</f>
        <v>#VALUE!</v>
      </c>
      <c r="EZ118" t="e">
        <f>'2.4.Функции'!YC187+"BYw!&amp;nN"</f>
        <v>#VALUE!</v>
      </c>
      <c r="FA118" t="e">
        <f>'2.4.Функции'!YD187+"BYw!&amp;nO"</f>
        <v>#VALUE!</v>
      </c>
      <c r="FB118" t="e">
        <f>'2.4.Функции'!YE187+"BYw!&amp;nP"</f>
        <v>#VALUE!</v>
      </c>
      <c r="FC118" t="e">
        <f>'2.4.Функции'!YF187+"BYw!&amp;nQ"</f>
        <v>#VALUE!</v>
      </c>
      <c r="FD118" t="e">
        <f>'2.4.Функции'!YG187+"BYw!&amp;nR"</f>
        <v>#VALUE!</v>
      </c>
      <c r="FE118" t="e">
        <f>'2.4.Функции'!YH187+"BYw!&amp;nS"</f>
        <v>#VALUE!</v>
      </c>
      <c r="FF118" t="e">
        <f>'2.4.Функции'!YI187+"BYw!&amp;nT"</f>
        <v>#VALUE!</v>
      </c>
      <c r="FG118" t="e">
        <f>'2.4.Функции'!YJ187+"BYw!&amp;nU"</f>
        <v>#VALUE!</v>
      </c>
      <c r="FH118" t="e">
        <f>'2.4.Функции'!YK187+"BYw!&amp;nV"</f>
        <v>#VALUE!</v>
      </c>
      <c r="FI118" t="e">
        <f>'2.4.Функции'!YL187+"BYw!&amp;nW"</f>
        <v>#VALUE!</v>
      </c>
      <c r="FJ118" t="e">
        <f>'2.4.Функции'!YM187+"BYw!&amp;nX"</f>
        <v>#VALUE!</v>
      </c>
      <c r="FK118" t="e">
        <f>'2.4.Функции'!YN187+"BYw!&amp;nY"</f>
        <v>#VALUE!</v>
      </c>
      <c r="FL118" t="e">
        <f>'2.4.Функции'!YO187+"BYw!&amp;nZ"</f>
        <v>#VALUE!</v>
      </c>
      <c r="FM118" t="e">
        <f>'2.4.Функции'!YP187+"BYw!&amp;n["</f>
        <v>#VALUE!</v>
      </c>
      <c r="FN118" t="e">
        <f>'2.4.Функции'!YQ187+"BYw!&amp;n\"</f>
        <v>#VALUE!</v>
      </c>
      <c r="FO118" t="e">
        <f>'2.4.Функции'!YR187+"BYw!&amp;n]"</f>
        <v>#VALUE!</v>
      </c>
      <c r="FP118" t="e">
        <f>'2.4.Функции'!YS187+"BYw!&amp;n^"</f>
        <v>#VALUE!</v>
      </c>
      <c r="FQ118" t="e">
        <f>'2.4.Функции'!YT187+"BYw!&amp;n_"</f>
        <v>#VALUE!</v>
      </c>
      <c r="FR118" t="e">
        <f>'2.4.Функции'!YU187+"BYw!&amp;n`"</f>
        <v>#VALUE!</v>
      </c>
      <c r="FS118" t="e">
        <f>'2.4.Функции'!YV187+"BYw!&amp;na"</f>
        <v>#VALUE!</v>
      </c>
      <c r="FT118" t="e">
        <f>'2.4.Функции'!YW187+"BYw!&amp;nb"</f>
        <v>#VALUE!</v>
      </c>
      <c r="FU118" t="e">
        <f>'2.4.Функции'!YX187+"BYw!&amp;nc"</f>
        <v>#VALUE!</v>
      </c>
      <c r="FV118" t="e">
        <f>'2.4.Функции'!YY187+"BYw!&amp;nd"</f>
        <v>#VALUE!</v>
      </c>
      <c r="FW118" t="e">
        <f>'2.4.Функции'!YZ187+"BYw!&amp;ne"</f>
        <v>#VALUE!</v>
      </c>
      <c r="FX118" t="e">
        <f>'2.4.Функции'!ZA187+"BYw!&amp;nf"</f>
        <v>#VALUE!</v>
      </c>
      <c r="FY118" t="e">
        <f>'2.4.Функции'!ZB187+"BYw!&amp;ng"</f>
        <v>#VALUE!</v>
      </c>
      <c r="FZ118" t="e">
        <f>'2.4.Функции'!ZC187+"BYw!&amp;nh"</f>
        <v>#VALUE!</v>
      </c>
      <c r="GA118" t="e">
        <f>'2.4.Функции'!ZD187+"BYw!&amp;ni"</f>
        <v>#VALUE!</v>
      </c>
      <c r="GB118" t="e">
        <f>'2.4.Функции'!ZE187+"BYw!&amp;nj"</f>
        <v>#VALUE!</v>
      </c>
      <c r="GC118" t="e">
        <f>'2.4.Функции'!ZF187+"BYw!&amp;nk"</f>
        <v>#VALUE!</v>
      </c>
      <c r="GD118" t="e">
        <f>'2.4.Функции'!ZG187+"BYw!&amp;nl"</f>
        <v>#VALUE!</v>
      </c>
      <c r="GE118" t="e">
        <f>'2.4.Функции'!ZH187+"BYw!&amp;nm"</f>
        <v>#VALUE!</v>
      </c>
      <c r="GF118" t="e">
        <f>'2.4.Функции'!ZI187+"BYw!&amp;nn"</f>
        <v>#VALUE!</v>
      </c>
      <c r="GG118" t="e">
        <f>'2.4.Функции'!ZJ187+"BYw!&amp;no"</f>
        <v>#VALUE!</v>
      </c>
      <c r="GH118" t="e">
        <f>'2.4.Функции'!ZK187+"BYw!&amp;np"</f>
        <v>#VALUE!</v>
      </c>
      <c r="GI118" t="e">
        <f>'2.4.Функции'!ZL187+"BYw!&amp;nq"</f>
        <v>#VALUE!</v>
      </c>
      <c r="GJ118" t="e">
        <f>'2.4.Функции'!ZM187+"BYw!&amp;nr"</f>
        <v>#VALUE!</v>
      </c>
      <c r="GK118" t="e">
        <f>'2.4.Функции'!ZN187+"BYw!&amp;ns"</f>
        <v>#VALUE!</v>
      </c>
      <c r="GL118" t="e">
        <f>'2.4.Функции'!ZO187+"BYw!&amp;nt"</f>
        <v>#VALUE!</v>
      </c>
      <c r="GM118" t="e">
        <f>'2.4.Функции'!ZP187+"BYw!&amp;nu"</f>
        <v>#VALUE!</v>
      </c>
      <c r="GN118" t="e">
        <f>'2.4.Функции'!ZQ187+"BYw!&amp;nv"</f>
        <v>#VALUE!</v>
      </c>
      <c r="GO118" t="e">
        <f>'2.4.Функции'!ZR187+"BYw!&amp;nw"</f>
        <v>#VALUE!</v>
      </c>
      <c r="GP118" t="e">
        <f>'2.4.Функции'!ZS187+"BYw!&amp;nx"</f>
        <v>#VALUE!</v>
      </c>
      <c r="GQ118" t="e">
        <f>'2.4.Функции'!ZT187+"BYw!&amp;ny"</f>
        <v>#VALUE!</v>
      </c>
      <c r="GR118" t="e">
        <f>'2.4.Функции'!ZU187+"BYw!&amp;nz"</f>
        <v>#VALUE!</v>
      </c>
      <c r="GS118" t="e">
        <f>'2.4.Функции'!ZV187+"BYw!&amp;n{"</f>
        <v>#VALUE!</v>
      </c>
      <c r="GT118" t="e">
        <f>'2.4.Функции'!ZW187+"BYw!&amp;n|"</f>
        <v>#VALUE!</v>
      </c>
      <c r="GU118" t="e">
        <f>'2.4.Функции'!ZX187+"BYw!&amp;n}"</f>
        <v>#VALUE!</v>
      </c>
      <c r="GV118" t="e">
        <f>'2.4.Функции'!ZY187+"BYw!&amp;n~"</f>
        <v>#VALUE!</v>
      </c>
      <c r="GW118" t="e">
        <f>'2.4.Функции'!ZZ187+"BYw!&amp;o#"</f>
        <v>#VALUE!</v>
      </c>
      <c r="GX118" t="e">
        <f>'2.4.Функции'!AAA187+"BYw!&amp;o$"</f>
        <v>#VALUE!</v>
      </c>
      <c r="GY118" t="e">
        <f>'2.4.Функции'!AAB187+"BYw!&amp;o%"</f>
        <v>#VALUE!</v>
      </c>
      <c r="GZ118" t="e">
        <f>'2.4.Функции'!AAC187+"BYw!&amp;o&amp;"</f>
        <v>#VALUE!</v>
      </c>
      <c r="HA118" t="e">
        <f>'2.4.Функции'!AAD187+"BYw!&amp;o'"</f>
        <v>#VALUE!</v>
      </c>
      <c r="HB118" t="e">
        <f>'2.4.Функции'!AAE187+"BYw!&amp;o("</f>
        <v>#VALUE!</v>
      </c>
      <c r="HC118" t="e">
        <f>'2.4.Функции'!AAF187+"BYw!&amp;o)"</f>
        <v>#VALUE!</v>
      </c>
      <c r="HD118" t="e">
        <f>'2.4.Функции'!AAG187+"BYw!&amp;o."</f>
        <v>#VALUE!</v>
      </c>
      <c r="HE118" t="e">
        <f>'2.4.Функции'!AAH187+"BYw!&amp;o/"</f>
        <v>#VALUE!</v>
      </c>
      <c r="HF118" t="e">
        <f>'2.4.Функции'!AAI187+"BYw!&amp;o0"</f>
        <v>#VALUE!</v>
      </c>
      <c r="HG118" t="e">
        <f>'2.4.Функции'!AAJ187+"BYw!&amp;o1"</f>
        <v>#VALUE!</v>
      </c>
      <c r="HH118" t="e">
        <f>'2.4.Функции'!AAK187+"BYw!&amp;o2"</f>
        <v>#VALUE!</v>
      </c>
      <c r="HI118" t="e">
        <f>'2.4.Функции'!AAL187+"BYw!&amp;o3"</f>
        <v>#VALUE!</v>
      </c>
      <c r="HJ118" t="e">
        <f>'2.4.Функции'!AAM187+"BYw!&amp;o4"</f>
        <v>#VALUE!</v>
      </c>
      <c r="HK118" t="e">
        <f>'2.4.Функции'!AAN187+"BYw!&amp;o5"</f>
        <v>#VALUE!</v>
      </c>
      <c r="HL118" t="e">
        <f>'2.4.Функции'!AAO187+"BYw!&amp;o6"</f>
        <v>#VALUE!</v>
      </c>
      <c r="HM118" t="e">
        <f>'2.4.Функции'!AAP187+"BYw!&amp;o7"</f>
        <v>#VALUE!</v>
      </c>
      <c r="HN118" t="e">
        <f>'2.4.Функции'!AAQ187+"BYw!&amp;o8"</f>
        <v>#VALUE!</v>
      </c>
      <c r="HO118" t="e">
        <f>'2.4.Функции'!AAR187+"BYw!&amp;o9"</f>
        <v>#VALUE!</v>
      </c>
      <c r="HP118" t="e">
        <f>'2.4.Функции'!AAS187+"BYw!&amp;o:"</f>
        <v>#VALUE!</v>
      </c>
      <c r="HQ118" t="e">
        <f>'2.4.Функции'!AAT187+"BYw!&amp;o;"</f>
        <v>#VALUE!</v>
      </c>
      <c r="HR118" t="e">
        <f>'2.4.Функции'!AAU187+"BYw!&amp;o&lt;"</f>
        <v>#VALUE!</v>
      </c>
      <c r="HS118" t="e">
        <f>'2.4.Функции'!AAV187+"BYw!&amp;o="</f>
        <v>#VALUE!</v>
      </c>
      <c r="HT118" t="e">
        <f>'2.4.Функции'!AAW187+"BYw!&amp;o&gt;"</f>
        <v>#VALUE!</v>
      </c>
      <c r="HU118" t="e">
        <f>'2.4.Функции'!AAX187+"BYw!&amp;o?"</f>
        <v>#VALUE!</v>
      </c>
      <c r="HV118" t="e">
        <f>'2.4.Функции'!AAY187+"BYw!&amp;o@"</f>
        <v>#VALUE!</v>
      </c>
      <c r="HW118" t="e">
        <f>'2.4.Функции'!AAZ187+"BYw!&amp;oA"</f>
        <v>#VALUE!</v>
      </c>
      <c r="HX118" t="e">
        <f>'2.4.Функции'!ABA187+"BYw!&amp;oB"</f>
        <v>#VALUE!</v>
      </c>
      <c r="HY118" t="e">
        <f>'2.4.Функции'!ABB187+"BYw!&amp;oC"</f>
        <v>#VALUE!</v>
      </c>
      <c r="HZ118" t="e">
        <f>'2.4.Функции'!ABC187+"BYw!&amp;oD"</f>
        <v>#VALUE!</v>
      </c>
      <c r="IA118" t="e">
        <f>'2.4.Функции'!ABD187+"BYw!&amp;oE"</f>
        <v>#VALUE!</v>
      </c>
      <c r="IB118" t="e">
        <f>'2.4.Функции'!ABE187+"BYw!&amp;oF"</f>
        <v>#VALUE!</v>
      </c>
      <c r="IC118" t="e">
        <f>'2.4.Функции'!ABF187+"BYw!&amp;oG"</f>
        <v>#VALUE!</v>
      </c>
      <c r="ID118" t="e">
        <f>'2.4.Функции'!ABG187+"BYw!&amp;oH"</f>
        <v>#VALUE!</v>
      </c>
      <c r="IE118" t="e">
        <f>'2.4.Функции'!ABH187+"BYw!&amp;oI"</f>
        <v>#VALUE!</v>
      </c>
      <c r="IF118" t="e">
        <f>'2.4.Функции'!ABI187+"BYw!&amp;oJ"</f>
        <v>#VALUE!</v>
      </c>
      <c r="IG118" t="e">
        <f>'2.4.Функции'!ABJ187+"BYw!&amp;oK"</f>
        <v>#VALUE!</v>
      </c>
      <c r="IH118" t="e">
        <f>'2.4.Функции'!ABK187+"BYw!&amp;oL"</f>
        <v>#VALUE!</v>
      </c>
      <c r="II118" t="e">
        <f>'2.4.Функции'!ABL187+"BYw!&amp;oM"</f>
        <v>#VALUE!</v>
      </c>
      <c r="IJ118" t="e">
        <f>'2.4.Функции'!ABM187+"BYw!&amp;oN"</f>
        <v>#VALUE!</v>
      </c>
      <c r="IK118" t="e">
        <f>'2.4.Функции'!ABN187+"BYw!&amp;oO"</f>
        <v>#VALUE!</v>
      </c>
      <c r="IL118" t="e">
        <f>'2.4.Функции'!ABO187+"BYw!&amp;oP"</f>
        <v>#VALUE!</v>
      </c>
      <c r="IM118" t="e">
        <f>'2.4.Функции'!ABP187+"BYw!&amp;oQ"</f>
        <v>#VALUE!</v>
      </c>
      <c r="IN118" t="e">
        <f>'2.4.Функции'!ABQ187+"BYw!&amp;oR"</f>
        <v>#VALUE!</v>
      </c>
      <c r="IO118" t="e">
        <f>'2.4.Функции'!ABR187+"BYw!&amp;oS"</f>
        <v>#VALUE!</v>
      </c>
      <c r="IP118" t="e">
        <f>'2.4.Функции'!ABS187+"BYw!&amp;oT"</f>
        <v>#VALUE!</v>
      </c>
      <c r="IQ118" t="e">
        <f>'2.4.Функции'!ABT187+"BYw!&amp;oU"</f>
        <v>#VALUE!</v>
      </c>
      <c r="IR118" t="e">
        <f>'2.4.Функции'!ABU187+"BYw!&amp;oV"</f>
        <v>#VALUE!</v>
      </c>
      <c r="IS118" t="e">
        <f>'2.4.Функции'!ABV187+"BYw!&amp;oW"</f>
        <v>#VALUE!</v>
      </c>
      <c r="IT118" t="e">
        <f>'2.4.Функции'!ABW187+"BYw!&amp;oX"</f>
        <v>#VALUE!</v>
      </c>
      <c r="IU118" t="e">
        <f>'2.4.Функции'!ABX187+"BYw!&amp;oY"</f>
        <v>#VALUE!</v>
      </c>
      <c r="IV118" t="e">
        <f>'2.4.Функции'!ABY187+"BYw!&amp;oZ"</f>
        <v>#VALUE!</v>
      </c>
    </row>
    <row r="119" spans="6:256" x14ac:dyDescent="0.2">
      <c r="F119" t="e">
        <f>'2.4.Функции'!ABZ187+"BYw!&amp;o["</f>
        <v>#VALUE!</v>
      </c>
      <c r="G119" t="e">
        <f>'2.4.Функции'!ACA187+"BYw!&amp;o\"</f>
        <v>#VALUE!</v>
      </c>
      <c r="H119" t="e">
        <f>'2.4.Функции'!ACB187+"BYw!&amp;o]"</f>
        <v>#VALUE!</v>
      </c>
      <c r="I119" t="e">
        <f>'2.4.Функции'!ACC187+"BYw!&amp;o^"</f>
        <v>#VALUE!</v>
      </c>
      <c r="J119" t="e">
        <f>'2.4.Функции'!ACD187+"BYw!&amp;o_"</f>
        <v>#VALUE!</v>
      </c>
      <c r="K119" t="e">
        <f>'2.4.Функции'!ACE187+"BYw!&amp;o`"</f>
        <v>#VALUE!</v>
      </c>
      <c r="L119" t="e">
        <f>'2.4.Функции'!ACF187+"BYw!&amp;oa"</f>
        <v>#VALUE!</v>
      </c>
      <c r="M119" t="e">
        <f>'2.4.Функции'!ACG187+"BYw!&amp;ob"</f>
        <v>#VALUE!</v>
      </c>
      <c r="N119" t="e">
        <f>'2.4.Функции'!ACH187+"BYw!&amp;oc"</f>
        <v>#VALUE!</v>
      </c>
      <c r="O119" t="e">
        <f>'2.4.Функции'!ACI187+"BYw!&amp;od"</f>
        <v>#VALUE!</v>
      </c>
      <c r="P119" t="e">
        <f>'2.4.Функции'!ACJ187+"BYw!&amp;oe"</f>
        <v>#VALUE!</v>
      </c>
      <c r="Q119" t="e">
        <f>'2.4.Функции'!ACK187+"BYw!&amp;of"</f>
        <v>#VALUE!</v>
      </c>
      <c r="R119" t="e">
        <f>'2.4.Функции'!ACL187+"BYw!&amp;og"</f>
        <v>#VALUE!</v>
      </c>
      <c r="S119" t="e">
        <f>'2.4.Функции'!ACM187+"BYw!&amp;oh"</f>
        <v>#VALUE!</v>
      </c>
      <c r="T119" t="e">
        <f>'2.4.Функции'!ACN187+"BYw!&amp;oi"</f>
        <v>#VALUE!</v>
      </c>
      <c r="U119" t="e">
        <f>'2.4.Функции'!ACO187+"BYw!&amp;oj"</f>
        <v>#VALUE!</v>
      </c>
      <c r="V119" t="e">
        <f>'2.4.Функции'!ACP187+"BYw!&amp;ok"</f>
        <v>#VALUE!</v>
      </c>
      <c r="W119" t="e">
        <f>'2.4.Функции'!ACQ187+"BYw!&amp;ol"</f>
        <v>#VALUE!</v>
      </c>
      <c r="X119" t="e">
        <f>'2.4.Функции'!ACR187+"BYw!&amp;om"</f>
        <v>#VALUE!</v>
      </c>
      <c r="Y119" t="e">
        <f>'2.4.Функции'!ACS187+"BYw!&amp;on"</f>
        <v>#VALUE!</v>
      </c>
      <c r="Z119" t="e">
        <f>'2.4.Функции'!ACT187+"BYw!&amp;oo"</f>
        <v>#VALUE!</v>
      </c>
      <c r="AA119" t="e">
        <f>'2.4.Функции'!ACU187+"BYw!&amp;op"</f>
        <v>#VALUE!</v>
      </c>
      <c r="AB119" t="e">
        <f>'2.4.Функции'!ACV187+"BYw!&amp;oq"</f>
        <v>#VALUE!</v>
      </c>
      <c r="AC119" t="e">
        <f>'2.4.Функции'!ACW187+"BYw!&amp;or"</f>
        <v>#VALUE!</v>
      </c>
      <c r="AD119" t="e">
        <f>'2.4.Функции'!ACX187+"BYw!&amp;os"</f>
        <v>#VALUE!</v>
      </c>
      <c r="AE119" t="e">
        <f>'2.4.Функции'!ACY187+"BYw!&amp;ot"</f>
        <v>#VALUE!</v>
      </c>
      <c r="AF119" t="e">
        <f>'2.4.Функции'!ACZ187+"BYw!&amp;ou"</f>
        <v>#VALUE!</v>
      </c>
      <c r="AG119" t="e">
        <f>'2.4.Функции'!ADA187+"BYw!&amp;ov"</f>
        <v>#VALUE!</v>
      </c>
      <c r="AH119" t="e">
        <f>'2.4.Функции'!ADB187+"BYw!&amp;ow"</f>
        <v>#VALUE!</v>
      </c>
      <c r="AI119" t="e">
        <f>'2.4.Функции'!ADC187+"BYw!&amp;ox"</f>
        <v>#VALUE!</v>
      </c>
      <c r="AJ119" t="e">
        <f>'2.4.Функции'!ADD187+"BYw!&amp;oy"</f>
        <v>#VALUE!</v>
      </c>
      <c r="AK119" t="e">
        <f>'2.4.Функции'!ADE187+"BYw!&amp;oz"</f>
        <v>#VALUE!</v>
      </c>
      <c r="AL119" t="e">
        <f>'2.4.Функции'!ADF187+"BYw!&amp;o{"</f>
        <v>#VALUE!</v>
      </c>
      <c r="AM119" t="e">
        <f>'2.4.Функции'!ADG187+"BYw!&amp;o|"</f>
        <v>#VALUE!</v>
      </c>
      <c r="AN119" t="e">
        <f>'2.4.Функции'!ADH187+"BYw!&amp;o}"</f>
        <v>#VALUE!</v>
      </c>
      <c r="AO119" t="e">
        <f>'2.4.Функции'!ADI187+"BYw!&amp;o~"</f>
        <v>#VALUE!</v>
      </c>
      <c r="AP119" t="e">
        <f>'2.4.Функции'!ADJ187+"BYw!&amp;p#"</f>
        <v>#VALUE!</v>
      </c>
      <c r="AQ119" t="e">
        <f>'2.4.Функции'!ADK187+"BYw!&amp;p$"</f>
        <v>#VALUE!</v>
      </c>
      <c r="AR119" t="e">
        <f>'2.4.Функции'!ADL187+"BYw!&amp;p%"</f>
        <v>#VALUE!</v>
      </c>
      <c r="AS119" t="e">
        <f>'2.4.Функции'!ADM187+"BYw!&amp;p&amp;"</f>
        <v>#VALUE!</v>
      </c>
      <c r="AT119" t="e">
        <f>'2.4.Функции'!ADN187+"BYw!&amp;p'"</f>
        <v>#VALUE!</v>
      </c>
      <c r="AU119" t="e">
        <f>'2.4.Функции'!ADO187+"BYw!&amp;p("</f>
        <v>#VALUE!</v>
      </c>
      <c r="AV119" t="e">
        <f>'2.4.Функции'!ADP187+"BYw!&amp;p)"</f>
        <v>#VALUE!</v>
      </c>
      <c r="AW119" t="e">
        <f>'2.4.Функции'!ADQ187+"BYw!&amp;p."</f>
        <v>#VALUE!</v>
      </c>
      <c r="AX119" t="e">
        <f>'2.4.Функции'!ADR187+"BYw!&amp;p/"</f>
        <v>#VALUE!</v>
      </c>
      <c r="AY119" t="e">
        <f>'2.4.Функции'!ADS187+"BYw!&amp;p0"</f>
        <v>#VALUE!</v>
      </c>
      <c r="AZ119" t="e">
        <f>'2.4.Функции'!ADT187+"BYw!&amp;p1"</f>
        <v>#VALUE!</v>
      </c>
      <c r="BA119" t="e">
        <f>'2.4.Функции'!ADU187+"BYw!&amp;p2"</f>
        <v>#VALUE!</v>
      </c>
      <c r="BB119" t="e">
        <f>'2.4.Функции'!ADV187+"BYw!&amp;p3"</f>
        <v>#VALUE!</v>
      </c>
      <c r="BC119" t="e">
        <f>'2.4.Функции'!ADW187+"BYw!&amp;p4"</f>
        <v>#VALUE!</v>
      </c>
      <c r="BD119" t="e">
        <f>'2.4.Функции'!ADX187+"BYw!&amp;p5"</f>
        <v>#VALUE!</v>
      </c>
      <c r="BE119" t="e">
        <f>'2.4.Функции'!ADY187+"BYw!&amp;p6"</f>
        <v>#VALUE!</v>
      </c>
      <c r="BF119" t="e">
        <f>'2.4.Функции'!ADZ187+"BYw!&amp;p7"</f>
        <v>#VALUE!</v>
      </c>
      <c r="BG119" t="e">
        <f>'2.4.Функции'!AEA187+"BYw!&amp;p8"</f>
        <v>#VALUE!</v>
      </c>
      <c r="BH119" t="e">
        <f>'2.4.Функции'!AEB187+"BYw!&amp;p9"</f>
        <v>#VALUE!</v>
      </c>
      <c r="BI119" t="e">
        <f>'2.4.Функции'!AEC187+"BYw!&amp;p:"</f>
        <v>#VALUE!</v>
      </c>
      <c r="BJ119" t="e">
        <f>'2.4.Функции'!AED187+"BYw!&amp;p;"</f>
        <v>#VALUE!</v>
      </c>
      <c r="BK119" t="e">
        <f>'2.4.Функции'!AEE187+"BYw!&amp;p&lt;"</f>
        <v>#VALUE!</v>
      </c>
      <c r="BL119" t="e">
        <f>'2.4.Функции'!AEF187+"BYw!&amp;p="</f>
        <v>#VALUE!</v>
      </c>
      <c r="BM119" t="e">
        <f>'2.4.Функции'!AEG187+"BYw!&amp;p&gt;"</f>
        <v>#VALUE!</v>
      </c>
      <c r="BN119" t="e">
        <f>'2.4.Функции'!AEH187+"BYw!&amp;p?"</f>
        <v>#VALUE!</v>
      </c>
      <c r="BO119" t="e">
        <f>'2.4.Функции'!AEI187+"BYw!&amp;p@"</f>
        <v>#VALUE!</v>
      </c>
      <c r="BP119" t="e">
        <f>'2.4.Функции'!AEJ187+"BYw!&amp;pA"</f>
        <v>#VALUE!</v>
      </c>
      <c r="BQ119" t="e">
        <f>'2.4.Функции'!AEK187+"BYw!&amp;pB"</f>
        <v>#VALUE!</v>
      </c>
      <c r="BR119" t="e">
        <f>'2.4.Функции'!AEL187+"BYw!&amp;pC"</f>
        <v>#VALUE!</v>
      </c>
      <c r="BS119" t="e">
        <f>'2.4.Функции'!AEM187+"BYw!&amp;pD"</f>
        <v>#VALUE!</v>
      </c>
      <c r="BT119" t="e">
        <f>'2.4.Функции'!AEN187+"BYw!&amp;pE"</f>
        <v>#VALUE!</v>
      </c>
      <c r="BU119" t="e">
        <f>'2.4.Функции'!AEO187+"BYw!&amp;pF"</f>
        <v>#VALUE!</v>
      </c>
      <c r="BV119" t="e">
        <f>'2.4.Функции'!AEP187+"BYw!&amp;pG"</f>
        <v>#VALUE!</v>
      </c>
      <c r="BW119" t="e">
        <f>'2.4.Функции'!AEQ187+"BYw!&amp;pH"</f>
        <v>#VALUE!</v>
      </c>
      <c r="BX119" t="e">
        <f>'2.4.Функции'!AER187+"BYw!&amp;pI"</f>
        <v>#VALUE!</v>
      </c>
      <c r="BY119" t="e">
        <f>'2.4.Функции'!AES187+"BYw!&amp;pJ"</f>
        <v>#VALUE!</v>
      </c>
      <c r="BZ119" t="e">
        <f>'2.4.Функции'!AET187+"BYw!&amp;pK"</f>
        <v>#VALUE!</v>
      </c>
      <c r="CA119" t="e">
        <f>'2.4.Функции'!AEU187+"BYw!&amp;pL"</f>
        <v>#VALUE!</v>
      </c>
      <c r="CB119" t="e">
        <f>'2.4.Функции'!AEV187+"BYw!&amp;pM"</f>
        <v>#VALUE!</v>
      </c>
      <c r="CC119" t="e">
        <f>'2.4.Функции'!AEW187+"BYw!&amp;pN"</f>
        <v>#VALUE!</v>
      </c>
      <c r="CD119" t="e">
        <f>'2.4.Функции'!AEX187+"BYw!&amp;pO"</f>
        <v>#VALUE!</v>
      </c>
      <c r="CE119" t="e">
        <f>'2.4.Функции'!AEY187+"BYw!&amp;pP"</f>
        <v>#VALUE!</v>
      </c>
      <c r="CF119" t="e">
        <f>'2.4.Функции'!AEZ187+"BYw!&amp;pQ"</f>
        <v>#VALUE!</v>
      </c>
      <c r="CG119" t="e">
        <f>'2.4.Функции'!AFA187+"BYw!&amp;pR"</f>
        <v>#VALUE!</v>
      </c>
      <c r="CH119" t="e">
        <f>'2.4.Функции'!AFB187+"BYw!&amp;pS"</f>
        <v>#VALUE!</v>
      </c>
      <c r="CI119" t="e">
        <f>'2.4.Функции'!AFC187+"BYw!&amp;pT"</f>
        <v>#VALUE!</v>
      </c>
      <c r="CJ119" t="e">
        <f>'2.4.Функции'!AFD187+"BYw!&amp;pU"</f>
        <v>#VALUE!</v>
      </c>
      <c r="CK119" t="e">
        <f>'2.4.Функции'!AFE187+"BYw!&amp;pV"</f>
        <v>#VALUE!</v>
      </c>
      <c r="CL119" t="e">
        <f>'2.4.Функции'!AFF187+"BYw!&amp;pW"</f>
        <v>#VALUE!</v>
      </c>
      <c r="CM119" t="e">
        <f>'2.4.Функции'!AFG187+"BYw!&amp;pX"</f>
        <v>#VALUE!</v>
      </c>
      <c r="CN119" t="e">
        <f>'2.4.Функции'!AFH187+"BYw!&amp;pY"</f>
        <v>#VALUE!</v>
      </c>
      <c r="CO119" t="e">
        <f>'2.4.Функции'!AFI187+"BYw!&amp;pZ"</f>
        <v>#VALUE!</v>
      </c>
      <c r="CP119" t="e">
        <f>'2.4.Функции'!AFJ187+"BYw!&amp;p["</f>
        <v>#VALUE!</v>
      </c>
      <c r="CQ119" t="e">
        <f>'2.4.Функции'!AFK187+"BYw!&amp;p\"</f>
        <v>#VALUE!</v>
      </c>
      <c r="CR119" t="e">
        <f>'2.4.Функции'!AFL187+"BYw!&amp;p]"</f>
        <v>#VALUE!</v>
      </c>
      <c r="CS119" t="e">
        <f>'2.4.Функции'!AFM187+"BYw!&amp;p^"</f>
        <v>#VALUE!</v>
      </c>
      <c r="CT119" t="e">
        <f>'2.4.Функции'!AFN187+"BYw!&amp;p_"</f>
        <v>#VALUE!</v>
      </c>
      <c r="CU119" t="e">
        <f>'2.4.Функции'!AFO187+"BYw!&amp;p`"</f>
        <v>#VALUE!</v>
      </c>
      <c r="CV119" t="e">
        <f>'2.4.Функции'!AFP187+"BYw!&amp;pa"</f>
        <v>#VALUE!</v>
      </c>
      <c r="CW119" t="e">
        <f>'2.4.Функции'!AFQ187+"BYw!&amp;pb"</f>
        <v>#VALUE!</v>
      </c>
      <c r="CX119" t="e">
        <f>'2.4.Функции'!AFR187+"BYw!&amp;pc"</f>
        <v>#VALUE!</v>
      </c>
      <c r="CY119" t="e">
        <f>'2.4.Функции'!AFS187+"BYw!&amp;pd"</f>
        <v>#VALUE!</v>
      </c>
      <c r="CZ119" t="e">
        <f>'2.4.Функции'!AFT187+"BYw!&amp;pe"</f>
        <v>#VALUE!</v>
      </c>
      <c r="DA119" t="e">
        <f>'2.4.Функции'!AFU187+"BYw!&amp;pf"</f>
        <v>#VALUE!</v>
      </c>
      <c r="DB119" t="e">
        <f>'2.4.Функции'!AFV187+"BYw!&amp;pg"</f>
        <v>#VALUE!</v>
      </c>
      <c r="DC119" t="e">
        <f>'2.4.Функции'!AFW187+"BYw!&amp;ph"</f>
        <v>#VALUE!</v>
      </c>
      <c r="DD119" t="e">
        <f>'2.4.Функции'!AFX187+"BYw!&amp;pi"</f>
        <v>#VALUE!</v>
      </c>
      <c r="DE119" t="e">
        <f>'2.4.Функции'!AFY187+"BYw!&amp;pj"</f>
        <v>#VALUE!</v>
      </c>
      <c r="DF119" t="e">
        <f>'2.4.Функции'!AFZ187+"BYw!&amp;pk"</f>
        <v>#VALUE!</v>
      </c>
      <c r="DG119" t="e">
        <f>'2.4.Функции'!AGA187+"BYw!&amp;pl"</f>
        <v>#VALUE!</v>
      </c>
      <c r="DH119" t="e">
        <f>'2.4.Функции'!AGB187+"BYw!&amp;pm"</f>
        <v>#VALUE!</v>
      </c>
      <c r="DI119" t="e">
        <f>'2.4.Функции'!AGC187+"BYw!&amp;pn"</f>
        <v>#VALUE!</v>
      </c>
      <c r="DJ119" t="e">
        <f>'2.4.Функции'!AGD187+"BYw!&amp;po"</f>
        <v>#VALUE!</v>
      </c>
      <c r="DK119" t="e">
        <f>'2.4.Функции'!AGE187+"BYw!&amp;pp"</f>
        <v>#VALUE!</v>
      </c>
      <c r="DL119" t="e">
        <f>'2.4.Функции'!AGF187+"BYw!&amp;pq"</f>
        <v>#VALUE!</v>
      </c>
      <c r="DM119" t="e">
        <f>'2.4.Функции'!AGG187+"BYw!&amp;pr"</f>
        <v>#VALUE!</v>
      </c>
      <c r="DN119" t="e">
        <f>'2.4.Функции'!AGH187+"BYw!&amp;ps"</f>
        <v>#VALUE!</v>
      </c>
      <c r="DO119" t="e">
        <f>'2.4.Функции'!AGI187+"BYw!&amp;pt"</f>
        <v>#VALUE!</v>
      </c>
      <c r="DP119" t="e">
        <f>'2.4.Функции'!AGJ187+"BYw!&amp;pu"</f>
        <v>#VALUE!</v>
      </c>
      <c r="DQ119" t="e">
        <f>'2.4.Функции'!AGK187+"BYw!&amp;pv"</f>
        <v>#VALUE!</v>
      </c>
      <c r="DR119" t="e">
        <f>'2.4.Функции'!AGL187+"BYw!&amp;pw"</f>
        <v>#VALUE!</v>
      </c>
      <c r="DS119" t="e">
        <f>'2.4.Функции'!AGM187+"BYw!&amp;px"</f>
        <v>#VALUE!</v>
      </c>
      <c r="DT119" t="e">
        <f>'2.4.Функции'!AGN187+"BYw!&amp;py"</f>
        <v>#VALUE!</v>
      </c>
      <c r="DU119" t="e">
        <f>'2.4.Функции'!AGO187+"BYw!&amp;pz"</f>
        <v>#VALUE!</v>
      </c>
      <c r="DV119" t="e">
        <f>'2.4.Функции'!AGP187+"BYw!&amp;p{"</f>
        <v>#VALUE!</v>
      </c>
      <c r="DW119" t="e">
        <f>'2.4.Функции'!AGQ187+"BYw!&amp;p|"</f>
        <v>#VALUE!</v>
      </c>
      <c r="DX119" t="e">
        <f>'2.4.Функции'!AGR187+"BYw!&amp;p}"</f>
        <v>#VALUE!</v>
      </c>
      <c r="DY119" t="e">
        <f>'2.4.Функции'!AGS187+"BYw!&amp;p~"</f>
        <v>#VALUE!</v>
      </c>
      <c r="DZ119" t="e">
        <f>'2.4.Функции'!AGT187+"BYw!&amp;q#"</f>
        <v>#VALUE!</v>
      </c>
      <c r="EA119" t="e">
        <f>'2.4.Функции'!AGU187+"BYw!&amp;q$"</f>
        <v>#VALUE!</v>
      </c>
      <c r="EB119" t="e">
        <f>'2.4.Функции'!AGV187+"BYw!&amp;q%"</f>
        <v>#VALUE!</v>
      </c>
      <c r="EC119" t="e">
        <f>'2.4.Функции'!AGW187+"BYw!&amp;q&amp;"</f>
        <v>#VALUE!</v>
      </c>
      <c r="ED119" t="e">
        <f>'2.4.Функции'!AGX187+"BYw!&amp;q'"</f>
        <v>#VALUE!</v>
      </c>
      <c r="EE119" t="e">
        <f>'2.4.Функции'!AGY187+"BYw!&amp;q("</f>
        <v>#VALUE!</v>
      </c>
      <c r="EF119" t="e">
        <f>'2.4.Функции'!AGZ187+"BYw!&amp;q)"</f>
        <v>#VALUE!</v>
      </c>
      <c r="EG119" t="e">
        <f>'2.4.Функции'!AHA187+"BYw!&amp;q."</f>
        <v>#VALUE!</v>
      </c>
      <c r="EH119" t="e">
        <f>'2.4.Функции'!AHB187+"BYw!&amp;q/"</f>
        <v>#VALUE!</v>
      </c>
      <c r="EI119" t="e">
        <f>'2.4.Функции'!AHC187+"BYw!&amp;q0"</f>
        <v>#VALUE!</v>
      </c>
      <c r="EJ119" t="e">
        <f>'2.4.Функции'!AHD187+"BYw!&amp;q1"</f>
        <v>#VALUE!</v>
      </c>
      <c r="EK119" t="e">
        <f>'2.4.Функции'!AHE187+"BYw!&amp;q2"</f>
        <v>#VALUE!</v>
      </c>
      <c r="EL119" t="e">
        <f>'2.4.Функции'!AHF187+"BYw!&amp;q3"</f>
        <v>#VALUE!</v>
      </c>
      <c r="EM119" t="e">
        <f>'2.4.Функции'!AHG187+"BYw!&amp;q4"</f>
        <v>#VALUE!</v>
      </c>
      <c r="EN119" t="e">
        <f>'2.4.Функции'!AHH187+"BYw!&amp;q5"</f>
        <v>#VALUE!</v>
      </c>
      <c r="EO119" t="e">
        <f>'2.4.Функции'!AHI187+"BYw!&amp;q6"</f>
        <v>#VALUE!</v>
      </c>
      <c r="EP119" t="e">
        <f>'2.4.Функции'!AHJ187+"BYw!&amp;q7"</f>
        <v>#VALUE!</v>
      </c>
      <c r="EQ119" t="e">
        <f>'2.4.Функции'!AHK187+"BYw!&amp;q8"</f>
        <v>#VALUE!</v>
      </c>
      <c r="ER119" t="e">
        <f>'2.4.Функции'!AHL187+"BYw!&amp;q9"</f>
        <v>#VALUE!</v>
      </c>
      <c r="ES119" t="e">
        <f>'2.4.Функции'!AHM187+"BYw!&amp;q:"</f>
        <v>#VALUE!</v>
      </c>
      <c r="ET119" t="e">
        <f>'2.4.Функции'!AHN187+"BYw!&amp;q;"</f>
        <v>#VALUE!</v>
      </c>
      <c r="EU119" t="e">
        <f>'2.4.Функции'!AHO187+"BYw!&amp;q&lt;"</f>
        <v>#VALUE!</v>
      </c>
      <c r="EV119" t="e">
        <f>'2.4.Функции'!AHP187+"BYw!&amp;q="</f>
        <v>#VALUE!</v>
      </c>
      <c r="EW119" t="e">
        <f>'2.4.Функции'!AHQ187+"BYw!&amp;q&gt;"</f>
        <v>#VALUE!</v>
      </c>
      <c r="EX119" t="e">
        <f>'2.4.Функции'!AHR187+"BYw!&amp;q?"</f>
        <v>#VALUE!</v>
      </c>
      <c r="EY119" t="e">
        <f>'2.4.Функции'!AHS187+"BYw!&amp;q@"</f>
        <v>#VALUE!</v>
      </c>
      <c r="EZ119" t="e">
        <f>'2.4.Функции'!AHT187+"BYw!&amp;qA"</f>
        <v>#VALUE!</v>
      </c>
      <c r="FA119" t="e">
        <f>'2.4.Функции'!AHU187+"BYw!&amp;qB"</f>
        <v>#VALUE!</v>
      </c>
      <c r="FB119" t="e">
        <f>'2.4.Функции'!AHV187+"BYw!&amp;qC"</f>
        <v>#VALUE!</v>
      </c>
      <c r="FC119" t="e">
        <f>'2.4.Функции'!AHW187+"BYw!&amp;qD"</f>
        <v>#VALUE!</v>
      </c>
      <c r="FD119" t="e">
        <f>'2.4.Функции'!AHX187+"BYw!&amp;qE"</f>
        <v>#VALUE!</v>
      </c>
      <c r="FE119" t="e">
        <f>'2.4.Функции'!AHY187+"BYw!&amp;qF"</f>
        <v>#VALUE!</v>
      </c>
      <c r="FF119" t="e">
        <f>'2.4.Функции'!AHZ187+"BYw!&amp;qG"</f>
        <v>#VALUE!</v>
      </c>
      <c r="FG119" t="e">
        <f>'2.4.Функции'!AIA187+"BYw!&amp;qH"</f>
        <v>#VALUE!</v>
      </c>
      <c r="FH119" t="e">
        <f>'2.4.Функции'!AIB187+"BYw!&amp;qI"</f>
        <v>#VALUE!</v>
      </c>
      <c r="FI119" t="e">
        <f>'2.4.Функции'!AIC187+"BYw!&amp;qJ"</f>
        <v>#VALUE!</v>
      </c>
      <c r="FJ119" t="e">
        <f>'2.4.Функции'!AID187+"BYw!&amp;qK"</f>
        <v>#VALUE!</v>
      </c>
      <c r="FK119" t="e">
        <f>'2.4.Функции'!AIE187+"BYw!&amp;qL"</f>
        <v>#VALUE!</v>
      </c>
      <c r="FL119" t="e">
        <f>'2.4.Функции'!AIF187+"BYw!&amp;qM"</f>
        <v>#VALUE!</v>
      </c>
      <c r="FM119" t="e">
        <f>'2.4.Функции'!AIG187+"BYw!&amp;qN"</f>
        <v>#VALUE!</v>
      </c>
      <c r="FN119" t="e">
        <f>'2.4.Функции'!AIH187+"BYw!&amp;qO"</f>
        <v>#VALUE!</v>
      </c>
      <c r="FO119" s="116" t="e">
        <f>'2.4.Функции'!B188+"BYw!&amp;qP"</f>
        <v>#VALUE!</v>
      </c>
      <c r="FP119" t="e">
        <f>'2.4.Функции'!C188+"BYw!&amp;qQ"</f>
        <v>#VALUE!</v>
      </c>
      <c r="FQ119" s="119" t="e">
        <f>'2.4.Функции'!D188+"BYw!&amp;qR"</f>
        <v>#VALUE!</v>
      </c>
      <c r="FR119" s="119" t="e">
        <f>'2.4.Функции'!E188+"BYw!&amp;qS"</f>
        <v>#VALUE!</v>
      </c>
      <c r="FS119" s="119" t="e">
        <f>'2.4.Функции'!F188+"BYw!&amp;qT"</f>
        <v>#VALUE!</v>
      </c>
      <c r="FT119" s="119" t="e">
        <f>'2.4.Функции'!G188+"BYw!&amp;qU"</f>
        <v>#VALUE!</v>
      </c>
      <c r="FU119" s="119" t="e">
        <f>'2.4.Функции'!H188+"BYw!&amp;qV"</f>
        <v>#VALUE!</v>
      </c>
      <c r="FV119" s="119" t="e">
        <f>'2.4.Функции'!I188+"BYw!&amp;qW"</f>
        <v>#VALUE!</v>
      </c>
      <c r="FW119" s="119" t="e">
        <f>'2.4.Функции'!J188+"BYw!&amp;qX"</f>
        <v>#VALUE!</v>
      </c>
      <c r="FX119" s="119" t="e">
        <f>'2.4.Функции'!K188+"BYw!&amp;qY"</f>
        <v>#VALUE!</v>
      </c>
      <c r="FY119" t="e">
        <f>'2.4.Функции'!L188+"BYw!&amp;qZ"</f>
        <v>#VALUE!</v>
      </c>
      <c r="FZ119" t="e">
        <f>'2.4.Функции'!M188+"BYw!&amp;q["</f>
        <v>#VALUE!</v>
      </c>
      <c r="GA119" t="e">
        <f>'2.4.Функции'!N188+"BYw!&amp;q\"</f>
        <v>#VALUE!</v>
      </c>
      <c r="GB119" t="e">
        <f>'2.4.Функции'!O188+"BYw!&amp;q]"</f>
        <v>#VALUE!</v>
      </c>
      <c r="GC119" t="e">
        <f>'2.4.Функции'!P188+"BYw!&amp;q^"</f>
        <v>#VALUE!</v>
      </c>
      <c r="GD119" t="e">
        <f>'2.4.Функции'!Q188+"BYw!&amp;q_"</f>
        <v>#VALUE!</v>
      </c>
      <c r="GE119" t="e">
        <f>'2.4.Функции'!R188+"BYw!&amp;q`"</f>
        <v>#VALUE!</v>
      </c>
      <c r="GF119" t="e">
        <f>'2.4.Функции'!S188+"BYw!&amp;qa"</f>
        <v>#VALUE!</v>
      </c>
      <c r="GG119" t="e">
        <f>'2.4.Функции'!T188+"BYw!&amp;qb"</f>
        <v>#VALUE!</v>
      </c>
      <c r="GH119" t="e">
        <f>'2.4.Функции'!U188+"BYw!&amp;qc"</f>
        <v>#VALUE!</v>
      </c>
      <c r="GI119" t="e">
        <f>'2.4.Функции'!V188+"BYw!&amp;qd"</f>
        <v>#VALUE!</v>
      </c>
      <c r="GJ119" t="e">
        <f>'2.4.Функции'!W188+"BYw!&amp;qe"</f>
        <v>#VALUE!</v>
      </c>
      <c r="GK119" t="e">
        <f>'2.4.Функции'!X188+"BYw!&amp;qf"</f>
        <v>#VALUE!</v>
      </c>
      <c r="GL119" t="e">
        <f>'2.4.Функции'!Y188+"BYw!&amp;qg"</f>
        <v>#VALUE!</v>
      </c>
      <c r="GM119" t="e">
        <f>'2.4.Функции'!Z188+"BYw!&amp;qh"</f>
        <v>#VALUE!</v>
      </c>
      <c r="GN119" t="e">
        <f>'2.4.Функции'!AA188+"BYw!&amp;qi"</f>
        <v>#VALUE!</v>
      </c>
      <c r="GO119" t="e">
        <f>'2.4.Функции'!AB188+"BYw!&amp;qj"</f>
        <v>#VALUE!</v>
      </c>
      <c r="GP119" t="e">
        <f>'2.4.Функции'!AC188+"BYw!&amp;qk"</f>
        <v>#VALUE!</v>
      </c>
      <c r="GQ119" s="116" t="e">
        <f>'2.4.Функции'!B189+"BYw!&amp;ql"</f>
        <v>#VALUE!</v>
      </c>
      <c r="GR119" t="e">
        <f>'2.4.Функции'!C189+"BYw!&amp;qm"</f>
        <v>#VALUE!</v>
      </c>
      <c r="GS119" s="119" t="e">
        <f>'2.4.Функции'!D189+"BYw!&amp;qn"</f>
        <v>#VALUE!</v>
      </c>
      <c r="GT119" s="119" t="e">
        <f>'2.4.Функции'!E189+"BYw!&amp;qo"</f>
        <v>#VALUE!</v>
      </c>
      <c r="GU119" s="119" t="e">
        <f>'2.4.Функции'!F189+"BYw!&amp;qp"</f>
        <v>#VALUE!</v>
      </c>
      <c r="GV119" s="119" t="e">
        <f>'2.4.Функции'!G189+"BYw!&amp;qq"</f>
        <v>#VALUE!</v>
      </c>
      <c r="GW119" s="119" t="e">
        <f>'2.4.Функции'!H189+"BYw!&amp;qr"</f>
        <v>#VALUE!</v>
      </c>
      <c r="GX119" s="119" t="e">
        <f>'2.4.Функции'!I189+"BYw!&amp;qs"</f>
        <v>#VALUE!</v>
      </c>
      <c r="GY119" s="119" t="e">
        <f>'2.4.Функции'!J189+"BYw!&amp;qt"</f>
        <v>#VALUE!</v>
      </c>
      <c r="GZ119" s="119" t="e">
        <f>'2.4.Функции'!K189+"BYw!&amp;qu"</f>
        <v>#VALUE!</v>
      </c>
      <c r="HA119" t="e">
        <f>'2.4.Функции'!L189+"BYw!&amp;qv"</f>
        <v>#VALUE!</v>
      </c>
      <c r="HB119" t="e">
        <f>'2.4.Функции'!M189+"BYw!&amp;qw"</f>
        <v>#VALUE!</v>
      </c>
      <c r="HC119" t="e">
        <f>'2.4.Функции'!N189+"BYw!&amp;qx"</f>
        <v>#VALUE!</v>
      </c>
      <c r="HD119" t="e">
        <f>'2.4.Функции'!O189+"BYw!&amp;qy"</f>
        <v>#VALUE!</v>
      </c>
      <c r="HE119" t="e">
        <f>'2.4.Функции'!P189+"BYw!&amp;qz"</f>
        <v>#VALUE!</v>
      </c>
      <c r="HF119" t="e">
        <f>'2.4.Функции'!Q189+"BYw!&amp;q{"</f>
        <v>#VALUE!</v>
      </c>
      <c r="HG119" t="e">
        <f>'2.4.Функции'!R189+"BYw!&amp;q|"</f>
        <v>#VALUE!</v>
      </c>
      <c r="HH119" t="e">
        <f>'2.4.Функции'!S189+"BYw!&amp;q}"</f>
        <v>#VALUE!</v>
      </c>
      <c r="HI119" t="e">
        <f>'2.4.Функции'!T189+"BYw!&amp;q~"</f>
        <v>#VALUE!</v>
      </c>
      <c r="HJ119" t="e">
        <f>'2.4.Функции'!U189+"BYw!&amp;r#"</f>
        <v>#VALUE!</v>
      </c>
      <c r="HK119" t="e">
        <f>'2.4.Функции'!V189+"BYw!&amp;r$"</f>
        <v>#VALUE!</v>
      </c>
      <c r="HL119" t="e">
        <f>'2.4.Функции'!W189+"BYw!&amp;r%"</f>
        <v>#VALUE!</v>
      </c>
      <c r="HM119" t="e">
        <f>'2.4.Функции'!X189+"BYw!&amp;r&amp;"</f>
        <v>#VALUE!</v>
      </c>
      <c r="HN119" t="e">
        <f>'2.4.Функции'!Y189+"BYw!&amp;r'"</f>
        <v>#VALUE!</v>
      </c>
      <c r="HO119" t="e">
        <f>'2.4.Функции'!Z189+"BYw!&amp;r("</f>
        <v>#VALUE!</v>
      </c>
      <c r="HP119" t="e">
        <f>'2.4.Функции'!AA189+"BYw!&amp;r)"</f>
        <v>#VALUE!</v>
      </c>
      <c r="HQ119" t="e">
        <f>'2.4.Функции'!AB189+"BYw!&amp;r."</f>
        <v>#VALUE!</v>
      </c>
      <c r="HR119" t="e">
        <f>'2.4.Функции'!AC189+"BYw!&amp;r/"</f>
        <v>#VALUE!</v>
      </c>
      <c r="HS119" s="116" t="e">
        <f>'2.4.Функции'!B190+"BYw!&amp;r0"</f>
        <v>#VALUE!</v>
      </c>
      <c r="HT119" t="e">
        <f>'2.4.Функции'!C190+"BYw!&amp;r1"</f>
        <v>#VALUE!</v>
      </c>
      <c r="HU119" s="119" t="e">
        <f>'2.4.Функции'!D190+"BYw!&amp;r2"</f>
        <v>#VALUE!</v>
      </c>
      <c r="HV119" s="119" t="e">
        <f>'2.4.Функции'!E190+"BYw!&amp;r3"</f>
        <v>#VALUE!</v>
      </c>
      <c r="HW119" s="119" t="e">
        <f>'2.4.Функции'!F190+"BYw!&amp;r4"</f>
        <v>#VALUE!</v>
      </c>
      <c r="HX119" s="119" t="e">
        <f>'2.4.Функции'!G190+"BYw!&amp;r5"</f>
        <v>#VALUE!</v>
      </c>
      <c r="HY119" s="119" t="e">
        <f>'2.4.Функции'!H190+"BYw!&amp;r6"</f>
        <v>#VALUE!</v>
      </c>
      <c r="HZ119" s="119" t="e">
        <f>'2.4.Функции'!I190+"BYw!&amp;r7"</f>
        <v>#VALUE!</v>
      </c>
      <c r="IA119" s="119" t="e">
        <f>'2.4.Функции'!J190+"BYw!&amp;r8"</f>
        <v>#VALUE!</v>
      </c>
      <c r="IB119" s="119" t="e">
        <f>'2.4.Функции'!K190+"BYw!&amp;r9"</f>
        <v>#VALUE!</v>
      </c>
      <c r="IC119" t="e">
        <f>'2.4.Функции'!L190+"BYw!&amp;r:"</f>
        <v>#VALUE!</v>
      </c>
      <c r="ID119" t="e">
        <f>'2.4.Функции'!M190+"BYw!&amp;r;"</f>
        <v>#VALUE!</v>
      </c>
      <c r="IE119" t="e">
        <f>'2.4.Функции'!N190+"BYw!&amp;r&lt;"</f>
        <v>#VALUE!</v>
      </c>
      <c r="IF119" t="e">
        <f>'2.4.Функции'!O190+"BYw!&amp;r="</f>
        <v>#VALUE!</v>
      </c>
      <c r="IG119" t="e">
        <f>'2.4.Функции'!P190+"BYw!&amp;r&gt;"</f>
        <v>#VALUE!</v>
      </c>
      <c r="IH119" t="e">
        <f>'2.4.Функции'!Q190+"BYw!&amp;r?"</f>
        <v>#VALUE!</v>
      </c>
      <c r="II119" t="e">
        <f>'2.4.Функции'!R190+"BYw!&amp;r@"</f>
        <v>#VALUE!</v>
      </c>
      <c r="IJ119" t="e">
        <f>'2.4.Функции'!S190+"BYw!&amp;rA"</f>
        <v>#VALUE!</v>
      </c>
      <c r="IK119" t="e">
        <f>'2.4.Функции'!T190+"BYw!&amp;rB"</f>
        <v>#VALUE!</v>
      </c>
      <c r="IL119" t="e">
        <f>'2.4.Функции'!U190+"BYw!&amp;rC"</f>
        <v>#VALUE!</v>
      </c>
      <c r="IM119" t="e">
        <f>'2.4.Функции'!V190+"BYw!&amp;rD"</f>
        <v>#VALUE!</v>
      </c>
      <c r="IN119" t="e">
        <f>'2.4.Функции'!W190+"BYw!&amp;rE"</f>
        <v>#VALUE!</v>
      </c>
      <c r="IO119" t="e">
        <f>'2.4.Функции'!X190+"BYw!&amp;rF"</f>
        <v>#VALUE!</v>
      </c>
      <c r="IP119" t="e">
        <f>'2.4.Функции'!Y190+"BYw!&amp;rG"</f>
        <v>#VALUE!</v>
      </c>
      <c r="IQ119" t="e">
        <f>'2.4.Функции'!Z190+"BYw!&amp;rH"</f>
        <v>#VALUE!</v>
      </c>
      <c r="IR119" t="e">
        <f>'2.4.Функции'!AA190+"BYw!&amp;rI"</f>
        <v>#VALUE!</v>
      </c>
      <c r="IS119" t="e">
        <f>'2.4.Функции'!AB190+"BYw!&amp;rJ"</f>
        <v>#VALUE!</v>
      </c>
      <c r="IT119" t="e">
        <f>'2.4.Функции'!AC190+"BYw!&amp;rK"</f>
        <v>#VALUE!</v>
      </c>
      <c r="IU119" s="116" t="e">
        <f>'2.4.Функции'!B191+"BYw!&amp;rL"</f>
        <v>#VALUE!</v>
      </c>
      <c r="IV119" t="e">
        <f>'2.4.Функции'!C191+"BYw!&amp;rM"</f>
        <v>#VALUE!</v>
      </c>
    </row>
    <row r="120" spans="6:256" x14ac:dyDescent="0.2">
      <c r="F120" s="119" t="e">
        <f>'2.4.Функции'!D191+"BYw!&amp;rN"</f>
        <v>#VALUE!</v>
      </c>
      <c r="G120" s="119" t="e">
        <f>'2.4.Функции'!E191+"BYw!&amp;rO"</f>
        <v>#VALUE!</v>
      </c>
      <c r="H120" s="119" t="e">
        <f>'2.4.Функции'!F191+"BYw!&amp;rP"</f>
        <v>#VALUE!</v>
      </c>
      <c r="I120" s="119" t="e">
        <f>'2.4.Функции'!G191+"BYw!&amp;rQ"</f>
        <v>#VALUE!</v>
      </c>
      <c r="J120" s="119" t="e">
        <f>'2.4.Функции'!H191+"BYw!&amp;rR"</f>
        <v>#VALUE!</v>
      </c>
      <c r="K120" s="119" t="e">
        <f>'2.4.Функции'!I191+"BYw!&amp;rS"</f>
        <v>#VALUE!</v>
      </c>
      <c r="L120" s="119" t="e">
        <f>'2.4.Функции'!J191+"BYw!&amp;rT"</f>
        <v>#VALUE!</v>
      </c>
      <c r="M120" s="119" t="e">
        <f>'2.4.Функции'!K191+"BYw!&amp;rU"</f>
        <v>#VALUE!</v>
      </c>
      <c r="N120" t="e">
        <f>'2.4.Функции'!L191+"BYw!&amp;rV"</f>
        <v>#VALUE!</v>
      </c>
      <c r="O120" t="e">
        <f>'2.4.Функции'!M191+"BYw!&amp;rW"</f>
        <v>#VALUE!</v>
      </c>
      <c r="P120" t="e">
        <f>'2.4.Функции'!N191+"BYw!&amp;rX"</f>
        <v>#VALUE!</v>
      </c>
      <c r="Q120" t="e">
        <f>'2.4.Функции'!O191+"BYw!&amp;rY"</f>
        <v>#VALUE!</v>
      </c>
      <c r="R120" t="e">
        <f>'2.4.Функции'!P191+"BYw!&amp;rZ"</f>
        <v>#VALUE!</v>
      </c>
      <c r="S120" t="e">
        <f>'2.4.Функции'!Q191+"BYw!&amp;r["</f>
        <v>#VALUE!</v>
      </c>
      <c r="T120" t="e">
        <f>'2.4.Функции'!R191+"BYw!&amp;r\"</f>
        <v>#VALUE!</v>
      </c>
      <c r="U120" t="e">
        <f>'2.4.Функции'!S191+"BYw!&amp;r]"</f>
        <v>#VALUE!</v>
      </c>
      <c r="V120" t="e">
        <f>'2.4.Функции'!T191+"BYw!&amp;r^"</f>
        <v>#VALUE!</v>
      </c>
      <c r="W120" t="e">
        <f>'2.4.Функции'!U191+"BYw!&amp;r_"</f>
        <v>#VALUE!</v>
      </c>
      <c r="X120" t="e">
        <f>'2.4.Функции'!V191+"BYw!&amp;r`"</f>
        <v>#VALUE!</v>
      </c>
      <c r="Y120" t="e">
        <f>'2.4.Функции'!W191+"BYw!&amp;ra"</f>
        <v>#VALUE!</v>
      </c>
      <c r="Z120" t="e">
        <f>'2.4.Функции'!X191+"BYw!&amp;rb"</f>
        <v>#VALUE!</v>
      </c>
      <c r="AA120" t="e">
        <f>'2.4.Функции'!Y191+"BYw!&amp;rc"</f>
        <v>#VALUE!</v>
      </c>
      <c r="AB120" t="e">
        <f>'2.4.Функции'!Z191+"BYw!&amp;rd"</f>
        <v>#VALUE!</v>
      </c>
      <c r="AC120" t="e">
        <f>'2.4.Функции'!AA191+"BYw!&amp;re"</f>
        <v>#VALUE!</v>
      </c>
      <c r="AD120" t="e">
        <f>'2.4.Функции'!AB191+"BYw!&amp;rf"</f>
        <v>#VALUE!</v>
      </c>
      <c r="AE120" t="e">
        <f>'2.4.Функции'!AC191+"BYw!&amp;rg"</f>
        <v>#VALUE!</v>
      </c>
      <c r="AF120" s="116" t="e">
        <f>'2.4.Функции'!B192+"BYw!&amp;rh"</f>
        <v>#VALUE!</v>
      </c>
      <c r="AG120" t="e">
        <f>'2.4.Функции'!C192+"BYw!&amp;ri"</f>
        <v>#VALUE!</v>
      </c>
      <c r="AH120" s="119" t="e">
        <f>'2.4.Функции'!D192+"BYw!&amp;rj"</f>
        <v>#VALUE!</v>
      </c>
      <c r="AI120" s="119" t="e">
        <f>'2.4.Функции'!E192+"BYw!&amp;rk"</f>
        <v>#VALUE!</v>
      </c>
      <c r="AJ120" s="119" t="e">
        <f>'2.4.Функции'!F192+"BYw!&amp;rl"</f>
        <v>#VALUE!</v>
      </c>
      <c r="AK120" s="119" t="e">
        <f>'2.4.Функции'!G192+"BYw!&amp;rm"</f>
        <v>#VALUE!</v>
      </c>
      <c r="AL120" s="119" t="e">
        <f>'2.4.Функции'!H192+"BYw!&amp;rn"</f>
        <v>#VALUE!</v>
      </c>
      <c r="AM120" s="119" t="e">
        <f>'2.4.Функции'!I192+"BYw!&amp;ro"</f>
        <v>#VALUE!</v>
      </c>
      <c r="AN120" s="119" t="e">
        <f>'2.4.Функции'!J192+"BYw!&amp;rp"</f>
        <v>#VALUE!</v>
      </c>
      <c r="AO120" s="119" t="e">
        <f>'2.4.Функции'!K192+"BYw!&amp;rq"</f>
        <v>#VALUE!</v>
      </c>
      <c r="AP120" t="e">
        <f>'2.4.Функции'!L192+"BYw!&amp;rr"</f>
        <v>#VALUE!</v>
      </c>
      <c r="AQ120" t="e">
        <f>'2.4.Функции'!M192+"BYw!&amp;rs"</f>
        <v>#VALUE!</v>
      </c>
      <c r="AR120" t="e">
        <f>'2.4.Функции'!N192+"BYw!&amp;rt"</f>
        <v>#VALUE!</v>
      </c>
      <c r="AS120" t="e">
        <f>'2.4.Функции'!O192+"BYw!&amp;ru"</f>
        <v>#VALUE!</v>
      </c>
      <c r="AT120" t="e">
        <f>'2.4.Функции'!P192+"BYw!&amp;rv"</f>
        <v>#VALUE!</v>
      </c>
      <c r="AU120" t="e">
        <f>'2.4.Функции'!Q192+"BYw!&amp;rw"</f>
        <v>#VALUE!</v>
      </c>
      <c r="AV120" t="e">
        <f>'2.4.Функции'!R192+"BYw!&amp;rx"</f>
        <v>#VALUE!</v>
      </c>
      <c r="AW120" t="e">
        <f>'2.4.Функции'!S192+"BYw!&amp;ry"</f>
        <v>#VALUE!</v>
      </c>
      <c r="AX120" t="e">
        <f>'2.4.Функции'!T192+"BYw!&amp;rz"</f>
        <v>#VALUE!</v>
      </c>
      <c r="AY120" t="e">
        <f>'2.4.Функции'!U192+"BYw!&amp;r{"</f>
        <v>#VALUE!</v>
      </c>
      <c r="AZ120" t="e">
        <f>'2.4.Функции'!V192+"BYw!&amp;r|"</f>
        <v>#VALUE!</v>
      </c>
      <c r="BA120" t="e">
        <f>'2.4.Функции'!W192+"BYw!&amp;r}"</f>
        <v>#VALUE!</v>
      </c>
      <c r="BB120" t="e">
        <f>'2.4.Функции'!X192+"BYw!&amp;r~"</f>
        <v>#VALUE!</v>
      </c>
      <c r="BC120" t="e">
        <f>'2.4.Функции'!Y192+"BYw!&amp;s#"</f>
        <v>#VALUE!</v>
      </c>
      <c r="BD120" t="e">
        <f>'2.4.Функции'!Z192+"BYw!&amp;s$"</f>
        <v>#VALUE!</v>
      </c>
      <c r="BE120" t="e">
        <f>'2.4.Функции'!AA192+"BYw!&amp;s%"</f>
        <v>#VALUE!</v>
      </c>
      <c r="BF120" t="e">
        <f>'2.4.Функции'!AB192+"BYw!&amp;s&amp;"</f>
        <v>#VALUE!</v>
      </c>
      <c r="BG120" t="e">
        <f>'2.4.Функции'!AC192+"BYw!&amp;s'"</f>
        <v>#VALUE!</v>
      </c>
      <c r="BH120" s="116" t="e">
        <f>'2.4.Функции'!B193+"BYw!&amp;s("</f>
        <v>#VALUE!</v>
      </c>
      <c r="BI120" t="e">
        <f>'2.4.Функции'!C193+"BYw!&amp;s)"</f>
        <v>#VALUE!</v>
      </c>
      <c r="BJ120" s="119" t="e">
        <f>'2.4.Функции'!D193+"BYw!&amp;s."</f>
        <v>#VALUE!</v>
      </c>
      <c r="BK120" s="119" t="e">
        <f>'2.4.Функции'!E193+"BYw!&amp;s/"</f>
        <v>#VALUE!</v>
      </c>
      <c r="BL120" s="119" t="e">
        <f>'2.4.Функции'!F193+"BYw!&amp;s0"</f>
        <v>#VALUE!</v>
      </c>
      <c r="BM120" s="119" t="e">
        <f>'2.4.Функции'!G193+"BYw!&amp;s1"</f>
        <v>#VALUE!</v>
      </c>
      <c r="BN120" s="119" t="e">
        <f>'2.4.Функции'!H193+"BYw!&amp;s2"</f>
        <v>#VALUE!</v>
      </c>
      <c r="BO120" s="119" t="e">
        <f>'2.4.Функции'!I193+"BYw!&amp;s3"</f>
        <v>#VALUE!</v>
      </c>
      <c r="BP120" s="119" t="e">
        <f>'2.4.Функции'!J193+"BYw!&amp;s4"</f>
        <v>#VALUE!</v>
      </c>
      <c r="BQ120" s="119" t="e">
        <f>'2.4.Функции'!K193+"BYw!&amp;s5"</f>
        <v>#VALUE!</v>
      </c>
      <c r="BR120" t="e">
        <f>'2.4.Функции'!L193+"BYw!&amp;s6"</f>
        <v>#VALUE!</v>
      </c>
      <c r="BS120" t="e">
        <f>'2.4.Функции'!M193+"BYw!&amp;s7"</f>
        <v>#VALUE!</v>
      </c>
      <c r="BT120" t="e">
        <f>'2.4.Функции'!N193+"BYw!&amp;s8"</f>
        <v>#VALUE!</v>
      </c>
      <c r="BU120" t="e">
        <f>'2.4.Функции'!O193+"BYw!&amp;s9"</f>
        <v>#VALUE!</v>
      </c>
      <c r="BV120" t="e">
        <f>'2.4.Функции'!P193+"BYw!&amp;s:"</f>
        <v>#VALUE!</v>
      </c>
      <c r="BW120" t="e">
        <f>'2.4.Функции'!Q193+"BYw!&amp;s;"</f>
        <v>#VALUE!</v>
      </c>
      <c r="BX120" t="e">
        <f>'2.4.Функции'!R193+"BYw!&amp;s&lt;"</f>
        <v>#VALUE!</v>
      </c>
      <c r="BY120" t="e">
        <f>'2.4.Функции'!S193+"BYw!&amp;s="</f>
        <v>#VALUE!</v>
      </c>
      <c r="BZ120" t="e">
        <f>'2.4.Функции'!T193+"BYw!&amp;s&gt;"</f>
        <v>#VALUE!</v>
      </c>
      <c r="CA120" t="e">
        <f>'2.4.Функции'!U193+"BYw!&amp;s?"</f>
        <v>#VALUE!</v>
      </c>
      <c r="CB120" t="e">
        <f>'2.4.Функции'!V193+"BYw!&amp;s@"</f>
        <v>#VALUE!</v>
      </c>
      <c r="CC120" t="e">
        <f>'2.4.Функции'!W193+"BYw!&amp;sA"</f>
        <v>#VALUE!</v>
      </c>
      <c r="CD120" t="e">
        <f>'2.4.Функции'!X193+"BYw!&amp;sB"</f>
        <v>#VALUE!</v>
      </c>
      <c r="CE120" t="e">
        <f>'2.4.Функции'!Y193+"BYw!&amp;sC"</f>
        <v>#VALUE!</v>
      </c>
      <c r="CF120" t="e">
        <f>'2.4.Функции'!Z193+"BYw!&amp;sD"</f>
        <v>#VALUE!</v>
      </c>
      <c r="CG120" t="e">
        <f>'2.4.Функции'!AA193+"BYw!&amp;sE"</f>
        <v>#VALUE!</v>
      </c>
      <c r="CH120" t="e">
        <f>'2.4.Функции'!AB193+"BYw!&amp;sF"</f>
        <v>#VALUE!</v>
      </c>
      <c r="CI120" t="e">
        <f>'2.4.Функции'!AC193+"BYw!&amp;sG"</f>
        <v>#VALUE!</v>
      </c>
      <c r="CJ120" s="116" t="e">
        <f>'2.4.Функции'!B194+"BYw!&amp;sH"</f>
        <v>#VALUE!</v>
      </c>
      <c r="CK120" t="e">
        <f>'2.4.Функции'!C194+"BYw!&amp;sI"</f>
        <v>#VALUE!</v>
      </c>
      <c r="CL120" t="e">
        <f>'2.4.Функции'!D194+"BYw!&amp;sJ"</f>
        <v>#VALUE!</v>
      </c>
      <c r="CM120" t="e">
        <f>'2.4.Функции'!E194+"BYw!&amp;sK"</f>
        <v>#VALUE!</v>
      </c>
      <c r="CN120" t="e">
        <f>'2.4.Функции'!F194+"BYw!&amp;sL"</f>
        <v>#VALUE!</v>
      </c>
      <c r="CO120" t="e">
        <f>'2.4.Функции'!G194+"BYw!&amp;sM"</f>
        <v>#VALUE!</v>
      </c>
      <c r="CP120" s="119" t="e">
        <f>'2.4.Функции'!H194+"BYw!&amp;sN"</f>
        <v>#VALUE!</v>
      </c>
      <c r="CQ120" t="e">
        <f>'2.4.Функции'!I194+"BYw!&amp;sO"</f>
        <v>#VALUE!</v>
      </c>
      <c r="CR120" t="e">
        <f>'2.4.Функции'!J194+"BYw!&amp;sP"</f>
        <v>#VALUE!</v>
      </c>
      <c r="CS120" t="e">
        <f>'2.4.Функции'!K194+"BYw!&amp;sQ"</f>
        <v>#VALUE!</v>
      </c>
      <c r="CT120" t="e">
        <f>'2.4.Функции'!L194+"BYw!&amp;sR"</f>
        <v>#VALUE!</v>
      </c>
      <c r="CU120" t="e">
        <f>'2.4.Функции'!M194+"BYw!&amp;sS"</f>
        <v>#VALUE!</v>
      </c>
      <c r="CV120" t="e">
        <f>'2.4.Функции'!N194+"BYw!&amp;sT"</f>
        <v>#VALUE!</v>
      </c>
      <c r="CW120" t="e">
        <f>'2.4.Функции'!O194+"BYw!&amp;sU"</f>
        <v>#VALUE!</v>
      </c>
      <c r="CX120" t="e">
        <f>'2.4.Функции'!P194+"BYw!&amp;sV"</f>
        <v>#VALUE!</v>
      </c>
      <c r="CY120" t="e">
        <f>'2.4.Функции'!Q194+"BYw!&amp;sW"</f>
        <v>#VALUE!</v>
      </c>
      <c r="CZ120" t="e">
        <f>'2.4.Функции'!R194+"BYw!&amp;sX"</f>
        <v>#VALUE!</v>
      </c>
      <c r="DA120" t="e">
        <f>'2.4.Функции'!S194+"BYw!&amp;sY"</f>
        <v>#VALUE!</v>
      </c>
      <c r="DB120" t="e">
        <f>'2.4.Функции'!T194+"BYw!&amp;sZ"</f>
        <v>#VALUE!</v>
      </c>
      <c r="DC120" t="e">
        <f>'2.4.Функции'!U194+"BYw!&amp;s["</f>
        <v>#VALUE!</v>
      </c>
      <c r="DD120" t="e">
        <f>'2.4.Функции'!V194+"BYw!&amp;s\"</f>
        <v>#VALUE!</v>
      </c>
      <c r="DE120" t="e">
        <f>'2.4.Функции'!W194+"BYw!&amp;s]"</f>
        <v>#VALUE!</v>
      </c>
      <c r="DF120" t="e">
        <f>'2.4.Функции'!X194+"BYw!&amp;s^"</f>
        <v>#VALUE!</v>
      </c>
      <c r="DG120" t="e">
        <f>'2.4.Функции'!Y194+"BYw!&amp;s_"</f>
        <v>#VALUE!</v>
      </c>
      <c r="DH120" t="e">
        <f>'2.4.Функции'!Z194+"BYw!&amp;s`"</f>
        <v>#VALUE!</v>
      </c>
      <c r="DI120" t="e">
        <f>'2.4.Функции'!AA194+"BYw!&amp;sa"</f>
        <v>#VALUE!</v>
      </c>
      <c r="DJ120" t="e">
        <f>'2.4.Функции'!AB194+"BYw!&amp;sb"</f>
        <v>#VALUE!</v>
      </c>
      <c r="DK120" t="e">
        <f>'2.4.Функции'!AC194+"BYw!&amp;sc"</f>
        <v>#VALUE!</v>
      </c>
      <c r="DL120" s="116" t="e">
        <f>'2.4.Функции'!B195+"BYw!&amp;sd"</f>
        <v>#VALUE!</v>
      </c>
      <c r="DM120" t="e">
        <f>'2.4.Функции'!C195+"BYw!&amp;se"</f>
        <v>#VALUE!</v>
      </c>
      <c r="DN120" t="e">
        <f>'2.4.Функции'!D195+"BYw!&amp;sf"</f>
        <v>#VALUE!</v>
      </c>
      <c r="DO120" t="e">
        <f>'2.4.Функции'!E195+"BYw!&amp;sg"</f>
        <v>#VALUE!</v>
      </c>
      <c r="DP120" t="e">
        <f>'2.4.Функции'!F195+"BYw!&amp;sh"</f>
        <v>#VALUE!</v>
      </c>
      <c r="DQ120" t="e">
        <f>'2.4.Функции'!G195+"BYw!&amp;si"</f>
        <v>#VALUE!</v>
      </c>
      <c r="DR120" s="119" t="e">
        <f>'2.4.Функции'!H195+"BYw!&amp;sj"</f>
        <v>#VALUE!</v>
      </c>
      <c r="DS120" t="e">
        <f>'2.4.Функции'!I195+"BYw!&amp;sk"</f>
        <v>#VALUE!</v>
      </c>
      <c r="DT120" t="e">
        <f>'2.4.Функции'!J195+"BYw!&amp;sl"</f>
        <v>#VALUE!</v>
      </c>
      <c r="DU120" t="e">
        <f>'2.4.Функции'!K195+"BYw!&amp;sm"</f>
        <v>#VALUE!</v>
      </c>
      <c r="DV120" t="e">
        <f>'2.4.Функции'!L195+"BYw!&amp;sn"</f>
        <v>#VALUE!</v>
      </c>
      <c r="DW120" t="e">
        <f>'2.4.Функции'!M195+"BYw!&amp;so"</f>
        <v>#VALUE!</v>
      </c>
      <c r="DX120" t="e">
        <f>'2.4.Функции'!N195+"BYw!&amp;sp"</f>
        <v>#VALUE!</v>
      </c>
      <c r="DY120" t="e">
        <f>'2.4.Функции'!O195+"BYw!&amp;sq"</f>
        <v>#VALUE!</v>
      </c>
      <c r="DZ120" t="e">
        <f>'2.4.Функции'!P195+"BYw!&amp;sr"</f>
        <v>#VALUE!</v>
      </c>
      <c r="EA120" t="e">
        <f>'2.4.Функции'!Q195+"BYw!&amp;ss"</f>
        <v>#VALUE!</v>
      </c>
      <c r="EB120" t="e">
        <f>'2.4.Функции'!R195+"BYw!&amp;st"</f>
        <v>#VALUE!</v>
      </c>
      <c r="EC120" t="e">
        <f>'2.4.Функции'!S195+"BYw!&amp;su"</f>
        <v>#VALUE!</v>
      </c>
      <c r="ED120" t="e">
        <f>'2.4.Функции'!T195+"BYw!&amp;sv"</f>
        <v>#VALUE!</v>
      </c>
      <c r="EE120" t="e">
        <f>'2.4.Функции'!U195+"BYw!&amp;sw"</f>
        <v>#VALUE!</v>
      </c>
      <c r="EF120" t="e">
        <f>'2.4.Функции'!V195+"BYw!&amp;sx"</f>
        <v>#VALUE!</v>
      </c>
      <c r="EG120" t="e">
        <f>'2.4.Функции'!W195+"BYw!&amp;sy"</f>
        <v>#VALUE!</v>
      </c>
      <c r="EH120" t="e">
        <f>'2.4.Функции'!X195+"BYw!&amp;sz"</f>
        <v>#VALUE!</v>
      </c>
      <c r="EI120" t="e">
        <f>'2.4.Функции'!Y195+"BYw!&amp;s{"</f>
        <v>#VALUE!</v>
      </c>
      <c r="EJ120" t="e">
        <f>'2.4.Функции'!Z195+"BYw!&amp;s|"</f>
        <v>#VALUE!</v>
      </c>
      <c r="EK120" t="e">
        <f>'2.4.Функции'!AA195+"BYw!&amp;s}"</f>
        <v>#VALUE!</v>
      </c>
      <c r="EL120" t="e">
        <f>'2.4.Функции'!AB195+"BYw!&amp;s~"</f>
        <v>#VALUE!</v>
      </c>
      <c r="EM120" t="e">
        <f>'2.4.Функции'!AC195+"BYw!&amp;t#"</f>
        <v>#VALUE!</v>
      </c>
      <c r="EN120" s="116" t="e">
        <f>'2.4.Функции'!B196+"BYw!&amp;t$"</f>
        <v>#VALUE!</v>
      </c>
      <c r="EO120" t="e">
        <f>'2.4.Функции'!C196+"BYw!&amp;t%"</f>
        <v>#VALUE!</v>
      </c>
      <c r="EP120" s="119" t="e">
        <f>'2.4.Функции'!D196+"BYw!&amp;t&amp;"</f>
        <v>#VALUE!</v>
      </c>
      <c r="EQ120" s="119" t="e">
        <f>'2.4.Функции'!E196+"BYw!&amp;t'"</f>
        <v>#VALUE!</v>
      </c>
      <c r="ER120" s="119" t="e">
        <f>'2.4.Функции'!F196+"BYw!&amp;t("</f>
        <v>#VALUE!</v>
      </c>
      <c r="ES120" s="119" t="e">
        <f>'2.4.Функции'!G196+"BYw!&amp;t)"</f>
        <v>#VALUE!</v>
      </c>
      <c r="ET120" s="119" t="e">
        <f>'2.4.Функции'!H196+"BYw!&amp;t."</f>
        <v>#VALUE!</v>
      </c>
      <c r="EU120" s="119" t="e">
        <f>'2.4.Функции'!I196+"BYw!&amp;t/"</f>
        <v>#VALUE!</v>
      </c>
      <c r="EV120" s="119" t="e">
        <f>'2.4.Функции'!J196+"BYw!&amp;t0"</f>
        <v>#VALUE!</v>
      </c>
      <c r="EW120" s="119" t="e">
        <f>'2.4.Функции'!K196+"BYw!&amp;t1"</f>
        <v>#VALUE!</v>
      </c>
      <c r="EX120" t="e">
        <f>'2.4.Функции'!L196+"BYw!&amp;t2"</f>
        <v>#VALUE!</v>
      </c>
      <c r="EY120" t="e">
        <f>'2.4.Функции'!M196+"BYw!&amp;t3"</f>
        <v>#VALUE!</v>
      </c>
      <c r="EZ120" t="e">
        <f>'2.4.Функции'!N196+"BYw!&amp;t4"</f>
        <v>#VALUE!</v>
      </c>
      <c r="FA120" t="e">
        <f>'2.4.Функции'!O196+"BYw!&amp;t5"</f>
        <v>#VALUE!</v>
      </c>
      <c r="FB120" t="e">
        <f>'2.4.Функции'!P196+"BYw!&amp;t6"</f>
        <v>#VALUE!</v>
      </c>
      <c r="FC120" t="e">
        <f>'2.4.Функции'!Q196+"BYw!&amp;t7"</f>
        <v>#VALUE!</v>
      </c>
      <c r="FD120" t="e">
        <f>'2.4.Функции'!R196+"BYw!&amp;t8"</f>
        <v>#VALUE!</v>
      </c>
      <c r="FE120" t="e">
        <f>'2.4.Функции'!S196+"BYw!&amp;t9"</f>
        <v>#VALUE!</v>
      </c>
      <c r="FF120" t="e">
        <f>'2.4.Функции'!T196+"BYw!&amp;t:"</f>
        <v>#VALUE!</v>
      </c>
      <c r="FG120" t="e">
        <f>'2.4.Функции'!U196+"BYw!&amp;t;"</f>
        <v>#VALUE!</v>
      </c>
      <c r="FH120" t="e">
        <f>'2.4.Функции'!V196+"BYw!&amp;t&lt;"</f>
        <v>#VALUE!</v>
      </c>
      <c r="FI120" t="e">
        <f>'2.4.Функции'!W196+"BYw!&amp;t="</f>
        <v>#VALUE!</v>
      </c>
      <c r="FJ120" t="e">
        <f>'2.4.Функции'!X196+"BYw!&amp;t&gt;"</f>
        <v>#VALUE!</v>
      </c>
      <c r="FK120" t="e">
        <f>'2.4.Функции'!Y196+"BYw!&amp;t?"</f>
        <v>#VALUE!</v>
      </c>
      <c r="FL120" t="e">
        <f>'2.4.Функции'!Z196+"BYw!&amp;t@"</f>
        <v>#VALUE!</v>
      </c>
      <c r="FM120" t="e">
        <f>'2.4.Функции'!AA196+"BYw!&amp;tA"</f>
        <v>#VALUE!</v>
      </c>
      <c r="FN120" t="e">
        <f>'2.4.Функции'!AB196+"BYw!&amp;tB"</f>
        <v>#VALUE!</v>
      </c>
      <c r="FO120" t="e">
        <f>'2.4.Функции'!AC196+"BYw!&amp;tC"</f>
        <v>#VALUE!</v>
      </c>
      <c r="FP120" s="116" t="e">
        <f>'2.4.Функции'!B197+"BYw!&amp;tD"</f>
        <v>#VALUE!</v>
      </c>
      <c r="FQ120" t="e">
        <f>'2.4.Функции'!C197+"BYw!&amp;tE"</f>
        <v>#VALUE!</v>
      </c>
      <c r="FR120" t="e">
        <f>'2.4.Функции'!D197+"BYw!&amp;tF"</f>
        <v>#VALUE!</v>
      </c>
      <c r="FS120" s="119" t="e">
        <f>'2.4.Функции'!E197+"BYw!&amp;tG"</f>
        <v>#VALUE!</v>
      </c>
      <c r="FT120" s="119" t="e">
        <f>'2.4.Функции'!F197+"BYw!&amp;tH"</f>
        <v>#VALUE!</v>
      </c>
      <c r="FU120" s="119" t="e">
        <f>'2.4.Функции'!G197+"BYw!&amp;tI"</f>
        <v>#VALUE!</v>
      </c>
      <c r="FV120" s="119" t="e">
        <f>'2.4.Функции'!H197+"BYw!&amp;tJ"</f>
        <v>#VALUE!</v>
      </c>
      <c r="FW120" s="119" t="e">
        <f>'2.4.Функции'!I197+"BYw!&amp;tK"</f>
        <v>#VALUE!</v>
      </c>
      <c r="FX120" s="119" t="e">
        <f>'2.4.Функции'!J197+"BYw!&amp;tL"</f>
        <v>#VALUE!</v>
      </c>
      <c r="FY120" s="119" t="e">
        <f>'2.4.Функции'!K197+"BYw!&amp;tM"</f>
        <v>#VALUE!</v>
      </c>
      <c r="FZ120" t="e">
        <f>'2.4.Функции'!L197+"BYw!&amp;tN"</f>
        <v>#VALUE!</v>
      </c>
      <c r="GA120" t="e">
        <f>'2.4.Функции'!M197+"BYw!&amp;tO"</f>
        <v>#VALUE!</v>
      </c>
      <c r="GB120" t="e">
        <f>'2.4.Функции'!N197+"BYw!&amp;tP"</f>
        <v>#VALUE!</v>
      </c>
      <c r="GC120" t="e">
        <f>'2.4.Функции'!O197+"BYw!&amp;tQ"</f>
        <v>#VALUE!</v>
      </c>
      <c r="GD120" t="e">
        <f>'2.4.Функции'!P197+"BYw!&amp;tR"</f>
        <v>#VALUE!</v>
      </c>
      <c r="GE120" t="e">
        <f>'2.4.Функции'!Q197+"BYw!&amp;tS"</f>
        <v>#VALUE!</v>
      </c>
      <c r="GF120" t="e">
        <f>'2.4.Функции'!R197+"BYw!&amp;tT"</f>
        <v>#VALUE!</v>
      </c>
      <c r="GG120" t="e">
        <f>'2.4.Функции'!S197+"BYw!&amp;tU"</f>
        <v>#VALUE!</v>
      </c>
      <c r="GH120" t="e">
        <f>'2.4.Функции'!T197+"BYw!&amp;tV"</f>
        <v>#VALUE!</v>
      </c>
      <c r="GI120" t="e">
        <f>'2.4.Функции'!U197+"BYw!&amp;tW"</f>
        <v>#VALUE!</v>
      </c>
      <c r="GJ120" t="e">
        <f>'2.4.Функции'!V197+"BYw!&amp;tX"</f>
        <v>#VALUE!</v>
      </c>
      <c r="GK120" t="e">
        <f>'2.4.Функции'!W197+"BYw!&amp;tY"</f>
        <v>#VALUE!</v>
      </c>
      <c r="GL120" t="e">
        <f>'2.4.Функции'!X197+"BYw!&amp;tZ"</f>
        <v>#VALUE!</v>
      </c>
      <c r="GM120" t="e">
        <f>'2.4.Функции'!Y197+"BYw!&amp;t["</f>
        <v>#VALUE!</v>
      </c>
      <c r="GN120" t="e">
        <f>'2.4.Функции'!Z197+"BYw!&amp;t\"</f>
        <v>#VALUE!</v>
      </c>
      <c r="GO120" t="e">
        <f>'2.4.Функции'!AA197+"BYw!&amp;t]"</f>
        <v>#VALUE!</v>
      </c>
      <c r="GP120" t="e">
        <f>'2.4.Функции'!AB197+"BYw!&amp;t^"</f>
        <v>#VALUE!</v>
      </c>
      <c r="GQ120" t="e">
        <f>'2.4.Функции'!AC197+"BYw!&amp;t_"</f>
        <v>#VALUE!</v>
      </c>
      <c r="GR120" s="116" t="e">
        <f>'2.4.Функции'!B198+"BYw!&amp;t`"</f>
        <v>#VALUE!</v>
      </c>
      <c r="GS120" t="e">
        <f>'2.4.Функции'!C198+"BYw!&amp;ta"</f>
        <v>#VALUE!</v>
      </c>
      <c r="GT120" s="119" t="e">
        <f>'2.4.Функции'!D198+"BYw!&amp;tb"</f>
        <v>#VALUE!</v>
      </c>
      <c r="GU120" s="119" t="e">
        <f>'2.4.Функции'!E198+"BYw!&amp;tc"</f>
        <v>#VALUE!</v>
      </c>
      <c r="GV120" s="119" t="e">
        <f>'2.4.Функции'!F198+"BYw!&amp;td"</f>
        <v>#VALUE!</v>
      </c>
      <c r="GW120" s="119" t="e">
        <f>'2.4.Функции'!G198+"BYw!&amp;te"</f>
        <v>#VALUE!</v>
      </c>
      <c r="GX120" s="119" t="e">
        <f>'2.4.Функции'!H198+"BYw!&amp;tf"</f>
        <v>#VALUE!</v>
      </c>
      <c r="GY120" s="119" t="e">
        <f>'2.4.Функции'!I198+"BYw!&amp;tg"</f>
        <v>#VALUE!</v>
      </c>
      <c r="GZ120" s="119" t="e">
        <f>'2.4.Функции'!J198+"BYw!&amp;th"</f>
        <v>#VALUE!</v>
      </c>
      <c r="HA120" s="119" t="e">
        <f>'2.4.Функции'!K198+"BYw!&amp;ti"</f>
        <v>#VALUE!</v>
      </c>
      <c r="HB120" t="e">
        <f>'2.4.Функции'!L198+"BYw!&amp;tj"</f>
        <v>#VALUE!</v>
      </c>
      <c r="HC120" t="e">
        <f>'2.4.Функции'!M198+"BYw!&amp;tk"</f>
        <v>#VALUE!</v>
      </c>
      <c r="HD120" t="e">
        <f>'2.4.Функции'!N198+"BYw!&amp;tl"</f>
        <v>#VALUE!</v>
      </c>
      <c r="HE120" t="e">
        <f>'2.4.Функции'!O198+"BYw!&amp;tm"</f>
        <v>#VALUE!</v>
      </c>
      <c r="HF120" t="e">
        <f>'2.4.Функции'!P198+"BYw!&amp;tn"</f>
        <v>#VALUE!</v>
      </c>
      <c r="HG120" t="e">
        <f>'2.4.Функции'!Q198+"BYw!&amp;to"</f>
        <v>#VALUE!</v>
      </c>
      <c r="HH120" t="e">
        <f>'2.4.Функции'!R198+"BYw!&amp;tp"</f>
        <v>#VALUE!</v>
      </c>
      <c r="HI120" t="e">
        <f>'2.4.Функции'!S198+"BYw!&amp;tq"</f>
        <v>#VALUE!</v>
      </c>
      <c r="HJ120" t="e">
        <f>'2.4.Функции'!T198+"BYw!&amp;tr"</f>
        <v>#VALUE!</v>
      </c>
      <c r="HK120" t="e">
        <f>'2.4.Функции'!U198+"BYw!&amp;ts"</f>
        <v>#VALUE!</v>
      </c>
      <c r="HL120" t="e">
        <f>'2.4.Функции'!V198+"BYw!&amp;tt"</f>
        <v>#VALUE!</v>
      </c>
      <c r="HM120" t="e">
        <f>'2.4.Функции'!W198+"BYw!&amp;tu"</f>
        <v>#VALUE!</v>
      </c>
      <c r="HN120" t="e">
        <f>'2.4.Функции'!X198+"BYw!&amp;tv"</f>
        <v>#VALUE!</v>
      </c>
      <c r="HO120" t="e">
        <f>'2.4.Функции'!Y198+"BYw!&amp;tw"</f>
        <v>#VALUE!</v>
      </c>
      <c r="HP120" t="e">
        <f>'2.4.Функции'!Z198+"BYw!&amp;tx"</f>
        <v>#VALUE!</v>
      </c>
      <c r="HQ120" t="e">
        <f>'2.4.Функции'!AA198+"BYw!&amp;ty"</f>
        <v>#VALUE!</v>
      </c>
      <c r="HR120" t="e">
        <f>'2.4.Функции'!AB198+"BYw!&amp;tz"</f>
        <v>#VALUE!</v>
      </c>
      <c r="HS120" t="e">
        <f>'2.4.Функции'!AC198+"BYw!&amp;t{"</f>
        <v>#VALUE!</v>
      </c>
      <c r="HT120" s="116" t="e">
        <f>'2.4.Функции'!B199+"BYw!&amp;t|"</f>
        <v>#VALUE!</v>
      </c>
      <c r="HU120" t="e">
        <f>'2.4.Функции'!C199+"BYw!&amp;t}"</f>
        <v>#VALUE!</v>
      </c>
      <c r="HV120" t="e">
        <f>'2.4.Функции'!D199+"BYw!&amp;t~"</f>
        <v>#VALUE!</v>
      </c>
      <c r="HW120" t="e">
        <f>'2.4.Функции'!E199+"BYw!&amp;u#"</f>
        <v>#VALUE!</v>
      </c>
      <c r="HX120" t="e">
        <f>'2.4.Функции'!F199+"BYw!&amp;u$"</f>
        <v>#VALUE!</v>
      </c>
      <c r="HY120" t="e">
        <f>'2.4.Функции'!G199+"BYw!&amp;u%"</f>
        <v>#VALUE!</v>
      </c>
      <c r="HZ120" s="119" t="e">
        <f>'2.4.Функции'!H199+"BYw!&amp;u&amp;"</f>
        <v>#VALUE!</v>
      </c>
      <c r="IA120" s="119" t="e">
        <f>'2.4.Функции'!I199+"BYw!&amp;u'"</f>
        <v>#VALUE!</v>
      </c>
      <c r="IB120" s="119" t="e">
        <f>'2.4.Функции'!J199+"BYw!&amp;u("</f>
        <v>#VALUE!</v>
      </c>
      <c r="IC120" s="119" t="e">
        <f>'2.4.Функции'!K199+"BYw!&amp;u)"</f>
        <v>#VALUE!</v>
      </c>
      <c r="ID120" t="e">
        <f>'2.4.Функции'!L199+"BYw!&amp;u."</f>
        <v>#VALUE!</v>
      </c>
      <c r="IE120" t="e">
        <f>'2.4.Функции'!M199+"BYw!&amp;u/"</f>
        <v>#VALUE!</v>
      </c>
      <c r="IF120" t="e">
        <f>'2.4.Функции'!N199+"BYw!&amp;u0"</f>
        <v>#VALUE!</v>
      </c>
      <c r="IG120" t="e">
        <f>'2.4.Функции'!O199+"BYw!&amp;u1"</f>
        <v>#VALUE!</v>
      </c>
      <c r="IH120" t="e">
        <f>'2.4.Функции'!P199+"BYw!&amp;u2"</f>
        <v>#VALUE!</v>
      </c>
      <c r="II120" t="e">
        <f>'2.4.Функции'!Q199+"BYw!&amp;u3"</f>
        <v>#VALUE!</v>
      </c>
      <c r="IJ120" t="e">
        <f>'2.4.Функции'!R199+"BYw!&amp;u4"</f>
        <v>#VALUE!</v>
      </c>
      <c r="IK120" t="e">
        <f>'2.4.Функции'!S199+"BYw!&amp;u5"</f>
        <v>#VALUE!</v>
      </c>
      <c r="IL120" t="e">
        <f>'2.4.Функции'!T199+"BYw!&amp;u6"</f>
        <v>#VALUE!</v>
      </c>
      <c r="IM120" t="e">
        <f>'2.4.Функции'!U199+"BYw!&amp;u7"</f>
        <v>#VALUE!</v>
      </c>
      <c r="IN120" t="e">
        <f>'2.4.Функции'!V199+"BYw!&amp;u8"</f>
        <v>#VALUE!</v>
      </c>
      <c r="IO120" t="e">
        <f>'2.4.Функции'!W199+"BYw!&amp;u9"</f>
        <v>#VALUE!</v>
      </c>
      <c r="IP120" t="e">
        <f>'2.4.Функции'!X199+"BYw!&amp;u:"</f>
        <v>#VALUE!</v>
      </c>
      <c r="IQ120" t="e">
        <f>'2.4.Функции'!Y199+"BYw!&amp;u;"</f>
        <v>#VALUE!</v>
      </c>
      <c r="IR120" t="e">
        <f>'2.4.Функции'!Z199+"BYw!&amp;u&lt;"</f>
        <v>#VALUE!</v>
      </c>
      <c r="IS120" t="e">
        <f>'2.4.Функции'!AA199+"BYw!&amp;u="</f>
        <v>#VALUE!</v>
      </c>
      <c r="IT120" t="e">
        <f>'2.4.Функции'!AB199+"BYw!&amp;u&gt;"</f>
        <v>#VALUE!</v>
      </c>
      <c r="IU120" t="e">
        <f>'2.4.Функции'!AC199+"BYw!&amp;u?"</f>
        <v>#VALUE!</v>
      </c>
      <c r="IV120" t="e">
        <f>'2.4.Функции'!B200+"BYw!&amp;u@"</f>
        <v>#VALUE!</v>
      </c>
    </row>
    <row r="121" spans="6:256" x14ac:dyDescent="0.2">
      <c r="F121" t="e">
        <f>'2.4.Функции'!C200+"BYw!&amp;uA"</f>
        <v>#VALUE!</v>
      </c>
      <c r="G121" t="e">
        <f>'2.4.Функции'!G200+"BYw!&amp;uB"</f>
        <v>#VALUE!</v>
      </c>
      <c r="H121" t="e">
        <f>'2.4.Функции'!L200+"BYw!&amp;uC"</f>
        <v>#VALUE!</v>
      </c>
      <c r="I121" t="e">
        <f>'2.4.Функции'!M200+"BYw!&amp;uD"</f>
        <v>#VALUE!</v>
      </c>
      <c r="J121" t="e">
        <f>'2.4.Функции'!N200+"BYw!&amp;uE"</f>
        <v>#VALUE!</v>
      </c>
      <c r="K121" t="e">
        <f>'2.4.Функции'!O200+"BYw!&amp;uF"</f>
        <v>#VALUE!</v>
      </c>
      <c r="L121" t="e">
        <f>'2.4.Функции'!P200+"BYw!&amp;uG"</f>
        <v>#VALUE!</v>
      </c>
      <c r="M121" t="e">
        <f>'2.4.Функции'!Q200+"BYw!&amp;uH"</f>
        <v>#VALUE!</v>
      </c>
      <c r="N121" t="e">
        <f>'2.4.Функции'!R200+"BYw!&amp;uI"</f>
        <v>#VALUE!</v>
      </c>
      <c r="O121" t="e">
        <f>'2.4.Функции'!S200+"BYw!&amp;uJ"</f>
        <v>#VALUE!</v>
      </c>
      <c r="P121" t="e">
        <f>'2.4.Функции'!T200+"BYw!&amp;uK"</f>
        <v>#VALUE!</v>
      </c>
      <c r="Q121" t="e">
        <f>'2.4.Функции'!U200+"BYw!&amp;uL"</f>
        <v>#VALUE!</v>
      </c>
      <c r="R121" t="e">
        <f>'2.4.Функции'!V200+"BYw!&amp;uM"</f>
        <v>#VALUE!</v>
      </c>
      <c r="S121" t="e">
        <f>'2.4.Функции'!W200+"BYw!&amp;uN"</f>
        <v>#VALUE!</v>
      </c>
      <c r="T121" t="e">
        <f>'2.4.Функции'!X200+"BYw!&amp;uO"</f>
        <v>#VALUE!</v>
      </c>
      <c r="U121" t="e">
        <f>'2.4.Функции'!Y200+"BYw!&amp;uP"</f>
        <v>#VALUE!</v>
      </c>
      <c r="V121" t="e">
        <f>'2.4.Функции'!Z200+"BYw!&amp;uQ"</f>
        <v>#VALUE!</v>
      </c>
      <c r="W121" t="e">
        <f>'2.4.Функции'!AA200+"BYw!&amp;uR"</f>
        <v>#VALUE!</v>
      </c>
      <c r="X121" t="e">
        <f>'2.4.Функции'!AB200+"BYw!&amp;uS"</f>
        <v>#VALUE!</v>
      </c>
      <c r="Y121" t="e">
        <f>'2.4.Функции'!AC200+"BYw!&amp;uT"</f>
        <v>#VALUE!</v>
      </c>
      <c r="Z121" t="e">
        <f>'2.4.Функции'!B201+"BYw!&amp;uU"</f>
        <v>#VALUE!</v>
      </c>
      <c r="AA121" t="e">
        <f>'2.4.Функции'!C201+"BYw!&amp;uV"</f>
        <v>#VALUE!</v>
      </c>
      <c r="AB121" t="e">
        <f>'2.4.Функции'!G201+"BYw!&amp;uW"</f>
        <v>#VALUE!</v>
      </c>
      <c r="AC121" t="e">
        <f>'2.4.Функции'!L201+"BYw!&amp;uX"</f>
        <v>#VALUE!</v>
      </c>
      <c r="AD121" t="e">
        <f>'2.4.Функции'!M201+"BYw!&amp;uY"</f>
        <v>#VALUE!</v>
      </c>
      <c r="AE121" t="e">
        <f>'2.4.Функции'!N201+"BYw!&amp;uZ"</f>
        <v>#VALUE!</v>
      </c>
      <c r="AF121" t="e">
        <f>'2.4.Функции'!O201+"BYw!&amp;u["</f>
        <v>#VALUE!</v>
      </c>
      <c r="AG121" t="e">
        <f>'2.4.Функции'!P201+"BYw!&amp;u\"</f>
        <v>#VALUE!</v>
      </c>
      <c r="AH121" t="e">
        <f>'2.4.Функции'!Q201+"BYw!&amp;u]"</f>
        <v>#VALUE!</v>
      </c>
      <c r="AI121" t="e">
        <f>'2.4.Функции'!R201+"BYw!&amp;u^"</f>
        <v>#VALUE!</v>
      </c>
      <c r="AJ121" t="e">
        <f>'2.4.Функции'!S201+"BYw!&amp;u_"</f>
        <v>#VALUE!</v>
      </c>
      <c r="AK121" t="e">
        <f>'2.4.Функции'!T201+"BYw!&amp;u`"</f>
        <v>#VALUE!</v>
      </c>
      <c r="AL121" t="e">
        <f>'2.4.Функции'!U201+"BYw!&amp;ua"</f>
        <v>#VALUE!</v>
      </c>
      <c r="AM121" t="e">
        <f>'2.4.Функции'!V201+"BYw!&amp;ub"</f>
        <v>#VALUE!</v>
      </c>
      <c r="AN121" t="e">
        <f>'2.4.Функции'!W201+"BYw!&amp;uc"</f>
        <v>#VALUE!</v>
      </c>
      <c r="AO121" t="e">
        <f>'2.4.Функции'!X201+"BYw!&amp;ud"</f>
        <v>#VALUE!</v>
      </c>
      <c r="AP121" t="e">
        <f>'2.4.Функции'!Y201+"BYw!&amp;ue"</f>
        <v>#VALUE!</v>
      </c>
      <c r="AQ121" t="e">
        <f>'2.4.Функции'!Z201+"BYw!&amp;uf"</f>
        <v>#VALUE!</v>
      </c>
      <c r="AR121" t="e">
        <f>'2.4.Функции'!AA201+"BYw!&amp;ug"</f>
        <v>#VALUE!</v>
      </c>
      <c r="AS121" t="e">
        <f>'2.4.Функции'!AB201+"BYw!&amp;uh"</f>
        <v>#VALUE!</v>
      </c>
      <c r="AT121" t="e">
        <f>'2.4.Функции'!AC201+"BYw!&amp;ui"</f>
        <v>#VALUE!</v>
      </c>
      <c r="AU121" t="e">
        <f>'2.4.Функции'!B202+"BYw!&amp;uj"</f>
        <v>#VALUE!</v>
      </c>
      <c r="AV121" t="e">
        <f>'2.4.Функции'!C202+"BYw!&amp;uk"</f>
        <v>#VALUE!</v>
      </c>
      <c r="AW121" t="e">
        <f>'2.4.Функции'!G202+"BYw!&amp;ul"</f>
        <v>#VALUE!</v>
      </c>
      <c r="AX121" t="e">
        <f>'2.4.Функции'!L202+"BYw!&amp;um"</f>
        <v>#VALUE!</v>
      </c>
      <c r="AY121" t="e">
        <f>'2.4.Функции'!M202+"BYw!&amp;un"</f>
        <v>#VALUE!</v>
      </c>
      <c r="AZ121" t="e">
        <f>'2.4.Функции'!N202+"BYw!&amp;uo"</f>
        <v>#VALUE!</v>
      </c>
      <c r="BA121" t="e">
        <f>'2.4.Функции'!O202+"BYw!&amp;up"</f>
        <v>#VALUE!</v>
      </c>
      <c r="BB121" t="e">
        <f>'2.4.Функции'!P202+"BYw!&amp;uq"</f>
        <v>#VALUE!</v>
      </c>
      <c r="BC121" t="e">
        <f>'2.4.Функции'!Q202+"BYw!&amp;ur"</f>
        <v>#VALUE!</v>
      </c>
      <c r="BD121" t="e">
        <f>'2.4.Функции'!R202+"BYw!&amp;us"</f>
        <v>#VALUE!</v>
      </c>
      <c r="BE121" t="e">
        <f>'2.4.Функции'!S202+"BYw!&amp;ut"</f>
        <v>#VALUE!</v>
      </c>
      <c r="BF121" t="e">
        <f>'2.4.Функции'!T202+"BYw!&amp;uu"</f>
        <v>#VALUE!</v>
      </c>
      <c r="BG121" t="e">
        <f>'2.4.Функции'!U202+"BYw!&amp;uv"</f>
        <v>#VALUE!</v>
      </c>
      <c r="BH121" t="e">
        <f>'2.4.Функции'!V202+"BYw!&amp;uw"</f>
        <v>#VALUE!</v>
      </c>
      <c r="BI121" t="e">
        <f>'2.4.Функции'!W202+"BYw!&amp;ux"</f>
        <v>#VALUE!</v>
      </c>
      <c r="BJ121" t="e">
        <f>'2.4.Функции'!X202+"BYw!&amp;uy"</f>
        <v>#VALUE!</v>
      </c>
      <c r="BK121" t="e">
        <f>'2.4.Функции'!Y202+"BYw!&amp;uz"</f>
        <v>#VALUE!</v>
      </c>
      <c r="BL121" t="e">
        <f>'2.4.Функции'!Z202+"BYw!&amp;u{"</f>
        <v>#VALUE!</v>
      </c>
      <c r="BM121" t="e">
        <f>'2.4.Функции'!AA202+"BYw!&amp;u|"</f>
        <v>#VALUE!</v>
      </c>
      <c r="BN121" t="e">
        <f>'2.4.Функции'!AB202+"BYw!&amp;u}"</f>
        <v>#VALUE!</v>
      </c>
      <c r="BO121" t="e">
        <f>'2.4.Функции'!AC202+"BYw!&amp;u~"</f>
        <v>#VALUE!</v>
      </c>
      <c r="BP121" t="e">
        <f>'2.4.Функции'!B203+"BYw!&amp;v#"</f>
        <v>#VALUE!</v>
      </c>
      <c r="BQ121" t="e">
        <f>'2.4.Функции'!C203+"BYw!&amp;v$"</f>
        <v>#VALUE!</v>
      </c>
      <c r="BR121" t="e">
        <f>'2.4.Функции'!G203+"BYw!&amp;v%"</f>
        <v>#VALUE!</v>
      </c>
      <c r="BS121" t="e">
        <f>'2.4.Функции'!L203+"BYw!&amp;v&amp;"</f>
        <v>#VALUE!</v>
      </c>
      <c r="BT121" t="e">
        <f>'2.4.Функции'!M203+"BYw!&amp;v'"</f>
        <v>#VALUE!</v>
      </c>
      <c r="BU121" t="e">
        <f>'2.4.Функции'!N203+"BYw!&amp;v("</f>
        <v>#VALUE!</v>
      </c>
      <c r="BV121" t="e">
        <f>'2.4.Функции'!O203+"BYw!&amp;v)"</f>
        <v>#VALUE!</v>
      </c>
      <c r="BW121" t="e">
        <f>'2.4.Функции'!P203+"BYw!&amp;v."</f>
        <v>#VALUE!</v>
      </c>
      <c r="BX121" t="e">
        <f>'2.4.Функции'!Q203+"BYw!&amp;v/"</f>
        <v>#VALUE!</v>
      </c>
      <c r="BY121" t="e">
        <f>'2.4.Функции'!R203+"BYw!&amp;v0"</f>
        <v>#VALUE!</v>
      </c>
      <c r="BZ121" t="e">
        <f>'2.4.Функции'!S203+"BYw!&amp;v1"</f>
        <v>#VALUE!</v>
      </c>
      <c r="CA121" t="e">
        <f>'2.4.Функции'!T203+"BYw!&amp;v2"</f>
        <v>#VALUE!</v>
      </c>
      <c r="CB121" t="e">
        <f>'2.4.Функции'!U203+"BYw!&amp;v3"</f>
        <v>#VALUE!</v>
      </c>
      <c r="CC121" t="e">
        <f>'2.4.Функции'!V203+"BYw!&amp;v4"</f>
        <v>#VALUE!</v>
      </c>
      <c r="CD121" t="e">
        <f>'2.4.Функции'!W203+"BYw!&amp;v5"</f>
        <v>#VALUE!</v>
      </c>
      <c r="CE121" t="e">
        <f>'2.4.Функции'!X203+"BYw!&amp;v6"</f>
        <v>#VALUE!</v>
      </c>
      <c r="CF121" t="e">
        <f>'2.4.Функции'!Y203+"BYw!&amp;v7"</f>
        <v>#VALUE!</v>
      </c>
      <c r="CG121" t="e">
        <f>'2.4.Функции'!Z203+"BYw!&amp;v8"</f>
        <v>#VALUE!</v>
      </c>
      <c r="CH121" t="e">
        <f>'2.4.Функции'!AA203+"BYw!&amp;v9"</f>
        <v>#VALUE!</v>
      </c>
      <c r="CI121" t="e">
        <f>'2.4.Функции'!AB203+"BYw!&amp;v:"</f>
        <v>#VALUE!</v>
      </c>
      <c r="CJ121" t="e">
        <f>'2.4.Функции'!AC203+"BYw!&amp;v;"</f>
        <v>#VALUE!</v>
      </c>
      <c r="CK121" t="e">
        <f>'2.4.Функции'!B204+"BYw!&amp;v&lt;"</f>
        <v>#VALUE!</v>
      </c>
      <c r="CL121" t="e">
        <f>'2.4.Функции'!C204+"BYw!&amp;v="</f>
        <v>#VALUE!</v>
      </c>
      <c r="CM121" t="e">
        <f>'2.4.Функции'!G204+"BYw!&amp;v&gt;"</f>
        <v>#VALUE!</v>
      </c>
      <c r="CN121" t="e">
        <f>'2.4.Функции'!L204+"BYw!&amp;v?"</f>
        <v>#VALUE!</v>
      </c>
      <c r="CO121" t="e">
        <f>'2.4.Функции'!M204+"BYw!&amp;v@"</f>
        <v>#VALUE!</v>
      </c>
      <c r="CP121" t="e">
        <f>'2.4.Функции'!N204+"BYw!&amp;vA"</f>
        <v>#VALUE!</v>
      </c>
      <c r="CQ121" t="e">
        <f>'2.4.Функции'!O204+"BYw!&amp;vB"</f>
        <v>#VALUE!</v>
      </c>
      <c r="CR121" t="e">
        <f>'2.4.Функции'!P204+"BYw!&amp;vC"</f>
        <v>#VALUE!</v>
      </c>
      <c r="CS121" t="e">
        <f>'2.4.Функции'!Q204+"BYw!&amp;vD"</f>
        <v>#VALUE!</v>
      </c>
      <c r="CT121" t="e">
        <f>'2.4.Функции'!R204+"BYw!&amp;vE"</f>
        <v>#VALUE!</v>
      </c>
      <c r="CU121" t="e">
        <f>'2.4.Функции'!S204+"BYw!&amp;vF"</f>
        <v>#VALUE!</v>
      </c>
      <c r="CV121" t="e">
        <f>'2.4.Функции'!T204+"BYw!&amp;vG"</f>
        <v>#VALUE!</v>
      </c>
      <c r="CW121" t="e">
        <f>'2.4.Функции'!U204+"BYw!&amp;vH"</f>
        <v>#VALUE!</v>
      </c>
      <c r="CX121" t="e">
        <f>'2.4.Функции'!V204+"BYw!&amp;vI"</f>
        <v>#VALUE!</v>
      </c>
      <c r="CY121" t="e">
        <f>'2.4.Функции'!W204+"BYw!&amp;vJ"</f>
        <v>#VALUE!</v>
      </c>
      <c r="CZ121" t="e">
        <f>'2.4.Функции'!X204+"BYw!&amp;vK"</f>
        <v>#VALUE!</v>
      </c>
      <c r="DA121" t="e">
        <f>'2.4.Функции'!Y204+"BYw!&amp;vL"</f>
        <v>#VALUE!</v>
      </c>
      <c r="DB121" t="e">
        <f>'2.4.Функции'!Z204+"BYw!&amp;vM"</f>
        <v>#VALUE!</v>
      </c>
      <c r="DC121" t="e">
        <f>'2.4.Функции'!AA204+"BYw!&amp;vN"</f>
        <v>#VALUE!</v>
      </c>
      <c r="DD121" t="e">
        <f>'2.4.Функции'!AB204+"BYw!&amp;vO"</f>
        <v>#VALUE!</v>
      </c>
      <c r="DE121" t="e">
        <f>'2.4.Функции'!AC204+"BYw!&amp;vP"</f>
        <v>#VALUE!</v>
      </c>
      <c r="DF121" t="e">
        <f>'2.4.Функции'!B205+"BYw!&amp;vQ"</f>
        <v>#VALUE!</v>
      </c>
      <c r="DG121" t="e">
        <f>'2.4.Функции'!C205+"BYw!&amp;vR"</f>
        <v>#VALUE!</v>
      </c>
      <c r="DH121" t="e">
        <f>'2.4.Функции'!G205+"BYw!&amp;vS"</f>
        <v>#VALUE!</v>
      </c>
      <c r="DI121" t="e">
        <f>'2.4.Функции'!L205+"BYw!&amp;vT"</f>
        <v>#VALUE!</v>
      </c>
      <c r="DJ121" t="e">
        <f>'2.4.Функции'!M205+"BYw!&amp;vU"</f>
        <v>#VALUE!</v>
      </c>
      <c r="DK121" t="e">
        <f>'2.4.Функции'!N205+"BYw!&amp;vV"</f>
        <v>#VALUE!</v>
      </c>
      <c r="DL121" t="e">
        <f>'2.4.Функции'!O205+"BYw!&amp;vW"</f>
        <v>#VALUE!</v>
      </c>
      <c r="DM121" t="e">
        <f>'2.4.Функции'!P205+"BYw!&amp;vX"</f>
        <v>#VALUE!</v>
      </c>
      <c r="DN121" t="e">
        <f>'2.4.Функции'!Q205+"BYw!&amp;vY"</f>
        <v>#VALUE!</v>
      </c>
      <c r="DO121" t="e">
        <f>'2.4.Функции'!R205+"BYw!&amp;vZ"</f>
        <v>#VALUE!</v>
      </c>
      <c r="DP121" t="e">
        <f>'2.4.Функции'!S205+"BYw!&amp;v["</f>
        <v>#VALUE!</v>
      </c>
      <c r="DQ121" t="e">
        <f>'2.4.Функции'!T205+"BYw!&amp;v\"</f>
        <v>#VALUE!</v>
      </c>
      <c r="DR121" t="e">
        <f>'2.4.Функции'!U205+"BYw!&amp;v]"</f>
        <v>#VALUE!</v>
      </c>
      <c r="DS121" t="e">
        <f>'2.4.Функции'!V205+"BYw!&amp;v^"</f>
        <v>#VALUE!</v>
      </c>
      <c r="DT121" t="e">
        <f>'2.4.Функции'!W205+"BYw!&amp;v_"</f>
        <v>#VALUE!</v>
      </c>
      <c r="DU121" t="e">
        <f>'2.4.Функции'!X205+"BYw!&amp;v`"</f>
        <v>#VALUE!</v>
      </c>
      <c r="DV121" t="e">
        <f>'2.4.Функции'!Y205+"BYw!&amp;va"</f>
        <v>#VALUE!</v>
      </c>
      <c r="DW121" t="e">
        <f>'2.4.Функции'!Z205+"BYw!&amp;vb"</f>
        <v>#VALUE!</v>
      </c>
      <c r="DX121" t="e">
        <f>'2.4.Функции'!AA205+"BYw!&amp;vc"</f>
        <v>#VALUE!</v>
      </c>
      <c r="DY121" t="e">
        <f>'2.4.Функции'!AB205+"BYw!&amp;vd"</f>
        <v>#VALUE!</v>
      </c>
      <c r="DZ121" t="e">
        <f>'2.4.Функции'!AC205+"BYw!&amp;ve"</f>
        <v>#VALUE!</v>
      </c>
      <c r="EA121" t="e">
        <f>'2.4.Функции'!B206+"BYw!&amp;vf"</f>
        <v>#VALUE!</v>
      </c>
      <c r="EB121" t="e">
        <f>'2.4.Функции'!C206+"BYw!&amp;vg"</f>
        <v>#VALUE!</v>
      </c>
      <c r="EC121" t="e">
        <f>'2.4.Функции'!G206+"BYw!&amp;vh"</f>
        <v>#VALUE!</v>
      </c>
      <c r="ED121" t="e">
        <f>'2.4.Функции'!L206+"BYw!&amp;vi"</f>
        <v>#VALUE!</v>
      </c>
      <c r="EE121" t="e">
        <f>'2.4.Функции'!M206+"BYw!&amp;vj"</f>
        <v>#VALUE!</v>
      </c>
      <c r="EF121" t="e">
        <f>'2.4.Функции'!N206+"BYw!&amp;vk"</f>
        <v>#VALUE!</v>
      </c>
      <c r="EG121" t="e">
        <f>'2.4.Функции'!O206+"BYw!&amp;vl"</f>
        <v>#VALUE!</v>
      </c>
      <c r="EH121" t="e">
        <f>'2.4.Функции'!P206+"BYw!&amp;vm"</f>
        <v>#VALUE!</v>
      </c>
      <c r="EI121" t="e">
        <f>'2.4.Функции'!Q206+"BYw!&amp;vn"</f>
        <v>#VALUE!</v>
      </c>
      <c r="EJ121" t="e">
        <f>'2.4.Функции'!R206+"BYw!&amp;vo"</f>
        <v>#VALUE!</v>
      </c>
      <c r="EK121" t="e">
        <f>'2.4.Функции'!S206+"BYw!&amp;vp"</f>
        <v>#VALUE!</v>
      </c>
      <c r="EL121" t="e">
        <f>'2.4.Функции'!T206+"BYw!&amp;vq"</f>
        <v>#VALUE!</v>
      </c>
      <c r="EM121" t="e">
        <f>'2.4.Функции'!U206+"BYw!&amp;vr"</f>
        <v>#VALUE!</v>
      </c>
      <c r="EN121" t="e">
        <f>'2.4.Функции'!V206+"BYw!&amp;vs"</f>
        <v>#VALUE!</v>
      </c>
      <c r="EO121" t="e">
        <f>'2.4.Функции'!W206+"BYw!&amp;vt"</f>
        <v>#VALUE!</v>
      </c>
      <c r="EP121" t="e">
        <f>'2.4.Функции'!X206+"BYw!&amp;vu"</f>
        <v>#VALUE!</v>
      </c>
      <c r="EQ121" t="e">
        <f>'2.4.Функции'!Y206+"BYw!&amp;vv"</f>
        <v>#VALUE!</v>
      </c>
      <c r="ER121" t="e">
        <f>'2.4.Функции'!Z206+"BYw!&amp;vw"</f>
        <v>#VALUE!</v>
      </c>
      <c r="ES121" t="e">
        <f>'2.4.Функции'!AA206+"BYw!&amp;vx"</f>
        <v>#VALUE!</v>
      </c>
      <c r="ET121" t="e">
        <f>'2.4.Функции'!AB206+"BYw!&amp;vy"</f>
        <v>#VALUE!</v>
      </c>
      <c r="EU121" t="e">
        <f>'2.4.Функции'!AC206+"BYw!&amp;vz"</f>
        <v>#VALUE!</v>
      </c>
      <c r="EV121" t="e">
        <f>'2.4.Функции'!B207+"BYw!&amp;v{"</f>
        <v>#VALUE!</v>
      </c>
      <c r="EW121" t="e">
        <f>'2.4.Функции'!C207+"BYw!&amp;v|"</f>
        <v>#VALUE!</v>
      </c>
      <c r="EX121" t="e">
        <f>'2.4.Функции'!G207+"BYw!&amp;v}"</f>
        <v>#VALUE!</v>
      </c>
      <c r="EY121" t="e">
        <f>'2.4.Функции'!L207+"BYw!&amp;v~"</f>
        <v>#VALUE!</v>
      </c>
      <c r="EZ121" t="e">
        <f>'2.4.Функции'!M207+"BYw!&amp;w#"</f>
        <v>#VALUE!</v>
      </c>
      <c r="FA121" t="e">
        <f>'2.4.Функции'!N207+"BYw!&amp;w$"</f>
        <v>#VALUE!</v>
      </c>
      <c r="FB121" t="e">
        <f>'2.4.Функции'!O207+"BYw!&amp;w%"</f>
        <v>#VALUE!</v>
      </c>
      <c r="FC121" t="e">
        <f>'2.4.Функции'!P207+"BYw!&amp;w&amp;"</f>
        <v>#VALUE!</v>
      </c>
      <c r="FD121" t="e">
        <f>'2.4.Функции'!Q207+"BYw!&amp;w'"</f>
        <v>#VALUE!</v>
      </c>
      <c r="FE121" t="e">
        <f>'2.4.Функции'!R207+"BYw!&amp;w("</f>
        <v>#VALUE!</v>
      </c>
      <c r="FF121" t="e">
        <f>'2.4.Функции'!S207+"BYw!&amp;w)"</f>
        <v>#VALUE!</v>
      </c>
      <c r="FG121" t="e">
        <f>'2.4.Функции'!T207+"BYw!&amp;w."</f>
        <v>#VALUE!</v>
      </c>
      <c r="FH121" t="e">
        <f>'2.4.Функции'!U207+"BYw!&amp;w/"</f>
        <v>#VALUE!</v>
      </c>
      <c r="FI121" t="e">
        <f>'2.4.Функции'!V207+"BYw!&amp;w0"</f>
        <v>#VALUE!</v>
      </c>
      <c r="FJ121" t="e">
        <f>'2.4.Функции'!W207+"BYw!&amp;w1"</f>
        <v>#VALUE!</v>
      </c>
      <c r="FK121" t="e">
        <f>'2.4.Функции'!X207+"BYw!&amp;w2"</f>
        <v>#VALUE!</v>
      </c>
      <c r="FL121" t="e">
        <f>'2.4.Функции'!Y207+"BYw!&amp;w3"</f>
        <v>#VALUE!</v>
      </c>
      <c r="FM121" t="e">
        <f>'2.4.Функции'!Z207+"BYw!&amp;w4"</f>
        <v>#VALUE!</v>
      </c>
      <c r="FN121" t="e">
        <f>'2.4.Функции'!AA207+"BYw!&amp;w5"</f>
        <v>#VALUE!</v>
      </c>
      <c r="FO121" t="e">
        <f>'2.4.Функции'!AB207+"BYw!&amp;w6"</f>
        <v>#VALUE!</v>
      </c>
      <c r="FP121" t="e">
        <f>'2.4.Функции'!AC207+"BYw!&amp;w7"</f>
        <v>#VALUE!</v>
      </c>
      <c r="FQ121" t="e">
        <f>'2.4.Функции'!B208+"BYw!&amp;w8"</f>
        <v>#VALUE!</v>
      </c>
      <c r="FR121" t="e">
        <f>'2.4.Функции'!C208+"BYw!&amp;w9"</f>
        <v>#VALUE!</v>
      </c>
      <c r="FS121" t="e">
        <f>'2.4.Функции'!G208+"BYw!&amp;w:"</f>
        <v>#VALUE!</v>
      </c>
      <c r="FT121" t="e">
        <f>'2.4.Функции'!L208+"BYw!&amp;w;"</f>
        <v>#VALUE!</v>
      </c>
      <c r="FU121" t="e">
        <f>'2.4.Функции'!M208+"BYw!&amp;w&lt;"</f>
        <v>#VALUE!</v>
      </c>
      <c r="FV121" t="e">
        <f>'2.4.Функции'!N208+"BYw!&amp;w="</f>
        <v>#VALUE!</v>
      </c>
      <c r="FW121" t="e">
        <f>'2.4.Функции'!O208+"BYw!&amp;w&gt;"</f>
        <v>#VALUE!</v>
      </c>
      <c r="FX121" t="e">
        <f>'2.4.Функции'!P208+"BYw!&amp;w?"</f>
        <v>#VALUE!</v>
      </c>
      <c r="FY121" t="e">
        <f>'2.4.Функции'!Q208+"BYw!&amp;w@"</f>
        <v>#VALUE!</v>
      </c>
      <c r="FZ121" t="e">
        <f>'2.4.Функции'!R208+"BYw!&amp;wA"</f>
        <v>#VALUE!</v>
      </c>
      <c r="GA121" t="e">
        <f>'2.4.Функции'!S208+"BYw!&amp;wB"</f>
        <v>#VALUE!</v>
      </c>
      <c r="GB121" t="e">
        <f>'2.4.Функции'!T208+"BYw!&amp;wC"</f>
        <v>#VALUE!</v>
      </c>
      <c r="GC121" t="e">
        <f>'2.4.Функции'!U208+"BYw!&amp;wD"</f>
        <v>#VALUE!</v>
      </c>
      <c r="GD121" t="e">
        <f>'2.4.Функции'!V208+"BYw!&amp;wE"</f>
        <v>#VALUE!</v>
      </c>
      <c r="GE121" t="e">
        <f>'2.4.Функции'!W208+"BYw!&amp;wF"</f>
        <v>#VALUE!</v>
      </c>
      <c r="GF121" t="e">
        <f>'2.4.Функции'!X208+"BYw!&amp;wG"</f>
        <v>#VALUE!</v>
      </c>
      <c r="GG121" t="e">
        <f>'2.4.Функции'!Y208+"BYw!&amp;wH"</f>
        <v>#VALUE!</v>
      </c>
      <c r="GH121" t="e">
        <f>'2.4.Функции'!Z208+"BYw!&amp;wI"</f>
        <v>#VALUE!</v>
      </c>
      <c r="GI121" t="e">
        <f>'2.4.Функции'!AA208+"BYw!&amp;wJ"</f>
        <v>#VALUE!</v>
      </c>
      <c r="GJ121" t="e">
        <f>'2.4.Функции'!AB208+"BYw!&amp;wK"</f>
        <v>#VALUE!</v>
      </c>
      <c r="GK121" t="e">
        <f>'2.4.Функции'!AC208+"BYw!&amp;wL"</f>
        <v>#VALUE!</v>
      </c>
      <c r="GL121" t="e">
        <f>'2.4.Функции'!B209+"BYw!&amp;wM"</f>
        <v>#VALUE!</v>
      </c>
      <c r="GM121" t="e">
        <f>'2.4.Функции'!C209+"BYw!&amp;wN"</f>
        <v>#VALUE!</v>
      </c>
      <c r="GN121" t="e">
        <f>'2.4.Функции'!G209+"BYw!&amp;wO"</f>
        <v>#VALUE!</v>
      </c>
      <c r="GO121" t="e">
        <f>'2.4.Функции'!L209+"BYw!&amp;wP"</f>
        <v>#VALUE!</v>
      </c>
      <c r="GP121" t="e">
        <f>'2.4.Функции'!M209+"BYw!&amp;wQ"</f>
        <v>#VALUE!</v>
      </c>
      <c r="GQ121" t="e">
        <f>'2.4.Функции'!N209+"BYw!&amp;wR"</f>
        <v>#VALUE!</v>
      </c>
      <c r="GR121" t="e">
        <f>'2.4.Функции'!O209+"BYw!&amp;wS"</f>
        <v>#VALUE!</v>
      </c>
      <c r="GS121" t="e">
        <f>'2.4.Функции'!P209+"BYw!&amp;wT"</f>
        <v>#VALUE!</v>
      </c>
      <c r="GT121" t="e">
        <f>'2.4.Функции'!Q209+"BYw!&amp;wU"</f>
        <v>#VALUE!</v>
      </c>
      <c r="GU121" t="e">
        <f>'2.4.Функции'!R209+"BYw!&amp;wV"</f>
        <v>#VALUE!</v>
      </c>
      <c r="GV121" t="e">
        <f>'2.4.Функции'!S209+"BYw!&amp;wW"</f>
        <v>#VALUE!</v>
      </c>
      <c r="GW121" t="e">
        <f>'2.4.Функции'!T209+"BYw!&amp;wX"</f>
        <v>#VALUE!</v>
      </c>
      <c r="GX121" t="e">
        <f>'2.4.Функции'!U209+"BYw!&amp;wY"</f>
        <v>#VALUE!</v>
      </c>
      <c r="GY121" t="e">
        <f>'2.4.Функции'!V209+"BYw!&amp;wZ"</f>
        <v>#VALUE!</v>
      </c>
      <c r="GZ121" t="e">
        <f>'2.4.Функции'!W209+"BYw!&amp;w["</f>
        <v>#VALUE!</v>
      </c>
      <c r="HA121" t="e">
        <f>'2.4.Функции'!X209+"BYw!&amp;w\"</f>
        <v>#VALUE!</v>
      </c>
      <c r="HB121" t="e">
        <f>'2.4.Функции'!Y209+"BYw!&amp;w]"</f>
        <v>#VALUE!</v>
      </c>
      <c r="HC121" t="e">
        <f>'2.4.Функции'!Z209+"BYw!&amp;w^"</f>
        <v>#VALUE!</v>
      </c>
      <c r="HD121" t="e">
        <f>'2.4.Функции'!AA209+"BYw!&amp;w_"</f>
        <v>#VALUE!</v>
      </c>
      <c r="HE121" t="e">
        <f>'2.4.Функции'!AB209+"BYw!&amp;w`"</f>
        <v>#VALUE!</v>
      </c>
      <c r="HF121" t="e">
        <f>'2.4.Функции'!AC209+"BYw!&amp;wa"</f>
        <v>#VALUE!</v>
      </c>
      <c r="HG121" t="e">
        <f>'2.4.Функции'!B210+"BYw!&amp;wb"</f>
        <v>#VALUE!</v>
      </c>
      <c r="HH121" t="e">
        <f>'2.4.Функции'!C210+"BYw!&amp;wc"</f>
        <v>#VALUE!</v>
      </c>
      <c r="HI121" t="e">
        <f>'2.4.Функции'!G210+"BYw!&amp;wd"</f>
        <v>#VALUE!</v>
      </c>
      <c r="HJ121" t="e">
        <f>'2.4.Функции'!K210+"BYw!&amp;we"</f>
        <v>#VALUE!</v>
      </c>
      <c r="HK121" t="e">
        <f>'2.4.Функции'!L210+"BYw!&amp;wf"</f>
        <v>#VALUE!</v>
      </c>
      <c r="HL121" t="e">
        <f>'2.4.Функции'!M210+"BYw!&amp;wg"</f>
        <v>#VALUE!</v>
      </c>
      <c r="HM121" t="e">
        <f>'2.4.Функции'!N210+"BYw!&amp;wh"</f>
        <v>#VALUE!</v>
      </c>
      <c r="HN121" t="e">
        <f>'2.4.Функции'!O210+"BYw!&amp;wi"</f>
        <v>#VALUE!</v>
      </c>
      <c r="HO121" t="e">
        <f>'2.4.Функции'!P210+"BYw!&amp;wj"</f>
        <v>#VALUE!</v>
      </c>
      <c r="HP121" t="e">
        <f>'2.4.Функции'!Q210+"BYw!&amp;wk"</f>
        <v>#VALUE!</v>
      </c>
      <c r="HQ121" t="e">
        <f>'2.4.Функции'!R210+"BYw!&amp;wl"</f>
        <v>#VALUE!</v>
      </c>
      <c r="HR121" t="e">
        <f>'2.4.Функции'!S210+"BYw!&amp;wm"</f>
        <v>#VALUE!</v>
      </c>
      <c r="HS121" t="e">
        <f>'2.4.Функции'!T210+"BYw!&amp;wn"</f>
        <v>#VALUE!</v>
      </c>
      <c r="HT121" t="e">
        <f>'2.4.Функции'!U210+"BYw!&amp;wo"</f>
        <v>#VALUE!</v>
      </c>
      <c r="HU121" t="e">
        <f>'2.4.Функции'!V210+"BYw!&amp;wp"</f>
        <v>#VALUE!</v>
      </c>
      <c r="HV121" t="e">
        <f>'2.4.Функции'!W210+"BYw!&amp;wq"</f>
        <v>#VALUE!</v>
      </c>
      <c r="HW121" t="e">
        <f>'2.4.Функции'!X210+"BYw!&amp;wr"</f>
        <v>#VALUE!</v>
      </c>
      <c r="HX121" t="e">
        <f>'2.4.Функции'!Y210+"BYw!&amp;ws"</f>
        <v>#VALUE!</v>
      </c>
      <c r="HY121" t="e">
        <f>'2.4.Функции'!Z210+"BYw!&amp;wt"</f>
        <v>#VALUE!</v>
      </c>
      <c r="HZ121" t="e">
        <f>'2.4.Функции'!AA210+"BYw!&amp;wu"</f>
        <v>#VALUE!</v>
      </c>
      <c r="IA121" t="e">
        <f>'2.4.Функции'!AB210+"BYw!&amp;wv"</f>
        <v>#VALUE!</v>
      </c>
      <c r="IB121" t="e">
        <f>'2.4.Функции'!AC210+"BYw!&amp;ww"</f>
        <v>#VALUE!</v>
      </c>
      <c r="IC121" t="e">
        <f>'2.4.Функции'!AID210+"BYw!&amp;wx"</f>
        <v>#VALUE!</v>
      </c>
      <c r="ID121" t="e">
        <f>'2.4.Функции'!AIE210+"BYw!&amp;wy"</f>
        <v>#VALUE!</v>
      </c>
      <c r="IE121" t="e">
        <f>'2.4.Функции'!AIF210+"BYw!&amp;wz"</f>
        <v>#VALUE!</v>
      </c>
      <c r="IF121" t="e">
        <f>'2.4.Функции'!AIG210+"BYw!&amp;w{"</f>
        <v>#VALUE!</v>
      </c>
      <c r="IG121" t="e">
        <f>'2.4.Функции'!AIH210+"BYw!&amp;w|"</f>
        <v>#VALUE!</v>
      </c>
      <c r="IH121" t="e">
        <f>'2.4.Функции'!B211+"BYw!&amp;w}"</f>
        <v>#VALUE!</v>
      </c>
      <c r="II121" t="e">
        <f>'2.4.Функции'!C211+"BYw!&amp;w~"</f>
        <v>#VALUE!</v>
      </c>
      <c r="IJ121" t="e">
        <f>'2.4.Функции'!G211+"BYw!&amp;x#"</f>
        <v>#VALUE!</v>
      </c>
      <c r="IK121" t="e">
        <f>'2.4.Функции'!K211+"BYw!&amp;x$"</f>
        <v>#VALUE!</v>
      </c>
      <c r="IL121" t="e">
        <f>'2.4.Функции'!L211+"BYw!&amp;x%"</f>
        <v>#VALUE!</v>
      </c>
      <c r="IM121" t="e">
        <f>'2.4.Функции'!M211+"BYw!&amp;x&amp;"</f>
        <v>#VALUE!</v>
      </c>
      <c r="IN121" t="e">
        <f>'2.4.Функции'!N211+"BYw!&amp;x'"</f>
        <v>#VALUE!</v>
      </c>
      <c r="IO121" t="e">
        <f>'2.4.Функции'!O211+"BYw!&amp;x("</f>
        <v>#VALUE!</v>
      </c>
      <c r="IP121" t="e">
        <f>'2.4.Функции'!P211+"BYw!&amp;x)"</f>
        <v>#VALUE!</v>
      </c>
      <c r="IQ121" t="e">
        <f>'2.4.Функции'!Q211+"BYw!&amp;x."</f>
        <v>#VALUE!</v>
      </c>
      <c r="IR121" t="e">
        <f>'2.4.Функции'!R211+"BYw!&amp;x/"</f>
        <v>#VALUE!</v>
      </c>
      <c r="IS121" t="e">
        <f>'2.4.Функции'!S211+"BYw!&amp;x0"</f>
        <v>#VALUE!</v>
      </c>
      <c r="IT121" t="e">
        <f>'2.4.Функции'!T211+"BYw!&amp;x1"</f>
        <v>#VALUE!</v>
      </c>
      <c r="IU121" t="e">
        <f>'2.4.Функции'!U211+"BYw!&amp;x2"</f>
        <v>#VALUE!</v>
      </c>
      <c r="IV121" t="e">
        <f>'2.4.Функции'!V211+"BYw!&amp;x3"</f>
        <v>#VALUE!</v>
      </c>
    </row>
    <row r="122" spans="6:256" x14ac:dyDescent="0.2">
      <c r="F122" t="e">
        <f>'2.4.Функции'!W211+"BYw!&amp;x4"</f>
        <v>#VALUE!</v>
      </c>
      <c r="G122" t="e">
        <f>'2.4.Функции'!X211+"BYw!&amp;x5"</f>
        <v>#VALUE!</v>
      </c>
      <c r="H122" t="e">
        <f>'2.4.Функции'!Y211+"BYw!&amp;x6"</f>
        <v>#VALUE!</v>
      </c>
      <c r="I122" t="e">
        <f>'2.4.Функции'!Z211+"BYw!&amp;x7"</f>
        <v>#VALUE!</v>
      </c>
      <c r="J122" t="e">
        <f>'2.4.Функции'!AA211+"BYw!&amp;x8"</f>
        <v>#VALUE!</v>
      </c>
      <c r="K122" t="e">
        <f>'2.4.Функции'!AB211+"BYw!&amp;x9"</f>
        <v>#VALUE!</v>
      </c>
      <c r="L122" t="e">
        <f>'2.4.Функции'!AC211+"BYw!&amp;x:"</f>
        <v>#VALUE!</v>
      </c>
      <c r="M122" t="e">
        <f>'2.4.Функции'!AID211+"BYw!&amp;x;"</f>
        <v>#VALUE!</v>
      </c>
      <c r="N122" t="e">
        <f>'2.4.Функции'!AIE211+"BYw!&amp;x&lt;"</f>
        <v>#VALUE!</v>
      </c>
      <c r="O122" t="e">
        <f>'2.4.Функции'!AIF211+"BYw!&amp;x="</f>
        <v>#VALUE!</v>
      </c>
      <c r="P122" t="e">
        <f>'2.4.Функции'!AIG211+"BYw!&amp;x&gt;"</f>
        <v>#VALUE!</v>
      </c>
      <c r="Q122" t="e">
        <f>'2.4.Функции'!AIH211+"BYw!&amp;x?"</f>
        <v>#VALUE!</v>
      </c>
      <c r="R122" t="e">
        <f>'2.4.Функции'!B212+"BYw!&amp;x@"</f>
        <v>#VALUE!</v>
      </c>
      <c r="S122" t="e">
        <f>'2.4.Функции'!C212+"BYw!&amp;xA"</f>
        <v>#VALUE!</v>
      </c>
      <c r="T122" t="e">
        <f>'2.4.Функции'!G212+"BYw!&amp;xB"</f>
        <v>#VALUE!</v>
      </c>
      <c r="U122" t="e">
        <f>'2.4.Функции'!K212+"BYw!&amp;xC"</f>
        <v>#VALUE!</v>
      </c>
      <c r="V122" t="e">
        <f>'2.4.Функции'!L212+"BYw!&amp;xD"</f>
        <v>#VALUE!</v>
      </c>
      <c r="W122" t="e">
        <f>'2.4.Функции'!M212+"BYw!&amp;xE"</f>
        <v>#VALUE!</v>
      </c>
      <c r="X122" t="e">
        <f>'2.4.Функции'!N212+"BYw!&amp;xF"</f>
        <v>#VALUE!</v>
      </c>
      <c r="Y122" t="e">
        <f>'2.4.Функции'!O212+"BYw!&amp;xG"</f>
        <v>#VALUE!</v>
      </c>
      <c r="Z122" t="e">
        <f>'2.4.Функции'!P212+"BYw!&amp;xH"</f>
        <v>#VALUE!</v>
      </c>
      <c r="AA122" t="e">
        <f>'2.4.Функции'!Q212+"BYw!&amp;xI"</f>
        <v>#VALUE!</v>
      </c>
      <c r="AB122" t="e">
        <f>'2.4.Функции'!R212+"BYw!&amp;xJ"</f>
        <v>#VALUE!</v>
      </c>
      <c r="AC122" t="e">
        <f>'2.4.Функции'!S212+"BYw!&amp;xK"</f>
        <v>#VALUE!</v>
      </c>
      <c r="AD122" t="e">
        <f>'2.4.Функции'!T212+"BYw!&amp;xL"</f>
        <v>#VALUE!</v>
      </c>
      <c r="AE122" t="e">
        <f>'2.4.Функции'!U212+"BYw!&amp;xM"</f>
        <v>#VALUE!</v>
      </c>
      <c r="AF122" t="e">
        <f>'2.4.Функции'!V212+"BYw!&amp;xN"</f>
        <v>#VALUE!</v>
      </c>
      <c r="AG122" t="e">
        <f>'2.4.Функции'!W212+"BYw!&amp;xO"</f>
        <v>#VALUE!</v>
      </c>
      <c r="AH122" t="e">
        <f>'2.4.Функции'!X212+"BYw!&amp;xP"</f>
        <v>#VALUE!</v>
      </c>
      <c r="AI122" t="e">
        <f>'2.4.Функции'!Y212+"BYw!&amp;xQ"</f>
        <v>#VALUE!</v>
      </c>
      <c r="AJ122" t="e">
        <f>'2.4.Функции'!Z212+"BYw!&amp;xR"</f>
        <v>#VALUE!</v>
      </c>
      <c r="AK122" t="e">
        <f>'2.4.Функции'!AA212+"BYw!&amp;xS"</f>
        <v>#VALUE!</v>
      </c>
      <c r="AL122" t="e">
        <f>'2.4.Функции'!AB212+"BYw!&amp;xT"</f>
        <v>#VALUE!</v>
      </c>
      <c r="AM122" t="e">
        <f>'2.4.Функции'!AC212+"BYw!&amp;xU"</f>
        <v>#VALUE!</v>
      </c>
      <c r="AN122" t="e">
        <f>'2.4.Функции'!AID212+"BYw!&amp;xV"</f>
        <v>#VALUE!</v>
      </c>
      <c r="AO122" t="e">
        <f>'2.4.Функции'!AIE212+"BYw!&amp;xW"</f>
        <v>#VALUE!</v>
      </c>
      <c r="AP122" t="e">
        <f>'2.4.Функции'!AIF212+"BYw!&amp;xX"</f>
        <v>#VALUE!</v>
      </c>
      <c r="AQ122" t="e">
        <f>'2.4.Функции'!AIG212+"BYw!&amp;xY"</f>
        <v>#VALUE!</v>
      </c>
      <c r="AR122" t="e">
        <f>'2.4.Функции'!AIH212+"BYw!&amp;xZ"</f>
        <v>#VALUE!</v>
      </c>
      <c r="AS122" t="e">
        <f>'2.4.Функции'!B213+"BYw!&amp;x["</f>
        <v>#VALUE!</v>
      </c>
      <c r="AT122" t="e">
        <f>'2.4.Функции'!C213+"BYw!&amp;x\"</f>
        <v>#VALUE!</v>
      </c>
      <c r="AU122" t="e">
        <f>'2.4.Функции'!G213+"BYw!&amp;x]"</f>
        <v>#VALUE!</v>
      </c>
      <c r="AV122" t="e">
        <f>'2.4.Функции'!K213+"BYw!&amp;x^"</f>
        <v>#VALUE!</v>
      </c>
      <c r="AW122" t="e">
        <f>'2.4.Функции'!L213+"BYw!&amp;x_"</f>
        <v>#VALUE!</v>
      </c>
      <c r="AX122" t="e">
        <f>'2.4.Функции'!M213+"BYw!&amp;x`"</f>
        <v>#VALUE!</v>
      </c>
      <c r="AY122" t="e">
        <f>'2.4.Функции'!N213+"BYw!&amp;xa"</f>
        <v>#VALUE!</v>
      </c>
      <c r="AZ122" t="e">
        <f>'2.4.Функции'!O213+"BYw!&amp;xb"</f>
        <v>#VALUE!</v>
      </c>
      <c r="BA122" t="e">
        <f>'2.4.Функции'!P213+"BYw!&amp;xc"</f>
        <v>#VALUE!</v>
      </c>
      <c r="BB122" t="e">
        <f>'2.4.Функции'!Q213+"BYw!&amp;xd"</f>
        <v>#VALUE!</v>
      </c>
      <c r="BC122" t="e">
        <f>'2.4.Функции'!R213+"BYw!&amp;xe"</f>
        <v>#VALUE!</v>
      </c>
      <c r="BD122" t="e">
        <f>'2.4.Функции'!S213+"BYw!&amp;xf"</f>
        <v>#VALUE!</v>
      </c>
      <c r="BE122" t="e">
        <f>'2.4.Функции'!T213+"BYw!&amp;xg"</f>
        <v>#VALUE!</v>
      </c>
      <c r="BF122" t="e">
        <f>'2.4.Функции'!U213+"BYw!&amp;xh"</f>
        <v>#VALUE!</v>
      </c>
      <c r="BG122" t="e">
        <f>'2.4.Функции'!V213+"BYw!&amp;xi"</f>
        <v>#VALUE!</v>
      </c>
      <c r="BH122" t="e">
        <f>'2.4.Функции'!W213+"BYw!&amp;xj"</f>
        <v>#VALUE!</v>
      </c>
      <c r="BI122" t="e">
        <f>'2.4.Функции'!X213+"BYw!&amp;xk"</f>
        <v>#VALUE!</v>
      </c>
      <c r="BJ122" t="e">
        <f>'2.4.Функции'!Y213+"BYw!&amp;xl"</f>
        <v>#VALUE!</v>
      </c>
      <c r="BK122" t="e">
        <f>'2.4.Функции'!Z213+"BYw!&amp;xm"</f>
        <v>#VALUE!</v>
      </c>
      <c r="BL122" t="e">
        <f>'2.4.Функции'!AA213+"BYw!&amp;xn"</f>
        <v>#VALUE!</v>
      </c>
      <c r="BM122" t="e">
        <f>'2.4.Функции'!AB213+"BYw!&amp;xo"</f>
        <v>#VALUE!</v>
      </c>
      <c r="BN122" t="e">
        <f>'2.4.Функции'!AC213+"BYw!&amp;xp"</f>
        <v>#VALUE!</v>
      </c>
      <c r="BO122" t="e">
        <f>'2.4.Функции'!AID213+"BYw!&amp;xq"</f>
        <v>#VALUE!</v>
      </c>
      <c r="BP122" t="e">
        <f>'2.4.Функции'!AIE213+"BYw!&amp;xr"</f>
        <v>#VALUE!</v>
      </c>
      <c r="BQ122" t="e">
        <f>'2.4.Функции'!AIF213+"BYw!&amp;xs"</f>
        <v>#VALUE!</v>
      </c>
      <c r="BR122" t="e">
        <f>'2.4.Функции'!AIG213+"BYw!&amp;xt"</f>
        <v>#VALUE!</v>
      </c>
      <c r="BS122" t="e">
        <f>'2.4.Функции'!AIH213+"BYw!&amp;xu"</f>
        <v>#VALUE!</v>
      </c>
      <c r="BT122" t="e">
        <f>'2.4.Функции'!B214+"BYw!&amp;xv"</f>
        <v>#VALUE!</v>
      </c>
      <c r="BU122" t="e">
        <f>'2.4.Функции'!C214+"BYw!&amp;xw"</f>
        <v>#VALUE!</v>
      </c>
      <c r="BV122" t="e">
        <f>'2.4.Функции'!G214+"BYw!&amp;xx"</f>
        <v>#VALUE!</v>
      </c>
      <c r="BW122" t="e">
        <f>'2.4.Функции'!K214+"BYw!&amp;xy"</f>
        <v>#VALUE!</v>
      </c>
      <c r="BX122" t="e">
        <f>'2.4.Функции'!L214+"BYw!&amp;xz"</f>
        <v>#VALUE!</v>
      </c>
      <c r="BY122" t="e">
        <f>'2.4.Функции'!M214+"BYw!&amp;x{"</f>
        <v>#VALUE!</v>
      </c>
      <c r="BZ122" t="e">
        <f>'2.4.Функции'!N214+"BYw!&amp;x|"</f>
        <v>#VALUE!</v>
      </c>
      <c r="CA122" t="e">
        <f>'2.4.Функции'!O214+"BYw!&amp;x}"</f>
        <v>#VALUE!</v>
      </c>
      <c r="CB122" t="e">
        <f>'2.4.Функции'!P214+"BYw!&amp;x~"</f>
        <v>#VALUE!</v>
      </c>
      <c r="CC122" t="e">
        <f>'2.4.Функции'!Q214+"BYw!&amp;y#"</f>
        <v>#VALUE!</v>
      </c>
      <c r="CD122" t="e">
        <f>'2.4.Функции'!R214+"BYw!&amp;y$"</f>
        <v>#VALUE!</v>
      </c>
      <c r="CE122" t="e">
        <f>'2.4.Функции'!S214+"BYw!&amp;y%"</f>
        <v>#VALUE!</v>
      </c>
      <c r="CF122" t="e">
        <f>'2.4.Функции'!T214+"BYw!&amp;y&amp;"</f>
        <v>#VALUE!</v>
      </c>
      <c r="CG122" t="e">
        <f>'2.4.Функции'!U214+"BYw!&amp;y'"</f>
        <v>#VALUE!</v>
      </c>
      <c r="CH122" t="e">
        <f>'2.4.Функции'!V214+"BYw!&amp;y("</f>
        <v>#VALUE!</v>
      </c>
      <c r="CI122" t="e">
        <f>'2.4.Функции'!W214+"BYw!&amp;y)"</f>
        <v>#VALUE!</v>
      </c>
      <c r="CJ122" t="e">
        <f>'2.4.Функции'!X214+"BYw!&amp;y."</f>
        <v>#VALUE!</v>
      </c>
      <c r="CK122" t="e">
        <f>'2.4.Функции'!Y214+"BYw!&amp;y/"</f>
        <v>#VALUE!</v>
      </c>
      <c r="CL122" t="e">
        <f>'2.4.Функции'!Z214+"BYw!&amp;y0"</f>
        <v>#VALUE!</v>
      </c>
      <c r="CM122" t="e">
        <f>'2.4.Функции'!AA214+"BYw!&amp;y1"</f>
        <v>#VALUE!</v>
      </c>
      <c r="CN122" t="e">
        <f>'2.4.Функции'!AB214+"BYw!&amp;y2"</f>
        <v>#VALUE!</v>
      </c>
      <c r="CO122" t="e">
        <f>'2.4.Функции'!AC214+"BYw!&amp;y3"</f>
        <v>#VALUE!</v>
      </c>
      <c r="CP122" t="e">
        <f>'2.4.Функции'!AID214+"BYw!&amp;y4"</f>
        <v>#VALUE!</v>
      </c>
      <c r="CQ122" t="e">
        <f>'2.4.Функции'!AIE214+"BYw!&amp;y5"</f>
        <v>#VALUE!</v>
      </c>
      <c r="CR122" t="e">
        <f>'2.4.Функции'!AIF214+"BYw!&amp;y6"</f>
        <v>#VALUE!</v>
      </c>
      <c r="CS122" t="e">
        <f>'2.4.Функции'!AIG214+"BYw!&amp;y7"</f>
        <v>#VALUE!</v>
      </c>
      <c r="CT122" t="e">
        <f>'2.4.Функции'!AIH214+"BYw!&amp;y8"</f>
        <v>#VALUE!</v>
      </c>
      <c r="CU122" t="e">
        <f>'2.4.Функции'!B215+"BYw!&amp;y9"</f>
        <v>#VALUE!</v>
      </c>
      <c r="CV122" t="e">
        <f>'2.4.Функции'!C215+"BYw!&amp;y:"</f>
        <v>#VALUE!</v>
      </c>
      <c r="CW122" t="e">
        <f>'2.4.Функции'!G215+"BYw!&amp;y;"</f>
        <v>#VALUE!</v>
      </c>
      <c r="CX122" t="e">
        <f>'2.4.Функции'!K215+"BYw!&amp;y&lt;"</f>
        <v>#VALUE!</v>
      </c>
      <c r="CY122" t="e">
        <f>'2.4.Функции'!L215+"BYw!&amp;y="</f>
        <v>#VALUE!</v>
      </c>
      <c r="CZ122" t="e">
        <f>'2.4.Функции'!M215+"BYw!&amp;y&gt;"</f>
        <v>#VALUE!</v>
      </c>
      <c r="DA122" t="e">
        <f>'2.4.Функции'!N215+"BYw!&amp;y?"</f>
        <v>#VALUE!</v>
      </c>
      <c r="DB122" t="e">
        <f>'2.4.Функции'!O215+"BYw!&amp;y@"</f>
        <v>#VALUE!</v>
      </c>
      <c r="DC122" t="e">
        <f>'2.4.Функции'!P215+"BYw!&amp;yA"</f>
        <v>#VALUE!</v>
      </c>
      <c r="DD122" t="e">
        <f>'2.4.Функции'!Q215+"BYw!&amp;yB"</f>
        <v>#VALUE!</v>
      </c>
      <c r="DE122" t="e">
        <f>'2.4.Функции'!R215+"BYw!&amp;yC"</f>
        <v>#VALUE!</v>
      </c>
      <c r="DF122" t="e">
        <f>'2.4.Функции'!S215+"BYw!&amp;yD"</f>
        <v>#VALUE!</v>
      </c>
      <c r="DG122" t="e">
        <f>'2.4.Функции'!T215+"BYw!&amp;yE"</f>
        <v>#VALUE!</v>
      </c>
      <c r="DH122" t="e">
        <f>'2.4.Функции'!U215+"BYw!&amp;yF"</f>
        <v>#VALUE!</v>
      </c>
      <c r="DI122" t="e">
        <f>'2.4.Функции'!V215+"BYw!&amp;yG"</f>
        <v>#VALUE!</v>
      </c>
      <c r="DJ122" t="e">
        <f>'2.4.Функции'!W215+"BYw!&amp;yH"</f>
        <v>#VALUE!</v>
      </c>
      <c r="DK122" t="e">
        <f>'2.4.Функции'!X215+"BYw!&amp;yI"</f>
        <v>#VALUE!</v>
      </c>
      <c r="DL122" t="e">
        <f>'2.4.Функции'!Y215+"BYw!&amp;yJ"</f>
        <v>#VALUE!</v>
      </c>
      <c r="DM122" t="e">
        <f>'2.4.Функции'!Z215+"BYw!&amp;yK"</f>
        <v>#VALUE!</v>
      </c>
      <c r="DN122" t="e">
        <f>'2.4.Функции'!AA215+"BYw!&amp;yL"</f>
        <v>#VALUE!</v>
      </c>
      <c r="DO122" t="e">
        <f>'2.4.Функции'!AB215+"BYw!&amp;yM"</f>
        <v>#VALUE!</v>
      </c>
      <c r="DP122" t="e">
        <f>'2.4.Функции'!AC215+"BYw!&amp;yN"</f>
        <v>#VALUE!</v>
      </c>
      <c r="DQ122" t="e">
        <f>'2.4.Функции'!AID215+"BYw!&amp;yO"</f>
        <v>#VALUE!</v>
      </c>
      <c r="DR122" t="e">
        <f>'2.4.Функции'!AIE215+"BYw!&amp;yP"</f>
        <v>#VALUE!</v>
      </c>
      <c r="DS122" t="e">
        <f>'2.4.Функции'!AIF215+"BYw!&amp;yQ"</f>
        <v>#VALUE!</v>
      </c>
      <c r="DT122" t="e">
        <f>'2.4.Функции'!AIG215+"BYw!&amp;yR"</f>
        <v>#VALUE!</v>
      </c>
      <c r="DU122" t="e">
        <f>'2.4.Функции'!AIH215+"BYw!&amp;yS"</f>
        <v>#VALUE!</v>
      </c>
      <c r="DV122" t="e">
        <f>'2.4.Функции'!B216+"BYw!&amp;yT"</f>
        <v>#VALUE!</v>
      </c>
      <c r="DW122" t="e">
        <f>'2.4.Функции'!C216+"BYw!&amp;yU"</f>
        <v>#VALUE!</v>
      </c>
      <c r="DX122" t="e">
        <f>'2.4.Функции'!G216+"BYw!&amp;yV"</f>
        <v>#VALUE!</v>
      </c>
      <c r="DY122" t="e">
        <f>'2.4.Функции'!K216+"BYw!&amp;yW"</f>
        <v>#VALUE!</v>
      </c>
      <c r="DZ122" t="e">
        <f>'2.4.Функции'!L216+"BYw!&amp;yX"</f>
        <v>#VALUE!</v>
      </c>
      <c r="EA122" t="e">
        <f>'2.4.Функции'!M216+"BYw!&amp;yY"</f>
        <v>#VALUE!</v>
      </c>
      <c r="EB122" t="e">
        <f>'2.4.Функции'!N216+"BYw!&amp;yZ"</f>
        <v>#VALUE!</v>
      </c>
      <c r="EC122" t="e">
        <f>'2.4.Функции'!O216+"BYw!&amp;y["</f>
        <v>#VALUE!</v>
      </c>
      <c r="ED122" t="e">
        <f>'2.4.Функции'!P216+"BYw!&amp;y\"</f>
        <v>#VALUE!</v>
      </c>
      <c r="EE122" t="e">
        <f>'2.4.Функции'!Q216+"BYw!&amp;y]"</f>
        <v>#VALUE!</v>
      </c>
      <c r="EF122" t="e">
        <f>'2.4.Функции'!R216+"BYw!&amp;y^"</f>
        <v>#VALUE!</v>
      </c>
      <c r="EG122" t="e">
        <f>'2.4.Функции'!S216+"BYw!&amp;y_"</f>
        <v>#VALUE!</v>
      </c>
      <c r="EH122" t="e">
        <f>'2.4.Функции'!T216+"BYw!&amp;y`"</f>
        <v>#VALUE!</v>
      </c>
      <c r="EI122" t="e">
        <f>'2.4.Функции'!U216+"BYw!&amp;ya"</f>
        <v>#VALUE!</v>
      </c>
      <c r="EJ122" t="e">
        <f>'2.4.Функции'!V216+"BYw!&amp;yb"</f>
        <v>#VALUE!</v>
      </c>
      <c r="EK122" t="e">
        <f>'2.4.Функции'!W216+"BYw!&amp;yc"</f>
        <v>#VALUE!</v>
      </c>
      <c r="EL122" t="e">
        <f>'2.4.Функции'!X216+"BYw!&amp;yd"</f>
        <v>#VALUE!</v>
      </c>
      <c r="EM122" t="e">
        <f>'2.4.Функции'!Y216+"BYw!&amp;ye"</f>
        <v>#VALUE!</v>
      </c>
      <c r="EN122" t="e">
        <f>'2.4.Функции'!Z216+"BYw!&amp;yf"</f>
        <v>#VALUE!</v>
      </c>
      <c r="EO122" t="e">
        <f>'2.4.Функции'!AA216+"BYw!&amp;yg"</f>
        <v>#VALUE!</v>
      </c>
      <c r="EP122" t="e">
        <f>'2.4.Функции'!AB216+"BYw!&amp;yh"</f>
        <v>#VALUE!</v>
      </c>
      <c r="EQ122" t="e">
        <f>'2.4.Функции'!AC216+"BYw!&amp;yi"</f>
        <v>#VALUE!</v>
      </c>
      <c r="ER122" t="e">
        <f>'2.4.Функции'!AID216+"BYw!&amp;yj"</f>
        <v>#VALUE!</v>
      </c>
      <c r="ES122" t="e">
        <f>'2.4.Функции'!AIE216+"BYw!&amp;yk"</f>
        <v>#VALUE!</v>
      </c>
      <c r="ET122" t="e">
        <f>'2.4.Функции'!AIF216+"BYw!&amp;yl"</f>
        <v>#VALUE!</v>
      </c>
      <c r="EU122" t="e">
        <f>'2.4.Функции'!AIG216+"BYw!&amp;ym"</f>
        <v>#VALUE!</v>
      </c>
      <c r="EV122" t="e">
        <f>'2.4.Функции'!AIH216+"BYw!&amp;yn"</f>
        <v>#VALUE!</v>
      </c>
      <c r="EW122" t="e">
        <f>'2.4.Функции'!B217+"BYw!&amp;yo"</f>
        <v>#VALUE!</v>
      </c>
      <c r="EX122" t="e">
        <f>'2.4.Функции'!C217+"BYw!&amp;yp"</f>
        <v>#VALUE!</v>
      </c>
      <c r="EY122" t="e">
        <f>'2.4.Функции'!G217+"BYw!&amp;yq"</f>
        <v>#VALUE!</v>
      </c>
      <c r="EZ122" t="e">
        <f>'2.4.Функции'!K217+"BYw!&amp;yr"</f>
        <v>#VALUE!</v>
      </c>
      <c r="FA122" t="e">
        <f>'2.4.Функции'!L217+"BYw!&amp;ys"</f>
        <v>#VALUE!</v>
      </c>
      <c r="FB122" t="e">
        <f>'2.4.Функции'!M217+"BYw!&amp;yt"</f>
        <v>#VALUE!</v>
      </c>
      <c r="FC122" t="e">
        <f>'2.4.Функции'!N217+"BYw!&amp;yu"</f>
        <v>#VALUE!</v>
      </c>
      <c r="FD122" t="e">
        <f>'2.4.Функции'!O217+"BYw!&amp;yv"</f>
        <v>#VALUE!</v>
      </c>
      <c r="FE122" t="e">
        <f>'2.4.Функции'!P217+"BYw!&amp;yw"</f>
        <v>#VALUE!</v>
      </c>
      <c r="FF122" t="e">
        <f>'2.4.Функции'!Q217+"BYw!&amp;yx"</f>
        <v>#VALUE!</v>
      </c>
      <c r="FG122" t="e">
        <f>'2.4.Функции'!R217+"BYw!&amp;yy"</f>
        <v>#VALUE!</v>
      </c>
      <c r="FH122" t="e">
        <f>'2.4.Функции'!S217+"BYw!&amp;yz"</f>
        <v>#VALUE!</v>
      </c>
      <c r="FI122" t="e">
        <f>'2.4.Функции'!T217+"BYw!&amp;y{"</f>
        <v>#VALUE!</v>
      </c>
      <c r="FJ122" t="e">
        <f>'2.4.Функции'!U217+"BYw!&amp;y|"</f>
        <v>#VALUE!</v>
      </c>
      <c r="FK122" t="e">
        <f>'2.4.Функции'!V217+"BYw!&amp;y}"</f>
        <v>#VALUE!</v>
      </c>
      <c r="FL122" t="e">
        <f>'2.4.Функции'!W217+"BYw!&amp;y~"</f>
        <v>#VALUE!</v>
      </c>
      <c r="FM122" t="e">
        <f>'2.4.Функции'!X217+"BYw!&amp;z#"</f>
        <v>#VALUE!</v>
      </c>
      <c r="FN122" t="e">
        <f>'2.4.Функции'!Y217+"BYw!&amp;z$"</f>
        <v>#VALUE!</v>
      </c>
      <c r="FO122" t="e">
        <f>'2.4.Функции'!Z217+"BYw!&amp;z%"</f>
        <v>#VALUE!</v>
      </c>
      <c r="FP122" t="e">
        <f>'2.4.Функции'!AA217+"BYw!&amp;z&amp;"</f>
        <v>#VALUE!</v>
      </c>
      <c r="FQ122" t="e">
        <f>'2.4.Функции'!AB217+"BYw!&amp;z'"</f>
        <v>#VALUE!</v>
      </c>
      <c r="FR122" t="e">
        <f>'2.4.Функции'!AC217+"BYw!&amp;z("</f>
        <v>#VALUE!</v>
      </c>
      <c r="FS122" t="e">
        <f>'2.4.Функции'!AID217+"BYw!&amp;z)"</f>
        <v>#VALUE!</v>
      </c>
      <c r="FT122" t="e">
        <f>'2.4.Функции'!AIE217+"BYw!&amp;z."</f>
        <v>#VALUE!</v>
      </c>
      <c r="FU122" t="e">
        <f>'2.4.Функции'!AIF217+"BYw!&amp;z/"</f>
        <v>#VALUE!</v>
      </c>
      <c r="FV122" t="e">
        <f>'2.4.Функции'!AIG217+"BYw!&amp;z0"</f>
        <v>#VALUE!</v>
      </c>
      <c r="FW122" t="e">
        <f>'2.4.Функции'!AIH217+"BYw!&amp;z1"</f>
        <v>#VALUE!</v>
      </c>
      <c r="FX122" t="e">
        <f>'2.4.Функции'!B218+"BYw!&amp;z2"</f>
        <v>#VALUE!</v>
      </c>
      <c r="FY122" t="e">
        <f>'2.4.Функции'!C218+"BYw!&amp;z3"</f>
        <v>#VALUE!</v>
      </c>
      <c r="FZ122" t="e">
        <f>'2.4.Функции'!G218+"BYw!&amp;z4"</f>
        <v>#VALUE!</v>
      </c>
      <c r="GA122" t="e">
        <f>'2.4.Функции'!K218+"BYw!&amp;z5"</f>
        <v>#VALUE!</v>
      </c>
      <c r="GB122" t="e">
        <f>'2.4.Функции'!L218+"BYw!&amp;z6"</f>
        <v>#VALUE!</v>
      </c>
      <c r="GC122" t="e">
        <f>'2.4.Функции'!M218+"BYw!&amp;z7"</f>
        <v>#VALUE!</v>
      </c>
      <c r="GD122" t="e">
        <f>'2.4.Функции'!N218+"BYw!&amp;z8"</f>
        <v>#VALUE!</v>
      </c>
      <c r="GE122" t="e">
        <f>'2.4.Функции'!O218+"BYw!&amp;z9"</f>
        <v>#VALUE!</v>
      </c>
      <c r="GF122" t="e">
        <f>'2.4.Функции'!P218+"BYw!&amp;z:"</f>
        <v>#VALUE!</v>
      </c>
      <c r="GG122" t="e">
        <f>'2.4.Функции'!Q218+"BYw!&amp;z;"</f>
        <v>#VALUE!</v>
      </c>
      <c r="GH122" t="e">
        <f>'2.4.Функции'!R218+"BYw!&amp;z&lt;"</f>
        <v>#VALUE!</v>
      </c>
      <c r="GI122" t="e">
        <f>'2.4.Функции'!S218+"BYw!&amp;z="</f>
        <v>#VALUE!</v>
      </c>
      <c r="GJ122" t="e">
        <f>'2.4.Функции'!T218+"BYw!&amp;z&gt;"</f>
        <v>#VALUE!</v>
      </c>
      <c r="GK122" t="e">
        <f>'2.4.Функции'!U218+"BYw!&amp;z?"</f>
        <v>#VALUE!</v>
      </c>
      <c r="GL122" t="e">
        <f>'2.4.Функции'!V218+"BYw!&amp;z@"</f>
        <v>#VALUE!</v>
      </c>
      <c r="GM122" t="e">
        <f>'2.4.Функции'!W218+"BYw!&amp;zA"</f>
        <v>#VALUE!</v>
      </c>
      <c r="GN122" t="e">
        <f>'2.4.Функции'!X218+"BYw!&amp;zB"</f>
        <v>#VALUE!</v>
      </c>
      <c r="GO122" t="e">
        <f>'2.4.Функции'!Y218+"BYw!&amp;zC"</f>
        <v>#VALUE!</v>
      </c>
      <c r="GP122" t="e">
        <f>'2.4.Функции'!Z218+"BYw!&amp;zD"</f>
        <v>#VALUE!</v>
      </c>
      <c r="GQ122" t="e">
        <f>'2.4.Функции'!AA218+"BYw!&amp;zE"</f>
        <v>#VALUE!</v>
      </c>
      <c r="GR122" t="e">
        <f>'2.4.Функции'!AB218+"BYw!&amp;zF"</f>
        <v>#VALUE!</v>
      </c>
      <c r="GS122" t="e">
        <f>'2.4.Функции'!AC218+"BYw!&amp;zG"</f>
        <v>#VALUE!</v>
      </c>
      <c r="GT122" t="e">
        <f>'2.4.Функции'!AID218+"BYw!&amp;zH"</f>
        <v>#VALUE!</v>
      </c>
      <c r="GU122" t="e">
        <f>'2.4.Функции'!AIE218+"BYw!&amp;zI"</f>
        <v>#VALUE!</v>
      </c>
      <c r="GV122" t="e">
        <f>'2.4.Функции'!AIF218+"BYw!&amp;zJ"</f>
        <v>#VALUE!</v>
      </c>
      <c r="GW122" t="e">
        <f>'2.4.Функции'!AIG218+"BYw!&amp;zK"</f>
        <v>#VALUE!</v>
      </c>
      <c r="GX122" t="e">
        <f>'2.4.Функции'!AIH218+"BYw!&amp;zL"</f>
        <v>#VALUE!</v>
      </c>
      <c r="GY122" t="e">
        <f>'2.4.Функции'!B219+"BYw!&amp;zM"</f>
        <v>#VALUE!</v>
      </c>
      <c r="GZ122" t="e">
        <f>'2.4.Функции'!C219+"BYw!&amp;zN"</f>
        <v>#VALUE!</v>
      </c>
      <c r="HA122" t="e">
        <f>'2.4.Функции'!G219+"BYw!&amp;zO"</f>
        <v>#VALUE!</v>
      </c>
      <c r="HB122" t="e">
        <f>'2.4.Функции'!K219+"BYw!&amp;zP"</f>
        <v>#VALUE!</v>
      </c>
      <c r="HC122" t="e">
        <f>'2.4.Функции'!L219+"BYw!&amp;zQ"</f>
        <v>#VALUE!</v>
      </c>
      <c r="HD122" t="e">
        <f>'2.4.Функции'!M219+"BYw!&amp;zR"</f>
        <v>#VALUE!</v>
      </c>
      <c r="HE122" t="e">
        <f>'2.4.Функции'!N219+"BYw!&amp;zS"</f>
        <v>#VALUE!</v>
      </c>
      <c r="HF122" t="e">
        <f>'2.4.Функции'!O219+"BYw!&amp;zT"</f>
        <v>#VALUE!</v>
      </c>
      <c r="HG122" t="e">
        <f>'2.4.Функции'!P219+"BYw!&amp;zU"</f>
        <v>#VALUE!</v>
      </c>
      <c r="HH122" t="e">
        <f>'2.4.Функции'!Q219+"BYw!&amp;zV"</f>
        <v>#VALUE!</v>
      </c>
      <c r="HI122" t="e">
        <f>'2.4.Функции'!R219+"BYw!&amp;zW"</f>
        <v>#VALUE!</v>
      </c>
      <c r="HJ122" t="e">
        <f>'2.4.Функции'!S219+"BYw!&amp;zX"</f>
        <v>#VALUE!</v>
      </c>
      <c r="HK122" t="e">
        <f>'2.4.Функции'!T219+"BYw!&amp;zY"</f>
        <v>#VALUE!</v>
      </c>
      <c r="HL122" t="e">
        <f>'2.4.Функции'!U219+"BYw!&amp;zZ"</f>
        <v>#VALUE!</v>
      </c>
      <c r="HM122" t="e">
        <f>'2.4.Функции'!V219+"BYw!&amp;z["</f>
        <v>#VALUE!</v>
      </c>
      <c r="HN122" t="e">
        <f>'2.4.Функции'!W219+"BYw!&amp;z\"</f>
        <v>#VALUE!</v>
      </c>
      <c r="HO122" t="e">
        <f>'2.4.Функции'!X219+"BYw!&amp;z]"</f>
        <v>#VALUE!</v>
      </c>
      <c r="HP122" t="e">
        <f>'2.4.Функции'!Y219+"BYw!&amp;z^"</f>
        <v>#VALUE!</v>
      </c>
      <c r="HQ122" t="e">
        <f>'2.4.Функции'!Z219+"BYw!&amp;z_"</f>
        <v>#VALUE!</v>
      </c>
      <c r="HR122" t="e">
        <f>'2.4.Функции'!AA219+"BYw!&amp;z`"</f>
        <v>#VALUE!</v>
      </c>
      <c r="HS122" t="e">
        <f>'2.4.Функции'!AB219+"BYw!&amp;za"</f>
        <v>#VALUE!</v>
      </c>
      <c r="HT122" t="e">
        <f>'2.4.Функции'!AC219+"BYw!&amp;zb"</f>
        <v>#VALUE!</v>
      </c>
      <c r="HU122" t="e">
        <f>'2.4.Функции'!AID219+"BYw!&amp;zc"</f>
        <v>#VALUE!</v>
      </c>
      <c r="HV122" t="e">
        <f>'2.4.Функции'!AIE219+"BYw!&amp;zd"</f>
        <v>#VALUE!</v>
      </c>
      <c r="HW122" t="e">
        <f>'2.4.Функции'!AIF219+"BYw!&amp;ze"</f>
        <v>#VALUE!</v>
      </c>
      <c r="HX122" t="e">
        <f>'2.4.Функции'!AIG219+"BYw!&amp;zf"</f>
        <v>#VALUE!</v>
      </c>
      <c r="HY122" t="e">
        <f>'2.4.Функции'!AIH219+"BYw!&amp;zg"</f>
        <v>#VALUE!</v>
      </c>
      <c r="HZ122" t="e">
        <f>'2.4.Функции'!B220+"BYw!&amp;zh"</f>
        <v>#VALUE!</v>
      </c>
      <c r="IA122" t="e">
        <f>'2.4.Функции'!C220+"BYw!&amp;zi"</f>
        <v>#VALUE!</v>
      </c>
      <c r="IB122" t="e">
        <f>'2.4.Функции'!G220+"BYw!&amp;zj"</f>
        <v>#VALUE!</v>
      </c>
      <c r="IC122" t="e">
        <f>'2.4.Функции'!K220+"BYw!&amp;zk"</f>
        <v>#VALUE!</v>
      </c>
      <c r="ID122" t="e">
        <f>'2.4.Функции'!L220+"BYw!&amp;zl"</f>
        <v>#VALUE!</v>
      </c>
      <c r="IE122" t="e">
        <f>'2.4.Функции'!M220+"BYw!&amp;zm"</f>
        <v>#VALUE!</v>
      </c>
      <c r="IF122" t="e">
        <f>'2.4.Функции'!N220+"BYw!&amp;zn"</f>
        <v>#VALUE!</v>
      </c>
      <c r="IG122" t="e">
        <f>'2.4.Функции'!O220+"BYw!&amp;zo"</f>
        <v>#VALUE!</v>
      </c>
      <c r="IH122" t="e">
        <f>'2.4.Функции'!P220+"BYw!&amp;zp"</f>
        <v>#VALUE!</v>
      </c>
      <c r="II122" t="e">
        <f>'2.4.Функции'!Q220+"BYw!&amp;zq"</f>
        <v>#VALUE!</v>
      </c>
      <c r="IJ122" t="e">
        <f>'2.4.Функции'!R220+"BYw!&amp;zr"</f>
        <v>#VALUE!</v>
      </c>
      <c r="IK122" t="e">
        <f>'2.4.Функции'!S220+"BYw!&amp;zs"</f>
        <v>#VALUE!</v>
      </c>
      <c r="IL122" t="e">
        <f>'2.4.Функции'!T220+"BYw!&amp;zt"</f>
        <v>#VALUE!</v>
      </c>
      <c r="IM122" t="e">
        <f>'2.4.Функции'!U220+"BYw!&amp;zu"</f>
        <v>#VALUE!</v>
      </c>
      <c r="IN122" t="e">
        <f>'2.4.Функции'!V220+"BYw!&amp;zv"</f>
        <v>#VALUE!</v>
      </c>
      <c r="IO122" t="e">
        <f>'2.4.Функции'!W220+"BYw!&amp;zw"</f>
        <v>#VALUE!</v>
      </c>
      <c r="IP122" t="e">
        <f>'2.4.Функции'!X220+"BYw!&amp;zx"</f>
        <v>#VALUE!</v>
      </c>
      <c r="IQ122" t="e">
        <f>'2.4.Функции'!Y220+"BYw!&amp;zy"</f>
        <v>#VALUE!</v>
      </c>
      <c r="IR122" t="e">
        <f>'2.4.Функции'!Z220+"BYw!&amp;zz"</f>
        <v>#VALUE!</v>
      </c>
      <c r="IS122" t="e">
        <f>'2.4.Функции'!AA220+"BYw!&amp;z{"</f>
        <v>#VALUE!</v>
      </c>
      <c r="IT122" t="e">
        <f>'2.4.Функции'!AB220+"BYw!&amp;z|"</f>
        <v>#VALUE!</v>
      </c>
      <c r="IU122" t="e">
        <f>'2.4.Функции'!AC220+"BYw!&amp;z}"</f>
        <v>#VALUE!</v>
      </c>
      <c r="IV122" t="e">
        <f>'2.4.Функции'!AID220+"BYw!&amp;z~"</f>
        <v>#VALUE!</v>
      </c>
    </row>
    <row r="123" spans="6:256" x14ac:dyDescent="0.2">
      <c r="F123" t="e">
        <f>'2.4.Функции'!AIE220+"BYw!&amp;{#"</f>
        <v>#VALUE!</v>
      </c>
      <c r="G123" t="e">
        <f>'2.4.Функции'!AIF220+"BYw!&amp;{$"</f>
        <v>#VALUE!</v>
      </c>
      <c r="H123" t="e">
        <f>'2.4.Функции'!AIG220+"BYw!&amp;{%"</f>
        <v>#VALUE!</v>
      </c>
      <c r="I123" t="e">
        <f>'2.4.Функции'!AIH220+"BYw!&amp;{&amp;"</f>
        <v>#VALUE!</v>
      </c>
      <c r="J123" t="e">
        <f>'2.4.Функции'!B221+"BYw!&amp;{'"</f>
        <v>#VALUE!</v>
      </c>
      <c r="K123" t="e">
        <f>'2.4.Функции'!C221+"BYw!&amp;{("</f>
        <v>#VALUE!</v>
      </c>
      <c r="L123" t="e">
        <f>'2.4.Функции'!G221+"BYw!&amp;{)"</f>
        <v>#VALUE!</v>
      </c>
      <c r="M123" t="e">
        <f>'2.4.Функции'!K221+"BYw!&amp;{."</f>
        <v>#VALUE!</v>
      </c>
      <c r="N123" t="e">
        <f>'2.4.Функции'!L221+"BYw!&amp;{/"</f>
        <v>#VALUE!</v>
      </c>
      <c r="O123" t="e">
        <f>'2.4.Функции'!M221+"BYw!&amp;{0"</f>
        <v>#VALUE!</v>
      </c>
      <c r="P123" t="e">
        <f>'2.4.Функции'!N221+"BYw!&amp;{1"</f>
        <v>#VALUE!</v>
      </c>
      <c r="Q123" t="e">
        <f>'2.4.Функции'!O221+"BYw!&amp;{2"</f>
        <v>#VALUE!</v>
      </c>
      <c r="R123" t="e">
        <f>'2.4.Функции'!P221+"BYw!&amp;{3"</f>
        <v>#VALUE!</v>
      </c>
      <c r="S123" t="e">
        <f>'2.4.Функции'!Q221+"BYw!&amp;{4"</f>
        <v>#VALUE!</v>
      </c>
      <c r="T123" t="e">
        <f>'2.4.Функции'!R221+"BYw!&amp;{5"</f>
        <v>#VALUE!</v>
      </c>
      <c r="U123" t="e">
        <f>'2.4.Функции'!S221+"BYw!&amp;{6"</f>
        <v>#VALUE!</v>
      </c>
      <c r="V123" t="e">
        <f>'2.4.Функции'!T221+"BYw!&amp;{7"</f>
        <v>#VALUE!</v>
      </c>
      <c r="W123" t="e">
        <f>'2.4.Функции'!U221+"BYw!&amp;{8"</f>
        <v>#VALUE!</v>
      </c>
      <c r="X123" t="e">
        <f>'2.4.Функции'!V221+"BYw!&amp;{9"</f>
        <v>#VALUE!</v>
      </c>
      <c r="Y123" t="e">
        <f>'2.4.Функции'!W221+"BYw!&amp;{:"</f>
        <v>#VALUE!</v>
      </c>
      <c r="Z123" t="e">
        <f>'2.4.Функции'!X221+"BYw!&amp;{;"</f>
        <v>#VALUE!</v>
      </c>
      <c r="AA123" t="e">
        <f>'2.4.Функции'!Y221+"BYw!&amp;{&lt;"</f>
        <v>#VALUE!</v>
      </c>
      <c r="AB123" t="e">
        <f>'2.4.Функции'!Z221+"BYw!&amp;{="</f>
        <v>#VALUE!</v>
      </c>
      <c r="AC123" t="e">
        <f>'2.4.Функции'!AA221+"BYw!&amp;{&gt;"</f>
        <v>#VALUE!</v>
      </c>
      <c r="AD123" t="e">
        <f>'2.4.Функции'!AB221+"BYw!&amp;{?"</f>
        <v>#VALUE!</v>
      </c>
      <c r="AE123" t="e">
        <f>'2.4.Функции'!AC221+"BYw!&amp;{@"</f>
        <v>#VALUE!</v>
      </c>
      <c r="AF123" t="e">
        <f>'2.4.Функции'!AID221+"BYw!&amp;{A"</f>
        <v>#VALUE!</v>
      </c>
      <c r="AG123" t="e">
        <f>'2.4.Функции'!AIE221+"BYw!&amp;{B"</f>
        <v>#VALUE!</v>
      </c>
      <c r="AH123" t="e">
        <f>'2.4.Функции'!AIF221+"BYw!&amp;{C"</f>
        <v>#VALUE!</v>
      </c>
      <c r="AI123" t="e">
        <f>'2.4.Функции'!AIG221+"BYw!&amp;{D"</f>
        <v>#VALUE!</v>
      </c>
      <c r="AJ123" t="e">
        <f>'2.4.Функции'!AIH221+"BYw!&amp;{E"</f>
        <v>#VALUE!</v>
      </c>
      <c r="AK123" t="e">
        <f>'2.4.Функции'!B222+"BYw!&amp;{F"</f>
        <v>#VALUE!</v>
      </c>
      <c r="AL123" t="e">
        <f>'2.4.Функции'!C222+"BYw!&amp;{G"</f>
        <v>#VALUE!</v>
      </c>
      <c r="AM123" t="e">
        <f>'2.4.Функции'!G222+"BYw!&amp;{H"</f>
        <v>#VALUE!</v>
      </c>
      <c r="AN123" t="e">
        <f>'2.4.Функции'!K222+"BYw!&amp;{I"</f>
        <v>#VALUE!</v>
      </c>
      <c r="AO123" t="e">
        <f>'2.4.Функции'!L222+"BYw!&amp;{J"</f>
        <v>#VALUE!</v>
      </c>
      <c r="AP123" t="e">
        <f>'2.4.Функции'!M222+"BYw!&amp;{K"</f>
        <v>#VALUE!</v>
      </c>
      <c r="AQ123" t="e">
        <f>'2.4.Функции'!N222+"BYw!&amp;{L"</f>
        <v>#VALUE!</v>
      </c>
      <c r="AR123" t="e">
        <f>'2.4.Функции'!O222+"BYw!&amp;{M"</f>
        <v>#VALUE!</v>
      </c>
      <c r="AS123" t="e">
        <f>'2.4.Функции'!P222+"BYw!&amp;{N"</f>
        <v>#VALUE!</v>
      </c>
      <c r="AT123" t="e">
        <f>'2.4.Функции'!Q222+"BYw!&amp;{O"</f>
        <v>#VALUE!</v>
      </c>
      <c r="AU123" t="e">
        <f>'2.4.Функции'!R222+"BYw!&amp;{P"</f>
        <v>#VALUE!</v>
      </c>
      <c r="AV123" t="e">
        <f>'2.4.Функции'!S222+"BYw!&amp;{Q"</f>
        <v>#VALUE!</v>
      </c>
      <c r="AW123" t="e">
        <f>'2.4.Функции'!T222+"BYw!&amp;{R"</f>
        <v>#VALUE!</v>
      </c>
      <c r="AX123" t="e">
        <f>'2.4.Функции'!U222+"BYw!&amp;{S"</f>
        <v>#VALUE!</v>
      </c>
      <c r="AY123" t="e">
        <f>'2.4.Функции'!V222+"BYw!&amp;{T"</f>
        <v>#VALUE!</v>
      </c>
      <c r="AZ123" t="e">
        <f>'2.4.Функции'!W222+"BYw!&amp;{U"</f>
        <v>#VALUE!</v>
      </c>
      <c r="BA123" t="e">
        <f>'2.4.Функции'!X222+"BYw!&amp;{V"</f>
        <v>#VALUE!</v>
      </c>
      <c r="BB123" t="e">
        <f>'2.4.Функции'!Y222+"BYw!&amp;{W"</f>
        <v>#VALUE!</v>
      </c>
      <c r="BC123" t="e">
        <f>'2.4.Функции'!Z222+"BYw!&amp;{X"</f>
        <v>#VALUE!</v>
      </c>
      <c r="BD123" t="e">
        <f>'2.4.Функции'!AA222+"BYw!&amp;{Y"</f>
        <v>#VALUE!</v>
      </c>
      <c r="BE123" t="e">
        <f>'2.4.Функции'!AB222+"BYw!&amp;{Z"</f>
        <v>#VALUE!</v>
      </c>
      <c r="BF123" t="e">
        <f>'2.4.Функции'!AC222+"BYw!&amp;{["</f>
        <v>#VALUE!</v>
      </c>
      <c r="BG123" t="e">
        <f>'2.4.Функции'!AID222+"BYw!&amp;{\"</f>
        <v>#VALUE!</v>
      </c>
      <c r="BH123" t="e">
        <f>'2.4.Функции'!AIE222+"BYw!&amp;{]"</f>
        <v>#VALUE!</v>
      </c>
      <c r="BI123" t="e">
        <f>'2.4.Функции'!AIF222+"BYw!&amp;{^"</f>
        <v>#VALUE!</v>
      </c>
      <c r="BJ123" t="e">
        <f>'2.4.Функции'!AIG222+"BYw!&amp;{_"</f>
        <v>#VALUE!</v>
      </c>
      <c r="BK123" t="e">
        <f>'2.4.Функции'!AIH222+"BYw!&amp;{`"</f>
        <v>#VALUE!</v>
      </c>
      <c r="BL123" t="e">
        <f>'2.4.Функции'!K223+"BYw!&amp;{a"</f>
        <v>#VALUE!</v>
      </c>
      <c r="BM123" t="e">
        <f>'2.4.Функции'!L223+"BYw!&amp;{b"</f>
        <v>#VALUE!</v>
      </c>
      <c r="BN123" t="e">
        <f>'2.4.Функции'!M223+"BYw!&amp;{c"</f>
        <v>#VALUE!</v>
      </c>
      <c r="BO123" t="e">
        <f>'2.4.Функции'!N223+"BYw!&amp;{d"</f>
        <v>#VALUE!</v>
      </c>
      <c r="BP123" t="e">
        <f>'2.4.Функции'!O223+"BYw!&amp;{e"</f>
        <v>#VALUE!</v>
      </c>
      <c r="BQ123" t="e">
        <f>'2.4.Функции'!P223+"BYw!&amp;{f"</f>
        <v>#VALUE!</v>
      </c>
      <c r="BR123" t="e">
        <f>'2.4.Функции'!Q223+"BYw!&amp;{g"</f>
        <v>#VALUE!</v>
      </c>
      <c r="BS123" t="e">
        <f>'2.4.Функции'!R223+"BYw!&amp;{h"</f>
        <v>#VALUE!</v>
      </c>
      <c r="BT123" t="e">
        <f>'2.4.Функции'!S223+"BYw!&amp;{i"</f>
        <v>#VALUE!</v>
      </c>
      <c r="BU123" t="e">
        <f>'2.4.Функции'!T223+"BYw!&amp;{j"</f>
        <v>#VALUE!</v>
      </c>
      <c r="BV123" t="e">
        <f>'2.4.Функции'!U223+"BYw!&amp;{k"</f>
        <v>#VALUE!</v>
      </c>
      <c r="BW123" t="e">
        <f>'2.4.Функции'!V223+"BYw!&amp;{l"</f>
        <v>#VALUE!</v>
      </c>
      <c r="BX123" t="e">
        <f>'2.4.Функции'!W223+"BYw!&amp;{m"</f>
        <v>#VALUE!</v>
      </c>
      <c r="BY123" t="e">
        <f>'2.4.Функции'!X223+"BYw!&amp;{n"</f>
        <v>#VALUE!</v>
      </c>
      <c r="BZ123" t="e">
        <f>'2.4.Функции'!Y223+"BYw!&amp;{o"</f>
        <v>#VALUE!</v>
      </c>
      <c r="CA123" t="e">
        <f>'2.4.Функции'!Z223+"BYw!&amp;{p"</f>
        <v>#VALUE!</v>
      </c>
      <c r="CB123" t="e">
        <f>'2.4.Функции'!AA223+"BYw!&amp;{q"</f>
        <v>#VALUE!</v>
      </c>
      <c r="CC123" t="e">
        <f>'2.4.Функции'!AB223+"BYw!&amp;{r"</f>
        <v>#VALUE!</v>
      </c>
      <c r="CD123" t="e">
        <f>'2.4.Функции'!AC223+"BYw!&amp;{s"</f>
        <v>#VALUE!</v>
      </c>
      <c r="CE123" t="e">
        <f>'2.4.Функции'!AID223+"BYw!&amp;{t"</f>
        <v>#VALUE!</v>
      </c>
      <c r="CF123" t="e">
        <f>'2.4.Функции'!AIE223+"BYw!&amp;{u"</f>
        <v>#VALUE!</v>
      </c>
      <c r="CG123" t="e">
        <f>'2.4.Функции'!AIF223+"BYw!&amp;{v"</f>
        <v>#VALUE!</v>
      </c>
      <c r="CH123" t="e">
        <f>'2.4.Функции'!AIG223+"BYw!&amp;{w"</f>
        <v>#VALUE!</v>
      </c>
      <c r="CI123" t="e">
        <f>'2.4.Функции'!AIH223+"BYw!&amp;{x"</f>
        <v>#VALUE!</v>
      </c>
      <c r="CJ123" t="e">
        <f>'2.4.Функции'!K224+"BYw!&amp;{y"</f>
        <v>#VALUE!</v>
      </c>
      <c r="CK123" t="e">
        <f>'2.4.Функции'!L224+"BYw!&amp;{z"</f>
        <v>#VALUE!</v>
      </c>
      <c r="CL123" t="e">
        <f>'2.4.Функции'!M224+"BYw!&amp;{{"</f>
        <v>#VALUE!</v>
      </c>
      <c r="CM123" t="e">
        <f>'2.4.Функции'!N224+"BYw!&amp;{|"</f>
        <v>#VALUE!</v>
      </c>
      <c r="CN123" t="e">
        <f>'2.4.Функции'!O224+"BYw!&amp;{}"</f>
        <v>#VALUE!</v>
      </c>
      <c r="CO123" t="e">
        <f>'2.4.Функции'!P224+"BYw!&amp;{~"</f>
        <v>#VALUE!</v>
      </c>
      <c r="CP123" t="e">
        <f>'2.4.Функции'!Q224+"BYw!&amp;|#"</f>
        <v>#VALUE!</v>
      </c>
      <c r="CQ123" t="e">
        <f>'2.4.Функции'!R224+"BYw!&amp;|$"</f>
        <v>#VALUE!</v>
      </c>
      <c r="CR123" t="e">
        <f>'2.4.Функции'!S224+"BYw!&amp;|%"</f>
        <v>#VALUE!</v>
      </c>
      <c r="CS123" t="e">
        <f>'2.4.Функции'!T224+"BYw!&amp;|&amp;"</f>
        <v>#VALUE!</v>
      </c>
      <c r="CT123" t="e">
        <f>'2.4.Функции'!U224+"BYw!&amp;|'"</f>
        <v>#VALUE!</v>
      </c>
      <c r="CU123" t="e">
        <f>'2.4.Функции'!V224+"BYw!&amp;|("</f>
        <v>#VALUE!</v>
      </c>
      <c r="CV123" t="e">
        <f>'2.4.Функции'!W224+"BYw!&amp;|)"</f>
        <v>#VALUE!</v>
      </c>
      <c r="CW123" t="e">
        <f>'2.4.Функции'!X224+"BYw!&amp;|."</f>
        <v>#VALUE!</v>
      </c>
      <c r="CX123" t="e">
        <f>'2.4.Функции'!Y224+"BYw!&amp;|/"</f>
        <v>#VALUE!</v>
      </c>
      <c r="CY123" t="e">
        <f>'2.4.Функции'!Z224+"BYw!&amp;|0"</f>
        <v>#VALUE!</v>
      </c>
      <c r="CZ123" t="e">
        <f>'2.4.Функции'!AA224+"BYw!&amp;|1"</f>
        <v>#VALUE!</v>
      </c>
      <c r="DA123" t="e">
        <f>'2.4.Функции'!AB224+"BYw!&amp;|2"</f>
        <v>#VALUE!</v>
      </c>
      <c r="DB123" t="e">
        <f>'2.4.Функции'!AC224+"BYw!&amp;|3"</f>
        <v>#VALUE!</v>
      </c>
      <c r="DC123" t="e">
        <f>'2.4.Функции'!AID224+"BYw!&amp;|4"</f>
        <v>#VALUE!</v>
      </c>
      <c r="DD123" t="e">
        <f>'2.4.Функции'!AIE224+"BYw!&amp;|5"</f>
        <v>#VALUE!</v>
      </c>
      <c r="DE123" t="e">
        <f>'2.4.Функции'!AIF224+"BYw!&amp;|6"</f>
        <v>#VALUE!</v>
      </c>
      <c r="DF123" t="e">
        <f>'2.4.Функции'!AIG224+"BYw!&amp;|7"</f>
        <v>#VALUE!</v>
      </c>
      <c r="DG123" t="e">
        <f>'2.4.Функции'!AIH224+"BYw!&amp;|8"</f>
        <v>#VALUE!</v>
      </c>
      <c r="DH123" t="e">
        <f>'2.4.Функции'!K225+"BYw!&amp;|9"</f>
        <v>#VALUE!</v>
      </c>
      <c r="DI123" t="e">
        <f>'2.4.Функции'!L225+"BYw!&amp;|:"</f>
        <v>#VALUE!</v>
      </c>
      <c r="DJ123" t="e">
        <f>'2.4.Функции'!M225+"BYw!&amp;|;"</f>
        <v>#VALUE!</v>
      </c>
      <c r="DK123" t="e">
        <f>'2.4.Функции'!N225+"BYw!&amp;|&lt;"</f>
        <v>#VALUE!</v>
      </c>
      <c r="DL123" t="e">
        <f>'2.4.Функции'!O225+"BYw!&amp;|="</f>
        <v>#VALUE!</v>
      </c>
      <c r="DM123" t="e">
        <f>'2.4.Функции'!P225+"BYw!&amp;|&gt;"</f>
        <v>#VALUE!</v>
      </c>
      <c r="DN123" t="e">
        <f>'2.4.Функции'!Q225+"BYw!&amp;|?"</f>
        <v>#VALUE!</v>
      </c>
      <c r="DO123" t="e">
        <f>'2.4.Функции'!R225+"BYw!&amp;|@"</f>
        <v>#VALUE!</v>
      </c>
      <c r="DP123" t="e">
        <f>'2.4.Функции'!S225+"BYw!&amp;|A"</f>
        <v>#VALUE!</v>
      </c>
      <c r="DQ123" t="e">
        <f>'2.4.Функции'!T225+"BYw!&amp;|B"</f>
        <v>#VALUE!</v>
      </c>
      <c r="DR123" t="e">
        <f>'2.4.Функции'!U225+"BYw!&amp;|C"</f>
        <v>#VALUE!</v>
      </c>
      <c r="DS123" t="e">
        <f>'2.4.Функции'!V225+"BYw!&amp;|D"</f>
        <v>#VALUE!</v>
      </c>
      <c r="DT123" t="e">
        <f>'2.4.Функции'!W225+"BYw!&amp;|E"</f>
        <v>#VALUE!</v>
      </c>
      <c r="DU123" t="e">
        <f>'2.4.Функции'!X225+"BYw!&amp;|F"</f>
        <v>#VALUE!</v>
      </c>
      <c r="DV123" t="e">
        <f>'2.4.Функции'!Y225+"BYw!&amp;|G"</f>
        <v>#VALUE!</v>
      </c>
      <c r="DW123" t="e">
        <f>'2.4.Функции'!Z225+"BYw!&amp;|H"</f>
        <v>#VALUE!</v>
      </c>
      <c r="DX123" t="e">
        <f>'2.4.Функции'!AA225+"BYw!&amp;|I"</f>
        <v>#VALUE!</v>
      </c>
      <c r="DY123" t="e">
        <f>'2.4.Функции'!AB225+"BYw!&amp;|J"</f>
        <v>#VALUE!</v>
      </c>
      <c r="DZ123" t="e">
        <f>'2.4.Функции'!AC225+"BYw!&amp;|K"</f>
        <v>#VALUE!</v>
      </c>
      <c r="EA123" t="e">
        <f>'2.4.Функции'!AID225+"BYw!&amp;|L"</f>
        <v>#VALUE!</v>
      </c>
      <c r="EB123" t="e">
        <f>'2.4.Функции'!AIE225+"BYw!&amp;|M"</f>
        <v>#VALUE!</v>
      </c>
      <c r="EC123" t="e">
        <f>'2.4.Функции'!AIF225+"BYw!&amp;|N"</f>
        <v>#VALUE!</v>
      </c>
      <c r="ED123" t="e">
        <f>'2.4.Функции'!AIG225+"BYw!&amp;|O"</f>
        <v>#VALUE!</v>
      </c>
      <c r="EE123" t="e">
        <f>'2.4.Функции'!AIH225+"BYw!&amp;|P"</f>
        <v>#VALUE!</v>
      </c>
      <c r="EF123" t="e">
        <f>'2.4.Функции'!K226+"BYw!&amp;|Q"</f>
        <v>#VALUE!</v>
      </c>
      <c r="EG123" t="e">
        <f>'2.4.Функции'!L226+"BYw!&amp;|R"</f>
        <v>#VALUE!</v>
      </c>
      <c r="EH123" t="e">
        <f>'2.4.Функции'!M226+"BYw!&amp;|S"</f>
        <v>#VALUE!</v>
      </c>
      <c r="EI123" t="e">
        <f>'2.4.Функции'!N226+"BYw!&amp;|T"</f>
        <v>#VALUE!</v>
      </c>
      <c r="EJ123" t="e">
        <f>'2.4.Функции'!O226+"BYw!&amp;|U"</f>
        <v>#VALUE!</v>
      </c>
      <c r="EK123" t="e">
        <f>'2.4.Функции'!P226+"BYw!&amp;|V"</f>
        <v>#VALUE!</v>
      </c>
      <c r="EL123" t="e">
        <f>'2.4.Функции'!Q226+"BYw!&amp;|W"</f>
        <v>#VALUE!</v>
      </c>
      <c r="EM123" t="e">
        <f>'2.4.Функции'!R226+"BYw!&amp;|X"</f>
        <v>#VALUE!</v>
      </c>
      <c r="EN123" t="e">
        <f>'2.4.Функции'!S226+"BYw!&amp;|Y"</f>
        <v>#VALUE!</v>
      </c>
      <c r="EO123" t="e">
        <f>'2.4.Функции'!T226+"BYw!&amp;|Z"</f>
        <v>#VALUE!</v>
      </c>
      <c r="EP123" t="e">
        <f>'2.4.Функции'!U226+"BYw!&amp;|["</f>
        <v>#VALUE!</v>
      </c>
      <c r="EQ123" t="e">
        <f>'2.4.Функции'!V226+"BYw!&amp;|\"</f>
        <v>#VALUE!</v>
      </c>
      <c r="ER123" t="e">
        <f>'2.4.Функции'!W226+"BYw!&amp;|]"</f>
        <v>#VALUE!</v>
      </c>
      <c r="ES123" t="e">
        <f>'2.4.Функции'!X226+"BYw!&amp;|^"</f>
        <v>#VALUE!</v>
      </c>
      <c r="ET123" t="e">
        <f>'2.4.Функции'!Y226+"BYw!&amp;|_"</f>
        <v>#VALUE!</v>
      </c>
      <c r="EU123" t="e">
        <f>'2.4.Функции'!Z226+"BYw!&amp;|`"</f>
        <v>#VALUE!</v>
      </c>
      <c r="EV123" t="e">
        <f>'2.4.Функции'!AA226+"BYw!&amp;|a"</f>
        <v>#VALUE!</v>
      </c>
      <c r="EW123" t="e">
        <f>'2.4.Функции'!AB226+"BYw!&amp;|b"</f>
        <v>#VALUE!</v>
      </c>
      <c r="EX123" t="e">
        <f>'2.4.Функции'!AC226+"BYw!&amp;|c"</f>
        <v>#VALUE!</v>
      </c>
      <c r="EY123" t="e">
        <f>'2.4.Функции'!AID226+"BYw!&amp;|d"</f>
        <v>#VALUE!</v>
      </c>
      <c r="EZ123" t="e">
        <f>'2.4.Функции'!AIE226+"BYw!&amp;|e"</f>
        <v>#VALUE!</v>
      </c>
      <c r="FA123" t="e">
        <f>'2.4.Функции'!AIF226+"BYw!&amp;|f"</f>
        <v>#VALUE!</v>
      </c>
      <c r="FB123" t="e">
        <f>'2.4.Функции'!AIG226+"BYw!&amp;|g"</f>
        <v>#VALUE!</v>
      </c>
      <c r="FC123" t="e">
        <f>'2.4.Функции'!AIH226+"BYw!&amp;|h"</f>
        <v>#VALUE!</v>
      </c>
      <c r="FD123" t="e">
        <f>'2.4.Функции'!K227+"BYw!&amp;|i"</f>
        <v>#VALUE!</v>
      </c>
      <c r="FE123" t="e">
        <f>'2.4.Функции'!L227+"BYw!&amp;|j"</f>
        <v>#VALUE!</v>
      </c>
      <c r="FF123" t="e">
        <f>'2.4.Функции'!M227+"BYw!&amp;|k"</f>
        <v>#VALUE!</v>
      </c>
      <c r="FG123" t="e">
        <f>'2.4.Функции'!N227+"BYw!&amp;|l"</f>
        <v>#VALUE!</v>
      </c>
      <c r="FH123" t="e">
        <f>'2.4.Функции'!O227+"BYw!&amp;|m"</f>
        <v>#VALUE!</v>
      </c>
      <c r="FI123" t="e">
        <f>'2.4.Функции'!P227+"BYw!&amp;|n"</f>
        <v>#VALUE!</v>
      </c>
      <c r="FJ123" t="e">
        <f>'2.4.Функции'!Q227+"BYw!&amp;|o"</f>
        <v>#VALUE!</v>
      </c>
      <c r="FK123" t="e">
        <f>'2.4.Функции'!R227+"BYw!&amp;|p"</f>
        <v>#VALUE!</v>
      </c>
      <c r="FL123" t="e">
        <f>'2.4.Функции'!S227+"BYw!&amp;|q"</f>
        <v>#VALUE!</v>
      </c>
      <c r="FM123" t="e">
        <f>'2.4.Функции'!T227+"BYw!&amp;|r"</f>
        <v>#VALUE!</v>
      </c>
      <c r="FN123" t="e">
        <f>'2.4.Функции'!U227+"BYw!&amp;|s"</f>
        <v>#VALUE!</v>
      </c>
      <c r="FO123" t="e">
        <f>'2.4.Функции'!V227+"BYw!&amp;|t"</f>
        <v>#VALUE!</v>
      </c>
      <c r="FP123" t="e">
        <f>'2.4.Функции'!W227+"BYw!&amp;|u"</f>
        <v>#VALUE!</v>
      </c>
      <c r="FQ123" t="e">
        <f>'2.4.Функции'!X227+"BYw!&amp;|v"</f>
        <v>#VALUE!</v>
      </c>
      <c r="FR123" t="e">
        <f>'2.4.Функции'!Y227+"BYw!&amp;|w"</f>
        <v>#VALUE!</v>
      </c>
      <c r="FS123" t="e">
        <f>'2.4.Функции'!Z227+"BYw!&amp;|x"</f>
        <v>#VALUE!</v>
      </c>
      <c r="FT123" t="e">
        <f>'2.4.Функции'!AA227+"BYw!&amp;|y"</f>
        <v>#VALUE!</v>
      </c>
      <c r="FU123" t="e">
        <f>'2.4.Функции'!AB227+"BYw!&amp;|z"</f>
        <v>#VALUE!</v>
      </c>
      <c r="FV123" t="e">
        <f>'2.4.Функции'!AC227+"BYw!&amp;|{"</f>
        <v>#VALUE!</v>
      </c>
      <c r="FW123" t="e">
        <f>'2.4.Функции'!AID227+"BYw!&amp;||"</f>
        <v>#VALUE!</v>
      </c>
      <c r="FX123" t="e">
        <f>'2.4.Функции'!AIE227+"BYw!&amp;|}"</f>
        <v>#VALUE!</v>
      </c>
      <c r="FY123" t="e">
        <f>'2.4.Функции'!AIF227+"BYw!&amp;|~"</f>
        <v>#VALUE!</v>
      </c>
      <c r="FZ123" t="e">
        <f>'2.4.Функции'!AIG227+"BYw!&amp;}#"</f>
        <v>#VALUE!</v>
      </c>
      <c r="GA123" t="e">
        <f>'2.4.Функции'!AIH227+"BYw!&amp;}$"</f>
        <v>#VALUE!</v>
      </c>
      <c r="GB123" t="e">
        <f>'2.4.Функции'!K228+"BYw!&amp;}%"</f>
        <v>#VALUE!</v>
      </c>
      <c r="GC123" t="e">
        <f>'2.4.Функции'!L228+"BYw!&amp;}&amp;"</f>
        <v>#VALUE!</v>
      </c>
      <c r="GD123" t="e">
        <f>'2.4.Функции'!M228+"BYw!&amp;}'"</f>
        <v>#VALUE!</v>
      </c>
      <c r="GE123" t="e">
        <f>'2.4.Функции'!N228+"BYw!&amp;}("</f>
        <v>#VALUE!</v>
      </c>
      <c r="GF123" t="e">
        <f>'2.4.Функции'!O228+"BYw!&amp;})"</f>
        <v>#VALUE!</v>
      </c>
      <c r="GG123" t="e">
        <f>'2.4.Функции'!P228+"BYw!&amp;}."</f>
        <v>#VALUE!</v>
      </c>
      <c r="GH123" t="e">
        <f>'2.4.Функции'!Q228+"BYw!&amp;}/"</f>
        <v>#VALUE!</v>
      </c>
      <c r="GI123" t="e">
        <f>'2.4.Функции'!R228+"BYw!&amp;}0"</f>
        <v>#VALUE!</v>
      </c>
      <c r="GJ123" t="e">
        <f>'2.4.Функции'!S228+"BYw!&amp;}1"</f>
        <v>#VALUE!</v>
      </c>
      <c r="GK123" t="e">
        <f>'2.4.Функции'!T228+"BYw!&amp;}2"</f>
        <v>#VALUE!</v>
      </c>
      <c r="GL123" t="e">
        <f>'2.4.Функции'!U228+"BYw!&amp;}3"</f>
        <v>#VALUE!</v>
      </c>
      <c r="GM123" t="e">
        <f>'2.4.Функции'!V228+"BYw!&amp;}4"</f>
        <v>#VALUE!</v>
      </c>
      <c r="GN123" t="e">
        <f>'2.4.Функции'!W228+"BYw!&amp;}5"</f>
        <v>#VALUE!</v>
      </c>
      <c r="GO123" t="e">
        <f>'2.4.Функции'!X228+"BYw!&amp;}6"</f>
        <v>#VALUE!</v>
      </c>
      <c r="GP123" t="e">
        <f>'2.4.Функции'!Y228+"BYw!&amp;}7"</f>
        <v>#VALUE!</v>
      </c>
      <c r="GQ123" t="e">
        <f>'2.4.Функции'!Z228+"BYw!&amp;}8"</f>
        <v>#VALUE!</v>
      </c>
      <c r="GR123" t="e">
        <f>'2.4.Функции'!AA228+"BYw!&amp;}9"</f>
        <v>#VALUE!</v>
      </c>
      <c r="GS123" t="e">
        <f>'2.4.Функции'!AB228+"BYw!&amp;}:"</f>
        <v>#VALUE!</v>
      </c>
      <c r="GT123" t="e">
        <f>'2.4.Функции'!AC228+"BYw!&amp;};"</f>
        <v>#VALUE!</v>
      </c>
      <c r="GU123" t="e">
        <f>'2.4.Функции'!AID228+"BYw!&amp;}&lt;"</f>
        <v>#VALUE!</v>
      </c>
      <c r="GV123" t="e">
        <f>'2.4.Функции'!AIE228+"BYw!&amp;}="</f>
        <v>#VALUE!</v>
      </c>
      <c r="GW123" t="e">
        <f>'2.4.Функции'!AIF228+"BYw!&amp;}&gt;"</f>
        <v>#VALUE!</v>
      </c>
      <c r="GX123" t="e">
        <f>'2.4.Функции'!AIG228+"BYw!&amp;}?"</f>
        <v>#VALUE!</v>
      </c>
      <c r="GY123" t="e">
        <f>'2.4.Функции'!AIH228+"BYw!&amp;}@"</f>
        <v>#VALUE!</v>
      </c>
      <c r="GZ123" t="e">
        <f>'2.4.Функции'!K229+"BYw!&amp;}A"</f>
        <v>#VALUE!</v>
      </c>
      <c r="HA123" t="e">
        <f>'2.4.Функции'!AID229+"BYw!&amp;}B"</f>
        <v>#VALUE!</v>
      </c>
      <c r="HB123" t="e">
        <f>'2.4.Функции'!AIE229+"BYw!&amp;}C"</f>
        <v>#VALUE!</v>
      </c>
      <c r="HC123" t="e">
        <f>'2.4.Функции'!AIF229+"BYw!&amp;}D"</f>
        <v>#VALUE!</v>
      </c>
      <c r="HD123" t="e">
        <f>'2.4.Функции'!AIG229+"BYw!&amp;}E"</f>
        <v>#VALUE!</v>
      </c>
      <c r="HE123" t="e">
        <f>'2.4.Функции'!AIH229+"BYw!&amp;}F"</f>
        <v>#VALUE!</v>
      </c>
      <c r="HF123" t="e">
        <f>'2.4.Функции'!A:A*"BYw!&amp;}G"</f>
        <v>#VALUE!</v>
      </c>
      <c r="HG123" t="e">
        <f>'2.4.Функции'!B:B*"BYw!&amp;}H"</f>
        <v>#VALUE!</v>
      </c>
      <c r="HH123" t="e">
        <f>'2.4.Функции'!C:C*"BYw!&amp;}I"</f>
        <v>#VALUE!</v>
      </c>
      <c r="HI123" t="e">
        <f>'2.4.Функции'!D:D*"BYw!&amp;}J"</f>
        <v>#VALUE!</v>
      </c>
      <c r="HJ123" t="e">
        <f>'2.4.Функции'!E:E*"BYw!&amp;}K"</f>
        <v>#VALUE!</v>
      </c>
      <c r="HK123" t="e">
        <f>'2.4.Функции'!F:F*"BYw!&amp;}L"</f>
        <v>#VALUE!</v>
      </c>
      <c r="HL123" t="e">
        <f>'2.4.Функции'!G:G*"BYw!&amp;}M"</f>
        <v>#VALUE!</v>
      </c>
      <c r="HM123" t="e">
        <f>'2.4.Функции'!H:H*"BYw!&amp;}N"</f>
        <v>#VALUE!</v>
      </c>
      <c r="HN123" t="e">
        <f>'2.4.Функции'!I:I*"BYw!&amp;}O"</f>
        <v>#VALUE!</v>
      </c>
      <c r="HO123" t="e">
        <f>'2.4.Функции'!J:J*"BYw!&amp;}P"</f>
        <v>#VALUE!</v>
      </c>
      <c r="HP123" t="e">
        <f>'2.4.Функции'!K:K*"BYw!&amp;}Q"</f>
        <v>#VALUE!</v>
      </c>
      <c r="HQ123" t="e">
        <f>'2.4.Функции'!L:L*"BYw!&amp;}R"</f>
        <v>#VALUE!</v>
      </c>
      <c r="HR123" t="e">
        <f>'2.4.Функции'!M:M*"BYw!&amp;}S"</f>
        <v>#VALUE!</v>
      </c>
      <c r="HS123" t="e">
        <f>'2.4.Функции'!N:N*"BYw!&amp;}T"</f>
        <v>#VALUE!</v>
      </c>
      <c r="HT123" t="e">
        <f>'2.4.Функции'!O:O*"BYw!&amp;}U"</f>
        <v>#VALUE!</v>
      </c>
      <c r="HU123" t="e">
        <f>'2.4.Функции'!P:P*"BYw!&amp;}V"</f>
        <v>#VALUE!</v>
      </c>
      <c r="HV123" t="e">
        <f>'2.4.Функции'!Q:Q*"BYw!&amp;}W"</f>
        <v>#VALUE!</v>
      </c>
      <c r="HW123" t="e">
        <f>'2.4.Функции'!R:R*"BYw!&amp;}X"</f>
        <v>#VALUE!</v>
      </c>
      <c r="HX123" t="e">
        <f>'2.4.Функции'!S:S*"BYw!&amp;}Y"</f>
        <v>#VALUE!</v>
      </c>
      <c r="HY123" t="e">
        <f>'2.4.Функции'!T:T*"BYw!&amp;}Z"</f>
        <v>#VALUE!</v>
      </c>
      <c r="HZ123" t="e">
        <f>'2.4.Функции'!U:U*"BYw!&amp;}["</f>
        <v>#VALUE!</v>
      </c>
      <c r="IA123" t="e">
        <f>'2.4.Функции'!V:V*"BYw!&amp;}\"</f>
        <v>#VALUE!</v>
      </c>
      <c r="IB123" t="e">
        <f>'2.4.Функции'!W:W*"BYw!&amp;}]"</f>
        <v>#VALUE!</v>
      </c>
      <c r="IC123" t="e">
        <f>'2.4.Функции'!X:X*"BYw!&amp;}^"</f>
        <v>#VALUE!</v>
      </c>
      <c r="ID123" t="e">
        <f>'2.4.Функции'!Y:Y*"BYw!&amp;}_"</f>
        <v>#VALUE!</v>
      </c>
      <c r="IE123" t="e">
        <f>'2.4.Функции'!Z:Z*"BYw!&amp;}`"</f>
        <v>#VALUE!</v>
      </c>
      <c r="IF123" t="e">
        <f>'2.4.Функции'!AA:AA*"BYw!&amp;}a"</f>
        <v>#VALUE!</v>
      </c>
      <c r="IG123" t="e">
        <f>'2.4.Функции'!AB:AB*"BYw!&amp;}b"</f>
        <v>#VALUE!</v>
      </c>
      <c r="IH123" t="e">
        <f>'2.4.Функции'!AC:AC*"BYw!&amp;}c"</f>
        <v>#VALUE!</v>
      </c>
      <c r="II123" t="e">
        <f>'2.4.Функции'!AD:AD*"BYw!&amp;}d"</f>
        <v>#VALUE!</v>
      </c>
      <c r="IJ123" t="e">
        <f>'2.4.Функции'!AE:AE*"BYw!&amp;}e"</f>
        <v>#VALUE!</v>
      </c>
      <c r="IK123" t="e">
        <f>'2.4.Функции'!AF:AF*"BYw!&amp;}f"</f>
        <v>#VALUE!</v>
      </c>
      <c r="IL123" t="e">
        <f>'2.4.Функции'!AG:AG*"BYw!&amp;}g"</f>
        <v>#VALUE!</v>
      </c>
      <c r="IM123" t="e">
        <f>'2.4.Функции'!AH:AH*"BYw!&amp;}h"</f>
        <v>#VALUE!</v>
      </c>
      <c r="IN123" t="e">
        <f>'2.4.Функции'!AI:AI*"BYw!&amp;}i"</f>
        <v>#VALUE!</v>
      </c>
      <c r="IO123" t="e">
        <f>'2.4.Функции'!AJ:AJ*"BYw!&amp;}j"</f>
        <v>#VALUE!</v>
      </c>
      <c r="IP123" t="e">
        <f>'2.4.Функции'!AK:AK*"BYw!&amp;}k"</f>
        <v>#VALUE!</v>
      </c>
      <c r="IQ123" t="e">
        <f>'2.4.Функции'!AL:AL*"BYw!&amp;}l"</f>
        <v>#VALUE!</v>
      </c>
      <c r="IR123" t="e">
        <f>'2.4.Функции'!AM:AM*"BYw!&amp;}m"</f>
        <v>#VALUE!</v>
      </c>
      <c r="IS123" t="e">
        <f>'2.4.Функции'!AN:AN*"BYw!&amp;}n"</f>
        <v>#VALUE!</v>
      </c>
      <c r="IT123" t="e">
        <f>'2.4.Функции'!AO:AO*"BYw!&amp;}o"</f>
        <v>#VALUE!</v>
      </c>
      <c r="IU123" t="e">
        <f>'2.4.Функции'!AP:AP*"BYw!&amp;}p"</f>
        <v>#VALUE!</v>
      </c>
      <c r="IV123" t="e">
        <f>'2.4.Функции'!AQ:AQ*"BYw!&amp;}q"</f>
        <v>#VALUE!</v>
      </c>
    </row>
    <row r="124" spans="6:256" x14ac:dyDescent="0.2">
      <c r="F124" t="e">
        <f>'2.4.Функции'!AR:AR*"BYw!&amp;}r"</f>
        <v>#VALUE!</v>
      </c>
      <c r="G124" t="e">
        <f>'2.4.Функции'!AS:AS*"BYw!&amp;}s"</f>
        <v>#VALUE!</v>
      </c>
      <c r="H124" t="e">
        <f>'2.4.Функции'!AT:AT*"BYw!&amp;}t"</f>
        <v>#VALUE!</v>
      </c>
      <c r="I124" t="e">
        <f>'2.4.Функции'!AU:AU*"BYw!&amp;}u"</f>
        <v>#VALUE!</v>
      </c>
      <c r="J124" t="e">
        <f>'2.4.Функции'!AV:AV*"BYw!&amp;}v"</f>
        <v>#VALUE!</v>
      </c>
      <c r="K124" t="e">
        <f>'2.4.Функции'!AW:AW*"BYw!&amp;}w"</f>
        <v>#VALUE!</v>
      </c>
      <c r="L124" t="e">
        <f>'2.4.Функции'!AX:AX*"BYw!&amp;}x"</f>
        <v>#VALUE!</v>
      </c>
      <c r="M124" t="e">
        <f>'2.4.Функции'!AY:AY*"BYw!&amp;}y"</f>
        <v>#VALUE!</v>
      </c>
      <c r="N124" t="e">
        <f>'2.4.Функции'!AZ:AZ*"BYw!&amp;}z"</f>
        <v>#VALUE!</v>
      </c>
      <c r="O124" t="e">
        <f>'2.4.Функции'!BA:BA*"BYw!&amp;}{"</f>
        <v>#VALUE!</v>
      </c>
      <c r="P124" t="e">
        <f>'2.4.Функции'!BB:BB*"BYw!&amp;}|"</f>
        <v>#VALUE!</v>
      </c>
      <c r="Q124" t="e">
        <f>'2.4.Функции'!BC:BC*"BYw!&amp;}}"</f>
        <v>#VALUE!</v>
      </c>
      <c r="R124" t="e">
        <f>'2.4.Функции'!BD:BD*"BYw!&amp;}~"</f>
        <v>#VALUE!</v>
      </c>
      <c r="S124" t="e">
        <f>'2.4.Функции'!BE:BE*"BYw!&amp;~#"</f>
        <v>#VALUE!</v>
      </c>
      <c r="T124" t="e">
        <f>'2.4.Функции'!BF:BF*"BYw!&amp;~$"</f>
        <v>#VALUE!</v>
      </c>
      <c r="U124" t="e">
        <f>'2.4.Функции'!BG:BG*"BYw!&amp;~%"</f>
        <v>#VALUE!</v>
      </c>
      <c r="V124" t="e">
        <f>'2.4.Функции'!BH:BH*"BYw!&amp;~&amp;"</f>
        <v>#VALUE!</v>
      </c>
      <c r="W124" t="e">
        <f>'2.4.Функции'!BI:BI*"BYw!&amp;~'"</f>
        <v>#VALUE!</v>
      </c>
      <c r="X124" t="e">
        <f>'2.4.Функции'!BJ:BJ*"BYw!&amp;~("</f>
        <v>#VALUE!</v>
      </c>
      <c r="Y124" t="e">
        <f>'2.4.Функции'!BK:BK*"BYw!&amp;~)"</f>
        <v>#VALUE!</v>
      </c>
      <c r="Z124" t="e">
        <f>'2.4.Функции'!BL:BL*"BYw!&amp;~."</f>
        <v>#VALUE!</v>
      </c>
      <c r="AA124" t="e">
        <f>'2.4.Функции'!BM:BM*"BYw!&amp;~/"</f>
        <v>#VALUE!</v>
      </c>
      <c r="AB124" t="e">
        <f>'2.4.Функции'!BN:BN*"BYw!&amp;~0"</f>
        <v>#VALUE!</v>
      </c>
      <c r="AC124" t="e">
        <f>'2.4.Функции'!BO:BO*"BYw!&amp;~1"</f>
        <v>#VALUE!</v>
      </c>
      <c r="AD124" t="e">
        <f>'2.4.Функции'!BP:BP*"BYw!&amp;~2"</f>
        <v>#VALUE!</v>
      </c>
      <c r="AE124" t="e">
        <f>'2.4.Функции'!BQ:BQ*"BYw!&amp;~3"</f>
        <v>#VALUE!</v>
      </c>
      <c r="AF124" t="e">
        <f>'2.4.Функции'!BR:BR*"BYw!&amp;~4"</f>
        <v>#VALUE!</v>
      </c>
      <c r="AG124" t="e">
        <f>'2.4.Функции'!BS:BS*"BYw!&amp;~5"</f>
        <v>#VALUE!</v>
      </c>
      <c r="AH124" t="e">
        <f>'2.4.Функции'!BT:BT*"BYw!&amp;~6"</f>
        <v>#VALUE!</v>
      </c>
      <c r="AI124" t="e">
        <f>'2.4.Функции'!BU:BU*"BYw!&amp;~7"</f>
        <v>#VALUE!</v>
      </c>
      <c r="AJ124" t="e">
        <f>'2.4.Функции'!BV:BV*"BYw!&amp;~8"</f>
        <v>#VALUE!</v>
      </c>
      <c r="AK124" t="e">
        <f>'2.4.Функции'!BW:BW*"BYw!&amp;~9"</f>
        <v>#VALUE!</v>
      </c>
      <c r="AL124" t="e">
        <f>'2.4.Функции'!BX:BX*"BYw!&amp;~:"</f>
        <v>#VALUE!</v>
      </c>
      <c r="AM124" t="e">
        <f>'2.4.Функции'!BY:BY*"BYw!&amp;~;"</f>
        <v>#VALUE!</v>
      </c>
      <c r="AN124" t="e">
        <f>'2.4.Функции'!BZ:BZ*"BYw!&amp;~&lt;"</f>
        <v>#VALUE!</v>
      </c>
      <c r="AO124" t="e">
        <f>'2.4.Функции'!CA:CA*"BYw!&amp;~="</f>
        <v>#VALUE!</v>
      </c>
      <c r="AP124" t="e">
        <f>'2.4.Функции'!CB:CB*"BYw!&amp;~&gt;"</f>
        <v>#VALUE!</v>
      </c>
      <c r="AQ124" t="e">
        <f>'2.4.Функции'!CC:CC*"BYw!&amp;~?"</f>
        <v>#VALUE!</v>
      </c>
      <c r="AR124" t="e">
        <f>'2.4.Функции'!CD:CD*"BYw!&amp;~@"</f>
        <v>#VALUE!</v>
      </c>
      <c r="AS124" t="e">
        <f>'2.4.Функции'!CE:CE*"BYw!&amp;~A"</f>
        <v>#VALUE!</v>
      </c>
      <c r="AT124" t="e">
        <f>'2.4.Функции'!CF:CF*"BYw!&amp;~B"</f>
        <v>#VALUE!</v>
      </c>
      <c r="AU124" t="e">
        <f>'2.4.Функции'!CG:CG*"BYw!&amp;~C"</f>
        <v>#VALUE!</v>
      </c>
      <c r="AV124" t="e">
        <f>'2.4.Функции'!CH:CH*"BYw!&amp;~D"</f>
        <v>#VALUE!</v>
      </c>
      <c r="AW124" t="e">
        <f>'2.4.Функции'!CI:CI*"BYw!&amp;~E"</f>
        <v>#VALUE!</v>
      </c>
      <c r="AX124" t="e">
        <f>'2.4.Функции'!CJ:CJ*"BYw!&amp;~F"</f>
        <v>#VALUE!</v>
      </c>
      <c r="AY124" t="e">
        <f>'2.4.Функции'!CK:CK*"BYw!&amp;~G"</f>
        <v>#VALUE!</v>
      </c>
      <c r="AZ124" t="e">
        <f>'2.4.Функции'!CL:CL*"BYw!&amp;~H"</f>
        <v>#VALUE!</v>
      </c>
      <c r="BA124" t="e">
        <f>'2.4.Функции'!CM:CM*"BYw!&amp;~I"</f>
        <v>#VALUE!</v>
      </c>
      <c r="BB124" t="e">
        <f>'2.4.Функции'!CN:CN*"BYw!&amp;~J"</f>
        <v>#VALUE!</v>
      </c>
      <c r="BC124" t="e">
        <f>'2.4.Функции'!CO:CO*"BYw!&amp;~K"</f>
        <v>#VALUE!</v>
      </c>
      <c r="BD124" t="e">
        <f>'2.4.Функции'!CP:CP*"BYw!&amp;~L"</f>
        <v>#VALUE!</v>
      </c>
      <c r="BE124" t="e">
        <f>'2.4.Функции'!CQ:CQ*"BYw!&amp;~M"</f>
        <v>#VALUE!</v>
      </c>
      <c r="BF124" t="e">
        <f>'2.4.Функции'!CR:CR*"BYw!&amp;~N"</f>
        <v>#VALUE!</v>
      </c>
      <c r="BG124" t="e">
        <f>'2.4.Функции'!CS:CS*"BYw!&amp;~O"</f>
        <v>#VALUE!</v>
      </c>
      <c r="BH124" t="e">
        <f>'2.4.Функции'!CT:CT*"BYw!&amp;~P"</f>
        <v>#VALUE!</v>
      </c>
      <c r="BI124" t="e">
        <f>'2.4.Функции'!CU:CU*"BYw!&amp;~Q"</f>
        <v>#VALUE!</v>
      </c>
      <c r="BJ124" t="e">
        <f>'2.4.Функции'!CV:CV*"BYw!&amp;~R"</f>
        <v>#VALUE!</v>
      </c>
      <c r="BK124" t="e">
        <f>'2.4.Функции'!CW:CW*"BYw!&amp;~S"</f>
        <v>#VALUE!</v>
      </c>
      <c r="BL124" t="e">
        <f>'2.4.Функции'!CX:CX*"BYw!&amp;~T"</f>
        <v>#VALUE!</v>
      </c>
      <c r="BM124" t="e">
        <f>'2.4.Функции'!CY:CY*"BYw!&amp;~U"</f>
        <v>#VALUE!</v>
      </c>
      <c r="BN124" t="e">
        <f>'2.4.Функции'!CZ:CZ*"BYw!&amp;~V"</f>
        <v>#VALUE!</v>
      </c>
      <c r="BO124" t="e">
        <f>'2.4.Функции'!DA:DA*"BYw!&amp;~W"</f>
        <v>#VALUE!</v>
      </c>
      <c r="BP124" t="e">
        <f>'2.4.Функции'!DB:DB*"BYw!&amp;~X"</f>
        <v>#VALUE!</v>
      </c>
      <c r="BQ124" t="e">
        <f>'2.4.Функции'!DC:DC*"BYw!&amp;~Y"</f>
        <v>#VALUE!</v>
      </c>
      <c r="BR124" t="e">
        <f>'2.4.Функции'!DD:DD*"BYw!&amp;~Z"</f>
        <v>#VALUE!</v>
      </c>
      <c r="BS124" t="e">
        <f>'2.4.Функции'!DE:DE*"BYw!&amp;~["</f>
        <v>#VALUE!</v>
      </c>
      <c r="BT124" t="e">
        <f>'2.4.Функции'!DF:DF*"BYw!&amp;~\"</f>
        <v>#VALUE!</v>
      </c>
      <c r="BU124" t="e">
        <f>'2.4.Функции'!DG:DG*"BYw!&amp;~]"</f>
        <v>#VALUE!</v>
      </c>
      <c r="BV124" t="e">
        <f>'2.4.Функции'!DH:DH*"BYw!&amp;~^"</f>
        <v>#VALUE!</v>
      </c>
      <c r="BW124" t="e">
        <f>'2.4.Функции'!DI:DI*"BYw!&amp;~_"</f>
        <v>#VALUE!</v>
      </c>
      <c r="BX124" t="e">
        <f>'2.4.Функции'!DJ:DJ*"BYw!&amp;~`"</f>
        <v>#VALUE!</v>
      </c>
      <c r="BY124" t="e">
        <f>'2.4.Функции'!DK:DK*"BYw!&amp;~a"</f>
        <v>#VALUE!</v>
      </c>
      <c r="BZ124" t="e">
        <f>'2.4.Функции'!DL:DL*"BYw!&amp;~b"</f>
        <v>#VALUE!</v>
      </c>
      <c r="CA124" t="e">
        <f>'2.4.Функции'!DM:DM*"BYw!&amp;~c"</f>
        <v>#VALUE!</v>
      </c>
      <c r="CB124" t="e">
        <f>'2.4.Функции'!DN:DN*"BYw!&amp;~d"</f>
        <v>#VALUE!</v>
      </c>
      <c r="CC124" t="e">
        <f>'2.4.Функции'!DO:DO*"BYw!&amp;~e"</f>
        <v>#VALUE!</v>
      </c>
      <c r="CD124" t="e">
        <f>'2.4.Функции'!DP:DP*"BYw!&amp;~f"</f>
        <v>#VALUE!</v>
      </c>
      <c r="CE124" t="e">
        <f>'2.4.Функции'!DQ:DQ*"BYw!&amp;~g"</f>
        <v>#VALUE!</v>
      </c>
      <c r="CF124" t="e">
        <f>'2.4.Функции'!DR:DR*"BYw!&amp;~h"</f>
        <v>#VALUE!</v>
      </c>
      <c r="CG124" t="e">
        <f>'2.4.Функции'!DS:DS*"BYw!&amp;~i"</f>
        <v>#VALUE!</v>
      </c>
      <c r="CH124" t="e">
        <f>'2.4.Функции'!DT:DT*"BYw!&amp;~j"</f>
        <v>#VALUE!</v>
      </c>
      <c r="CI124" t="e">
        <f>'2.4.Функции'!DU:DU*"BYw!&amp;~k"</f>
        <v>#VALUE!</v>
      </c>
      <c r="CJ124" t="e">
        <f>'2.4.Функции'!DV:DV*"BYw!&amp;~l"</f>
        <v>#VALUE!</v>
      </c>
      <c r="CK124" t="e">
        <f>'2.4.Функции'!DW:DW*"BYw!&amp;~m"</f>
        <v>#VALUE!</v>
      </c>
      <c r="CL124" t="e">
        <f>'2.4.Функции'!DX:DX*"BYw!&amp;~n"</f>
        <v>#VALUE!</v>
      </c>
      <c r="CM124" t="e">
        <f>'2.4.Функции'!DY:DY*"BYw!&amp;~o"</f>
        <v>#VALUE!</v>
      </c>
      <c r="CN124" t="e">
        <f>'2.4.Функции'!DZ:DZ*"BYw!&amp;~p"</f>
        <v>#VALUE!</v>
      </c>
      <c r="CO124" t="e">
        <f>'2.4.Функции'!EA:EA*"BYw!&amp;~q"</f>
        <v>#VALUE!</v>
      </c>
      <c r="CP124" t="e">
        <f>'2.4.Функции'!EB:EB*"BYw!&amp;~r"</f>
        <v>#VALUE!</v>
      </c>
      <c r="CQ124" t="e">
        <f>'2.4.Функции'!EC:EC*"BYw!&amp;~s"</f>
        <v>#VALUE!</v>
      </c>
      <c r="CR124" t="e">
        <f>'2.4.Функции'!ED:ED*"BYw!&amp;~t"</f>
        <v>#VALUE!</v>
      </c>
      <c r="CS124" t="e">
        <f>'2.4.Функции'!EE:EE*"BYw!&amp;~u"</f>
        <v>#VALUE!</v>
      </c>
      <c r="CT124" t="e">
        <f>'2.4.Функции'!EF:EF*"BYw!&amp;~v"</f>
        <v>#VALUE!</v>
      </c>
      <c r="CU124" t="e">
        <f>'2.4.Функции'!EG:EG*"BYw!&amp;~w"</f>
        <v>#VALUE!</v>
      </c>
      <c r="CV124" t="e">
        <f>'2.4.Функции'!EH:EH*"BYw!&amp;~x"</f>
        <v>#VALUE!</v>
      </c>
      <c r="CW124" t="e">
        <f>'2.4.Функции'!EI:EI*"BYw!&amp;~y"</f>
        <v>#VALUE!</v>
      </c>
      <c r="CX124" t="e">
        <f>'2.4.Функции'!EJ:EJ*"BYw!&amp;~z"</f>
        <v>#VALUE!</v>
      </c>
      <c r="CY124" t="e">
        <f>'2.4.Функции'!EK:EK*"BYw!&amp;~{"</f>
        <v>#VALUE!</v>
      </c>
      <c r="CZ124" t="e">
        <f>'2.4.Функции'!EL:EL*"BYw!&amp;~|"</f>
        <v>#VALUE!</v>
      </c>
      <c r="DA124" t="e">
        <f>'2.4.Функции'!EM:EM*"BYw!&amp;~}"</f>
        <v>#VALUE!</v>
      </c>
      <c r="DB124" t="e">
        <f>'2.4.Функции'!EN:EN*"BYw!&amp;~~"</f>
        <v>#VALUE!</v>
      </c>
      <c r="DC124" t="e">
        <f>'2.4.Функции'!EO:EO*"BYw!'##"</f>
        <v>#VALUE!</v>
      </c>
      <c r="DD124" t="e">
        <f>'2.4.Функции'!EP:EP*"BYw!'#$"</f>
        <v>#VALUE!</v>
      </c>
      <c r="DE124" t="e">
        <f>'2.4.Функции'!EQ:EQ*"BYw!'#%"</f>
        <v>#VALUE!</v>
      </c>
      <c r="DF124" t="e">
        <f>'2.4.Функции'!ER:ER*"BYw!'#&amp;"</f>
        <v>#VALUE!</v>
      </c>
      <c r="DG124" t="e">
        <f>'2.4.Функции'!ES:ES*"BYw!'#'"</f>
        <v>#VALUE!</v>
      </c>
      <c r="DH124" t="e">
        <f>'2.4.Функции'!ET:ET*"BYw!'#("</f>
        <v>#VALUE!</v>
      </c>
      <c r="DI124" t="e">
        <f>'2.4.Функции'!EU:EU*"BYw!'#)"</f>
        <v>#VALUE!</v>
      </c>
      <c r="DJ124" t="e">
        <f>'2.4.Функции'!EV:EV*"BYw!'#."</f>
        <v>#VALUE!</v>
      </c>
      <c r="DK124" t="e">
        <f>'2.4.Функции'!EW:EW*"BYw!'#/"</f>
        <v>#VALUE!</v>
      </c>
      <c r="DL124" t="e">
        <f>'2.4.Функции'!EX:EX*"BYw!'#0"</f>
        <v>#VALUE!</v>
      </c>
      <c r="DM124" t="e">
        <f>'2.4.Функции'!EY:EY*"BYw!'#1"</f>
        <v>#VALUE!</v>
      </c>
      <c r="DN124" t="e">
        <f>'2.4.Функции'!EZ:EZ*"BYw!'#2"</f>
        <v>#VALUE!</v>
      </c>
      <c r="DO124" t="e">
        <f>'2.4.Функции'!FA:FA*"BYw!'#3"</f>
        <v>#VALUE!</v>
      </c>
      <c r="DP124" t="e">
        <f>'2.4.Функции'!FB:FB*"BYw!'#4"</f>
        <v>#VALUE!</v>
      </c>
      <c r="DQ124" t="e">
        <f>'2.4.Функции'!FC:FC*"BYw!'#5"</f>
        <v>#VALUE!</v>
      </c>
      <c r="DR124" t="e">
        <f>'2.4.Функции'!FD:FD*"BYw!'#6"</f>
        <v>#VALUE!</v>
      </c>
      <c r="DS124" t="e">
        <f>'2.4.Функции'!FE:FE*"BYw!'#7"</f>
        <v>#VALUE!</v>
      </c>
      <c r="DT124" t="e">
        <f>'2.4.Функции'!FF:FF*"BYw!'#8"</f>
        <v>#VALUE!</v>
      </c>
      <c r="DU124" t="e">
        <f>'2.4.Функции'!FG:FG*"BYw!'#9"</f>
        <v>#VALUE!</v>
      </c>
      <c r="DV124" t="e">
        <f>'2.4.Функции'!FH:FH*"BYw!'#:"</f>
        <v>#VALUE!</v>
      </c>
      <c r="DW124" t="e">
        <f>'2.4.Функции'!FI:FI*"BYw!'#;"</f>
        <v>#VALUE!</v>
      </c>
      <c r="DX124" t="e">
        <f>'2.4.Функции'!FJ:FJ*"BYw!'#&lt;"</f>
        <v>#VALUE!</v>
      </c>
      <c r="DY124" t="e">
        <f>'2.4.Функции'!FK:FK*"BYw!'#="</f>
        <v>#VALUE!</v>
      </c>
      <c r="DZ124" t="e">
        <f>'2.4.Функции'!FL:FL*"BYw!'#&gt;"</f>
        <v>#VALUE!</v>
      </c>
      <c r="EA124" t="e">
        <f>'2.4.Функции'!FM:FM*"BYw!'#?"</f>
        <v>#VALUE!</v>
      </c>
      <c r="EB124" t="e">
        <f>'2.4.Функции'!FN:FN*"BYw!'#@"</f>
        <v>#VALUE!</v>
      </c>
      <c r="EC124" t="e">
        <f>'2.4.Функции'!FO:FO*"BYw!'#A"</f>
        <v>#VALUE!</v>
      </c>
      <c r="ED124" t="e">
        <f>'2.4.Функции'!FP:FP*"BYw!'#B"</f>
        <v>#VALUE!</v>
      </c>
      <c r="EE124" t="e">
        <f>'2.4.Функции'!FQ:FQ*"BYw!'#C"</f>
        <v>#VALUE!</v>
      </c>
      <c r="EF124" t="e">
        <f>'2.4.Функции'!FR:FR*"BYw!'#D"</f>
        <v>#VALUE!</v>
      </c>
      <c r="EG124" t="e">
        <f>'2.4.Функции'!FS:FS*"BYw!'#E"</f>
        <v>#VALUE!</v>
      </c>
      <c r="EH124" t="e">
        <f>'2.4.Функции'!FT:FT*"BYw!'#F"</f>
        <v>#VALUE!</v>
      </c>
      <c r="EI124" t="e">
        <f>'2.4.Функции'!FU:FU*"BYw!'#G"</f>
        <v>#VALUE!</v>
      </c>
      <c r="EJ124" t="e">
        <f>'2.4.Функции'!FV:FV*"BYw!'#H"</f>
        <v>#VALUE!</v>
      </c>
      <c r="EK124" t="e">
        <f>'2.4.Функции'!FW:FW*"BYw!'#I"</f>
        <v>#VALUE!</v>
      </c>
      <c r="EL124" t="e">
        <f>'2.4.Функции'!FX:FX*"BYw!'#J"</f>
        <v>#VALUE!</v>
      </c>
      <c r="EM124" t="e">
        <f>'2.4.Функции'!FY:FY*"BYw!'#K"</f>
        <v>#VALUE!</v>
      </c>
      <c r="EN124" t="e">
        <f>'2.4.Функции'!FZ:FZ*"BYw!'#L"</f>
        <v>#VALUE!</v>
      </c>
      <c r="EO124" t="e">
        <f>'2.4.Функции'!GA:GA*"BYw!'#M"</f>
        <v>#VALUE!</v>
      </c>
      <c r="EP124" t="e">
        <f>'2.4.Функции'!GB:GB*"BYw!'#N"</f>
        <v>#VALUE!</v>
      </c>
      <c r="EQ124" t="e">
        <f>'2.4.Функции'!GC:GC*"BYw!'#O"</f>
        <v>#VALUE!</v>
      </c>
      <c r="ER124" t="e">
        <f>'2.4.Функции'!GD:GD*"BYw!'#P"</f>
        <v>#VALUE!</v>
      </c>
      <c r="ES124" t="e">
        <f>'2.4.Функции'!GE:GE*"BYw!'#Q"</f>
        <v>#VALUE!</v>
      </c>
      <c r="ET124" t="e">
        <f>'2.4.Функции'!GF:GF*"BYw!'#R"</f>
        <v>#VALUE!</v>
      </c>
      <c r="EU124" t="e">
        <f>'2.4.Функции'!GG:GG*"BYw!'#S"</f>
        <v>#VALUE!</v>
      </c>
      <c r="EV124" t="e">
        <f>'2.4.Функции'!GH:GH*"BYw!'#T"</f>
        <v>#VALUE!</v>
      </c>
      <c r="EW124" t="e">
        <f>'2.4.Функции'!GI:GI*"BYw!'#U"</f>
        <v>#VALUE!</v>
      </c>
      <c r="EX124" t="e">
        <f>'2.4.Функции'!GJ:GJ*"BYw!'#V"</f>
        <v>#VALUE!</v>
      </c>
      <c r="EY124" t="e">
        <f>'2.4.Функции'!GK:GK*"BYw!'#W"</f>
        <v>#VALUE!</v>
      </c>
      <c r="EZ124" t="e">
        <f>'2.4.Функции'!GL:GL*"BYw!'#X"</f>
        <v>#VALUE!</v>
      </c>
      <c r="FA124" t="e">
        <f>'2.4.Функции'!GM:GM*"BYw!'#Y"</f>
        <v>#VALUE!</v>
      </c>
      <c r="FB124" t="e">
        <f>'2.4.Функции'!GN:GN*"BYw!'#Z"</f>
        <v>#VALUE!</v>
      </c>
      <c r="FC124" t="e">
        <f>'2.4.Функции'!GO:GO*"BYw!'#["</f>
        <v>#VALUE!</v>
      </c>
      <c r="FD124" t="e">
        <f>'2.4.Функции'!GP:GP*"BYw!'#\"</f>
        <v>#VALUE!</v>
      </c>
      <c r="FE124" t="e">
        <f>'2.4.Функции'!GQ:GQ*"BYw!'#]"</f>
        <v>#VALUE!</v>
      </c>
      <c r="FF124" t="e">
        <f>'2.4.Функции'!GR:GR*"BYw!'#^"</f>
        <v>#VALUE!</v>
      </c>
      <c r="FG124" t="e">
        <f>'2.4.Функции'!GS:GS*"BYw!'#_"</f>
        <v>#VALUE!</v>
      </c>
      <c r="FH124" t="e">
        <f>'2.4.Функции'!GT:GT*"BYw!'#`"</f>
        <v>#VALUE!</v>
      </c>
      <c r="FI124" t="e">
        <f>'2.4.Функции'!GU:GU*"BYw!'#a"</f>
        <v>#VALUE!</v>
      </c>
      <c r="FJ124" t="e">
        <f>'2.4.Функции'!GV:GV*"BYw!'#b"</f>
        <v>#VALUE!</v>
      </c>
      <c r="FK124" t="e">
        <f>'2.4.Функции'!GW:GW*"BYw!'#c"</f>
        <v>#VALUE!</v>
      </c>
      <c r="FL124" t="e">
        <f>'2.4.Функции'!GX:GX*"BYw!'#d"</f>
        <v>#VALUE!</v>
      </c>
      <c r="FM124" t="e">
        <f>'2.4.Функции'!GY:GY*"BYw!'#e"</f>
        <v>#VALUE!</v>
      </c>
      <c r="FN124" t="e">
        <f>'2.4.Функции'!GZ:GZ*"BYw!'#f"</f>
        <v>#VALUE!</v>
      </c>
      <c r="FO124" t="e">
        <f>'2.4.Функции'!HA:HA*"BYw!'#g"</f>
        <v>#VALUE!</v>
      </c>
      <c r="FP124" t="e">
        <f>'2.4.Функции'!HB:HB*"BYw!'#h"</f>
        <v>#VALUE!</v>
      </c>
      <c r="FQ124" t="e">
        <f>'2.4.Функции'!HC:HC*"BYw!'#i"</f>
        <v>#VALUE!</v>
      </c>
      <c r="FR124" t="e">
        <f>'2.4.Функции'!HD:HD*"BYw!'#j"</f>
        <v>#VALUE!</v>
      </c>
      <c r="FS124" t="e">
        <f>'2.4.Функции'!HE:HE*"BYw!'#k"</f>
        <v>#VALUE!</v>
      </c>
      <c r="FT124" t="e">
        <f>'2.4.Функции'!HF:HF*"BYw!'#l"</f>
        <v>#VALUE!</v>
      </c>
      <c r="FU124" t="e">
        <f>'2.4.Функции'!HG:HG*"BYw!'#m"</f>
        <v>#VALUE!</v>
      </c>
      <c r="FV124" t="e">
        <f>'2.4.Функции'!HH:HH*"BYw!'#n"</f>
        <v>#VALUE!</v>
      </c>
      <c r="FW124" t="e">
        <f>'2.4.Функции'!HI:HI*"BYw!'#o"</f>
        <v>#VALUE!</v>
      </c>
      <c r="FX124" t="e">
        <f>'2.4.Функции'!HJ:HJ*"BYw!'#p"</f>
        <v>#VALUE!</v>
      </c>
      <c r="FY124" t="e">
        <f>'2.4.Функции'!HK:HK*"BYw!'#q"</f>
        <v>#VALUE!</v>
      </c>
      <c r="FZ124" t="e">
        <f>'2.4.Функции'!HL:HL*"BYw!'#r"</f>
        <v>#VALUE!</v>
      </c>
      <c r="GA124" t="e">
        <f>'2.4.Функции'!HM:HM*"BYw!'#s"</f>
        <v>#VALUE!</v>
      </c>
      <c r="GB124" t="e">
        <f>'2.4.Функции'!HN:HN*"BYw!'#t"</f>
        <v>#VALUE!</v>
      </c>
      <c r="GC124" t="e">
        <f>'2.4.Функции'!HO:HO*"BYw!'#u"</f>
        <v>#VALUE!</v>
      </c>
      <c r="GD124" t="e">
        <f>'2.4.Функции'!HP:HP*"BYw!'#v"</f>
        <v>#VALUE!</v>
      </c>
      <c r="GE124" t="e">
        <f>'2.4.Функции'!HQ:HQ*"BYw!'#w"</f>
        <v>#VALUE!</v>
      </c>
      <c r="GF124" t="e">
        <f>'2.4.Функции'!HR:HR*"BYw!'#x"</f>
        <v>#VALUE!</v>
      </c>
      <c r="GG124" t="e">
        <f>'2.4.Функции'!HS:HS*"BYw!'#y"</f>
        <v>#VALUE!</v>
      </c>
      <c r="GH124" t="e">
        <f>'2.4.Функции'!HT:HT*"BYw!'#z"</f>
        <v>#VALUE!</v>
      </c>
      <c r="GI124" t="e">
        <f>'2.4.Функции'!HU:HU*"BYw!'#{"</f>
        <v>#VALUE!</v>
      </c>
      <c r="GJ124" t="e">
        <f>'2.4.Функции'!HV:HV*"BYw!'#|"</f>
        <v>#VALUE!</v>
      </c>
      <c r="GK124" t="e">
        <f>'2.4.Функции'!HW:HW*"BYw!'#}"</f>
        <v>#VALUE!</v>
      </c>
      <c r="GL124" t="e">
        <f>'2.4.Функции'!HX:HX*"BYw!'#~"</f>
        <v>#VALUE!</v>
      </c>
      <c r="GM124" t="e">
        <f>'2.4.Функции'!HY:HY*"BYw!'$#"</f>
        <v>#VALUE!</v>
      </c>
      <c r="GN124" t="e">
        <f>'2.4.Функции'!HZ:HZ*"BYw!'$$"</f>
        <v>#VALUE!</v>
      </c>
      <c r="GO124" t="e">
        <f>'2.4.Функции'!IA:IA*"BYw!'$%"</f>
        <v>#VALUE!</v>
      </c>
      <c r="GP124" t="e">
        <f>'2.4.Функции'!IB:IB*"BYw!'$&amp;"</f>
        <v>#VALUE!</v>
      </c>
      <c r="GQ124" t="e">
        <f>'2.4.Функции'!IC:IC*"BYw!'$'"</f>
        <v>#VALUE!</v>
      </c>
      <c r="GR124" t="e">
        <f>'2.4.Функции'!ID:ID*"BYw!'$("</f>
        <v>#VALUE!</v>
      </c>
      <c r="GS124" t="e">
        <f>'2.4.Функции'!IE:IE*"BYw!'$)"</f>
        <v>#VALUE!</v>
      </c>
      <c r="GT124" t="e">
        <f>'2.4.Функции'!IF:IF*"BYw!'$."</f>
        <v>#VALUE!</v>
      </c>
      <c r="GU124" t="e">
        <f>'2.4.Функции'!IG:IG*"BYw!'$/"</f>
        <v>#VALUE!</v>
      </c>
      <c r="GV124" t="e">
        <f>'2.4.Функции'!IH:IH*"BYw!'$0"</f>
        <v>#VALUE!</v>
      </c>
      <c r="GW124" t="e">
        <f>'2.4.Функции'!II:II*"BYw!'$1"</f>
        <v>#VALUE!</v>
      </c>
      <c r="GX124" t="e">
        <f>'2.4.Функции'!IJ:IJ*"BYw!'$2"</f>
        <v>#VALUE!</v>
      </c>
      <c r="GY124" t="e">
        <f>'2.4.Функции'!IK:IK*"BYw!'$3"</f>
        <v>#VALUE!</v>
      </c>
      <c r="GZ124" t="e">
        <f>'2.4.Функции'!IL:IL*"BYw!'$4"</f>
        <v>#VALUE!</v>
      </c>
      <c r="HA124" t="e">
        <f>'2.4.Функции'!IM:IM*"BYw!'$5"</f>
        <v>#VALUE!</v>
      </c>
      <c r="HB124" t="e">
        <f>'2.4.Функции'!IN:IN*"BYw!'$6"</f>
        <v>#VALUE!</v>
      </c>
      <c r="HC124" t="e">
        <f>'2.4.Функции'!IO:IO*"BYw!'$7"</f>
        <v>#VALUE!</v>
      </c>
      <c r="HD124" t="e">
        <f>'2.4.Функции'!IP:IP*"BYw!'$8"</f>
        <v>#VALUE!</v>
      </c>
      <c r="HE124" t="e">
        <f>'2.4.Функции'!IQ:IQ*"BYw!'$9"</f>
        <v>#VALUE!</v>
      </c>
      <c r="HF124" t="e">
        <f>'2.4.Функции'!IR:IR*"BYw!'$:"</f>
        <v>#VALUE!</v>
      </c>
      <c r="HG124" t="e">
        <f>'2.4.Функции'!IS:IS*"BYw!'$;"</f>
        <v>#VALUE!</v>
      </c>
      <c r="HH124" t="e">
        <f>'2.4.Функции'!IT:IT*"BYw!'$&lt;"</f>
        <v>#VALUE!</v>
      </c>
      <c r="HI124" t="e">
        <f>'2.4.Функции'!IU:IU*"BYw!'$="</f>
        <v>#VALUE!</v>
      </c>
      <c r="HJ124" t="e">
        <f>'2.4.Функции'!IV:IV*"BYw!'$&gt;"</f>
        <v>#VALUE!</v>
      </c>
      <c r="HK124" t="e">
        <f>'2.4.Функции'!IW:IW*"BYw!'$?"</f>
        <v>#VALUE!</v>
      </c>
      <c r="HL124" t="e">
        <f>'2.4.Функции'!IX:IX*"BYw!'$@"</f>
        <v>#VALUE!</v>
      </c>
      <c r="HM124" t="e">
        <f>'2.4.Функции'!IY:IY*"BYw!'$A"</f>
        <v>#VALUE!</v>
      </c>
      <c r="HN124" t="e">
        <f>'2.4.Функции'!IZ:IZ*"BYw!'$B"</f>
        <v>#VALUE!</v>
      </c>
      <c r="HO124" t="e">
        <f>'2.4.Функции'!JA:JA*"BYw!'$C"</f>
        <v>#VALUE!</v>
      </c>
      <c r="HP124" t="e">
        <f>'2.4.Функции'!JB:JB*"BYw!'$D"</f>
        <v>#VALUE!</v>
      </c>
      <c r="HQ124" t="e">
        <f>'2.4.Функции'!JC:JC*"BYw!'$E"</f>
        <v>#VALUE!</v>
      </c>
      <c r="HR124" t="e">
        <f>'2.4.Функции'!JD:JD*"BYw!'$F"</f>
        <v>#VALUE!</v>
      </c>
      <c r="HS124" t="e">
        <f>'2.4.Функции'!JE:JE*"BYw!'$G"</f>
        <v>#VALUE!</v>
      </c>
      <c r="HT124" t="e">
        <f>'2.4.Функции'!JF:JF*"BYw!'$H"</f>
        <v>#VALUE!</v>
      </c>
      <c r="HU124" t="e">
        <f>'2.4.Функции'!JG:JG*"BYw!'$I"</f>
        <v>#VALUE!</v>
      </c>
      <c r="HV124" t="e">
        <f>'2.4.Функции'!JH:JH*"BYw!'$J"</f>
        <v>#VALUE!</v>
      </c>
      <c r="HW124" t="e">
        <f>'2.4.Функции'!JI:JI*"BYw!'$K"</f>
        <v>#VALUE!</v>
      </c>
      <c r="HX124" t="e">
        <f>'2.4.Функции'!JJ:JJ*"BYw!'$L"</f>
        <v>#VALUE!</v>
      </c>
      <c r="HY124" t="e">
        <f>'2.4.Функции'!JK:JK*"BYw!'$M"</f>
        <v>#VALUE!</v>
      </c>
      <c r="HZ124" t="e">
        <f>'2.4.Функции'!JL:JL*"BYw!'$N"</f>
        <v>#VALUE!</v>
      </c>
      <c r="IA124" t="e">
        <f>'2.4.Функции'!JM:JM*"BYw!'$O"</f>
        <v>#VALUE!</v>
      </c>
      <c r="IB124" t="e">
        <f>'2.4.Функции'!JN:JN*"BYw!'$P"</f>
        <v>#VALUE!</v>
      </c>
      <c r="IC124" t="e">
        <f>'2.4.Функции'!JO:JO*"BYw!'$Q"</f>
        <v>#VALUE!</v>
      </c>
      <c r="ID124" t="e">
        <f>'2.4.Функции'!JP:JP*"BYw!'$R"</f>
        <v>#VALUE!</v>
      </c>
      <c r="IE124" t="e">
        <f>'2.4.Функции'!JQ:JQ*"BYw!'$S"</f>
        <v>#VALUE!</v>
      </c>
      <c r="IF124" t="e">
        <f>'2.4.Функции'!JR:JR*"BYw!'$T"</f>
        <v>#VALUE!</v>
      </c>
      <c r="IG124" t="e">
        <f>'2.4.Функции'!JS:JS*"BYw!'$U"</f>
        <v>#VALUE!</v>
      </c>
      <c r="IH124" t="e">
        <f>'2.4.Функции'!JT:JT*"BYw!'$V"</f>
        <v>#VALUE!</v>
      </c>
      <c r="II124" t="e">
        <f>'2.4.Функции'!JU:JU*"BYw!'$W"</f>
        <v>#VALUE!</v>
      </c>
      <c r="IJ124" t="e">
        <f>'2.4.Функции'!JV:JV*"BYw!'$X"</f>
        <v>#VALUE!</v>
      </c>
      <c r="IK124" t="e">
        <f>'2.4.Функции'!JW:JW*"BYw!'$Y"</f>
        <v>#VALUE!</v>
      </c>
      <c r="IL124" t="e">
        <f>'2.4.Функции'!JX:JX*"BYw!'$Z"</f>
        <v>#VALUE!</v>
      </c>
      <c r="IM124" t="e">
        <f>'2.4.Функции'!JY:JY*"BYw!'$["</f>
        <v>#VALUE!</v>
      </c>
      <c r="IN124" t="e">
        <f>'2.4.Функции'!JZ:JZ*"BYw!'$\"</f>
        <v>#VALUE!</v>
      </c>
      <c r="IO124" t="e">
        <f>'2.4.Функции'!KA:KA*"BYw!'$]"</f>
        <v>#VALUE!</v>
      </c>
      <c r="IP124" t="e">
        <f>'2.4.Функции'!KB:KB*"BYw!'$^"</f>
        <v>#VALUE!</v>
      </c>
      <c r="IQ124" t="e">
        <f>'2.4.Функции'!KC:KC*"BYw!'$_"</f>
        <v>#VALUE!</v>
      </c>
      <c r="IR124" t="e">
        <f>'2.4.Функции'!KD:KD*"BYw!'$`"</f>
        <v>#VALUE!</v>
      </c>
      <c r="IS124" t="e">
        <f>'2.4.Функции'!KE:KE*"BYw!'$a"</f>
        <v>#VALUE!</v>
      </c>
      <c r="IT124" t="e">
        <f>'2.4.Функции'!KF:KF*"BYw!'$b"</f>
        <v>#VALUE!</v>
      </c>
      <c r="IU124" t="e">
        <f>'2.4.Функции'!KG:KG*"BYw!'$c"</f>
        <v>#VALUE!</v>
      </c>
      <c r="IV124" t="e">
        <f>'2.4.Функции'!KH:KH*"BYw!'$d"</f>
        <v>#VALUE!</v>
      </c>
    </row>
    <row r="125" spans="6:256" x14ac:dyDescent="0.2">
      <c r="F125" t="e">
        <f>'2.4.Функции'!KI:KI*"BYw!'$e"</f>
        <v>#VALUE!</v>
      </c>
      <c r="G125" t="e">
        <f>'2.4.Функции'!KJ:KJ*"BYw!'$f"</f>
        <v>#VALUE!</v>
      </c>
      <c r="H125" t="e">
        <f>'2.4.Функции'!KK:KK*"BYw!'$g"</f>
        <v>#VALUE!</v>
      </c>
      <c r="I125" t="e">
        <f>'2.4.Функции'!KL:KL*"BYw!'$h"</f>
        <v>#VALUE!</v>
      </c>
      <c r="J125" t="e">
        <f>'2.4.Функции'!KM:KM*"BYw!'$i"</f>
        <v>#VALUE!</v>
      </c>
      <c r="K125" t="e">
        <f>'2.4.Функции'!KN:KN*"BYw!'$j"</f>
        <v>#VALUE!</v>
      </c>
      <c r="L125" t="e">
        <f>'2.4.Функции'!KO:KO*"BYw!'$k"</f>
        <v>#VALUE!</v>
      </c>
      <c r="M125" t="e">
        <f>'2.4.Функции'!KP:KP*"BYw!'$l"</f>
        <v>#VALUE!</v>
      </c>
      <c r="N125" t="e">
        <f>'2.4.Функции'!KQ:KQ*"BYw!'$m"</f>
        <v>#VALUE!</v>
      </c>
      <c r="O125" t="e">
        <f>'2.4.Функции'!KR:KR*"BYw!'$n"</f>
        <v>#VALUE!</v>
      </c>
      <c r="P125" t="e">
        <f>'2.4.Функции'!KS:KS*"BYw!'$o"</f>
        <v>#VALUE!</v>
      </c>
      <c r="Q125" t="e">
        <f>'2.4.Функции'!KT:KT*"BYw!'$p"</f>
        <v>#VALUE!</v>
      </c>
      <c r="R125" t="e">
        <f>'2.4.Функции'!KU:KU*"BYw!'$q"</f>
        <v>#VALUE!</v>
      </c>
      <c r="S125" t="e">
        <f>'2.4.Функции'!KV:KV*"BYw!'$r"</f>
        <v>#VALUE!</v>
      </c>
      <c r="T125" t="e">
        <f>'2.4.Функции'!KW:KW*"BYw!'$s"</f>
        <v>#VALUE!</v>
      </c>
      <c r="U125" t="e">
        <f>'2.4.Функции'!KX:KX*"BYw!'$t"</f>
        <v>#VALUE!</v>
      </c>
      <c r="V125" t="e">
        <f>'2.4.Функции'!KY:KY*"BYw!'$u"</f>
        <v>#VALUE!</v>
      </c>
      <c r="W125" t="e">
        <f>'2.4.Функции'!KZ:KZ*"BYw!'$v"</f>
        <v>#VALUE!</v>
      </c>
      <c r="X125" t="e">
        <f>'2.4.Функции'!LA:LA*"BYw!'$w"</f>
        <v>#VALUE!</v>
      </c>
      <c r="Y125" t="e">
        <f>'2.4.Функции'!LB:LB*"BYw!'$x"</f>
        <v>#VALUE!</v>
      </c>
      <c r="Z125" t="e">
        <f>'2.4.Функции'!LC:LC*"BYw!'$y"</f>
        <v>#VALUE!</v>
      </c>
      <c r="AA125" t="e">
        <f>'2.4.Функции'!LD:LD*"BYw!'$z"</f>
        <v>#VALUE!</v>
      </c>
      <c r="AB125" t="e">
        <f>'2.4.Функции'!LE:LE*"BYw!'${"</f>
        <v>#VALUE!</v>
      </c>
      <c r="AC125" t="e">
        <f>'2.4.Функции'!LF:LF*"BYw!'$|"</f>
        <v>#VALUE!</v>
      </c>
      <c r="AD125" t="e">
        <f>'2.4.Функции'!LG:LG*"BYw!'$}"</f>
        <v>#VALUE!</v>
      </c>
      <c r="AE125" t="e">
        <f>'2.4.Функции'!LH:LH*"BYw!'$~"</f>
        <v>#VALUE!</v>
      </c>
      <c r="AF125" t="e">
        <f>'2.4.Функции'!LI:LI*"BYw!'%#"</f>
        <v>#VALUE!</v>
      </c>
      <c r="AG125" t="e">
        <f>'2.4.Функции'!LJ:LJ*"BYw!'%$"</f>
        <v>#VALUE!</v>
      </c>
      <c r="AH125" t="e">
        <f>'2.4.Функции'!LK:LK*"BYw!'%%"</f>
        <v>#VALUE!</v>
      </c>
      <c r="AI125" t="e">
        <f>'2.4.Функции'!LL:LL*"BYw!'%&amp;"</f>
        <v>#VALUE!</v>
      </c>
      <c r="AJ125" t="e">
        <f>'2.4.Функции'!LM:LM*"BYw!'%'"</f>
        <v>#VALUE!</v>
      </c>
      <c r="AK125" t="e">
        <f>'2.4.Функции'!LN:LN*"BYw!'%("</f>
        <v>#VALUE!</v>
      </c>
      <c r="AL125" t="e">
        <f>'2.4.Функции'!LO:LO*"BYw!'%)"</f>
        <v>#VALUE!</v>
      </c>
      <c r="AM125" t="e">
        <f>'2.4.Функции'!LP:LP*"BYw!'%."</f>
        <v>#VALUE!</v>
      </c>
      <c r="AN125" t="e">
        <f>'2.4.Функции'!LQ:LQ*"BYw!'%/"</f>
        <v>#VALUE!</v>
      </c>
      <c r="AO125" t="e">
        <f>'2.4.Функции'!LR:LR*"BYw!'%0"</f>
        <v>#VALUE!</v>
      </c>
      <c r="AP125" t="e">
        <f>'2.4.Функции'!LS:LS*"BYw!'%1"</f>
        <v>#VALUE!</v>
      </c>
      <c r="AQ125" t="e">
        <f>'2.4.Функции'!LT:LT*"BYw!'%2"</f>
        <v>#VALUE!</v>
      </c>
      <c r="AR125" t="e">
        <f>'2.4.Функции'!LU:LU*"BYw!'%3"</f>
        <v>#VALUE!</v>
      </c>
      <c r="AS125" t="e">
        <f>'2.4.Функции'!LV:LV*"BYw!'%4"</f>
        <v>#VALUE!</v>
      </c>
      <c r="AT125" t="e">
        <f>'2.4.Функции'!LW:LW*"BYw!'%5"</f>
        <v>#VALUE!</v>
      </c>
      <c r="AU125" t="e">
        <f>'2.4.Функции'!LX:LX*"BYw!'%6"</f>
        <v>#VALUE!</v>
      </c>
      <c r="AV125" t="e">
        <f>'2.4.Функции'!LY:LY*"BYw!'%7"</f>
        <v>#VALUE!</v>
      </c>
      <c r="AW125" t="e">
        <f>'2.4.Функции'!LZ:LZ*"BYw!'%8"</f>
        <v>#VALUE!</v>
      </c>
      <c r="AX125" t="e">
        <f>'2.4.Функции'!MA:MA*"BYw!'%9"</f>
        <v>#VALUE!</v>
      </c>
      <c r="AY125" t="e">
        <f>'2.4.Функции'!MB:MB*"BYw!'%:"</f>
        <v>#VALUE!</v>
      </c>
      <c r="AZ125" t="e">
        <f>'2.4.Функции'!MC:MC*"BYw!'%;"</f>
        <v>#VALUE!</v>
      </c>
      <c r="BA125" t="e">
        <f>'2.4.Функции'!MD:MD*"BYw!'%&lt;"</f>
        <v>#VALUE!</v>
      </c>
      <c r="BB125" t="e">
        <f>'2.4.Функции'!ME:ME*"BYw!'%="</f>
        <v>#VALUE!</v>
      </c>
      <c r="BC125" t="e">
        <f>'2.4.Функции'!MF:MF*"BYw!'%&gt;"</f>
        <v>#VALUE!</v>
      </c>
      <c r="BD125" t="e">
        <f>'2.4.Функции'!MG:MG*"BYw!'%?"</f>
        <v>#VALUE!</v>
      </c>
      <c r="BE125" t="e">
        <f>'2.4.Функции'!MH:MH*"BYw!'%@"</f>
        <v>#VALUE!</v>
      </c>
      <c r="BF125" t="e">
        <f>'2.4.Функции'!MI:MI*"BYw!'%A"</f>
        <v>#VALUE!</v>
      </c>
      <c r="BG125" t="e">
        <f>'2.4.Функции'!MJ:MJ*"BYw!'%B"</f>
        <v>#VALUE!</v>
      </c>
      <c r="BH125" t="e">
        <f>'2.4.Функции'!MK:MK*"BYw!'%C"</f>
        <v>#VALUE!</v>
      </c>
      <c r="BI125" t="e">
        <f>'2.4.Функции'!ML:ML*"BYw!'%D"</f>
        <v>#VALUE!</v>
      </c>
      <c r="BJ125" t="e">
        <f>'2.4.Функции'!MM:MM*"BYw!'%E"</f>
        <v>#VALUE!</v>
      </c>
      <c r="BK125" t="e">
        <f>'2.4.Функции'!MN:MN*"BYw!'%F"</f>
        <v>#VALUE!</v>
      </c>
      <c r="BL125" t="e">
        <f>'2.4.Функции'!MO:MO*"BYw!'%G"</f>
        <v>#VALUE!</v>
      </c>
      <c r="BM125" t="e">
        <f>'2.4.Функции'!MP:MP*"BYw!'%H"</f>
        <v>#VALUE!</v>
      </c>
      <c r="BN125" t="e">
        <f>'2.4.Функции'!MQ:MQ*"BYw!'%I"</f>
        <v>#VALUE!</v>
      </c>
      <c r="BO125" t="e">
        <f>'2.4.Функции'!MR:MR*"BYw!'%J"</f>
        <v>#VALUE!</v>
      </c>
      <c r="BP125" t="e">
        <f>'2.4.Функции'!MS:MS*"BYw!'%K"</f>
        <v>#VALUE!</v>
      </c>
      <c r="BQ125" t="e">
        <f>'2.4.Функции'!MT:MT*"BYw!'%L"</f>
        <v>#VALUE!</v>
      </c>
      <c r="BR125" t="e">
        <f>'2.4.Функции'!MU:MU*"BYw!'%M"</f>
        <v>#VALUE!</v>
      </c>
      <c r="BS125" t="e">
        <f>'2.4.Функции'!MV:MV*"BYw!'%N"</f>
        <v>#VALUE!</v>
      </c>
      <c r="BT125" t="e">
        <f>'2.4.Функции'!MW:MW*"BYw!'%O"</f>
        <v>#VALUE!</v>
      </c>
      <c r="BU125" t="e">
        <f>'2.4.Функции'!MX:MX*"BYw!'%P"</f>
        <v>#VALUE!</v>
      </c>
      <c r="BV125" t="e">
        <f>'2.4.Функции'!MY:MY*"BYw!'%Q"</f>
        <v>#VALUE!</v>
      </c>
      <c r="BW125" t="e">
        <f>'2.4.Функции'!MZ:MZ*"BYw!'%R"</f>
        <v>#VALUE!</v>
      </c>
      <c r="BX125" t="e">
        <f>'2.4.Функции'!NA:NA*"BYw!'%S"</f>
        <v>#VALUE!</v>
      </c>
      <c r="BY125" t="e">
        <f>'2.4.Функции'!NB:NB*"BYw!'%T"</f>
        <v>#VALUE!</v>
      </c>
      <c r="BZ125" t="e">
        <f>'2.4.Функции'!NC:NC*"BYw!'%U"</f>
        <v>#VALUE!</v>
      </c>
      <c r="CA125" t="e">
        <f>'2.4.Функции'!ND:ND*"BYw!'%V"</f>
        <v>#VALUE!</v>
      </c>
      <c r="CB125" t="e">
        <f>'2.4.Функции'!NE:NE*"BYw!'%W"</f>
        <v>#VALUE!</v>
      </c>
      <c r="CC125" t="e">
        <f>'2.4.Функции'!NF:NF*"BYw!'%X"</f>
        <v>#VALUE!</v>
      </c>
      <c r="CD125" t="e">
        <f>'2.4.Функции'!NG:NG*"BYw!'%Y"</f>
        <v>#VALUE!</v>
      </c>
      <c r="CE125" t="e">
        <f>'2.4.Функции'!NH:NH*"BYw!'%Z"</f>
        <v>#VALUE!</v>
      </c>
      <c r="CF125" t="e">
        <f>'2.4.Функции'!NI:NI*"BYw!'%["</f>
        <v>#VALUE!</v>
      </c>
      <c r="CG125" t="e">
        <f>'2.4.Функции'!NJ:NJ*"BYw!'%\"</f>
        <v>#VALUE!</v>
      </c>
      <c r="CH125" t="e">
        <f>'2.4.Функции'!NK:NK*"BYw!'%]"</f>
        <v>#VALUE!</v>
      </c>
      <c r="CI125" t="e">
        <f>'2.4.Функции'!NL:NL*"BYw!'%^"</f>
        <v>#VALUE!</v>
      </c>
      <c r="CJ125" t="e">
        <f>'2.4.Функции'!NM:NM*"BYw!'%_"</f>
        <v>#VALUE!</v>
      </c>
      <c r="CK125" t="e">
        <f>'2.4.Функции'!NN:NN*"BYw!'%`"</f>
        <v>#VALUE!</v>
      </c>
      <c r="CL125" t="e">
        <f>'2.4.Функции'!NO:NO*"BYw!'%a"</f>
        <v>#VALUE!</v>
      </c>
      <c r="CM125" t="e">
        <f>'2.4.Функции'!NP:NP*"BYw!'%b"</f>
        <v>#VALUE!</v>
      </c>
      <c r="CN125" t="e">
        <f>'2.4.Функции'!NQ:NQ*"BYw!'%c"</f>
        <v>#VALUE!</v>
      </c>
      <c r="CO125" t="e">
        <f>'2.4.Функции'!NR:NR*"BYw!'%d"</f>
        <v>#VALUE!</v>
      </c>
      <c r="CP125" t="e">
        <f>'2.4.Функции'!NS:NS*"BYw!'%e"</f>
        <v>#VALUE!</v>
      </c>
      <c r="CQ125" t="e">
        <f>'2.4.Функции'!NT:NT*"BYw!'%f"</f>
        <v>#VALUE!</v>
      </c>
      <c r="CR125" t="e">
        <f>'2.4.Функции'!NU:NU*"BYw!'%g"</f>
        <v>#VALUE!</v>
      </c>
      <c r="CS125" t="e">
        <f>'2.4.Функции'!NV:NV*"BYw!'%h"</f>
        <v>#VALUE!</v>
      </c>
      <c r="CT125" t="e">
        <f>'2.4.Функции'!NW:NW*"BYw!'%i"</f>
        <v>#VALUE!</v>
      </c>
      <c r="CU125" t="e">
        <f>'2.4.Функции'!NX:NX*"BYw!'%j"</f>
        <v>#VALUE!</v>
      </c>
      <c r="CV125" t="e">
        <f>'2.4.Функции'!NY:NY*"BYw!'%k"</f>
        <v>#VALUE!</v>
      </c>
      <c r="CW125" t="e">
        <f>'2.4.Функции'!NZ:NZ*"BYw!'%l"</f>
        <v>#VALUE!</v>
      </c>
      <c r="CX125" t="e">
        <f>'2.4.Функции'!OA:OA*"BYw!'%m"</f>
        <v>#VALUE!</v>
      </c>
      <c r="CY125" t="e">
        <f>'2.4.Функции'!OB:OB*"BYw!'%n"</f>
        <v>#VALUE!</v>
      </c>
      <c r="CZ125" t="e">
        <f>'2.4.Функции'!OC:OC*"BYw!'%o"</f>
        <v>#VALUE!</v>
      </c>
      <c r="DA125" t="e">
        <f>'2.4.Функции'!OD:OD*"BYw!'%p"</f>
        <v>#VALUE!</v>
      </c>
      <c r="DB125" t="e">
        <f>'2.4.Функции'!OE:OE*"BYw!'%q"</f>
        <v>#VALUE!</v>
      </c>
      <c r="DC125" t="e">
        <f>'2.4.Функции'!OF:OF*"BYw!'%r"</f>
        <v>#VALUE!</v>
      </c>
      <c r="DD125" t="e">
        <f>'2.4.Функции'!OG:OG*"BYw!'%s"</f>
        <v>#VALUE!</v>
      </c>
      <c r="DE125" t="e">
        <f>'2.4.Функции'!OH:OH*"BYw!'%t"</f>
        <v>#VALUE!</v>
      </c>
      <c r="DF125" t="e">
        <f>'2.4.Функции'!OI:OI*"BYw!'%u"</f>
        <v>#VALUE!</v>
      </c>
      <c r="DG125" t="e">
        <f>'2.4.Функции'!OJ:OJ*"BYw!'%v"</f>
        <v>#VALUE!</v>
      </c>
      <c r="DH125" t="e">
        <f>'2.4.Функции'!OK:OK*"BYw!'%w"</f>
        <v>#VALUE!</v>
      </c>
      <c r="DI125" t="e">
        <f>'2.4.Функции'!OL:OL*"BYw!'%x"</f>
        <v>#VALUE!</v>
      </c>
      <c r="DJ125" t="e">
        <f>'2.4.Функции'!OM:OM*"BYw!'%y"</f>
        <v>#VALUE!</v>
      </c>
      <c r="DK125" t="e">
        <f>'2.4.Функции'!ON:ON*"BYw!'%z"</f>
        <v>#VALUE!</v>
      </c>
      <c r="DL125" t="e">
        <f>'2.4.Функции'!OO:OO*"BYw!'%{"</f>
        <v>#VALUE!</v>
      </c>
      <c r="DM125" t="e">
        <f>'2.4.Функции'!OP:OP*"BYw!'%|"</f>
        <v>#VALUE!</v>
      </c>
      <c r="DN125" t="e">
        <f>'2.4.Функции'!OQ:OQ*"BYw!'%}"</f>
        <v>#VALUE!</v>
      </c>
      <c r="DO125" t="e">
        <f>'2.4.Функции'!OR:OR*"BYw!'%~"</f>
        <v>#VALUE!</v>
      </c>
      <c r="DP125" t="e">
        <f>'2.4.Функции'!OS:OS*"BYw!'&amp;#"</f>
        <v>#VALUE!</v>
      </c>
      <c r="DQ125" t="e">
        <f>'2.4.Функции'!OT:OT*"BYw!'&amp;$"</f>
        <v>#VALUE!</v>
      </c>
      <c r="DR125" t="e">
        <f>'2.4.Функции'!OU:OU*"BYw!'&amp;%"</f>
        <v>#VALUE!</v>
      </c>
      <c r="DS125" t="e">
        <f>'2.4.Функции'!OV:OV*"BYw!'&amp;&amp;"</f>
        <v>#VALUE!</v>
      </c>
      <c r="DT125" t="e">
        <f>'2.4.Функции'!OW:OW*"BYw!'&amp;'"</f>
        <v>#VALUE!</v>
      </c>
      <c r="DU125" t="e">
        <f>'2.4.Функции'!OX:OX*"BYw!'&amp;("</f>
        <v>#VALUE!</v>
      </c>
      <c r="DV125" t="e">
        <f>'2.4.Функции'!OY:OY*"BYw!'&amp;)"</f>
        <v>#VALUE!</v>
      </c>
      <c r="DW125" t="e">
        <f>'2.4.Функции'!OZ:OZ*"BYw!'&amp;."</f>
        <v>#VALUE!</v>
      </c>
      <c r="DX125" t="e">
        <f>'2.4.Функции'!PA:PA*"BYw!'&amp;/"</f>
        <v>#VALUE!</v>
      </c>
      <c r="DY125" t="e">
        <f>'2.4.Функции'!PB:PB*"BYw!'&amp;0"</f>
        <v>#VALUE!</v>
      </c>
      <c r="DZ125" t="e">
        <f>'2.4.Функции'!PC:PC*"BYw!'&amp;1"</f>
        <v>#VALUE!</v>
      </c>
      <c r="EA125" t="e">
        <f>'2.4.Функции'!PD:PD*"BYw!'&amp;2"</f>
        <v>#VALUE!</v>
      </c>
      <c r="EB125" t="e">
        <f>'2.4.Функции'!PE:PE*"BYw!'&amp;3"</f>
        <v>#VALUE!</v>
      </c>
      <c r="EC125" t="e">
        <f>'2.4.Функции'!PF:PF*"BYw!'&amp;4"</f>
        <v>#VALUE!</v>
      </c>
      <c r="ED125" t="e">
        <f>'2.4.Функции'!PG:PG*"BYw!'&amp;5"</f>
        <v>#VALUE!</v>
      </c>
      <c r="EE125" t="e">
        <f>'2.4.Функции'!PH:PH*"BYw!'&amp;6"</f>
        <v>#VALUE!</v>
      </c>
      <c r="EF125" t="e">
        <f>'2.4.Функции'!PI:PI*"BYw!'&amp;7"</f>
        <v>#VALUE!</v>
      </c>
      <c r="EG125" t="e">
        <f>'2.4.Функции'!PJ:PJ*"BYw!'&amp;8"</f>
        <v>#VALUE!</v>
      </c>
      <c r="EH125" t="e">
        <f>'2.4.Функции'!PK:PK*"BYw!'&amp;9"</f>
        <v>#VALUE!</v>
      </c>
      <c r="EI125" t="e">
        <f>'2.4.Функции'!PL:PL*"BYw!'&amp;:"</f>
        <v>#VALUE!</v>
      </c>
      <c r="EJ125" t="e">
        <f>'2.4.Функции'!PM:PM*"BYw!'&amp;;"</f>
        <v>#VALUE!</v>
      </c>
      <c r="EK125" t="e">
        <f>'2.4.Функции'!PN:PN*"BYw!'&amp;&lt;"</f>
        <v>#VALUE!</v>
      </c>
      <c r="EL125" t="e">
        <f>'2.4.Функции'!PO:PO*"BYw!'&amp;="</f>
        <v>#VALUE!</v>
      </c>
      <c r="EM125" t="e">
        <f>'2.4.Функции'!PP:PP*"BYw!'&amp;&gt;"</f>
        <v>#VALUE!</v>
      </c>
      <c r="EN125" t="e">
        <f>'2.4.Функции'!PQ:PQ*"BYw!'&amp;?"</f>
        <v>#VALUE!</v>
      </c>
      <c r="EO125" t="e">
        <f>'2.4.Функции'!PR:PR*"BYw!'&amp;@"</f>
        <v>#VALUE!</v>
      </c>
      <c r="EP125" t="e">
        <f>'2.4.Функции'!PS:PS*"BYw!'&amp;A"</f>
        <v>#VALUE!</v>
      </c>
      <c r="EQ125" t="e">
        <f>'2.4.Функции'!PT:PT*"BYw!'&amp;B"</f>
        <v>#VALUE!</v>
      </c>
      <c r="ER125" t="e">
        <f>'2.4.Функции'!PU:PU*"BYw!'&amp;C"</f>
        <v>#VALUE!</v>
      </c>
      <c r="ES125" t="e">
        <f>'2.4.Функции'!PV:PV*"BYw!'&amp;D"</f>
        <v>#VALUE!</v>
      </c>
      <c r="ET125" t="e">
        <f>'2.4.Функции'!PW:PW*"BYw!'&amp;E"</f>
        <v>#VALUE!</v>
      </c>
      <c r="EU125" t="e">
        <f>'2.4.Функции'!PX:PX*"BYw!'&amp;F"</f>
        <v>#VALUE!</v>
      </c>
      <c r="EV125" t="e">
        <f>'2.4.Функции'!PY:PY*"BYw!'&amp;G"</f>
        <v>#VALUE!</v>
      </c>
      <c r="EW125" t="e">
        <f>'2.4.Функции'!PZ:PZ*"BYw!'&amp;H"</f>
        <v>#VALUE!</v>
      </c>
      <c r="EX125" t="e">
        <f>'2.4.Функции'!QA:QA*"BYw!'&amp;I"</f>
        <v>#VALUE!</v>
      </c>
      <c r="EY125" t="e">
        <f>'2.4.Функции'!QB:QB*"BYw!'&amp;J"</f>
        <v>#VALUE!</v>
      </c>
      <c r="EZ125" t="e">
        <f>'2.4.Функции'!QC:QC*"BYw!'&amp;K"</f>
        <v>#VALUE!</v>
      </c>
      <c r="FA125" t="e">
        <f>'2.4.Функции'!QD:QD*"BYw!'&amp;L"</f>
        <v>#VALUE!</v>
      </c>
      <c r="FB125" t="e">
        <f>'2.4.Функции'!QE:QE*"BYw!'&amp;M"</f>
        <v>#VALUE!</v>
      </c>
      <c r="FC125" t="e">
        <f>'2.4.Функции'!QF:QF*"BYw!'&amp;N"</f>
        <v>#VALUE!</v>
      </c>
      <c r="FD125" t="e">
        <f>'2.4.Функции'!QG:QG*"BYw!'&amp;O"</f>
        <v>#VALUE!</v>
      </c>
      <c r="FE125" t="e">
        <f>'2.4.Функции'!QH:QH*"BYw!'&amp;P"</f>
        <v>#VALUE!</v>
      </c>
      <c r="FF125" t="e">
        <f>'2.4.Функции'!QI:QI*"BYw!'&amp;Q"</f>
        <v>#VALUE!</v>
      </c>
      <c r="FG125" t="e">
        <f>'2.4.Функции'!QJ:QJ*"BYw!'&amp;R"</f>
        <v>#VALUE!</v>
      </c>
      <c r="FH125" t="e">
        <f>'2.4.Функции'!QK:QK*"BYw!'&amp;S"</f>
        <v>#VALUE!</v>
      </c>
      <c r="FI125" t="e">
        <f>'2.4.Функции'!QL:QL*"BYw!'&amp;T"</f>
        <v>#VALUE!</v>
      </c>
      <c r="FJ125" t="e">
        <f>'2.4.Функции'!QM:QM*"BYw!'&amp;U"</f>
        <v>#VALUE!</v>
      </c>
      <c r="FK125" t="e">
        <f>'2.4.Функции'!QN:QN*"BYw!'&amp;V"</f>
        <v>#VALUE!</v>
      </c>
      <c r="FL125" t="e">
        <f>'2.4.Функции'!QO:QO*"BYw!'&amp;W"</f>
        <v>#VALUE!</v>
      </c>
      <c r="FM125" t="e">
        <f>'2.4.Функции'!QP:QP*"BYw!'&amp;X"</f>
        <v>#VALUE!</v>
      </c>
      <c r="FN125" t="e">
        <f>'2.4.Функции'!QQ:QQ*"BYw!'&amp;Y"</f>
        <v>#VALUE!</v>
      </c>
      <c r="FO125" t="e">
        <f>'2.4.Функции'!QR:QR*"BYw!'&amp;Z"</f>
        <v>#VALUE!</v>
      </c>
      <c r="FP125" t="e">
        <f>'2.4.Функции'!QS:QS*"BYw!'&amp;["</f>
        <v>#VALUE!</v>
      </c>
      <c r="FQ125" t="e">
        <f>'2.4.Функции'!QT:QT*"BYw!'&amp;\"</f>
        <v>#VALUE!</v>
      </c>
      <c r="FR125" t="e">
        <f>'2.4.Функции'!QU:QU*"BYw!'&amp;]"</f>
        <v>#VALUE!</v>
      </c>
      <c r="FS125" t="e">
        <f>'2.4.Функции'!QV:QV*"BYw!'&amp;^"</f>
        <v>#VALUE!</v>
      </c>
      <c r="FT125" t="e">
        <f>'2.4.Функции'!QW:QW*"BYw!'&amp;_"</f>
        <v>#VALUE!</v>
      </c>
      <c r="FU125" t="e">
        <f>'2.4.Функции'!QX:QX*"BYw!'&amp;`"</f>
        <v>#VALUE!</v>
      </c>
      <c r="FV125" t="e">
        <f>'2.4.Функции'!QY:QY*"BYw!'&amp;a"</f>
        <v>#VALUE!</v>
      </c>
      <c r="FW125" t="e">
        <f>'2.4.Функции'!QZ:QZ*"BYw!'&amp;b"</f>
        <v>#VALUE!</v>
      </c>
      <c r="FX125" t="e">
        <f>'2.4.Функции'!RA:RA*"BYw!'&amp;c"</f>
        <v>#VALUE!</v>
      </c>
      <c r="FY125" t="e">
        <f>'2.4.Функции'!RB:RB*"BYw!'&amp;d"</f>
        <v>#VALUE!</v>
      </c>
      <c r="FZ125" t="e">
        <f>'2.4.Функции'!RC:RC*"BYw!'&amp;e"</f>
        <v>#VALUE!</v>
      </c>
      <c r="GA125" t="e">
        <f>'2.4.Функции'!RD:RD*"BYw!'&amp;f"</f>
        <v>#VALUE!</v>
      </c>
      <c r="GB125" t="e">
        <f>'2.4.Функции'!RE:RE*"BYw!'&amp;g"</f>
        <v>#VALUE!</v>
      </c>
      <c r="GC125" t="e">
        <f>'2.4.Функции'!RF:RF*"BYw!'&amp;h"</f>
        <v>#VALUE!</v>
      </c>
      <c r="GD125" t="e">
        <f>'2.4.Функции'!RG:RG*"BYw!'&amp;i"</f>
        <v>#VALUE!</v>
      </c>
      <c r="GE125" t="e">
        <f>'2.4.Функции'!RH:RH*"BYw!'&amp;j"</f>
        <v>#VALUE!</v>
      </c>
      <c r="GF125" t="e">
        <f>'2.4.Функции'!RI:RI*"BYw!'&amp;k"</f>
        <v>#VALUE!</v>
      </c>
      <c r="GG125" t="e">
        <f>'2.4.Функции'!RJ:RJ*"BYw!'&amp;l"</f>
        <v>#VALUE!</v>
      </c>
      <c r="GH125" t="e">
        <f>'2.4.Функции'!RK:RK*"BYw!'&amp;m"</f>
        <v>#VALUE!</v>
      </c>
      <c r="GI125" t="e">
        <f>'2.4.Функции'!RL:RL*"BYw!'&amp;n"</f>
        <v>#VALUE!</v>
      </c>
      <c r="GJ125" t="e">
        <f>'2.4.Функции'!RM:RM*"BYw!'&amp;o"</f>
        <v>#VALUE!</v>
      </c>
      <c r="GK125" t="e">
        <f>'2.4.Функции'!RN:RN*"BYw!'&amp;p"</f>
        <v>#VALUE!</v>
      </c>
      <c r="GL125" t="e">
        <f>'2.4.Функции'!RO:RO*"BYw!'&amp;q"</f>
        <v>#VALUE!</v>
      </c>
      <c r="GM125" t="e">
        <f>'2.4.Функции'!RP:RP*"BYw!'&amp;r"</f>
        <v>#VALUE!</v>
      </c>
      <c r="GN125" t="e">
        <f>'2.4.Функции'!RQ:RQ*"BYw!'&amp;s"</f>
        <v>#VALUE!</v>
      </c>
      <c r="GO125" t="e">
        <f>'2.4.Функции'!RR:RR*"BYw!'&amp;t"</f>
        <v>#VALUE!</v>
      </c>
      <c r="GP125" t="e">
        <f>'2.4.Функции'!RS:RS*"BYw!'&amp;u"</f>
        <v>#VALUE!</v>
      </c>
      <c r="GQ125" t="e">
        <f>'2.4.Функции'!RT:RT*"BYw!'&amp;v"</f>
        <v>#VALUE!</v>
      </c>
      <c r="GR125" t="e">
        <f>'2.4.Функции'!RU:RU*"BYw!'&amp;w"</f>
        <v>#VALUE!</v>
      </c>
      <c r="GS125" t="e">
        <f>'2.4.Функции'!RV:RV*"BYw!'&amp;x"</f>
        <v>#VALUE!</v>
      </c>
      <c r="GT125" t="e">
        <f>'2.4.Функции'!RW:RW*"BYw!'&amp;y"</f>
        <v>#VALUE!</v>
      </c>
      <c r="GU125" t="e">
        <f>'2.4.Функции'!RX:RX*"BYw!'&amp;z"</f>
        <v>#VALUE!</v>
      </c>
      <c r="GV125" t="e">
        <f>'2.4.Функции'!RY:RY*"BYw!'&amp;{"</f>
        <v>#VALUE!</v>
      </c>
      <c r="GW125" t="e">
        <f>'2.4.Функции'!RZ:RZ*"BYw!'&amp;|"</f>
        <v>#VALUE!</v>
      </c>
      <c r="GX125" t="e">
        <f>'2.4.Функции'!SA:SA*"BYw!'&amp;}"</f>
        <v>#VALUE!</v>
      </c>
      <c r="GY125" t="e">
        <f>'2.4.Функции'!SB:SB*"BYw!'&amp;~"</f>
        <v>#VALUE!</v>
      </c>
      <c r="GZ125" t="e">
        <f>'2.4.Функции'!SC:SC*"BYw!''#"</f>
        <v>#VALUE!</v>
      </c>
      <c r="HA125" t="e">
        <f>'2.4.Функции'!SD:SD*"BYw!''$"</f>
        <v>#VALUE!</v>
      </c>
      <c r="HB125" t="e">
        <f>'2.4.Функции'!SE:SE*"BYw!''%"</f>
        <v>#VALUE!</v>
      </c>
      <c r="HC125" t="e">
        <f>'2.4.Функции'!SF:SF*"BYw!''&amp;"</f>
        <v>#VALUE!</v>
      </c>
      <c r="HD125" t="e">
        <f>'2.4.Функции'!SG:SG*"BYw!'''"</f>
        <v>#VALUE!</v>
      </c>
      <c r="HE125" t="e">
        <f>'2.4.Функции'!SH:SH*"BYw!''("</f>
        <v>#VALUE!</v>
      </c>
      <c r="HF125" t="e">
        <f>'2.4.Функции'!SI:SI*"BYw!'')"</f>
        <v>#VALUE!</v>
      </c>
      <c r="HG125" t="e">
        <f>'2.4.Функции'!SJ:SJ*"BYw!''."</f>
        <v>#VALUE!</v>
      </c>
      <c r="HH125" t="e">
        <f>'2.4.Функции'!SK:SK*"BYw!''/"</f>
        <v>#VALUE!</v>
      </c>
      <c r="HI125" t="e">
        <f>'2.4.Функции'!SL:SL*"BYw!''0"</f>
        <v>#VALUE!</v>
      </c>
      <c r="HJ125" t="e">
        <f>'2.4.Функции'!SM:SM*"BYw!''1"</f>
        <v>#VALUE!</v>
      </c>
      <c r="HK125" t="e">
        <f>'2.4.Функции'!SN:SN*"BYw!''2"</f>
        <v>#VALUE!</v>
      </c>
      <c r="HL125" t="e">
        <f>'2.4.Функции'!SO:SO*"BYw!''3"</f>
        <v>#VALUE!</v>
      </c>
      <c r="HM125" t="e">
        <f>'2.4.Функции'!SP:SP*"BYw!''4"</f>
        <v>#VALUE!</v>
      </c>
      <c r="HN125" t="e">
        <f>'2.4.Функции'!SQ:SQ*"BYw!''5"</f>
        <v>#VALUE!</v>
      </c>
      <c r="HO125" t="e">
        <f>'2.4.Функции'!SR:SR*"BYw!''6"</f>
        <v>#VALUE!</v>
      </c>
      <c r="HP125" t="e">
        <f>'2.4.Функции'!SS:SS*"BYw!''7"</f>
        <v>#VALUE!</v>
      </c>
      <c r="HQ125" t="e">
        <f>'2.4.Функции'!ST:ST*"BYw!''8"</f>
        <v>#VALUE!</v>
      </c>
      <c r="HR125" t="e">
        <f>'2.4.Функции'!SU:SU*"BYw!''9"</f>
        <v>#VALUE!</v>
      </c>
      <c r="HS125" t="e">
        <f>'2.4.Функции'!SV:SV*"BYw!'':"</f>
        <v>#VALUE!</v>
      </c>
      <c r="HT125" t="e">
        <f>'2.4.Функции'!SW:SW*"BYw!'';"</f>
        <v>#VALUE!</v>
      </c>
      <c r="HU125" t="e">
        <f>'2.4.Функции'!SX:SX*"BYw!''&lt;"</f>
        <v>#VALUE!</v>
      </c>
      <c r="HV125" t="e">
        <f>'2.4.Функции'!SY:SY*"BYw!''="</f>
        <v>#VALUE!</v>
      </c>
      <c r="HW125" t="e">
        <f>'2.4.Функции'!SZ:SZ*"BYw!''&gt;"</f>
        <v>#VALUE!</v>
      </c>
      <c r="HX125" t="e">
        <f>'2.4.Функции'!TA:TA*"BYw!''?"</f>
        <v>#VALUE!</v>
      </c>
      <c r="HY125" t="e">
        <f>'2.4.Функции'!TB:TB*"BYw!''@"</f>
        <v>#VALUE!</v>
      </c>
      <c r="HZ125" t="e">
        <f>'2.4.Функции'!TC:TC*"BYw!''A"</f>
        <v>#VALUE!</v>
      </c>
      <c r="IA125" t="e">
        <f>'2.4.Функции'!TD:TD*"BYw!''B"</f>
        <v>#VALUE!</v>
      </c>
      <c r="IB125" t="e">
        <f>'2.4.Функции'!TE:TE*"BYw!''C"</f>
        <v>#VALUE!</v>
      </c>
      <c r="IC125" t="e">
        <f>'2.4.Функции'!TF:TF*"BYw!''D"</f>
        <v>#VALUE!</v>
      </c>
      <c r="ID125" t="e">
        <f>'2.4.Функции'!TG:TG*"BYw!''E"</f>
        <v>#VALUE!</v>
      </c>
      <c r="IE125" t="e">
        <f>'2.4.Функции'!TH:TH*"BYw!''F"</f>
        <v>#VALUE!</v>
      </c>
      <c r="IF125" t="e">
        <f>'2.4.Функции'!TI:TI*"BYw!''G"</f>
        <v>#VALUE!</v>
      </c>
      <c r="IG125" t="e">
        <f>'2.4.Функции'!TJ:TJ*"BYw!''H"</f>
        <v>#VALUE!</v>
      </c>
      <c r="IH125" t="e">
        <f>'2.4.Функции'!TK:TK*"BYw!''I"</f>
        <v>#VALUE!</v>
      </c>
      <c r="II125" t="e">
        <f>'2.4.Функции'!TL:TL*"BYw!''J"</f>
        <v>#VALUE!</v>
      </c>
      <c r="IJ125" t="e">
        <f>'2.4.Функции'!TM:TM*"BYw!''K"</f>
        <v>#VALUE!</v>
      </c>
      <c r="IK125" t="e">
        <f>'2.4.Функции'!TN:TN*"BYw!''L"</f>
        <v>#VALUE!</v>
      </c>
      <c r="IL125" t="e">
        <f>'2.4.Функции'!TO:TO*"BYw!''M"</f>
        <v>#VALUE!</v>
      </c>
      <c r="IM125" t="e">
        <f>'2.4.Функции'!TP:TP*"BYw!''N"</f>
        <v>#VALUE!</v>
      </c>
      <c r="IN125" t="e">
        <f>'2.4.Функции'!TQ:TQ*"BYw!''O"</f>
        <v>#VALUE!</v>
      </c>
      <c r="IO125" t="e">
        <f>'2.4.Функции'!TR:TR*"BYw!''P"</f>
        <v>#VALUE!</v>
      </c>
      <c r="IP125" t="e">
        <f>'2.4.Функции'!TS:TS*"BYw!''Q"</f>
        <v>#VALUE!</v>
      </c>
      <c r="IQ125" t="e">
        <f>'2.4.Функции'!TT:TT*"BYw!''R"</f>
        <v>#VALUE!</v>
      </c>
      <c r="IR125" t="e">
        <f>'2.4.Функции'!TU:TU*"BYw!''S"</f>
        <v>#VALUE!</v>
      </c>
      <c r="IS125" t="e">
        <f>'2.4.Функции'!TV:TV*"BYw!''T"</f>
        <v>#VALUE!</v>
      </c>
      <c r="IT125" t="e">
        <f>'2.4.Функции'!TW:TW*"BYw!''U"</f>
        <v>#VALUE!</v>
      </c>
      <c r="IU125" t="e">
        <f>'2.4.Функции'!TX:TX*"BYw!''V"</f>
        <v>#VALUE!</v>
      </c>
      <c r="IV125" t="e">
        <f>'2.4.Функции'!TY:TY*"BYw!''W"</f>
        <v>#VALUE!</v>
      </c>
    </row>
    <row r="126" spans="6:256" x14ac:dyDescent="0.2">
      <c r="F126" t="e">
        <f>'2.4.Функции'!TZ:TZ*"BYw!''X"</f>
        <v>#VALUE!</v>
      </c>
      <c r="G126" t="e">
        <f>'2.4.Функции'!UA:UA*"BYw!''Y"</f>
        <v>#VALUE!</v>
      </c>
      <c r="H126" t="e">
        <f>'2.4.Функции'!UB:UB*"BYw!''Z"</f>
        <v>#VALUE!</v>
      </c>
      <c r="I126" t="e">
        <f>'2.4.Функции'!UC:UC*"BYw!''["</f>
        <v>#VALUE!</v>
      </c>
      <c r="J126" t="e">
        <f>'2.4.Функции'!UD:UD*"BYw!''\"</f>
        <v>#VALUE!</v>
      </c>
      <c r="K126" t="e">
        <f>'2.4.Функции'!UE:UE*"BYw!'']"</f>
        <v>#VALUE!</v>
      </c>
      <c r="L126" t="e">
        <f>'2.4.Функции'!UF:UF*"BYw!''^"</f>
        <v>#VALUE!</v>
      </c>
      <c r="M126" t="e">
        <f>'2.4.Функции'!UG:UG*"BYw!''_"</f>
        <v>#VALUE!</v>
      </c>
      <c r="N126" t="e">
        <f>'2.4.Функции'!UH:UH*"BYw!''`"</f>
        <v>#VALUE!</v>
      </c>
      <c r="O126" t="e">
        <f>'2.4.Функции'!UI:UI*"BYw!''a"</f>
        <v>#VALUE!</v>
      </c>
      <c r="P126" t="e">
        <f>'2.4.Функции'!UJ:UJ*"BYw!''b"</f>
        <v>#VALUE!</v>
      </c>
      <c r="Q126" t="e">
        <f>'2.4.Функции'!UK:UK*"BYw!''c"</f>
        <v>#VALUE!</v>
      </c>
      <c r="R126" t="e">
        <f>'2.4.Функции'!UL:UL*"BYw!''d"</f>
        <v>#VALUE!</v>
      </c>
      <c r="S126" t="e">
        <f>'2.4.Функции'!UM:UM*"BYw!''e"</f>
        <v>#VALUE!</v>
      </c>
      <c r="T126" t="e">
        <f>'2.4.Функции'!UN:UN*"BYw!''f"</f>
        <v>#VALUE!</v>
      </c>
      <c r="U126" t="e">
        <f>'2.4.Функции'!UO:UO*"BYw!''g"</f>
        <v>#VALUE!</v>
      </c>
      <c r="V126" t="e">
        <f>'2.4.Функции'!UP:UP*"BYw!''h"</f>
        <v>#VALUE!</v>
      </c>
      <c r="W126" t="e">
        <f>'2.4.Функции'!UQ:UQ*"BYw!''i"</f>
        <v>#VALUE!</v>
      </c>
      <c r="X126" t="e">
        <f>'2.4.Функции'!UR:UR*"BYw!''j"</f>
        <v>#VALUE!</v>
      </c>
      <c r="Y126" t="e">
        <f>'2.4.Функции'!US:US*"BYw!''k"</f>
        <v>#VALUE!</v>
      </c>
      <c r="Z126" t="e">
        <f>'2.4.Функции'!UT:UT*"BYw!''l"</f>
        <v>#VALUE!</v>
      </c>
      <c r="AA126" t="e">
        <f>'2.4.Функции'!UU:UU*"BYw!''m"</f>
        <v>#VALUE!</v>
      </c>
      <c r="AB126" t="e">
        <f>'2.4.Функции'!UV:UV*"BYw!''n"</f>
        <v>#VALUE!</v>
      </c>
      <c r="AC126" t="e">
        <f>'2.4.Функции'!UW:UW*"BYw!''o"</f>
        <v>#VALUE!</v>
      </c>
      <c r="AD126" t="e">
        <f>'2.4.Функции'!UX:UX*"BYw!''p"</f>
        <v>#VALUE!</v>
      </c>
      <c r="AE126" t="e">
        <f>'2.4.Функции'!UY:UY*"BYw!''q"</f>
        <v>#VALUE!</v>
      </c>
      <c r="AF126" t="e">
        <f>'2.4.Функции'!UZ:UZ*"BYw!''r"</f>
        <v>#VALUE!</v>
      </c>
      <c r="AG126" t="e">
        <f>'2.4.Функции'!VA:VA*"BYw!''s"</f>
        <v>#VALUE!</v>
      </c>
      <c r="AH126" t="e">
        <f>'2.4.Функции'!VB:VB*"BYw!''t"</f>
        <v>#VALUE!</v>
      </c>
      <c r="AI126" t="e">
        <f>'2.4.Функции'!VC:VC*"BYw!''u"</f>
        <v>#VALUE!</v>
      </c>
      <c r="AJ126" t="e">
        <f>'2.4.Функции'!VD:VD*"BYw!''v"</f>
        <v>#VALUE!</v>
      </c>
      <c r="AK126" t="e">
        <f>'2.4.Функции'!VE:VE*"BYw!''w"</f>
        <v>#VALUE!</v>
      </c>
      <c r="AL126" t="e">
        <f>'2.4.Функции'!VF:VF*"BYw!''x"</f>
        <v>#VALUE!</v>
      </c>
      <c r="AM126" t="e">
        <f>'2.4.Функции'!VG:VG*"BYw!''y"</f>
        <v>#VALUE!</v>
      </c>
      <c r="AN126" t="e">
        <f>'2.4.Функции'!VH:VH*"BYw!''z"</f>
        <v>#VALUE!</v>
      </c>
      <c r="AO126" t="e">
        <f>'2.4.Функции'!VI:VI*"BYw!''{"</f>
        <v>#VALUE!</v>
      </c>
      <c r="AP126" t="e">
        <f>'2.4.Функции'!VJ:VJ*"BYw!''|"</f>
        <v>#VALUE!</v>
      </c>
      <c r="AQ126" t="e">
        <f>'2.4.Функции'!VK:VK*"BYw!''}"</f>
        <v>#VALUE!</v>
      </c>
      <c r="AR126" t="e">
        <f>'2.4.Функции'!VL:VL*"BYw!''~"</f>
        <v>#VALUE!</v>
      </c>
      <c r="AS126" t="e">
        <f>'2.4.Функции'!VM:VM*"BYw!'(#"</f>
        <v>#VALUE!</v>
      </c>
      <c r="AT126" t="e">
        <f>'2.4.Функции'!VN:VN*"BYw!'($"</f>
        <v>#VALUE!</v>
      </c>
      <c r="AU126" t="e">
        <f>'2.4.Функции'!VO:VO*"BYw!'(%"</f>
        <v>#VALUE!</v>
      </c>
      <c r="AV126" t="e">
        <f>'2.4.Функции'!VP:VP*"BYw!'(&amp;"</f>
        <v>#VALUE!</v>
      </c>
      <c r="AW126" t="e">
        <f>'2.4.Функции'!VQ:VQ*"BYw!'('"</f>
        <v>#VALUE!</v>
      </c>
      <c r="AX126" t="e">
        <f>'2.4.Функции'!VR:VR*"BYw!'(("</f>
        <v>#VALUE!</v>
      </c>
      <c r="AY126" t="e">
        <f>'2.4.Функции'!VS:VS*"BYw!'()"</f>
        <v>#VALUE!</v>
      </c>
      <c r="AZ126" t="e">
        <f>'2.4.Функции'!VT:VT*"BYw!'(."</f>
        <v>#VALUE!</v>
      </c>
      <c r="BA126" t="e">
        <f>'2.4.Функции'!VU:VU*"BYw!'(/"</f>
        <v>#VALUE!</v>
      </c>
      <c r="BB126" t="e">
        <f>'2.4.Функции'!VV:VV*"BYw!'(0"</f>
        <v>#VALUE!</v>
      </c>
      <c r="BC126" t="e">
        <f>'2.4.Функции'!VW:VW*"BYw!'(1"</f>
        <v>#VALUE!</v>
      </c>
      <c r="BD126" t="e">
        <f>'2.4.Функции'!VX:VX*"BYw!'(2"</f>
        <v>#VALUE!</v>
      </c>
      <c r="BE126" t="e">
        <f>'2.4.Функции'!VY:VY*"BYw!'(3"</f>
        <v>#VALUE!</v>
      </c>
      <c r="BF126" t="e">
        <f>'2.4.Функции'!VZ:VZ*"BYw!'(4"</f>
        <v>#VALUE!</v>
      </c>
      <c r="BG126" t="e">
        <f>'2.4.Функции'!WA:WA*"BYw!'(5"</f>
        <v>#VALUE!</v>
      </c>
      <c r="BH126" t="e">
        <f>'2.4.Функции'!WB:WB*"BYw!'(6"</f>
        <v>#VALUE!</v>
      </c>
      <c r="BI126" t="e">
        <f>'2.4.Функции'!WC:WC*"BYw!'(7"</f>
        <v>#VALUE!</v>
      </c>
      <c r="BJ126" t="e">
        <f>'2.4.Функции'!WD:WD*"BYw!'(8"</f>
        <v>#VALUE!</v>
      </c>
      <c r="BK126" t="e">
        <f>'2.4.Функции'!WE:WE*"BYw!'(9"</f>
        <v>#VALUE!</v>
      </c>
      <c r="BL126" t="e">
        <f>'2.4.Функции'!WF:WF*"BYw!'(:"</f>
        <v>#VALUE!</v>
      </c>
      <c r="BM126" t="e">
        <f>'2.4.Функции'!WG:WG*"BYw!'(;"</f>
        <v>#VALUE!</v>
      </c>
      <c r="BN126" t="e">
        <f>'2.4.Функции'!WH:WH*"BYw!'(&lt;"</f>
        <v>#VALUE!</v>
      </c>
      <c r="BO126" t="e">
        <f>'2.4.Функции'!WI:WI*"BYw!'(="</f>
        <v>#VALUE!</v>
      </c>
      <c r="BP126" t="e">
        <f>'2.4.Функции'!WJ:WJ*"BYw!'(&gt;"</f>
        <v>#VALUE!</v>
      </c>
      <c r="BQ126" t="e">
        <f>'2.4.Функции'!WK:WK*"BYw!'(?"</f>
        <v>#VALUE!</v>
      </c>
      <c r="BR126" t="e">
        <f>'2.4.Функции'!WL:WL*"BYw!'(@"</f>
        <v>#VALUE!</v>
      </c>
      <c r="BS126" t="e">
        <f>'2.4.Функции'!WM:WM*"BYw!'(A"</f>
        <v>#VALUE!</v>
      </c>
      <c r="BT126" t="e">
        <f>'2.4.Функции'!WN:WN*"BYw!'(B"</f>
        <v>#VALUE!</v>
      </c>
      <c r="BU126" t="e">
        <f>'2.4.Функции'!WO:WO*"BYw!'(C"</f>
        <v>#VALUE!</v>
      </c>
      <c r="BV126" t="e">
        <f>'2.4.Функции'!WP:WP*"BYw!'(D"</f>
        <v>#VALUE!</v>
      </c>
      <c r="BW126" t="e">
        <f>'2.4.Функции'!WQ:WQ*"BYw!'(E"</f>
        <v>#VALUE!</v>
      </c>
      <c r="BX126" t="e">
        <f>'2.4.Функции'!WR:WR*"BYw!'(F"</f>
        <v>#VALUE!</v>
      </c>
      <c r="BY126" t="e">
        <f>'2.4.Функции'!WS:WS*"BYw!'(G"</f>
        <v>#VALUE!</v>
      </c>
      <c r="BZ126" t="e">
        <f>'2.4.Функции'!WT:WT*"BYw!'(H"</f>
        <v>#VALUE!</v>
      </c>
      <c r="CA126" t="e">
        <f>'2.4.Функции'!WU:WU*"BYw!'(I"</f>
        <v>#VALUE!</v>
      </c>
      <c r="CB126" t="e">
        <f>'2.4.Функции'!WV:WV*"BYw!'(J"</f>
        <v>#VALUE!</v>
      </c>
      <c r="CC126" t="e">
        <f>'2.4.Функции'!WW:WW*"BYw!'(K"</f>
        <v>#VALUE!</v>
      </c>
      <c r="CD126" t="e">
        <f>'2.4.Функции'!WX:WX*"BYw!'(L"</f>
        <v>#VALUE!</v>
      </c>
      <c r="CE126" t="e">
        <f>'2.4.Функции'!WY:WY*"BYw!'(M"</f>
        <v>#VALUE!</v>
      </c>
      <c r="CF126" t="e">
        <f>'2.4.Функции'!WZ:WZ*"BYw!'(N"</f>
        <v>#VALUE!</v>
      </c>
      <c r="CG126" t="e">
        <f>'2.4.Функции'!XA:XA*"BYw!'(O"</f>
        <v>#VALUE!</v>
      </c>
      <c r="CH126" t="e">
        <f>'2.4.Функции'!XB:XB*"BYw!'(P"</f>
        <v>#VALUE!</v>
      </c>
      <c r="CI126" t="e">
        <f>'2.4.Функции'!XC:XC*"BYw!'(Q"</f>
        <v>#VALUE!</v>
      </c>
      <c r="CJ126" t="e">
        <f>'2.4.Функции'!XD:XD*"BYw!'(R"</f>
        <v>#VALUE!</v>
      </c>
      <c r="CK126" t="e">
        <f>'2.4.Функции'!XE:XE*"BYw!'(S"</f>
        <v>#VALUE!</v>
      </c>
      <c r="CL126" t="e">
        <f>'2.4.Функции'!XF:XF*"BYw!'(T"</f>
        <v>#VALUE!</v>
      </c>
      <c r="CM126" t="e">
        <f>'2.4.Функции'!XG:XG*"BYw!'(U"</f>
        <v>#VALUE!</v>
      </c>
      <c r="CN126" t="e">
        <f>'2.4.Функции'!XH:XH*"BYw!'(V"</f>
        <v>#VALUE!</v>
      </c>
      <c r="CO126" t="e">
        <f>'2.4.Функции'!XI:XI*"BYw!'(W"</f>
        <v>#VALUE!</v>
      </c>
      <c r="CP126" t="e">
        <f>'2.4.Функции'!XJ:XJ*"BYw!'(X"</f>
        <v>#VALUE!</v>
      </c>
      <c r="CQ126" t="e">
        <f>'2.4.Функции'!XK:XK*"BYw!'(Y"</f>
        <v>#VALUE!</v>
      </c>
      <c r="CR126" t="e">
        <f>'2.4.Функции'!XL:XL*"BYw!'(Z"</f>
        <v>#VALUE!</v>
      </c>
      <c r="CS126" t="e">
        <f>'2.4.Функции'!XM:XM*"BYw!'(["</f>
        <v>#VALUE!</v>
      </c>
      <c r="CT126" t="e">
        <f>'2.4.Функции'!XN:XN*"BYw!'(\"</f>
        <v>#VALUE!</v>
      </c>
      <c r="CU126" t="e">
        <f>'2.4.Функции'!XO:XO*"BYw!'(]"</f>
        <v>#VALUE!</v>
      </c>
      <c r="CV126" t="e">
        <f>'2.4.Функции'!XP:XP*"BYw!'(^"</f>
        <v>#VALUE!</v>
      </c>
      <c r="CW126" t="e">
        <f>'2.4.Функции'!XQ:XQ*"BYw!'(_"</f>
        <v>#VALUE!</v>
      </c>
      <c r="CX126" t="e">
        <f>'2.4.Функции'!XR:XR*"BYw!'(`"</f>
        <v>#VALUE!</v>
      </c>
      <c r="CY126" t="e">
        <f>'2.4.Функции'!XS:XS*"BYw!'(a"</f>
        <v>#VALUE!</v>
      </c>
      <c r="CZ126" t="e">
        <f>'2.4.Функции'!XT:XT*"BYw!'(b"</f>
        <v>#VALUE!</v>
      </c>
      <c r="DA126" t="e">
        <f>'2.4.Функции'!XU:XU*"BYw!'(c"</f>
        <v>#VALUE!</v>
      </c>
      <c r="DB126" t="e">
        <f>'2.4.Функции'!XV:XV*"BYw!'(d"</f>
        <v>#VALUE!</v>
      </c>
      <c r="DC126" t="e">
        <f>'2.4.Функции'!XW:XW*"BYw!'(e"</f>
        <v>#VALUE!</v>
      </c>
      <c r="DD126" t="e">
        <f>'2.4.Функции'!XX:XX*"BYw!'(f"</f>
        <v>#VALUE!</v>
      </c>
      <c r="DE126" t="e">
        <f>'2.4.Функции'!XY:XY*"BYw!'(g"</f>
        <v>#VALUE!</v>
      </c>
      <c r="DF126" t="e">
        <f>'2.4.Функции'!XZ:XZ*"BYw!'(h"</f>
        <v>#VALUE!</v>
      </c>
      <c r="DG126" t="e">
        <f>'2.4.Функции'!YA:YA*"BYw!'(i"</f>
        <v>#VALUE!</v>
      </c>
      <c r="DH126" t="e">
        <f>'2.4.Функции'!YB:YB*"BYw!'(j"</f>
        <v>#VALUE!</v>
      </c>
      <c r="DI126" t="e">
        <f>'2.4.Функции'!YC:YC*"BYw!'(k"</f>
        <v>#VALUE!</v>
      </c>
      <c r="DJ126" t="e">
        <f>'2.4.Функции'!YD:YD*"BYw!'(l"</f>
        <v>#VALUE!</v>
      </c>
      <c r="DK126" t="e">
        <f>'2.4.Функции'!YE:YE*"BYw!'(m"</f>
        <v>#VALUE!</v>
      </c>
      <c r="DL126" t="e">
        <f>'2.4.Функции'!YF:YF*"BYw!'(n"</f>
        <v>#VALUE!</v>
      </c>
      <c r="DM126" t="e">
        <f>'2.4.Функции'!YG:YG*"BYw!'(o"</f>
        <v>#VALUE!</v>
      </c>
      <c r="DN126" t="e">
        <f>'2.4.Функции'!YH:YH*"BYw!'(p"</f>
        <v>#VALUE!</v>
      </c>
      <c r="DO126" t="e">
        <f>'2.4.Функции'!YI:YI*"BYw!'(q"</f>
        <v>#VALUE!</v>
      </c>
      <c r="DP126" t="e">
        <f>'2.4.Функции'!YJ:YJ*"BYw!'(r"</f>
        <v>#VALUE!</v>
      </c>
      <c r="DQ126" t="e">
        <f>'2.4.Функции'!YK:YK*"BYw!'(s"</f>
        <v>#VALUE!</v>
      </c>
      <c r="DR126" t="e">
        <f>'2.4.Функции'!YL:YL*"BYw!'(t"</f>
        <v>#VALUE!</v>
      </c>
      <c r="DS126" t="e">
        <f>'2.4.Функции'!YM:YM*"BYw!'(u"</f>
        <v>#VALUE!</v>
      </c>
      <c r="DT126" t="e">
        <f>'2.4.Функции'!YN:YN*"BYw!'(v"</f>
        <v>#VALUE!</v>
      </c>
      <c r="DU126" t="e">
        <f>'2.4.Функции'!YO:YO*"BYw!'(w"</f>
        <v>#VALUE!</v>
      </c>
      <c r="DV126" t="e">
        <f>'2.4.Функции'!YP:YP*"BYw!'(x"</f>
        <v>#VALUE!</v>
      </c>
      <c r="DW126" t="e">
        <f>'2.4.Функции'!YQ:YQ*"BYw!'(y"</f>
        <v>#VALUE!</v>
      </c>
      <c r="DX126" t="e">
        <f>'2.4.Функции'!YR:YR*"BYw!'(z"</f>
        <v>#VALUE!</v>
      </c>
      <c r="DY126" t="e">
        <f>'2.4.Функции'!YS:YS*"BYw!'({"</f>
        <v>#VALUE!</v>
      </c>
      <c r="DZ126" t="e">
        <f>'2.4.Функции'!YT:YT*"BYw!'(|"</f>
        <v>#VALUE!</v>
      </c>
      <c r="EA126" t="e">
        <f>'2.4.Функции'!YU:YU*"BYw!'(}"</f>
        <v>#VALUE!</v>
      </c>
      <c r="EB126" t="e">
        <f>'2.4.Функции'!YV:YV*"BYw!'(~"</f>
        <v>#VALUE!</v>
      </c>
      <c r="EC126" t="e">
        <f>'2.4.Функции'!YW:YW*"BYw!')#"</f>
        <v>#VALUE!</v>
      </c>
      <c r="ED126" t="e">
        <f>'2.4.Функции'!YX:YX*"BYw!')$"</f>
        <v>#VALUE!</v>
      </c>
      <c r="EE126" t="e">
        <f>'2.4.Функции'!YY:YY*"BYw!')%"</f>
        <v>#VALUE!</v>
      </c>
      <c r="EF126" t="e">
        <f>'2.4.Функции'!YZ:YZ*"BYw!')&amp;"</f>
        <v>#VALUE!</v>
      </c>
      <c r="EG126" t="e">
        <f>'2.4.Функции'!ZA:ZA*"BYw!')'"</f>
        <v>#VALUE!</v>
      </c>
      <c r="EH126" t="e">
        <f>'2.4.Функции'!ZB:ZB*"BYw!')("</f>
        <v>#VALUE!</v>
      </c>
      <c r="EI126" t="e">
        <f>'2.4.Функции'!ZC:ZC*"BYw!'))"</f>
        <v>#VALUE!</v>
      </c>
      <c r="EJ126" t="e">
        <f>'2.4.Функции'!ZD:ZD*"BYw!')."</f>
        <v>#VALUE!</v>
      </c>
      <c r="EK126" t="e">
        <f>'2.4.Функции'!ZE:ZE*"BYw!')/"</f>
        <v>#VALUE!</v>
      </c>
      <c r="EL126" t="e">
        <f>'2.4.Функции'!ZF:ZF*"BYw!')0"</f>
        <v>#VALUE!</v>
      </c>
      <c r="EM126" t="e">
        <f>'2.4.Функции'!ZG:ZG*"BYw!')1"</f>
        <v>#VALUE!</v>
      </c>
      <c r="EN126" t="e">
        <f>'2.4.Функции'!ZH:ZH*"BYw!')2"</f>
        <v>#VALUE!</v>
      </c>
      <c r="EO126" t="e">
        <f>'2.4.Функции'!ZI:ZI*"BYw!')3"</f>
        <v>#VALUE!</v>
      </c>
      <c r="EP126" t="e">
        <f>'2.4.Функции'!ZJ:ZJ*"BYw!')4"</f>
        <v>#VALUE!</v>
      </c>
      <c r="EQ126" t="e">
        <f>'2.4.Функции'!ZK:ZK*"BYw!')5"</f>
        <v>#VALUE!</v>
      </c>
      <c r="ER126" t="e">
        <f>'2.4.Функции'!ZL:ZL*"BYw!')6"</f>
        <v>#VALUE!</v>
      </c>
      <c r="ES126" t="e">
        <f>'2.4.Функции'!ZM:ZM*"BYw!')7"</f>
        <v>#VALUE!</v>
      </c>
      <c r="ET126" t="e">
        <f>'2.4.Функции'!ZN:ZN*"BYw!')8"</f>
        <v>#VALUE!</v>
      </c>
      <c r="EU126" t="e">
        <f>'2.4.Функции'!ZO:ZO*"BYw!')9"</f>
        <v>#VALUE!</v>
      </c>
      <c r="EV126" t="e">
        <f>'2.4.Функции'!ZP:ZP*"BYw!'):"</f>
        <v>#VALUE!</v>
      </c>
      <c r="EW126" t="e">
        <f>'2.4.Функции'!ZQ:ZQ*"BYw!');"</f>
        <v>#VALUE!</v>
      </c>
      <c r="EX126" t="e">
        <f>'2.4.Функции'!ZR:ZR*"BYw!')&lt;"</f>
        <v>#VALUE!</v>
      </c>
      <c r="EY126" t="e">
        <f>'2.4.Функции'!ZS:ZS*"BYw!')="</f>
        <v>#VALUE!</v>
      </c>
      <c r="EZ126" t="e">
        <f>'2.4.Функции'!ZT:ZT*"BYw!')&gt;"</f>
        <v>#VALUE!</v>
      </c>
      <c r="FA126" t="e">
        <f>'2.4.Функции'!ZU:ZU*"BYw!')?"</f>
        <v>#VALUE!</v>
      </c>
      <c r="FB126" t="e">
        <f>'2.4.Функции'!ZV:ZV*"BYw!')@"</f>
        <v>#VALUE!</v>
      </c>
      <c r="FC126" t="e">
        <f>'2.4.Функции'!ZW:ZW*"BYw!')A"</f>
        <v>#VALUE!</v>
      </c>
      <c r="FD126" t="e">
        <f>'2.4.Функции'!ZX:ZX*"BYw!')B"</f>
        <v>#VALUE!</v>
      </c>
      <c r="FE126" t="e">
        <f>'2.4.Функции'!ZY:ZY*"BYw!')C"</f>
        <v>#VALUE!</v>
      </c>
      <c r="FF126" t="e">
        <f>'2.4.Функции'!ZZ:ZZ*"BYw!')D"</f>
        <v>#VALUE!</v>
      </c>
      <c r="FG126" t="e">
        <f>'2.4.Функции'!AAA:AAA*"BYw!')E"</f>
        <v>#VALUE!</v>
      </c>
      <c r="FH126" t="e">
        <f>'2.4.Функции'!AAB:AAB*"BYw!')F"</f>
        <v>#VALUE!</v>
      </c>
      <c r="FI126" t="e">
        <f>'2.4.Функции'!AAC:AAC*"BYw!')G"</f>
        <v>#VALUE!</v>
      </c>
      <c r="FJ126" t="e">
        <f>'2.4.Функции'!AAD:AAD*"BYw!')H"</f>
        <v>#VALUE!</v>
      </c>
      <c r="FK126" t="e">
        <f>'2.4.Функции'!AAE:AAE*"BYw!')I"</f>
        <v>#VALUE!</v>
      </c>
      <c r="FL126" t="e">
        <f>'2.4.Функции'!AAF:AAF*"BYw!')J"</f>
        <v>#VALUE!</v>
      </c>
      <c r="FM126" t="e">
        <f>'2.4.Функции'!AAG:AAG*"BYw!')K"</f>
        <v>#VALUE!</v>
      </c>
      <c r="FN126" t="e">
        <f>'2.4.Функции'!AAH:AAH*"BYw!')L"</f>
        <v>#VALUE!</v>
      </c>
      <c r="FO126" t="e">
        <f>'2.4.Функции'!AAI:AAI*"BYw!')M"</f>
        <v>#VALUE!</v>
      </c>
      <c r="FP126" t="e">
        <f>'2.4.Функции'!AAJ:AAJ*"BYw!')N"</f>
        <v>#VALUE!</v>
      </c>
      <c r="FQ126" t="e">
        <f>'2.4.Функции'!AAK:AAK*"BYw!')O"</f>
        <v>#VALUE!</v>
      </c>
      <c r="FR126" t="e">
        <f>'2.4.Функции'!AAL:AAL*"BYw!')P"</f>
        <v>#VALUE!</v>
      </c>
      <c r="FS126" t="e">
        <f>'2.4.Функции'!AAM:AAM*"BYw!')Q"</f>
        <v>#VALUE!</v>
      </c>
      <c r="FT126" t="e">
        <f>'2.4.Функции'!AAN:AAN*"BYw!')R"</f>
        <v>#VALUE!</v>
      </c>
      <c r="FU126" t="e">
        <f>'2.4.Функции'!AAO:AAO*"BYw!')S"</f>
        <v>#VALUE!</v>
      </c>
      <c r="FV126" t="e">
        <f>'2.4.Функции'!AAP:AAP*"BYw!')T"</f>
        <v>#VALUE!</v>
      </c>
      <c r="FW126" t="e">
        <f>'2.4.Функции'!AAQ:AAQ*"BYw!')U"</f>
        <v>#VALUE!</v>
      </c>
      <c r="FX126" t="e">
        <f>'2.4.Функции'!AAR:AAR*"BYw!')V"</f>
        <v>#VALUE!</v>
      </c>
      <c r="FY126" t="e">
        <f>'2.4.Функции'!AAS:AAS*"BYw!')W"</f>
        <v>#VALUE!</v>
      </c>
      <c r="FZ126" t="e">
        <f>'2.4.Функции'!AAT:AAT*"BYw!')X"</f>
        <v>#VALUE!</v>
      </c>
      <c r="GA126" t="e">
        <f>'2.4.Функции'!AAU:AAU*"BYw!')Y"</f>
        <v>#VALUE!</v>
      </c>
      <c r="GB126" t="e">
        <f>'2.4.Функции'!AAV:AAV*"BYw!')Z"</f>
        <v>#VALUE!</v>
      </c>
      <c r="GC126" t="e">
        <f>'2.4.Функции'!AAW:AAW*"BYw!')["</f>
        <v>#VALUE!</v>
      </c>
      <c r="GD126" t="e">
        <f>'2.4.Функции'!AAX:AAX*"BYw!')\"</f>
        <v>#VALUE!</v>
      </c>
      <c r="GE126" t="e">
        <f>'2.4.Функции'!AAY:AAY*"BYw!')]"</f>
        <v>#VALUE!</v>
      </c>
      <c r="GF126" t="e">
        <f>'2.4.Функции'!AAZ:AAZ*"BYw!')^"</f>
        <v>#VALUE!</v>
      </c>
      <c r="GG126" t="e">
        <f>'2.4.Функции'!ABA:ABA*"BYw!')_"</f>
        <v>#VALUE!</v>
      </c>
      <c r="GH126" t="e">
        <f>'2.4.Функции'!ABB:ABB*"BYw!')`"</f>
        <v>#VALUE!</v>
      </c>
      <c r="GI126" t="e">
        <f>'2.4.Функции'!ABC:ABC*"BYw!')a"</f>
        <v>#VALUE!</v>
      </c>
      <c r="GJ126" t="e">
        <f>'2.4.Функции'!ABD:ABD*"BYw!')b"</f>
        <v>#VALUE!</v>
      </c>
      <c r="GK126" t="e">
        <f>'2.4.Функции'!ABE:ABE*"BYw!')c"</f>
        <v>#VALUE!</v>
      </c>
      <c r="GL126" t="e">
        <f>'2.4.Функции'!ABF:ABF*"BYw!')d"</f>
        <v>#VALUE!</v>
      </c>
      <c r="GM126" t="e">
        <f>'2.4.Функции'!ABG:ABG*"BYw!')e"</f>
        <v>#VALUE!</v>
      </c>
      <c r="GN126" t="e">
        <f>'2.4.Функции'!ABH:ABH*"BYw!')f"</f>
        <v>#VALUE!</v>
      </c>
      <c r="GO126" t="e">
        <f>'2.4.Функции'!ABI:ABI*"BYw!')g"</f>
        <v>#VALUE!</v>
      </c>
      <c r="GP126" t="e">
        <f>'2.4.Функции'!ABJ:ABJ*"BYw!')h"</f>
        <v>#VALUE!</v>
      </c>
      <c r="GQ126" t="e">
        <f>'2.4.Функции'!ABK:ABK*"BYw!')i"</f>
        <v>#VALUE!</v>
      </c>
      <c r="GR126" t="e">
        <f>'2.4.Функции'!ABL:ABL*"BYw!')j"</f>
        <v>#VALUE!</v>
      </c>
      <c r="GS126" t="e">
        <f>'2.4.Функции'!ABM:ABM*"BYw!')k"</f>
        <v>#VALUE!</v>
      </c>
      <c r="GT126" t="e">
        <f>'2.4.Функции'!ABN:ABN*"BYw!')l"</f>
        <v>#VALUE!</v>
      </c>
      <c r="GU126" t="e">
        <f>'2.4.Функции'!ABO:ABO*"BYw!')m"</f>
        <v>#VALUE!</v>
      </c>
      <c r="GV126" t="e">
        <f>'2.4.Функции'!ABP:ABP*"BYw!')n"</f>
        <v>#VALUE!</v>
      </c>
      <c r="GW126" t="e">
        <f>'2.4.Функции'!ABQ:ABQ*"BYw!')o"</f>
        <v>#VALUE!</v>
      </c>
      <c r="GX126" t="e">
        <f>'2.4.Функции'!ABR:ABR*"BYw!')p"</f>
        <v>#VALUE!</v>
      </c>
      <c r="GY126" t="e">
        <f>'2.4.Функции'!ABS:ABS*"BYw!')q"</f>
        <v>#VALUE!</v>
      </c>
      <c r="GZ126" t="e">
        <f>'2.4.Функции'!ABT:ABT*"BYw!')r"</f>
        <v>#VALUE!</v>
      </c>
      <c r="HA126" t="e">
        <f>'2.4.Функции'!ABU:ABU*"BYw!')s"</f>
        <v>#VALUE!</v>
      </c>
      <c r="HB126" t="e">
        <f>'2.4.Функции'!ABV:ABV*"BYw!')t"</f>
        <v>#VALUE!</v>
      </c>
      <c r="HC126" t="e">
        <f>'2.4.Функции'!ABW:ABW*"BYw!')u"</f>
        <v>#VALUE!</v>
      </c>
      <c r="HD126" t="e">
        <f>'2.4.Функции'!ABX:ABX*"BYw!')v"</f>
        <v>#VALUE!</v>
      </c>
      <c r="HE126" t="e">
        <f>'2.4.Функции'!ABY:ABY*"BYw!')w"</f>
        <v>#VALUE!</v>
      </c>
      <c r="HF126" t="e">
        <f>'2.4.Функции'!ABZ:ABZ*"BYw!')x"</f>
        <v>#VALUE!</v>
      </c>
      <c r="HG126" t="e">
        <f>'2.4.Функции'!ACA:ACA*"BYw!')y"</f>
        <v>#VALUE!</v>
      </c>
      <c r="HH126" t="e">
        <f>'2.4.Функции'!ACB:ACB*"BYw!')z"</f>
        <v>#VALUE!</v>
      </c>
      <c r="HI126" t="e">
        <f>'2.4.Функции'!ACC:ACC*"BYw!'){"</f>
        <v>#VALUE!</v>
      </c>
      <c r="HJ126" t="e">
        <f>'2.4.Функции'!ACD:ACD*"BYw!')|"</f>
        <v>#VALUE!</v>
      </c>
      <c r="HK126" t="e">
        <f>'2.4.Функции'!ACE:ACE*"BYw!')}"</f>
        <v>#VALUE!</v>
      </c>
      <c r="HL126" t="e">
        <f>'2.4.Функции'!ACF:ACF*"BYw!')~"</f>
        <v>#VALUE!</v>
      </c>
      <c r="HM126" t="e">
        <f>'2.4.Функции'!ACG:ACG*"BYw!'.#"</f>
        <v>#VALUE!</v>
      </c>
      <c r="HN126" t="e">
        <f>'2.4.Функции'!ACH:ACH*"BYw!'.$"</f>
        <v>#VALUE!</v>
      </c>
      <c r="HO126" t="e">
        <f>'2.4.Функции'!ACI:ACI*"BYw!'.%"</f>
        <v>#VALUE!</v>
      </c>
      <c r="HP126" t="e">
        <f>'2.4.Функции'!ACJ:ACJ*"BYw!'.&amp;"</f>
        <v>#VALUE!</v>
      </c>
      <c r="HQ126" t="e">
        <f>'2.4.Функции'!ACK:ACK*"BYw!'.'"</f>
        <v>#VALUE!</v>
      </c>
      <c r="HR126" t="e">
        <f>'2.4.Функции'!ACL:ACL*"BYw!'.("</f>
        <v>#VALUE!</v>
      </c>
      <c r="HS126" t="e">
        <f>'2.4.Функции'!ACM:ACM*"BYw!'.)"</f>
        <v>#VALUE!</v>
      </c>
      <c r="HT126" t="e">
        <f>'2.4.Функции'!ACN:ACN*"BYw!'.."</f>
        <v>#VALUE!</v>
      </c>
      <c r="HU126" t="e">
        <f>'2.4.Функции'!ACO:ACO*"BYw!'./"</f>
        <v>#VALUE!</v>
      </c>
      <c r="HV126" t="e">
        <f>'2.4.Функции'!ACP:ACP*"BYw!'.0"</f>
        <v>#VALUE!</v>
      </c>
      <c r="HW126" t="e">
        <f>'2.4.Функции'!ACQ:ACQ*"BYw!'.1"</f>
        <v>#VALUE!</v>
      </c>
      <c r="HX126" t="e">
        <f>'2.4.Функции'!ACR:ACR*"BYw!'.2"</f>
        <v>#VALUE!</v>
      </c>
      <c r="HY126" t="e">
        <f>'2.4.Функции'!ACS:ACS*"BYw!'.3"</f>
        <v>#VALUE!</v>
      </c>
      <c r="HZ126" t="e">
        <f>'2.4.Функции'!ACT:ACT*"BYw!'.4"</f>
        <v>#VALUE!</v>
      </c>
      <c r="IA126" t="e">
        <f>'2.4.Функции'!ACU:ACU*"BYw!'.5"</f>
        <v>#VALUE!</v>
      </c>
      <c r="IB126" t="e">
        <f>'2.4.Функции'!ACV:ACV*"BYw!'.6"</f>
        <v>#VALUE!</v>
      </c>
      <c r="IC126" t="e">
        <f>'2.4.Функции'!ACW:ACW*"BYw!'.7"</f>
        <v>#VALUE!</v>
      </c>
      <c r="ID126" t="e">
        <f>'2.4.Функции'!ACX:ACX*"BYw!'.8"</f>
        <v>#VALUE!</v>
      </c>
      <c r="IE126" t="e">
        <f>'2.4.Функции'!ACY:ACY*"BYw!'.9"</f>
        <v>#VALUE!</v>
      </c>
      <c r="IF126" t="e">
        <f>'2.4.Функции'!ACZ:ACZ*"BYw!'.:"</f>
        <v>#VALUE!</v>
      </c>
      <c r="IG126" t="e">
        <f>'2.4.Функции'!ADA:ADA*"BYw!'.;"</f>
        <v>#VALUE!</v>
      </c>
      <c r="IH126" t="e">
        <f>'2.4.Функции'!ADB:ADB*"BYw!'.&lt;"</f>
        <v>#VALUE!</v>
      </c>
      <c r="II126" t="e">
        <f>'2.4.Функции'!ADC:ADC*"BYw!'.="</f>
        <v>#VALUE!</v>
      </c>
      <c r="IJ126" t="e">
        <f>'2.4.Функции'!ADD:ADD*"BYw!'.&gt;"</f>
        <v>#VALUE!</v>
      </c>
      <c r="IK126" t="e">
        <f>'2.4.Функции'!ADE:ADE*"BYw!'.?"</f>
        <v>#VALUE!</v>
      </c>
      <c r="IL126" t="e">
        <f>'2.4.Функции'!ADF:ADF*"BYw!'.@"</f>
        <v>#VALUE!</v>
      </c>
      <c r="IM126" t="e">
        <f>'2.4.Функции'!ADG:ADG*"BYw!'.A"</f>
        <v>#VALUE!</v>
      </c>
      <c r="IN126" t="e">
        <f>'2.4.Функции'!ADH:ADH*"BYw!'.B"</f>
        <v>#VALUE!</v>
      </c>
      <c r="IO126" t="e">
        <f>'2.4.Функции'!ADI:ADI*"BYw!'.C"</f>
        <v>#VALUE!</v>
      </c>
      <c r="IP126" t="e">
        <f>'2.4.Функции'!ADJ:ADJ*"BYw!'.D"</f>
        <v>#VALUE!</v>
      </c>
      <c r="IQ126" t="e">
        <f>'2.4.Функции'!ADK:ADK*"BYw!'.E"</f>
        <v>#VALUE!</v>
      </c>
      <c r="IR126" t="e">
        <f>'2.4.Функции'!ADL:ADL*"BYw!'.F"</f>
        <v>#VALUE!</v>
      </c>
      <c r="IS126" t="e">
        <f>'2.4.Функции'!ADM:ADM*"BYw!'.G"</f>
        <v>#VALUE!</v>
      </c>
      <c r="IT126" t="e">
        <f>'2.4.Функции'!ADN:ADN*"BYw!'.H"</f>
        <v>#VALUE!</v>
      </c>
      <c r="IU126" t="e">
        <f>'2.4.Функции'!ADO:ADO*"BYw!'.I"</f>
        <v>#VALUE!</v>
      </c>
      <c r="IV126" t="e">
        <f>'2.4.Функции'!ADP:ADP*"BYw!'.J"</f>
        <v>#VALUE!</v>
      </c>
    </row>
    <row r="127" spans="6:256" x14ac:dyDescent="0.2">
      <c r="F127" t="e">
        <f>'2.4.Функции'!ADQ:ADQ*"BYw!'.K"</f>
        <v>#VALUE!</v>
      </c>
      <c r="G127" t="e">
        <f>'2.4.Функции'!ADR:ADR*"BYw!'.L"</f>
        <v>#VALUE!</v>
      </c>
      <c r="H127" t="e">
        <f>'2.4.Функции'!ADS:ADS*"BYw!'.M"</f>
        <v>#VALUE!</v>
      </c>
      <c r="I127" t="e">
        <f>'2.4.Функции'!ADT:ADT*"BYw!'.N"</f>
        <v>#VALUE!</v>
      </c>
      <c r="J127" t="e">
        <f>'2.4.Функции'!ADU:ADU*"BYw!'.O"</f>
        <v>#VALUE!</v>
      </c>
      <c r="K127" t="e">
        <f>'2.4.Функции'!ADV:ADV*"BYw!'.P"</f>
        <v>#VALUE!</v>
      </c>
      <c r="L127" t="e">
        <f>'2.4.Функции'!ADW:ADW*"BYw!'.Q"</f>
        <v>#VALUE!</v>
      </c>
      <c r="M127" t="e">
        <f>'2.4.Функции'!ADX:ADX*"BYw!'.R"</f>
        <v>#VALUE!</v>
      </c>
      <c r="N127" t="e">
        <f>'2.4.Функции'!ADY:ADY*"BYw!'.S"</f>
        <v>#VALUE!</v>
      </c>
      <c r="O127" t="e">
        <f>'2.4.Функции'!ADZ:ADZ*"BYw!'.T"</f>
        <v>#VALUE!</v>
      </c>
      <c r="P127" t="e">
        <f>'2.4.Функции'!AEA:AEA*"BYw!'.U"</f>
        <v>#VALUE!</v>
      </c>
      <c r="Q127" t="e">
        <f>'2.4.Функции'!AEB:AEB*"BYw!'.V"</f>
        <v>#VALUE!</v>
      </c>
      <c r="R127" t="e">
        <f>'2.4.Функции'!AEC:AEC*"BYw!'.W"</f>
        <v>#VALUE!</v>
      </c>
      <c r="S127" t="e">
        <f>'2.4.Функции'!AED:AED*"BYw!'.X"</f>
        <v>#VALUE!</v>
      </c>
      <c r="T127" t="e">
        <f>'2.4.Функции'!AEE:AEE*"BYw!'.Y"</f>
        <v>#VALUE!</v>
      </c>
      <c r="U127" t="e">
        <f>'2.4.Функции'!AEF:AEF*"BYw!'.Z"</f>
        <v>#VALUE!</v>
      </c>
      <c r="V127" t="e">
        <f>'2.4.Функции'!AEG:AEG*"BYw!'.["</f>
        <v>#VALUE!</v>
      </c>
      <c r="W127" t="e">
        <f>'2.4.Функции'!AEH:AEH*"BYw!'.\"</f>
        <v>#VALUE!</v>
      </c>
      <c r="X127" t="e">
        <f>'2.4.Функции'!AEI:AEI*"BYw!'.]"</f>
        <v>#VALUE!</v>
      </c>
      <c r="Y127" t="e">
        <f>'2.4.Функции'!AEJ:AEJ*"BYw!'.^"</f>
        <v>#VALUE!</v>
      </c>
      <c r="Z127" t="e">
        <f>'2.4.Функции'!AEK:AEK*"BYw!'._"</f>
        <v>#VALUE!</v>
      </c>
      <c r="AA127" t="e">
        <f>'2.4.Функции'!AEL:AEL*"BYw!'.`"</f>
        <v>#VALUE!</v>
      </c>
      <c r="AB127" t="e">
        <f>'2.4.Функции'!AEM:AEM*"BYw!'.a"</f>
        <v>#VALUE!</v>
      </c>
      <c r="AC127" t="e">
        <f>'2.4.Функции'!AEN:AEN*"BYw!'.b"</f>
        <v>#VALUE!</v>
      </c>
      <c r="AD127" t="e">
        <f>'2.4.Функции'!AEO:AEO*"BYw!'.c"</f>
        <v>#VALUE!</v>
      </c>
      <c r="AE127" t="e">
        <f>'2.4.Функции'!AEP:AEP*"BYw!'.d"</f>
        <v>#VALUE!</v>
      </c>
      <c r="AF127" t="e">
        <f>'2.4.Функции'!AEQ:AEQ*"BYw!'.e"</f>
        <v>#VALUE!</v>
      </c>
      <c r="AG127" t="e">
        <f>'2.4.Функции'!AER:AER*"BYw!'.f"</f>
        <v>#VALUE!</v>
      </c>
      <c r="AH127" t="e">
        <f>'2.4.Функции'!AES:AES*"BYw!'.g"</f>
        <v>#VALUE!</v>
      </c>
      <c r="AI127" t="e">
        <f>'2.4.Функции'!AET:AET*"BYw!'.h"</f>
        <v>#VALUE!</v>
      </c>
      <c r="AJ127" t="e">
        <f>'2.4.Функции'!AEU:AEU*"BYw!'.i"</f>
        <v>#VALUE!</v>
      </c>
      <c r="AK127" t="e">
        <f>'2.4.Функции'!AEV:AEV*"BYw!'.j"</f>
        <v>#VALUE!</v>
      </c>
      <c r="AL127" t="e">
        <f>'2.4.Функции'!AEW:AEW*"BYw!'.k"</f>
        <v>#VALUE!</v>
      </c>
      <c r="AM127" t="e">
        <f>'2.4.Функции'!AEX:AEX*"BYw!'.l"</f>
        <v>#VALUE!</v>
      </c>
      <c r="AN127" t="e">
        <f>'2.4.Функции'!AEY:AEY*"BYw!'.m"</f>
        <v>#VALUE!</v>
      </c>
      <c r="AO127" t="e">
        <f>'2.4.Функции'!AEZ:AEZ*"BYw!'.n"</f>
        <v>#VALUE!</v>
      </c>
      <c r="AP127" t="e">
        <f>'2.4.Функции'!AFA:AFA*"BYw!'.o"</f>
        <v>#VALUE!</v>
      </c>
      <c r="AQ127" t="e">
        <f>'2.4.Функции'!AFB:AFB*"BYw!'.p"</f>
        <v>#VALUE!</v>
      </c>
      <c r="AR127" t="e">
        <f>'2.4.Функции'!AFC:AFC*"BYw!'.q"</f>
        <v>#VALUE!</v>
      </c>
      <c r="AS127" t="e">
        <f>'2.4.Функции'!AFD:AFD*"BYw!'.r"</f>
        <v>#VALUE!</v>
      </c>
      <c r="AT127" t="e">
        <f>'2.4.Функции'!AFE:AFE*"BYw!'.s"</f>
        <v>#VALUE!</v>
      </c>
      <c r="AU127" t="e">
        <f>'2.4.Функции'!AFF:AFF*"BYw!'.t"</f>
        <v>#VALUE!</v>
      </c>
      <c r="AV127" t="e">
        <f>'2.4.Функции'!AFG:AFG*"BYw!'.u"</f>
        <v>#VALUE!</v>
      </c>
      <c r="AW127" t="e">
        <f>'2.4.Функции'!AFH:AFH*"BYw!'.v"</f>
        <v>#VALUE!</v>
      </c>
      <c r="AX127" t="e">
        <f>'2.4.Функции'!AFI:AFI*"BYw!'.w"</f>
        <v>#VALUE!</v>
      </c>
      <c r="AY127" t="e">
        <f>'2.4.Функции'!AFJ:AFJ*"BYw!'.x"</f>
        <v>#VALUE!</v>
      </c>
      <c r="AZ127" t="e">
        <f>'2.4.Функции'!AFK:AFK*"BYw!'.y"</f>
        <v>#VALUE!</v>
      </c>
      <c r="BA127" t="e">
        <f>'2.4.Функции'!AFL:AFL*"BYw!'.z"</f>
        <v>#VALUE!</v>
      </c>
      <c r="BB127" t="e">
        <f>'2.4.Функции'!AFM:AFM*"BYw!'.{"</f>
        <v>#VALUE!</v>
      </c>
      <c r="BC127" t="e">
        <f>'2.4.Функции'!AFN:AFN*"BYw!'.|"</f>
        <v>#VALUE!</v>
      </c>
      <c r="BD127" t="e">
        <f>'2.4.Функции'!AFO:AFO*"BYw!'.}"</f>
        <v>#VALUE!</v>
      </c>
      <c r="BE127" t="e">
        <f>'2.4.Функции'!AFP:AFP*"BYw!'.~"</f>
        <v>#VALUE!</v>
      </c>
      <c r="BF127" t="e">
        <f>'2.4.Функции'!AFQ:AFQ*"BYw!'/#"</f>
        <v>#VALUE!</v>
      </c>
      <c r="BG127" t="e">
        <f>'2.4.Функции'!AFR:AFR*"BYw!'/$"</f>
        <v>#VALUE!</v>
      </c>
      <c r="BH127" t="e">
        <f>'2.4.Функции'!AFS:AFS*"BYw!'/%"</f>
        <v>#VALUE!</v>
      </c>
      <c r="BI127" t="e">
        <f>'2.4.Функции'!AFT:AFT*"BYw!'/&amp;"</f>
        <v>#VALUE!</v>
      </c>
      <c r="BJ127" t="e">
        <f>'2.4.Функции'!AFU:AFU*"BYw!'/'"</f>
        <v>#VALUE!</v>
      </c>
      <c r="BK127" t="e">
        <f>'2.4.Функции'!AFV:AFV*"BYw!'/("</f>
        <v>#VALUE!</v>
      </c>
      <c r="BL127" t="e">
        <f>'2.4.Функции'!AFW:AFW*"BYw!'/)"</f>
        <v>#VALUE!</v>
      </c>
      <c r="BM127" t="e">
        <f>'2.4.Функции'!AFX:AFX*"BYw!'/."</f>
        <v>#VALUE!</v>
      </c>
      <c r="BN127" t="e">
        <f>'2.4.Функции'!AFY:AFY*"BYw!'//"</f>
        <v>#VALUE!</v>
      </c>
      <c r="BO127" t="e">
        <f>'2.4.Функции'!AFZ:AFZ*"BYw!'/0"</f>
        <v>#VALUE!</v>
      </c>
      <c r="BP127" t="e">
        <f>'2.4.Функции'!AGA:AGA*"BYw!'/1"</f>
        <v>#VALUE!</v>
      </c>
      <c r="BQ127" t="e">
        <f>'2.4.Функции'!AGB:AGB*"BYw!'/2"</f>
        <v>#VALUE!</v>
      </c>
      <c r="BR127" t="e">
        <f>'2.4.Функции'!AGC:AGC*"BYw!'/3"</f>
        <v>#VALUE!</v>
      </c>
      <c r="BS127" t="e">
        <f>'2.4.Функции'!AGD:AGD*"BYw!'/4"</f>
        <v>#VALUE!</v>
      </c>
      <c r="BT127" t="e">
        <f>'2.4.Функции'!AGE:AGE*"BYw!'/5"</f>
        <v>#VALUE!</v>
      </c>
      <c r="BU127" t="e">
        <f>'2.4.Функции'!AGF:AGF*"BYw!'/6"</f>
        <v>#VALUE!</v>
      </c>
      <c r="BV127" t="e">
        <f>'2.4.Функции'!AGG:AGG*"BYw!'/7"</f>
        <v>#VALUE!</v>
      </c>
      <c r="BW127" t="e">
        <f>'2.4.Функции'!AGH:AGH*"BYw!'/8"</f>
        <v>#VALUE!</v>
      </c>
      <c r="BX127" t="e">
        <f>'2.4.Функции'!AGI:AGI*"BYw!'/9"</f>
        <v>#VALUE!</v>
      </c>
      <c r="BY127" t="e">
        <f>'2.4.Функции'!AGJ:AGJ*"BYw!'/:"</f>
        <v>#VALUE!</v>
      </c>
      <c r="BZ127" t="e">
        <f>'2.4.Функции'!AGK:AGK*"BYw!'/;"</f>
        <v>#VALUE!</v>
      </c>
      <c r="CA127" t="e">
        <f>'2.4.Функции'!AGL:AGL*"BYw!'/&lt;"</f>
        <v>#VALUE!</v>
      </c>
      <c r="CB127" t="e">
        <f>'2.4.Функции'!AGM:AGM*"BYw!'/="</f>
        <v>#VALUE!</v>
      </c>
      <c r="CC127" t="e">
        <f>'2.4.Функции'!AGN:AGN*"BYw!'/&gt;"</f>
        <v>#VALUE!</v>
      </c>
      <c r="CD127" t="e">
        <f>'2.4.Функции'!AGO:AGO*"BYw!'/?"</f>
        <v>#VALUE!</v>
      </c>
      <c r="CE127" t="e">
        <f>'2.4.Функции'!AGP:AGP*"BYw!'/@"</f>
        <v>#VALUE!</v>
      </c>
      <c r="CF127" t="e">
        <f>'2.4.Функции'!AGQ:AGQ*"BYw!'/A"</f>
        <v>#VALUE!</v>
      </c>
      <c r="CG127" t="e">
        <f>'2.4.Функции'!AGR:AGR*"BYw!'/B"</f>
        <v>#VALUE!</v>
      </c>
      <c r="CH127" t="e">
        <f>'2.4.Функции'!AGS:AGS*"BYw!'/C"</f>
        <v>#VALUE!</v>
      </c>
      <c r="CI127" t="e">
        <f>'2.4.Функции'!AGT:AGT*"BYw!'/D"</f>
        <v>#VALUE!</v>
      </c>
      <c r="CJ127" t="e">
        <f>'2.4.Функции'!AGU:AGU*"BYw!'/E"</f>
        <v>#VALUE!</v>
      </c>
      <c r="CK127" t="e">
        <f>'2.4.Функции'!AGV:AGV*"BYw!'/F"</f>
        <v>#VALUE!</v>
      </c>
      <c r="CL127" t="e">
        <f>'2.4.Функции'!AGW:AGW*"BYw!'/G"</f>
        <v>#VALUE!</v>
      </c>
      <c r="CM127" t="e">
        <f>'2.4.Функции'!AGX:AGX*"BYw!'/H"</f>
        <v>#VALUE!</v>
      </c>
      <c r="CN127" t="e">
        <f>'2.4.Функции'!AGY:AGY*"BYw!'/I"</f>
        <v>#VALUE!</v>
      </c>
      <c r="CO127" t="e">
        <f>'2.4.Функции'!AGZ:AGZ*"BYw!'/J"</f>
        <v>#VALUE!</v>
      </c>
      <c r="CP127" t="e">
        <f>'2.4.Функции'!AHA:AHA*"BYw!'/K"</f>
        <v>#VALUE!</v>
      </c>
      <c r="CQ127" t="e">
        <f>'2.4.Функции'!AHB:AHB*"BYw!'/L"</f>
        <v>#VALUE!</v>
      </c>
      <c r="CR127" t="e">
        <f>'2.4.Функции'!AHC:AHC*"BYw!'/M"</f>
        <v>#VALUE!</v>
      </c>
      <c r="CS127" t="e">
        <f>'2.4.Функции'!AHD:AHD*"BYw!'/N"</f>
        <v>#VALUE!</v>
      </c>
      <c r="CT127" t="e">
        <f>'2.4.Функции'!AHE:AHE*"BYw!'/O"</f>
        <v>#VALUE!</v>
      </c>
      <c r="CU127" t="e">
        <f>'2.4.Функции'!AHF:AHF*"BYw!'/P"</f>
        <v>#VALUE!</v>
      </c>
      <c r="CV127" t="e">
        <f>'2.4.Функции'!AHG:AHG*"BYw!'/Q"</f>
        <v>#VALUE!</v>
      </c>
      <c r="CW127" t="e">
        <f>'2.4.Функции'!AHH:AHH*"BYw!'/R"</f>
        <v>#VALUE!</v>
      </c>
      <c r="CX127" t="e">
        <f>'2.4.Функции'!AHI:AHI*"BYw!'/S"</f>
        <v>#VALUE!</v>
      </c>
      <c r="CY127" t="e">
        <f>'2.4.Функции'!AHJ:AHJ*"BYw!'/T"</f>
        <v>#VALUE!</v>
      </c>
      <c r="CZ127" t="e">
        <f>'2.4.Функции'!AHK:AHK*"BYw!'/U"</f>
        <v>#VALUE!</v>
      </c>
      <c r="DA127" t="e">
        <f>'2.4.Функции'!AHL:AHL*"BYw!'/V"</f>
        <v>#VALUE!</v>
      </c>
      <c r="DB127" t="e">
        <f>'2.4.Функции'!AHM:AHM*"BYw!'/W"</f>
        <v>#VALUE!</v>
      </c>
      <c r="DC127" t="e">
        <f>'2.4.Функции'!AHN:AHN*"BYw!'/X"</f>
        <v>#VALUE!</v>
      </c>
      <c r="DD127" t="e">
        <f>'2.4.Функции'!AHO:AHO*"BYw!'/Y"</f>
        <v>#VALUE!</v>
      </c>
      <c r="DE127" t="e">
        <f>'2.4.Функции'!AHP:AHP*"BYw!'/Z"</f>
        <v>#VALUE!</v>
      </c>
      <c r="DF127" t="e">
        <f>'2.4.Функции'!AHQ:AHQ*"BYw!'/["</f>
        <v>#VALUE!</v>
      </c>
      <c r="DG127" t="e">
        <f>'2.4.Функции'!AHR:AHR*"BYw!'/\"</f>
        <v>#VALUE!</v>
      </c>
      <c r="DH127" t="e">
        <f>'2.4.Функции'!AHS:AHS*"BYw!'/]"</f>
        <v>#VALUE!</v>
      </c>
      <c r="DI127" t="e">
        <f>'2.4.Функции'!AHT:AHT*"BYw!'/^"</f>
        <v>#VALUE!</v>
      </c>
      <c r="DJ127" t="e">
        <f>'2.4.Функции'!AHU:AHU*"BYw!'/_"</f>
        <v>#VALUE!</v>
      </c>
      <c r="DK127" t="e">
        <f>'2.4.Функции'!AHV:AHV*"BYw!'/`"</f>
        <v>#VALUE!</v>
      </c>
      <c r="DL127" t="e">
        <f>'2.4.Функции'!AHW:AHW*"BYw!'/a"</f>
        <v>#VALUE!</v>
      </c>
      <c r="DM127" t="e">
        <f>'2.4.Функции'!AHX:AHX*"BYw!'/b"</f>
        <v>#VALUE!</v>
      </c>
      <c r="DN127" t="e">
        <f>'2.4.Функции'!AHY:AHY*"BYw!'/c"</f>
        <v>#VALUE!</v>
      </c>
      <c r="DO127" t="e">
        <f>'2.4.Функции'!AHZ:AHZ*"BYw!'/d"</f>
        <v>#VALUE!</v>
      </c>
      <c r="DP127" t="e">
        <f>'2.4.Функции'!AIA:AIA*"BYw!'/e"</f>
        <v>#VALUE!</v>
      </c>
      <c r="DQ127" t="e">
        <f>'2.4.Функции'!AIB:AIB*"BYw!'/f"</f>
        <v>#VALUE!</v>
      </c>
      <c r="DR127" t="e">
        <f>'2.4.Функции'!AIC:AIC*"BYw!'/g"</f>
        <v>#VALUE!</v>
      </c>
      <c r="DS127" t="e">
        <f>'2.4.Функции'!AID:AID*"BYw!'/h"</f>
        <v>#VALUE!</v>
      </c>
      <c r="DT127" t="e">
        <f>'2.4.Функции'!AIE:AIE*"BYw!'/i"</f>
        <v>#VALUE!</v>
      </c>
      <c r="DU127" t="e">
        <f>'2.4.Функции'!AIF:AIF*"BYw!'/j"</f>
        <v>#VALUE!</v>
      </c>
      <c r="DV127" t="e">
        <f>'2.4.Функции'!AIG:AIG*"BYw!'/k"</f>
        <v>#VALUE!</v>
      </c>
      <c r="DW127" t="e">
        <f>'2.4.Функции'!AIH:AIH*"BYw!'/l"</f>
        <v>#VALUE!</v>
      </c>
      <c r="DX127" t="e">
        <f>'2.4.Функции'!AII:AII*"BYw!'/m"</f>
        <v>#VALUE!</v>
      </c>
      <c r="DY127" t="e">
        <f>'2.4.Функции'!AIJ:AIJ*"BYw!'/n"</f>
        <v>#VALUE!</v>
      </c>
      <c r="DZ127" t="e">
        <f>'2.4.Функции'!AIK:AIK*"BYw!'/o"</f>
        <v>#VALUE!</v>
      </c>
      <c r="EA127" t="e">
        <f>'2.4.Функции'!AIL:AIL*"BYw!'/p"</f>
        <v>#VALUE!</v>
      </c>
      <c r="EB127" t="e">
        <f>'2.4.Функции'!AIM:AIM*"BYw!'/q"</f>
        <v>#VALUE!</v>
      </c>
      <c r="EC127" t="e">
        <f>'2.4.Функции'!AIN:AIN*"BYw!'/r"</f>
        <v>#VALUE!</v>
      </c>
      <c r="ED127" t="e">
        <f>'2.4.Функции'!AIO:AIO*"BYw!'/s"</f>
        <v>#VALUE!</v>
      </c>
      <c r="EE127" t="e">
        <f>'2.4.Функции'!AIP:AIP*"BYw!'/t"</f>
        <v>#VALUE!</v>
      </c>
      <c r="EF127" t="e">
        <f>'2.4.Функции'!AIQ:AIQ*"BYw!'/u"</f>
        <v>#VALUE!</v>
      </c>
      <c r="EG127" t="e">
        <f>'2.4.Функции'!AIR:AIR*"BYw!'/v"</f>
        <v>#VALUE!</v>
      </c>
      <c r="EH127" t="e">
        <f>'2.4.Функции'!AIS:AIS*"BYw!'/w"</f>
        <v>#VALUE!</v>
      </c>
      <c r="EI127" t="e">
        <f>'2.4.Функции'!AIT:AIT*"BYw!'/x"</f>
        <v>#VALUE!</v>
      </c>
      <c r="EJ127" t="e">
        <f>'2.4.Функции'!AIU:AIU*"BYw!'/y"</f>
        <v>#VALUE!</v>
      </c>
      <c r="EK127" t="e">
        <f>'2.4.Функции'!AIV:AIV*"BYw!'/z"</f>
        <v>#VALUE!</v>
      </c>
      <c r="EL127" t="e">
        <f>'2.4.Функции'!AIW:AIW*"BYw!'/{"</f>
        <v>#VALUE!</v>
      </c>
      <c r="EM127" t="e">
        <f>'2.4.Функции'!AIX:AIX*"BYw!'/|"</f>
        <v>#VALUE!</v>
      </c>
      <c r="EN127" t="e">
        <f>'2.4.Функции'!AIY:AIY*"BYw!'/}"</f>
        <v>#VALUE!</v>
      </c>
      <c r="EO127" t="e">
        <f>'2.4.Функции'!AIZ:AIZ*"BYw!'/~"</f>
        <v>#VALUE!</v>
      </c>
      <c r="EP127" t="e">
        <f>'2.4.Функции'!AJA:AJA*"BYw!'0#"</f>
        <v>#VALUE!</v>
      </c>
      <c r="EQ127" t="e">
        <f>'2.4.Функции'!AJB:AJB*"BYw!'0$"</f>
        <v>#VALUE!</v>
      </c>
      <c r="ER127" t="e">
        <f>'2.4.Функции'!AJC:AJC*"BYw!'0%"</f>
        <v>#VALUE!</v>
      </c>
      <c r="ES127" t="e">
        <f>'2.4.Функции'!AJD:AJD*"BYw!'0&amp;"</f>
        <v>#VALUE!</v>
      </c>
      <c r="ET127" t="e">
        <f>'2.4.Функции'!AJE:AJE*"BYw!'0'"</f>
        <v>#VALUE!</v>
      </c>
      <c r="EU127" t="e">
        <f>'2.4.Функции'!AJF:AJF*"BYw!'0("</f>
        <v>#VALUE!</v>
      </c>
      <c r="EV127" t="e">
        <f>'2.4.Функции'!AJG:AJG*"BYw!'0)"</f>
        <v>#VALUE!</v>
      </c>
      <c r="EW127" t="e">
        <f>'2.4.Функции'!AJH:AJH*"BYw!'0."</f>
        <v>#VALUE!</v>
      </c>
      <c r="EX127" t="e">
        <f>'2.4.Функции'!AJI:AJI*"BYw!'0/"</f>
        <v>#VALUE!</v>
      </c>
      <c r="EY127" t="e">
        <f>'2.4.Функции'!AJJ:AJJ*"BYw!'00"</f>
        <v>#VALUE!</v>
      </c>
      <c r="EZ127" t="e">
        <f>'2.4.Функции'!AJK:AJK*"BYw!'01"</f>
        <v>#VALUE!</v>
      </c>
      <c r="FA127" t="e">
        <f>'2.4.Функции'!AJL:AJL*"BYw!'02"</f>
        <v>#VALUE!</v>
      </c>
      <c r="FB127" t="e">
        <f>'2.4.Функции'!AJM:AJM*"BYw!'03"</f>
        <v>#VALUE!</v>
      </c>
      <c r="FC127" t="e">
        <f>'2.4.Функции'!AJN:AJN*"BYw!'04"</f>
        <v>#VALUE!</v>
      </c>
      <c r="FD127" t="e">
        <f>'2.4.Функции'!AJO:AJO*"BYw!'05"</f>
        <v>#VALUE!</v>
      </c>
      <c r="FE127" t="e">
        <f>'2.4.Функции'!AJP:AJP*"BYw!'06"</f>
        <v>#VALUE!</v>
      </c>
      <c r="FF127" t="e">
        <f>'2.4.Функции'!AJQ:AJQ*"BYw!'07"</f>
        <v>#VALUE!</v>
      </c>
      <c r="FG127" t="e">
        <f>'2.4.Функции'!AJR:AJR*"BYw!'08"</f>
        <v>#VALUE!</v>
      </c>
      <c r="FH127" t="e">
        <f>'2.4.Функции'!AJS:AJS*"BYw!'09"</f>
        <v>#VALUE!</v>
      </c>
      <c r="FI127" t="e">
        <f>'2.4.Функции'!AJT:AJT*"BYw!'0:"</f>
        <v>#VALUE!</v>
      </c>
      <c r="FJ127" t="e">
        <f>'2.4.Функции'!AJU:AJU*"BYw!'0;"</f>
        <v>#VALUE!</v>
      </c>
      <c r="FK127" t="e">
        <f>'2.4.Функции'!AJV:AJV*"BYw!'0&lt;"</f>
        <v>#VALUE!</v>
      </c>
      <c r="FL127" t="e">
        <f>'2.4.Функции'!AJW:AJW*"BYw!'0="</f>
        <v>#VALUE!</v>
      </c>
      <c r="FM127" t="e">
        <f>'2.4.Функции'!AJX:AJX*"BYw!'0&gt;"</f>
        <v>#VALUE!</v>
      </c>
      <c r="FN127" t="e">
        <f>'2.4.Функции'!AJY:AJY*"BYw!'0?"</f>
        <v>#VALUE!</v>
      </c>
      <c r="FO127" t="e">
        <f>'2.4.Функции'!AJZ:AJZ*"BYw!'0@"</f>
        <v>#VALUE!</v>
      </c>
      <c r="FP127" t="e">
        <f>'2.4.Функции'!AKA:AKA*"BYw!'0A"</f>
        <v>#VALUE!</v>
      </c>
      <c r="FQ127" t="e">
        <f>'2.4.Функции'!AKB:AKB*"BYw!'0B"</f>
        <v>#VALUE!</v>
      </c>
      <c r="FR127" t="e">
        <f>'2.4.Функции'!AKC:AKC*"BYw!'0C"</f>
        <v>#VALUE!</v>
      </c>
      <c r="FS127" t="e">
        <f>'2.4.Функции'!AKD:AKD*"BYw!'0D"</f>
        <v>#VALUE!</v>
      </c>
      <c r="FT127" t="e">
        <f>'2.4.Функции'!AKE:AKE*"BYw!'0E"</f>
        <v>#VALUE!</v>
      </c>
      <c r="FU127" t="e">
        <f>'2.4.Функции'!AKF:AKF*"BYw!'0F"</f>
        <v>#VALUE!</v>
      </c>
      <c r="FV127" t="e">
        <f>'2.4.Функции'!1:1-"BYw!'0G"</f>
        <v>#VALUE!</v>
      </c>
      <c r="FW127" t="e">
        <f>'2.4.Функции'!2:2-"BYw!'0H"</f>
        <v>#VALUE!</v>
      </c>
      <c r="FX127" t="e">
        <f>'2.4.Функции'!3:3-"BYw!'0I"</f>
        <v>#VALUE!</v>
      </c>
      <c r="FY127" t="e">
        <f>'2.4.Функции'!4:4-"BYw!'0J"</f>
        <v>#VALUE!</v>
      </c>
      <c r="FZ127" t="e">
        <f>'2.4.Функции'!5:5-"BYw!'0K"</f>
        <v>#VALUE!</v>
      </c>
      <c r="GA127" t="e">
        <f>'2.4.Функции'!6:6-"BYw!'0L"</f>
        <v>#VALUE!</v>
      </c>
      <c r="GB127" t="e">
        <f>'2.4.Функции'!7:7-"BYw!'0M"</f>
        <v>#VALUE!</v>
      </c>
      <c r="GC127" t="e">
        <f>'2.4.Функции'!8:8-"BYw!'0N"</f>
        <v>#VALUE!</v>
      </c>
      <c r="GD127" t="e">
        <f>'2.4.Функции'!9:9-"BYw!'0O"</f>
        <v>#VALUE!</v>
      </c>
      <c r="GE127" t="e">
        <f>'2.4.Функции'!10:10-"BYw!'0P"</f>
        <v>#VALUE!</v>
      </c>
      <c r="GF127" t="e">
        <f>'2.4.Функции'!11:11-"BYw!'0Q"</f>
        <v>#VALUE!</v>
      </c>
      <c r="GG127" t="e">
        <f>'2.4.Функции'!12:12-"BYw!'0R"</f>
        <v>#VALUE!</v>
      </c>
      <c r="GH127" t="e">
        <f>'2.4.Функции'!13:13-"BYw!'0S"</f>
        <v>#VALUE!</v>
      </c>
      <c r="GI127" t="e">
        <f>'2.4.Функции'!14:14-"BYw!'0T"</f>
        <v>#VALUE!</v>
      </c>
      <c r="GJ127" t="e">
        <f>'2.4.Функции'!15:15-"BYw!'0U"</f>
        <v>#VALUE!</v>
      </c>
      <c r="GK127" t="e">
        <f>'2.4.Функции'!#REF!-"BYw!'0V"</f>
        <v>#REF!</v>
      </c>
      <c r="GL127" t="e">
        <f>'2.4.Функции'!16:16-"BYw!'0W"</f>
        <v>#VALUE!</v>
      </c>
      <c r="GM127" t="e">
        <f>'2.4.Функции'!17:17-"BYw!'0X"</f>
        <v>#VALUE!</v>
      </c>
      <c r="GN127" t="e">
        <f>'2.4.Функции'!18:18-"BYw!'0Y"</f>
        <v>#VALUE!</v>
      </c>
      <c r="GO127" t="e">
        <f>'2.4.Функции'!19:19-"BYw!'0Z"</f>
        <v>#VALUE!</v>
      </c>
      <c r="GP127" t="e">
        <f>'2.4.Функции'!20:20-"BYw!'0["</f>
        <v>#VALUE!</v>
      </c>
      <c r="GQ127" t="e">
        <f>'2.4.Функции'!21:21-"BYw!'0\"</f>
        <v>#VALUE!</v>
      </c>
      <c r="GR127" t="e">
        <f>'2.4.Функции'!22:22-"BYw!'0]"</f>
        <v>#VALUE!</v>
      </c>
      <c r="GS127" t="e">
        <f>'2.4.Функции'!23:23-"BYw!'0^"</f>
        <v>#VALUE!</v>
      </c>
      <c r="GT127" t="e">
        <f>'2.4.Функции'!24:24-"BYw!'0_"</f>
        <v>#VALUE!</v>
      </c>
      <c r="GU127" t="e">
        <f>'2.4.Функции'!25:25-"BYw!'0`"</f>
        <v>#VALUE!</v>
      </c>
      <c r="GV127" t="e">
        <f>'2.4.Функции'!26:26-"BYw!'0a"</f>
        <v>#VALUE!</v>
      </c>
      <c r="GW127" t="e">
        <f>'2.4.Функции'!27:27-"BYw!'0b"</f>
        <v>#VALUE!</v>
      </c>
      <c r="GX127" t="e">
        <f>'2.4.Функции'!28:28-"BYw!'0c"</f>
        <v>#VALUE!</v>
      </c>
      <c r="GY127" t="e">
        <f>'2.4.Функции'!29:29-"BYw!'0d"</f>
        <v>#VALUE!</v>
      </c>
      <c r="GZ127" t="e">
        <f>'2.4.Функции'!30:30-"BYw!'0e"</f>
        <v>#VALUE!</v>
      </c>
      <c r="HA127" t="e">
        <f>'2.4.Функции'!31:31-"BYw!'0f"</f>
        <v>#VALUE!</v>
      </c>
      <c r="HB127" t="e">
        <f>'2.4.Функции'!32:32-"BYw!'0g"</f>
        <v>#VALUE!</v>
      </c>
      <c r="HC127" t="e">
        <f>'2.4.Функции'!33:33-"BYw!'0h"</f>
        <v>#VALUE!</v>
      </c>
      <c r="HD127" t="e">
        <f>'2.4.Функции'!34:34-"BYw!'0i"</f>
        <v>#VALUE!</v>
      </c>
      <c r="HE127" t="e">
        <f>'2.4.Функции'!35:35-"BYw!'0j"</f>
        <v>#VALUE!</v>
      </c>
      <c r="HF127" t="e">
        <f>'2.4.Функции'!36:36-"BYw!'0k"</f>
        <v>#VALUE!</v>
      </c>
      <c r="HG127" t="e">
        <f>'2.4.Функции'!37:37-"BYw!'0l"</f>
        <v>#VALUE!</v>
      </c>
      <c r="HH127" t="e">
        <f>'2.4.Функции'!38:38-"BYw!'0m"</f>
        <v>#VALUE!</v>
      </c>
      <c r="HI127" t="e">
        <f>'2.4.Функции'!39:39-"BYw!'0n"</f>
        <v>#VALUE!</v>
      </c>
      <c r="HJ127" t="e">
        <f>'2.4.Функции'!40:40-"BYw!'0o"</f>
        <v>#VALUE!</v>
      </c>
      <c r="HK127" t="e">
        <f>'2.4.Функции'!41:41-"BYw!'0p"</f>
        <v>#VALUE!</v>
      </c>
      <c r="HL127" t="e">
        <f>'2.4.Функции'!42:42-"BYw!'0q"</f>
        <v>#VALUE!</v>
      </c>
      <c r="HM127" t="e">
        <f>'2.4.Функции'!43:43-"BYw!'0r"</f>
        <v>#VALUE!</v>
      </c>
      <c r="HN127" t="e">
        <f>'2.4.Функции'!44:44-"BYw!'0s"</f>
        <v>#VALUE!</v>
      </c>
      <c r="HO127" t="e">
        <f>'2.4.Функции'!45:45-"BYw!'0t"</f>
        <v>#VALUE!</v>
      </c>
      <c r="HP127" t="e">
        <f>'2.4.Функции'!46:46-"BYw!'0u"</f>
        <v>#VALUE!</v>
      </c>
      <c r="HQ127" t="e">
        <f>'2.4.Функции'!47:47-"BYw!'0v"</f>
        <v>#VALUE!</v>
      </c>
      <c r="HR127" t="e">
        <f>'2.4.Функции'!48:48-"BYw!'0w"</f>
        <v>#VALUE!</v>
      </c>
      <c r="HS127" t="e">
        <f>'2.4.Функции'!49:49-"BYw!'0x"</f>
        <v>#VALUE!</v>
      </c>
      <c r="HT127" t="e">
        <f>'2.4.Функции'!50:50-"BYw!'0y"</f>
        <v>#VALUE!</v>
      </c>
      <c r="HU127" t="e">
        <f>'2.4.Функции'!51:51-"BYw!'0z"</f>
        <v>#VALUE!</v>
      </c>
      <c r="HV127" t="e">
        <f>'2.4.Функции'!52:52-"BYw!'0{"</f>
        <v>#VALUE!</v>
      </c>
      <c r="HW127" t="e">
        <f>'2.4.Функции'!53:53-"BYw!'0|"</f>
        <v>#VALUE!</v>
      </c>
      <c r="HX127" t="e">
        <f>'2.4.Функции'!54:54-"BYw!'0}"</f>
        <v>#VALUE!</v>
      </c>
      <c r="HY127" t="e">
        <f>'2.4.Функции'!55:55-"BYw!'0~"</f>
        <v>#VALUE!</v>
      </c>
      <c r="HZ127" t="e">
        <f>'2.4.Функции'!56:56-"BYw!'1#"</f>
        <v>#VALUE!</v>
      </c>
      <c r="IA127" t="e">
        <f>'2.4.Функции'!57:57-"BYw!'1$"</f>
        <v>#VALUE!</v>
      </c>
      <c r="IB127" t="e">
        <f>'2.4.Функции'!58:58-"BYw!'1%"</f>
        <v>#VALUE!</v>
      </c>
      <c r="IC127" t="e">
        <f>'2.4.Функции'!59:59-"BYw!'1&amp;"</f>
        <v>#VALUE!</v>
      </c>
      <c r="ID127" t="e">
        <f>'2.4.Функции'!60:60-"BYw!'1'"</f>
        <v>#VALUE!</v>
      </c>
      <c r="IE127" t="e">
        <f>'2.4.Функции'!61:61-"BYw!'1("</f>
        <v>#VALUE!</v>
      </c>
      <c r="IF127" t="e">
        <f>'2.4.Функции'!62:62-"BYw!'1)"</f>
        <v>#VALUE!</v>
      </c>
      <c r="IG127" t="e">
        <f>'2.4.Функции'!63:63-"BYw!'1."</f>
        <v>#VALUE!</v>
      </c>
      <c r="IH127" t="e">
        <f>'2.4.Функции'!64:64-"BYw!'1/"</f>
        <v>#VALUE!</v>
      </c>
      <c r="II127" t="e">
        <f>'2.4.Функции'!65:65-"BYw!'10"</f>
        <v>#VALUE!</v>
      </c>
      <c r="IJ127" t="e">
        <f>'2.4.Функции'!66:66-"BYw!'11"</f>
        <v>#VALUE!</v>
      </c>
      <c r="IK127" t="e">
        <f>'2.4.Функции'!67:67-"BYw!'12"</f>
        <v>#VALUE!</v>
      </c>
      <c r="IL127" t="e">
        <f>'2.4.Функции'!68:68-"BYw!'13"</f>
        <v>#VALUE!</v>
      </c>
      <c r="IM127" t="e">
        <f>'2.4.Функции'!69:69-"BYw!'14"</f>
        <v>#VALUE!</v>
      </c>
      <c r="IN127" t="e">
        <f>'2.4.Функции'!70:70-"BYw!'15"</f>
        <v>#VALUE!</v>
      </c>
      <c r="IO127" t="e">
        <f>'2.4.Функции'!71:71-"BYw!'16"</f>
        <v>#VALUE!</v>
      </c>
      <c r="IP127" t="e">
        <f>'2.4.Функции'!72:72-"BYw!'17"</f>
        <v>#VALUE!</v>
      </c>
      <c r="IQ127" t="e">
        <f>'2.4.Функции'!73:73-"BYw!'18"</f>
        <v>#VALUE!</v>
      </c>
      <c r="IR127" t="e">
        <f>'2.4.Функции'!74:74-"BYw!'19"</f>
        <v>#VALUE!</v>
      </c>
      <c r="IS127" t="e">
        <f>'2.4.Функции'!75:75-"BYw!'1:"</f>
        <v>#VALUE!</v>
      </c>
      <c r="IT127" t="e">
        <f>'2.4.Функции'!76:76-"BYw!'1;"</f>
        <v>#VALUE!</v>
      </c>
      <c r="IU127" t="e">
        <f>'2.4.Функции'!77:77-"BYw!'1&lt;"</f>
        <v>#VALUE!</v>
      </c>
      <c r="IV127" t="e">
        <f>'2.4.Функции'!78:78-"BYw!'1="</f>
        <v>#VALUE!</v>
      </c>
    </row>
    <row r="128" spans="6:256" x14ac:dyDescent="0.2">
      <c r="F128" t="e">
        <f>'2.4.Функции'!79:79-"BYw!'1&gt;"</f>
        <v>#VALUE!</v>
      </c>
      <c r="G128" t="e">
        <f>'2.4.Функции'!80:80-"BYw!'1?"</f>
        <v>#VALUE!</v>
      </c>
      <c r="H128" t="e">
        <f>'2.4.Функции'!81:81-"BYw!'1@"</f>
        <v>#VALUE!</v>
      </c>
      <c r="I128" t="e">
        <f>'2.4.Функции'!82:82-"BYw!'1A"</f>
        <v>#VALUE!</v>
      </c>
      <c r="J128" t="e">
        <f>'2.4.Функции'!83:83-"BYw!'1B"</f>
        <v>#VALUE!</v>
      </c>
      <c r="K128" t="e">
        <f>'2.4.Функции'!84:84-"BYw!'1C"</f>
        <v>#VALUE!</v>
      </c>
      <c r="L128" t="e">
        <f>'2.4.Функции'!85:85-"BYw!'1D"</f>
        <v>#VALUE!</v>
      </c>
      <c r="M128" t="e">
        <f>'2.4.Функции'!86:86-"BYw!'1E"</f>
        <v>#VALUE!</v>
      </c>
      <c r="N128" t="e">
        <f>'2.4.Функции'!87:87-"BYw!'1F"</f>
        <v>#VALUE!</v>
      </c>
      <c r="O128" t="e">
        <f>'2.4.Функции'!88:88-"BYw!'1G"</f>
        <v>#VALUE!</v>
      </c>
      <c r="P128" t="e">
        <f>'2.4.Функции'!89:89-"BYw!'1H"</f>
        <v>#VALUE!</v>
      </c>
      <c r="Q128" t="e">
        <f>'2.4.Функции'!90:90-"BYw!'1I"</f>
        <v>#VALUE!</v>
      </c>
      <c r="R128" t="e">
        <f>'2.4.Функции'!91:91-"BYw!'1J"</f>
        <v>#VALUE!</v>
      </c>
      <c r="S128" t="e">
        <f>'2.4.Функции'!92:92-"BYw!'1K"</f>
        <v>#VALUE!</v>
      </c>
      <c r="T128" t="e">
        <f>'2.4.Функции'!93:93-"BYw!'1L"</f>
        <v>#VALUE!</v>
      </c>
      <c r="U128" t="e">
        <f>'2.4.Функции'!94:94-"BYw!'1M"</f>
        <v>#VALUE!</v>
      </c>
      <c r="V128" t="e">
        <f>'2.4.Функции'!95:95-"BYw!'1N"</f>
        <v>#VALUE!</v>
      </c>
      <c r="W128" t="e">
        <f>'2.4.Функции'!96:96-"BYw!'1O"</f>
        <v>#VALUE!</v>
      </c>
      <c r="X128" t="e">
        <f>'2.4.Функции'!97:97-"BYw!'1P"</f>
        <v>#VALUE!</v>
      </c>
      <c r="Y128" t="e">
        <f>'2.4.Функции'!98:98-"BYw!'1Q"</f>
        <v>#VALUE!</v>
      </c>
      <c r="Z128" t="e">
        <f>'2.4.Функции'!99:99-"BYw!'1R"</f>
        <v>#VALUE!</v>
      </c>
      <c r="AA128" t="e">
        <f>'2.4.Функции'!100:100-"BYw!'1S"</f>
        <v>#VALUE!</v>
      </c>
      <c r="AB128" t="e">
        <f>'2.4.Функции'!101:101-"BYw!'1T"</f>
        <v>#VALUE!</v>
      </c>
      <c r="AC128" t="e">
        <f>'2.4.Функции'!102:102-"BYw!'1U"</f>
        <v>#VALUE!</v>
      </c>
      <c r="AD128" t="e">
        <f>'2.4.Функции'!103:103-"BYw!'1V"</f>
        <v>#VALUE!</v>
      </c>
      <c r="AE128" t="e">
        <f>'2.4.Функции'!104:104-"BYw!'1W"</f>
        <v>#VALUE!</v>
      </c>
      <c r="AF128" t="e">
        <f>'2.4.Функции'!105:105-"BYw!'1X"</f>
        <v>#VALUE!</v>
      </c>
      <c r="AG128" t="e">
        <f>'2.4.Функции'!106:106-"BYw!'1Y"</f>
        <v>#VALUE!</v>
      </c>
      <c r="AH128" t="e">
        <f>'2.4.Функции'!107:107-"BYw!'1Z"</f>
        <v>#VALUE!</v>
      </c>
      <c r="AI128" t="e">
        <f>'2.4.Функции'!108:108-"BYw!'1["</f>
        <v>#VALUE!</v>
      </c>
      <c r="AJ128" t="e">
        <f>'2.4.Функции'!109:109-"BYw!'1\"</f>
        <v>#VALUE!</v>
      </c>
      <c r="AK128" t="e">
        <f>'2.4.Функции'!110:110-"BYw!'1]"</f>
        <v>#VALUE!</v>
      </c>
      <c r="AL128" t="e">
        <f>'2.4.Функции'!111:111-"BYw!'1^"</f>
        <v>#VALUE!</v>
      </c>
      <c r="AM128" t="e">
        <f>'2.4.Функции'!112:112-"BYw!'1_"</f>
        <v>#VALUE!</v>
      </c>
      <c r="AN128" t="e">
        <f>'2.4.Функции'!113:113-"BYw!'1`"</f>
        <v>#VALUE!</v>
      </c>
      <c r="AO128" t="e">
        <f>'2.4.Функции'!114:114-"BYw!'1a"</f>
        <v>#VALUE!</v>
      </c>
      <c r="AP128" t="e">
        <f>'2.4.Функции'!115:115-"BYw!'1b"</f>
        <v>#VALUE!</v>
      </c>
      <c r="AQ128" t="e">
        <f>'2.4.Функции'!116:116-"BYw!'1c"</f>
        <v>#VALUE!</v>
      </c>
      <c r="AR128" t="e">
        <f>'2.4.Функции'!117:117-"BYw!'1d"</f>
        <v>#VALUE!</v>
      </c>
      <c r="AS128" t="e">
        <f>'2.4.Функции'!118:118-"BYw!'1e"</f>
        <v>#VALUE!</v>
      </c>
      <c r="AT128" t="e">
        <f>'2.4.Функции'!119:119-"BYw!'1f"</f>
        <v>#VALUE!</v>
      </c>
      <c r="AU128" t="e">
        <f>'2.4.Функции'!120:120-"BYw!'1g"</f>
        <v>#VALUE!</v>
      </c>
      <c r="AV128" t="e">
        <f>'2.4.Функции'!121:121-"BYw!'1h"</f>
        <v>#VALUE!</v>
      </c>
      <c r="AW128" t="e">
        <f>'2.4.Функции'!122:122-"BYw!'1i"</f>
        <v>#VALUE!</v>
      </c>
      <c r="AX128" t="e">
        <f>'2.4.Функции'!123:123-"BYw!'1j"</f>
        <v>#VALUE!</v>
      </c>
      <c r="AY128" t="e">
        <f>'2.4.Функции'!124:124-"BYw!'1k"</f>
        <v>#VALUE!</v>
      </c>
      <c r="AZ128" t="e">
        <f>'2.4.Функции'!125:125-"BYw!'1l"</f>
        <v>#VALUE!</v>
      </c>
      <c r="BA128" t="e">
        <f>'2.4.Функции'!126:126-"BYw!'1m"</f>
        <v>#VALUE!</v>
      </c>
      <c r="BB128" t="e">
        <f>'2.4.Функции'!127:127-"BYw!'1n"</f>
        <v>#VALUE!</v>
      </c>
      <c r="BC128" t="e">
        <f>'2.4.Функции'!128:128-"BYw!'1o"</f>
        <v>#VALUE!</v>
      </c>
      <c r="BD128" t="e">
        <f>'2.4.Функции'!129:129-"BYw!'1p"</f>
        <v>#VALUE!</v>
      </c>
      <c r="BE128" t="e">
        <f>'2.4.Функции'!130:130-"BYw!'1q"</f>
        <v>#VALUE!</v>
      </c>
      <c r="BF128" t="e">
        <f>'2.4.Функции'!131:131-"BYw!'1r"</f>
        <v>#VALUE!</v>
      </c>
      <c r="BG128" t="e">
        <f>'2.4.Функции'!132:132-"BYw!'1s"</f>
        <v>#VALUE!</v>
      </c>
      <c r="BH128" t="e">
        <f>'2.4.Функции'!133:133-"BYw!'1t"</f>
        <v>#VALUE!</v>
      </c>
      <c r="BI128" t="e">
        <f>'2.4.Функции'!134:134-"BYw!'1u"</f>
        <v>#VALUE!</v>
      </c>
      <c r="BJ128" t="e">
        <f>'2.4.Функции'!135:135-"BYw!'1v"</f>
        <v>#VALUE!</v>
      </c>
      <c r="BK128" t="e">
        <f>'2.4.Функции'!136:136-"BYw!'1w"</f>
        <v>#VALUE!</v>
      </c>
      <c r="BL128" t="e">
        <f>'2.4.Функции'!137:137-"BYw!'1x"</f>
        <v>#VALUE!</v>
      </c>
      <c r="BM128" t="e">
        <f>'2.4.Функции'!138:138-"BYw!'1y"</f>
        <v>#VALUE!</v>
      </c>
      <c r="BN128" t="e">
        <f>'2.4.Функции'!139:139-"BYw!'1z"</f>
        <v>#VALUE!</v>
      </c>
      <c r="BO128" t="e">
        <f>'2.4.Функции'!140:140-"BYw!'1{"</f>
        <v>#VALUE!</v>
      </c>
      <c r="BP128" t="e">
        <f>'2.4.Функции'!141:141-"BYw!'1|"</f>
        <v>#VALUE!</v>
      </c>
      <c r="BQ128" t="e">
        <f>'2.4.Функции'!142:142-"BYw!'1}"</f>
        <v>#VALUE!</v>
      </c>
      <c r="BR128" t="e">
        <f>'2.4.Функции'!143:143-"BYw!'1~"</f>
        <v>#VALUE!</v>
      </c>
      <c r="BS128" t="e">
        <f>'2.4.Функции'!144:144-"BYw!'2#"</f>
        <v>#VALUE!</v>
      </c>
      <c r="BT128" t="e">
        <f>'2.4.Функции'!145:145-"BYw!'2$"</f>
        <v>#VALUE!</v>
      </c>
      <c r="BU128" t="e">
        <f>'2.4.Функции'!146:146-"BYw!'2%"</f>
        <v>#VALUE!</v>
      </c>
      <c r="BV128" t="e">
        <f>'2.4.Функции'!147:147-"BYw!'2&amp;"</f>
        <v>#VALUE!</v>
      </c>
      <c r="BW128" t="e">
        <f>'2.4.Функции'!148:148-"BYw!'2'"</f>
        <v>#VALUE!</v>
      </c>
      <c r="BX128" t="e">
        <f>'2.4.Функции'!149:149-"BYw!'2("</f>
        <v>#VALUE!</v>
      </c>
      <c r="BY128" t="e">
        <f>'2.4.Функции'!150:150-"BYw!'2)"</f>
        <v>#VALUE!</v>
      </c>
      <c r="BZ128" t="e">
        <f>'2.4.Функции'!151:151-"BYw!'2."</f>
        <v>#VALUE!</v>
      </c>
      <c r="CA128" t="e">
        <f>'2.4.Функции'!152:152-"BYw!'2/"</f>
        <v>#VALUE!</v>
      </c>
      <c r="CB128" t="e">
        <f>'2.4.Функции'!153:153-"BYw!'20"</f>
        <v>#VALUE!</v>
      </c>
      <c r="CC128" t="e">
        <f>'2.4.Функции'!154:154-"BYw!'21"</f>
        <v>#VALUE!</v>
      </c>
      <c r="CD128" t="e">
        <f>'2.4.Функции'!155:155-"BYw!'22"</f>
        <v>#VALUE!</v>
      </c>
      <c r="CE128" t="e">
        <f>'2.4.Функции'!156:156-"BYw!'23"</f>
        <v>#VALUE!</v>
      </c>
      <c r="CF128" t="e">
        <f>'2.4.Функции'!157:157-"BYw!'24"</f>
        <v>#VALUE!</v>
      </c>
      <c r="CG128" t="e">
        <f>'2.4.Функции'!158:158-"BYw!'25"</f>
        <v>#VALUE!</v>
      </c>
      <c r="CH128" t="e">
        <f>'2.4.Функции'!159:159-"BYw!'26"</f>
        <v>#VALUE!</v>
      </c>
      <c r="CI128" t="e">
        <f>'2.4.Функции'!160:160-"BYw!'27"</f>
        <v>#VALUE!</v>
      </c>
      <c r="CJ128" t="e">
        <f>'2.4.Функции'!161:161-"BYw!'28"</f>
        <v>#VALUE!</v>
      </c>
      <c r="CK128" t="e">
        <f>'2.4.Функции'!162:162-"BYw!'29"</f>
        <v>#VALUE!</v>
      </c>
      <c r="CL128" t="e">
        <f>'2.4.Функции'!163:163-"BYw!'2:"</f>
        <v>#VALUE!</v>
      </c>
      <c r="CM128" t="e">
        <f>'2.4.Функции'!164:164-"BYw!'2;"</f>
        <v>#VALUE!</v>
      </c>
      <c r="CN128" t="e">
        <f>'2.4.Функции'!165:165-"BYw!'2&lt;"</f>
        <v>#VALUE!</v>
      </c>
      <c r="CO128" t="e">
        <f>'2.4.Функции'!166:166-"BYw!'2="</f>
        <v>#VALUE!</v>
      </c>
      <c r="CP128" t="e">
        <f>'2.4.Функции'!167:167-"BYw!'2&gt;"</f>
        <v>#VALUE!</v>
      </c>
      <c r="CQ128" t="e">
        <f>'2.4.Функции'!168:168-"BYw!'2?"</f>
        <v>#VALUE!</v>
      </c>
      <c r="CR128" t="e">
        <f>'2.4.Функции'!169:169-"BYw!'2@"</f>
        <v>#VALUE!</v>
      </c>
      <c r="CS128" t="e">
        <f>'2.4.Функции'!170:170-"BYw!'2A"</f>
        <v>#VALUE!</v>
      </c>
      <c r="CT128" t="e">
        <f>'2.4.Функции'!171:171-"BYw!'2B"</f>
        <v>#VALUE!</v>
      </c>
      <c r="CU128" t="e">
        <f>'2.4.Функции'!172:172-"BYw!'2C"</f>
        <v>#VALUE!</v>
      </c>
      <c r="CV128" t="e">
        <f>'2.4.Функции'!173:173-"BYw!'2D"</f>
        <v>#VALUE!</v>
      </c>
      <c r="CW128" t="e">
        <f>'2.4.Функции'!174:174-"BYw!'2E"</f>
        <v>#VALUE!</v>
      </c>
      <c r="CX128" t="e">
        <f>'2.4.Функции'!175:175-"BYw!'2F"</f>
        <v>#VALUE!</v>
      </c>
      <c r="CY128" t="e">
        <f>'2.4.Функции'!176:176-"BYw!'2G"</f>
        <v>#VALUE!</v>
      </c>
      <c r="CZ128" t="e">
        <f>'2.4.Функции'!177:177-"BYw!'2H"</f>
        <v>#VALUE!</v>
      </c>
      <c r="DA128" t="e">
        <f>'2.4.Функции'!178:178-"BYw!'2I"</f>
        <v>#VALUE!</v>
      </c>
      <c r="DB128" t="e">
        <f>'2.4.Функции'!179:179-"BYw!'2J"</f>
        <v>#VALUE!</v>
      </c>
      <c r="DC128" t="e">
        <f>'2.4.Функции'!180:180-"BYw!'2K"</f>
        <v>#VALUE!</v>
      </c>
      <c r="DD128" t="e">
        <f>'2.4.Функции'!181:181-"BYw!'2L"</f>
        <v>#VALUE!</v>
      </c>
      <c r="DE128" t="e">
        <f>'2.4.Функции'!182:182-"BYw!'2M"</f>
        <v>#VALUE!</v>
      </c>
      <c r="DF128" t="e">
        <f>'2.4.Функции'!183:183-"BYw!'2N"</f>
        <v>#VALUE!</v>
      </c>
      <c r="DG128" t="e">
        <f>'2.4.Функции'!184:184-"BYw!'2O"</f>
        <v>#VALUE!</v>
      </c>
      <c r="DH128" t="e">
        <f>'2.4.Функции'!185:185-"BYw!'2P"</f>
        <v>#VALUE!</v>
      </c>
      <c r="DI128" t="e">
        <f>'2.4.Функции'!186:186-"BYw!'2Q"</f>
        <v>#VALUE!</v>
      </c>
      <c r="DJ128" t="e">
        <f>'2.4.Функции'!187:187-"BYw!'2R"</f>
        <v>#VALUE!</v>
      </c>
      <c r="DK128" t="e">
        <f>'2.4.Функции'!188:188-"BYw!'2S"</f>
        <v>#VALUE!</v>
      </c>
      <c r="DL128" t="e">
        <f>'2.4.Функции'!189:189-"BYw!'2T"</f>
        <v>#VALUE!</v>
      </c>
      <c r="DM128" t="e">
        <f>'2.4.Функции'!190:190-"BYw!'2U"</f>
        <v>#VALUE!</v>
      </c>
      <c r="DN128" t="e">
        <f>'2.4.Функции'!191:191-"BYw!'2V"</f>
        <v>#VALUE!</v>
      </c>
      <c r="DO128" t="e">
        <f>'2.4.Функции'!192:192-"BYw!'2W"</f>
        <v>#VALUE!</v>
      </c>
      <c r="DP128" t="e">
        <f>'2.4.Функции'!193:193-"BYw!'2X"</f>
        <v>#VALUE!</v>
      </c>
      <c r="DQ128" t="e">
        <f>'2.4.Функции'!194:194-"BYw!'2Y"</f>
        <v>#VALUE!</v>
      </c>
      <c r="DR128" t="e">
        <f>'2.4.Функции'!195:195-"BYw!'2Z"</f>
        <v>#VALUE!</v>
      </c>
      <c r="DS128" t="e">
        <f>'2.4.Функции'!196:196-"BYw!'2["</f>
        <v>#VALUE!</v>
      </c>
      <c r="DT128" t="e">
        <f>'2.4.Функции'!197:197-"BYw!'2\"</f>
        <v>#VALUE!</v>
      </c>
      <c r="DU128" t="e">
        <f>'2.4.Функции'!198:198-"BYw!'2]"</f>
        <v>#VALUE!</v>
      </c>
      <c r="DV128" t="e">
        <f>'2.4.Функции'!199:199-"BYw!'2^"</f>
        <v>#VALUE!</v>
      </c>
      <c r="DW128" t="e">
        <f>'2.4.Функции'!200:200-"BYw!'2_"</f>
        <v>#VALUE!</v>
      </c>
      <c r="DX128" t="e">
        <f>'2.4.Функции'!201:201-"BYw!'2`"</f>
        <v>#VALUE!</v>
      </c>
      <c r="DY128" t="e">
        <f>'2.4.Функции'!202:202-"BYw!'2a"</f>
        <v>#VALUE!</v>
      </c>
      <c r="DZ128" t="e">
        <f>'2.4.Функции'!203:203-"BYw!'2b"</f>
        <v>#VALUE!</v>
      </c>
      <c r="EA128" t="e">
        <f>'2.4.Функции'!204:204-"BYw!'2c"</f>
        <v>#VALUE!</v>
      </c>
      <c r="EB128" t="e">
        <f>'2.4.Функции'!205:205-"BYw!'2d"</f>
        <v>#VALUE!</v>
      </c>
      <c r="EC128" t="e">
        <f>'2.4.Функции'!206:206-"BYw!'2e"</f>
        <v>#VALUE!</v>
      </c>
      <c r="ED128" t="e">
        <f>'2.4.Функции'!207:207-"BYw!'2f"</f>
        <v>#VALUE!</v>
      </c>
      <c r="EE128" t="e">
        <f>'2.4.Функции'!208:208-"BYw!'2g"</f>
        <v>#VALUE!</v>
      </c>
      <c r="EF128" t="e">
        <f>'2.4.Функции'!209:209-"BYw!'2h"</f>
        <v>#VALUE!</v>
      </c>
      <c r="EG128" t="e">
        <f>'2.4.Функции'!210:210-"BYw!'2i"</f>
        <v>#VALUE!</v>
      </c>
      <c r="EH128" t="e">
        <f>'2.4.Функции'!211:211-"BYw!'2j"</f>
        <v>#VALUE!</v>
      </c>
      <c r="EI128" t="e">
        <f>'2.4.Функции'!212:212-"BYw!'2k"</f>
        <v>#VALUE!</v>
      </c>
      <c r="EJ128" t="e">
        <f>'2.4.Функции'!213:213-"BYw!'2l"</f>
        <v>#VALUE!</v>
      </c>
      <c r="EK128" t="e">
        <f>'2.4.Функции'!214:214-"BYw!'2m"</f>
        <v>#VALUE!</v>
      </c>
      <c r="EL128" t="e">
        <f>'2.4.Функции'!215:215-"BYw!'2n"</f>
        <v>#VALUE!</v>
      </c>
      <c r="EM128" t="e">
        <f>'2.4.Функции'!216:216-"BYw!'2o"</f>
        <v>#VALUE!</v>
      </c>
      <c r="EN128" t="e">
        <f>'2.4.Функции'!217:217-"BYw!'2p"</f>
        <v>#VALUE!</v>
      </c>
      <c r="EO128" t="e">
        <f>'2.4.Функции'!218:218-"BYw!'2q"</f>
        <v>#VALUE!</v>
      </c>
      <c r="EP128" t="e">
        <f>'2.4.Функции'!219:219-"BYw!'2r"</f>
        <v>#VALUE!</v>
      </c>
      <c r="EQ128" t="e">
        <f>'2.4.Функции'!220:220-"BYw!'2s"</f>
        <v>#VALUE!</v>
      </c>
      <c r="ER128" t="e">
        <f>'2.4.Функции'!221:221-"BYw!'2t"</f>
        <v>#VALUE!</v>
      </c>
      <c r="ES128" t="e">
        <f>'2.4.Функции'!222:222-"BYw!'2u"</f>
        <v>#VALUE!</v>
      </c>
      <c r="ET128" t="e">
        <f>'2.4.Функции'!223:223-"BYw!'2v"</f>
        <v>#VALUE!</v>
      </c>
      <c r="EU128" t="e">
        <f>'2.4.Функции'!224:224-"BYw!'2w"</f>
        <v>#VALUE!</v>
      </c>
      <c r="EV128" t="e">
        <f>'2.4.Функции'!225:225-"BYw!'2x"</f>
        <v>#VALUE!</v>
      </c>
      <c r="EW128" t="e">
        <f>'2.4.Функции'!226:226-"BYw!'2y"</f>
        <v>#VALUE!</v>
      </c>
      <c r="EX128" t="e">
        <f>'2.4.Функции'!227:227-"BYw!'2z"</f>
        <v>#VALUE!</v>
      </c>
      <c r="EY128" t="e">
        <f>'2.4.Функции'!228:228-"BYw!'2{"</f>
        <v>#VALUE!</v>
      </c>
      <c r="EZ128" t="e">
        <f>'2.4.Функции'!229:229-"BYw!'2|"</f>
        <v>#VALUE!</v>
      </c>
      <c r="FA128" t="e">
        <f>'2.4.Функции'!230:230-"BYw!'2}"</f>
        <v>#VALUE!</v>
      </c>
      <c r="FB128" t="e">
        <f>'2.4.Функции'!231:231-"BYw!'2~"</f>
        <v>#VALUE!</v>
      </c>
      <c r="FC128" t="e">
        <f>'2.4.Функции'!232:232-"BYw!'3#"</f>
        <v>#VALUE!</v>
      </c>
      <c r="FD128" t="e">
        <f>'2.4.Функции'!233:233-"BYw!'3$"</f>
        <v>#VALUE!</v>
      </c>
      <c r="FE128" t="e">
        <f>'2.4.Функции'!234:234-"BYw!'3%"</f>
        <v>#VALUE!</v>
      </c>
      <c r="FF128" t="e">
        <f>'2.4.Функции'!235:235-"BYw!'3&amp;"</f>
        <v>#VALUE!</v>
      </c>
      <c r="FG128" t="e">
        <f>'2.4.Функции'!236:236-"BYw!'3'"</f>
        <v>#VALUE!</v>
      </c>
      <c r="FH128" t="e">
        <f>'2.4.Функции'!237:237-"BYw!'3("</f>
        <v>#VALUE!</v>
      </c>
      <c r="FI128" t="e">
        <f>'2.4.Функции'!238:238-"BYw!'3)"</f>
        <v>#VALUE!</v>
      </c>
      <c r="FJ128" t="e">
        <f>'2.4.Функции'!239:239-"BYw!'3."</f>
        <v>#VALUE!</v>
      </c>
      <c r="FK128" t="e">
        <f>'2.4.Функции'!240:240-"BYw!'3/"</f>
        <v>#VALUE!</v>
      </c>
      <c r="FL128" t="e">
        <f>'2.4.Функции'!241:241-"BYw!'30"</f>
        <v>#VALUE!</v>
      </c>
      <c r="FM128" t="e">
        <f>'2.4.Функции'!242:242-"BYw!'31"</f>
        <v>#VALUE!</v>
      </c>
      <c r="FN128" t="e">
        <f>'2.4.Функции'!243:243-"BYw!'32"</f>
        <v>#VALUE!</v>
      </c>
      <c r="FO128" t="e">
        <f>'2.4.Функции'!244:244-"BYw!'33"</f>
        <v>#VALUE!</v>
      </c>
      <c r="FP128" t="e">
        <f>'2.4.Функции'!245:245-"BYw!'34"</f>
        <v>#VALUE!</v>
      </c>
      <c r="FQ128" t="e">
        <f>'2.4.Функции'!246:246-"BYw!'35"</f>
        <v>#VALUE!</v>
      </c>
      <c r="FR128" t="e">
        <f>'2.4.Функции'!247:247-"BYw!'36"</f>
        <v>#VALUE!</v>
      </c>
      <c r="FS128" t="e">
        <f>'2.4.Функции'!248:248-"BYw!'37"</f>
        <v>#VALUE!</v>
      </c>
      <c r="FT128" t="e">
        <f>'2.4.Функции'!249:249-"BYw!'38"</f>
        <v>#VALUE!</v>
      </c>
      <c r="FU128" t="e">
        <f>'2.4.Функции'!250:250-"BYw!'39"</f>
        <v>#VALUE!</v>
      </c>
      <c r="FV128" t="e">
        <f>'2.4.Функции'!251:251-"BYw!'3:"</f>
        <v>#VALUE!</v>
      </c>
      <c r="FW128" t="e">
        <f>'2.4.Функции'!252:252-"BYw!'3;"</f>
        <v>#VALUE!</v>
      </c>
      <c r="FX128" t="e">
        <f>'2.4.Функции'!253:253-"BYw!'3&lt;"</f>
        <v>#VALUE!</v>
      </c>
      <c r="FY128" t="e">
        <f>'2.4.Функции'!254:254-"BYw!'3="</f>
        <v>#VALUE!</v>
      </c>
      <c r="FZ128" t="e">
        <f>'2.4.Функции'!255:255-"BYw!'3&gt;"</f>
        <v>#VALUE!</v>
      </c>
      <c r="GA128" t="e">
        <f>'2.4.Функции'!256:256-"BYw!'3?"</f>
        <v>#VALUE!</v>
      </c>
      <c r="GB128" t="e">
        <f>'2.4.Функции'!257:257-"BYw!'3@"</f>
        <v>#VALUE!</v>
      </c>
      <c r="GC128" t="e">
        <f>'2.4.Функции'!258:258-"BYw!'3A"</f>
        <v>#VALUE!</v>
      </c>
      <c r="GD128" t="e">
        <f>'2.4.Функции'!259:259-"BYw!'3B"</f>
        <v>#VALUE!</v>
      </c>
      <c r="GE128" t="e">
        <f>'2.4.Функции'!260:260-"BYw!'3C"</f>
        <v>#VALUE!</v>
      </c>
      <c r="GF128" t="e">
        <f>'2.4.Функции'!261:261-"BYw!'3D"</f>
        <v>#VALUE!</v>
      </c>
      <c r="GG128" t="e">
        <f>'2.4.Функции'!262:262-"BYw!'3E"</f>
        <v>#VALUE!</v>
      </c>
      <c r="GH128" t="e">
        <f>'2.4.Функции'!263:263-"BYw!'3F"</f>
        <v>#VALUE!</v>
      </c>
      <c r="GI128" t="e">
        <f>'2.4.Функции'!264:264-"BYw!'3G"</f>
        <v>#VALUE!</v>
      </c>
      <c r="GJ128" t="e">
        <f>'2.4.Функции'!265:265-"BYw!'3H"</f>
        <v>#VALUE!</v>
      </c>
      <c r="GK128" t="e">
        <f>'2.4.Функции'!266:266-"BYw!'3I"</f>
        <v>#VALUE!</v>
      </c>
      <c r="GL128" t="e">
        <f>'2.4.Функции'!267:267-"BYw!'3J"</f>
        <v>#VALUE!</v>
      </c>
      <c r="GM128" t="e">
        <f>'2.4.Функции'!268:268-"BYw!'3K"</f>
        <v>#VALUE!</v>
      </c>
      <c r="GN128" t="e">
        <f>'2.4.Функции'!269:269-"BYw!'3L"</f>
        <v>#VALUE!</v>
      </c>
      <c r="GO128" t="e">
        <f>'2.4.Функции'!270:270-"BYw!'3M"</f>
        <v>#VALUE!</v>
      </c>
      <c r="GP128" t="e">
        <f>'2.4.Функции'!271:271-"BYw!'3N"</f>
        <v>#VALUE!</v>
      </c>
      <c r="GQ128" t="e">
        <f>'2.4.Функции'!272:272-"BYw!'3O"</f>
        <v>#VALUE!</v>
      </c>
      <c r="GR128" t="e">
        <f>'2.4.Функции'!273:273-"BYw!'3P"</f>
        <v>#VALUE!</v>
      </c>
      <c r="GS128" t="e">
        <f>'2.4.Функции'!274:274-"BYw!'3Q"</f>
        <v>#VALUE!</v>
      </c>
      <c r="GT128" t="e">
        <f>'2.4.Функции'!275:275-"BYw!'3R"</f>
        <v>#VALUE!</v>
      </c>
      <c r="GU128" t="e">
        <f>'2.4.Функции'!276:276-"BYw!'3S"</f>
        <v>#VALUE!</v>
      </c>
      <c r="GV128" t="e">
        <f>'2.4.Функции'!277:277-"BYw!'3T"</f>
        <v>#VALUE!</v>
      </c>
      <c r="GW128" t="e">
        <f>'2.4.Функции'!278:278-"BYw!'3U"</f>
        <v>#VALUE!</v>
      </c>
      <c r="GX128" t="e">
        <f>'2.4.Функции'!279:279-"BYw!'3V"</f>
        <v>#VALUE!</v>
      </c>
      <c r="GY128" t="e">
        <f>'2.4.Функции'!280:280-"BYw!'3W"</f>
        <v>#VALUE!</v>
      </c>
      <c r="GZ128" t="e">
        <f>'2.4.Функции'!281:281-"BYw!'3X"</f>
        <v>#VALUE!</v>
      </c>
      <c r="HA128" t="e">
        <f>'2.4.Функции'!282:282-"BYw!'3Y"</f>
        <v>#VALUE!</v>
      </c>
      <c r="HB128" t="e">
        <f>'2.4.Функции'!283:283-"BYw!'3Z"</f>
        <v>#VALUE!</v>
      </c>
      <c r="HC128" t="e">
        <f>'2.4.Функции'!284:284-"BYw!'3["</f>
        <v>#VALUE!</v>
      </c>
      <c r="HD128" t="e">
        <f>'2.4.Функции'!285:285-"BYw!'3\"</f>
        <v>#VALUE!</v>
      </c>
      <c r="HE128" t="e">
        <f>'2.4.Функции'!286:286-"BYw!'3]"</f>
        <v>#VALUE!</v>
      </c>
      <c r="HF128" t="e">
        <f>'2.4.Функции'!287:287-"BYw!'3^"</f>
        <v>#VALUE!</v>
      </c>
      <c r="HG128" t="e">
        <f>'2.4.Функции'!288:288-"BYw!'3_"</f>
        <v>#VALUE!</v>
      </c>
      <c r="HH128" t="e">
        <f>'2.4.Функции'!289:289-"BYw!'3`"</f>
        <v>#VALUE!</v>
      </c>
      <c r="HI128" t="e">
        <f>'2.4.Функции'!290:290-"BYw!'3a"</f>
        <v>#VALUE!</v>
      </c>
      <c r="HJ128" t="e">
        <f>'2.4.Функции'!291:291-"BYw!'3b"</f>
        <v>#VALUE!</v>
      </c>
      <c r="HK128" t="e">
        <f>'2.4.Функции'!292:292-"BYw!'3c"</f>
        <v>#VALUE!</v>
      </c>
      <c r="HL128" t="e">
        <f>'2.4.Функции'!293:293-"BYw!'3d"</f>
        <v>#VALUE!</v>
      </c>
      <c r="HM128" t="e">
        <f>'2.4.Функции'!294:294-"BYw!'3e"</f>
        <v>#VALUE!</v>
      </c>
      <c r="HN128" t="e">
        <f>'2.4.Функции'!295:295-"BYw!'3f"</f>
        <v>#VALUE!</v>
      </c>
      <c r="HO128" t="e">
        <f>'2.4.Функции'!296:296-"BYw!'3g"</f>
        <v>#VALUE!</v>
      </c>
      <c r="HP128" t="e">
        <f>'2.4.Функции'!297:297-"BYw!'3h"</f>
        <v>#VALUE!</v>
      </c>
      <c r="HQ128" t="e">
        <f>'2.4.Функции'!298:298-"BYw!'3i"</f>
        <v>#VALUE!</v>
      </c>
      <c r="HR128" t="e">
        <f>'2.4.Функции'!299:299-"BYw!'3j"</f>
        <v>#VALUE!</v>
      </c>
      <c r="HS128" t="e">
        <f>'2.4.Функции'!300:300-"BYw!'3k"</f>
        <v>#VALUE!</v>
      </c>
      <c r="HT128" t="e">
        <f>'2.4.Функции'!301:301-"BYw!'3l"</f>
        <v>#VALUE!</v>
      </c>
      <c r="HU128" t="e">
        <f>'2.4.Функции'!302:302-"BYw!'3m"</f>
        <v>#VALUE!</v>
      </c>
      <c r="HV128" t="e">
        <f>'2.4.Функции'!303:303-"BYw!'3n"</f>
        <v>#VALUE!</v>
      </c>
      <c r="HW128" t="e">
        <f>'2.4.Функции'!304:304-"BYw!'3o"</f>
        <v>#VALUE!</v>
      </c>
      <c r="HX128" t="e">
        <f>'2.4.Функции'!305:305-"BYw!'3p"</f>
        <v>#VALUE!</v>
      </c>
      <c r="HY128" t="e">
        <f>'2.4.Функции'!306:306-"BYw!'3q"</f>
        <v>#VALUE!</v>
      </c>
      <c r="HZ128" t="e">
        <f>'2.4.Функции'!307:307-"BYw!'3r"</f>
        <v>#VALUE!</v>
      </c>
      <c r="IA128" t="e">
        <f>'2.4.Функции'!308:308-"BYw!'3s"</f>
        <v>#VALUE!</v>
      </c>
      <c r="IB128" t="e">
        <f>'2.4.Функции'!309:309-"BYw!'3t"</f>
        <v>#VALUE!</v>
      </c>
      <c r="IC128" t="e">
        <f>'2.4.Функции'!310:310-"BYw!'3u"</f>
        <v>#VALUE!</v>
      </c>
      <c r="ID128" t="e">
        <f>'2.4.Функции'!311:311-"BYw!'3v"</f>
        <v>#VALUE!</v>
      </c>
      <c r="IE128" t="e">
        <f>'2.4.Функции'!312:312-"BYw!'3w"</f>
        <v>#VALUE!</v>
      </c>
      <c r="IF128" t="e">
        <f>'2.4.Функции'!313:313-"BYw!'3x"</f>
        <v>#VALUE!</v>
      </c>
      <c r="IG128" t="e">
        <f>'2.4.Функции'!314:314-"BYw!'3y"</f>
        <v>#VALUE!</v>
      </c>
      <c r="IH128" t="e">
        <f>'2.4.Функции'!315:315-"BYw!'3z"</f>
        <v>#VALUE!</v>
      </c>
      <c r="II128" t="e">
        <f>'2.4.Функции'!316:316-"BYw!'3{"</f>
        <v>#VALUE!</v>
      </c>
      <c r="IJ128" t="e">
        <f>'2.4.Функции'!317:317-"BYw!'3|"</f>
        <v>#VALUE!</v>
      </c>
      <c r="IK128" t="e">
        <f>'2.4.Функции'!318:318-"BYw!'3}"</f>
        <v>#VALUE!</v>
      </c>
      <c r="IL128" t="e">
        <f>'2.4.Функции'!319:319-"BYw!'3~"</f>
        <v>#VALUE!</v>
      </c>
      <c r="IM128" t="e">
        <f>'2.4.Функции'!320:320-"BYw!'4#"</f>
        <v>#VALUE!</v>
      </c>
      <c r="IN128" t="e">
        <f>'2.4.Функции'!321:321-"BYw!'4$"</f>
        <v>#VALUE!</v>
      </c>
      <c r="IO128" t="e">
        <f>'2.4.Функции'!322:322-"BYw!'4%"</f>
        <v>#VALUE!</v>
      </c>
      <c r="IP128" t="e">
        <f>'2.4.Функции'!323:323-"BYw!'4&amp;"</f>
        <v>#VALUE!</v>
      </c>
      <c r="IQ128" t="e">
        <f>'2.4.Функции'!324:324-"BYw!'4'"</f>
        <v>#VALUE!</v>
      </c>
      <c r="IR128" t="e">
        <f>'2.4.Функции'!325:325-"BYw!'4("</f>
        <v>#VALUE!</v>
      </c>
      <c r="IS128" t="e">
        <f>'2.4.Функции'!326:326-"BYw!'4)"</f>
        <v>#VALUE!</v>
      </c>
      <c r="IT128" t="e">
        <f>'2.4.Функции'!327:327-"BYw!'4."</f>
        <v>#VALUE!</v>
      </c>
      <c r="IU128" t="e">
        <f>'2.4.Функции'!328:328-"BYw!'4/"</f>
        <v>#VALUE!</v>
      </c>
      <c r="IV128" t="e">
        <f>'2.4.Функции'!329:329-"BYw!'40"</f>
        <v>#VALUE!</v>
      </c>
    </row>
    <row r="129" spans="6:256" x14ac:dyDescent="0.2">
      <c r="F129" t="e">
        <f>'2.4.Функции'!330:330-"BYw!'41"</f>
        <v>#VALUE!</v>
      </c>
      <c r="G129" t="e">
        <f>'2.4.Функции'!331:331-"BYw!'42"</f>
        <v>#VALUE!</v>
      </c>
      <c r="H129" t="e">
        <f>'2.4.Функции'!332:332-"BYw!'43"</f>
        <v>#VALUE!</v>
      </c>
      <c r="I129" t="e">
        <f>'2.4.Функции'!333:333-"BYw!'44"</f>
        <v>#VALUE!</v>
      </c>
      <c r="J129" t="e">
        <f>'2.4.Функции'!334:334-"BYw!'45"</f>
        <v>#VALUE!</v>
      </c>
      <c r="K129" t="e">
        <f>'2.4.Функции'!335:335-"BYw!'46"</f>
        <v>#VALUE!</v>
      </c>
      <c r="L129" t="e">
        <f>'2.4.Функции'!336:336-"BYw!'47"</f>
        <v>#VALUE!</v>
      </c>
      <c r="M129" t="e">
        <f>'2.4.Функции'!337:337-"BYw!'48"</f>
        <v>#VALUE!</v>
      </c>
      <c r="N129" t="e">
        <f>'2.4.Функции'!338:338-"BYw!'49"</f>
        <v>#VALUE!</v>
      </c>
      <c r="O129" t="e">
        <f>'2.4.Функции'!339:339-"BYw!'4:"</f>
        <v>#VALUE!</v>
      </c>
      <c r="P129" t="e">
        <f>'2.4.Функции'!340:340-"BYw!'4;"</f>
        <v>#VALUE!</v>
      </c>
      <c r="Q129" t="e">
        <f>'2.4.Функции'!341:341-"BYw!'4&lt;"</f>
        <v>#VALUE!</v>
      </c>
      <c r="R129" t="e">
        <f>'2.4.Функции'!342:342-"BYw!'4="</f>
        <v>#VALUE!</v>
      </c>
      <c r="S129" t="e">
        <f>'2.4.Функции'!343:343-"BYw!'4&gt;"</f>
        <v>#VALUE!</v>
      </c>
      <c r="T129" t="e">
        <f>'2.4.Функции'!344:344-"BYw!'4?"</f>
        <v>#VALUE!</v>
      </c>
      <c r="U129" t="e">
        <f>'2.4.Функции'!345:345-"BYw!'4@"</f>
        <v>#VALUE!</v>
      </c>
      <c r="V129" t="e">
        <f>'2.4.Функции'!346:346-"BYw!'4A"</f>
        <v>#VALUE!</v>
      </c>
      <c r="W129" t="e">
        <f>'2.4.Функции'!347:347-"BYw!'4B"</f>
        <v>#VALUE!</v>
      </c>
      <c r="X129" t="e">
        <f>'2.4.Функции'!348:348-"BYw!'4C"</f>
        <v>#VALUE!</v>
      </c>
      <c r="Y129" t="e">
        <f>'2.4.Функции'!349:349-"BYw!'4D"</f>
        <v>#VALUE!</v>
      </c>
      <c r="Z129" t="e">
        <f>'2.4.Функции'!350:350-"BYw!'4E"</f>
        <v>#VALUE!</v>
      </c>
      <c r="AA129" t="e">
        <f>'2.4.Функции'!351:351-"BYw!'4F"</f>
        <v>#VALUE!</v>
      </c>
      <c r="AB129" t="e">
        <f>'2.4.Функции'!352:352-"BYw!'4G"</f>
        <v>#VALUE!</v>
      </c>
      <c r="AC129" t="e">
        <f>'2.4.Функции'!353:353-"BYw!'4H"</f>
        <v>#VALUE!</v>
      </c>
      <c r="AD129" t="e">
        <f>'2.4.Функции'!354:354-"BYw!'4I"</f>
        <v>#VALUE!</v>
      </c>
      <c r="AE129" t="e">
        <f>'2.4.Функции'!355:355-"BYw!'4J"</f>
        <v>#VALUE!</v>
      </c>
      <c r="AF129" t="e">
        <f>'2.4.Функции'!356:356-"BYw!'4K"</f>
        <v>#VALUE!</v>
      </c>
      <c r="AG129" t="e">
        <f>'2.4.Функции'!357:357-"BYw!'4L"</f>
        <v>#VALUE!</v>
      </c>
      <c r="AH129" t="e">
        <f>'2.4.Функции'!358:358-"BYw!'4M"</f>
        <v>#VALUE!</v>
      </c>
      <c r="AI129" t="e">
        <f>'2.4.Функции'!359:359-"BYw!'4N"</f>
        <v>#VALUE!</v>
      </c>
      <c r="AJ129" t="e">
        <f>'2.4.Функции'!360:360-"BYw!'4O"</f>
        <v>#VALUE!</v>
      </c>
      <c r="AK129" t="e">
        <f>'2.4.Функции'!361:361-"BYw!'4P"</f>
        <v>#VALUE!</v>
      </c>
      <c r="AL129" t="e">
        <f>'2.4.Функции'!362:362-"BYw!'4Q"</f>
        <v>#VALUE!</v>
      </c>
      <c r="AM129" t="e">
        <f>'2.4.Функции'!363:363-"BYw!'4R"</f>
        <v>#VALUE!</v>
      </c>
      <c r="AN129" t="e">
        <f>'2.4.Функции'!364:364-"BYw!'4S"</f>
        <v>#VALUE!</v>
      </c>
      <c r="AO129" t="e">
        <f>'2.4.Функции'!365:365-"BYw!'4T"</f>
        <v>#VALUE!</v>
      </c>
      <c r="AP129" t="e">
        <f>'2.4.Функции'!366:366-"BYw!'4U"</f>
        <v>#VALUE!</v>
      </c>
      <c r="AQ129" t="e">
        <f>'2.4.Функции'!367:367-"BYw!'4V"</f>
        <v>#VALUE!</v>
      </c>
      <c r="AR129" t="e">
        <f>'2.4.Функции'!368:368-"BYw!'4W"</f>
        <v>#VALUE!</v>
      </c>
      <c r="AS129" t="e">
        <f>'2.4.Функции'!369:369-"BYw!'4X"</f>
        <v>#VALUE!</v>
      </c>
      <c r="AT129" t="e">
        <f>'2.4.Функции'!370:370-"BYw!'4Y"</f>
        <v>#VALUE!</v>
      </c>
      <c r="AU129" t="e">
        <f>'2.4.Функции'!371:371-"BYw!'4Z"</f>
        <v>#VALUE!</v>
      </c>
      <c r="AV129" t="e">
        <f>'2.4.Функции'!372:372-"BYw!'4["</f>
        <v>#VALUE!</v>
      </c>
      <c r="AW129" t="e">
        <f>'2.4.Функции'!373:373-"BYw!'4\"</f>
        <v>#VALUE!</v>
      </c>
      <c r="AX129" t="e">
        <f>'2.4.Функции'!374:374-"BYw!'4]"</f>
        <v>#VALUE!</v>
      </c>
      <c r="AY129" t="e">
        <f>'2.4.Функции'!375:375-"BYw!'4^"</f>
        <v>#VALUE!</v>
      </c>
      <c r="AZ129" t="e">
        <f>'2.4.Функции'!376:376-"BYw!'4_"</f>
        <v>#VALUE!</v>
      </c>
      <c r="BA129" t="e">
        <f>'2.4.Функции'!377:377-"BYw!'4`"</f>
        <v>#VALUE!</v>
      </c>
      <c r="BB129" t="e">
        <f>'2.4.Функции'!378:378-"BYw!'4a"</f>
        <v>#VALUE!</v>
      </c>
      <c r="BC129" t="e">
        <f>'2.4.Функции'!379:379-"BYw!'4b"</f>
        <v>#VALUE!</v>
      </c>
      <c r="BD129" t="e">
        <f>'2.4.Функции'!380:380-"BYw!'4c"</f>
        <v>#VALUE!</v>
      </c>
      <c r="BE129" t="e">
        <f>'2.4.Функции'!381:381-"BYw!'4d"</f>
        <v>#VALUE!</v>
      </c>
      <c r="BF129" t="e">
        <f>'2.4.Функции'!382:382-"BYw!'4e"</f>
        <v>#VALUE!</v>
      </c>
      <c r="BG129" t="e">
        <f>'2.4.Функции'!383:383-"BYw!'4f"</f>
        <v>#VALUE!</v>
      </c>
      <c r="BH129" t="e">
        <f>'2.4.Функции'!384:384-"BYw!'4g"</f>
        <v>#VALUE!</v>
      </c>
      <c r="BI129" t="e">
        <f>'2.4.Функции'!385:385-"BYw!'4h"</f>
        <v>#VALUE!</v>
      </c>
      <c r="BJ129" t="e">
        <f>'2.4.Функции'!386:386-"BYw!'4i"</f>
        <v>#VALUE!</v>
      </c>
      <c r="BK129" t="e">
        <f>'2.4.Функции'!387:387-"BYw!'4j"</f>
        <v>#VALUE!</v>
      </c>
      <c r="BL129" t="e">
        <f>'2.4.Функции'!388:388-"BYw!'4k"</f>
        <v>#VALUE!</v>
      </c>
      <c r="BM129" t="e">
        <f>'2.4.Функции'!389:389-"BYw!'4l"</f>
        <v>#VALUE!</v>
      </c>
      <c r="BN129" t="e">
        <f>'2.4.Функции'!390:390-"BYw!'4m"</f>
        <v>#VALUE!</v>
      </c>
      <c r="BO129" t="e">
        <f>'2.4.Функции'!391:391-"BYw!'4n"</f>
        <v>#VALUE!</v>
      </c>
      <c r="BP129" t="e">
        <f>'2.4.Функции'!392:392-"BYw!'4o"</f>
        <v>#VALUE!</v>
      </c>
      <c r="BQ129" t="e">
        <f>'2.4.Функции'!393:393-"BYw!'4p"</f>
        <v>#VALUE!</v>
      </c>
      <c r="BR129" t="e">
        <f>'2.4.Функции'!394:394-"BYw!'4q"</f>
        <v>#VALUE!</v>
      </c>
      <c r="BS129" t="e">
        <f>'2.4.Функции'!395:395-"BYw!'4r"</f>
        <v>#VALUE!</v>
      </c>
      <c r="BT129" t="e">
        <f>'2.4.Функции'!396:396-"BYw!'4s"</f>
        <v>#VALUE!</v>
      </c>
      <c r="BU129" t="e">
        <f>'2.4.Функции'!397:397-"BYw!'4t"</f>
        <v>#VALUE!</v>
      </c>
      <c r="BV129" t="e">
        <f>'2.4.Функции'!398:398-"BYw!'4u"</f>
        <v>#VALUE!</v>
      </c>
      <c r="BW129" t="e">
        <f>'2.4.Функции'!399:399-"BYw!'4v"</f>
        <v>#VALUE!</v>
      </c>
      <c r="BX129" t="e">
        <f>'2.4.Функции'!400:400-"BYw!'4w"</f>
        <v>#VALUE!</v>
      </c>
      <c r="BY129" t="e">
        <f>'2.4.Функции'!401:401-"BYw!'4x"</f>
        <v>#VALUE!</v>
      </c>
      <c r="BZ129" t="e">
        <f>'2.4.Функции'!402:402-"BYw!'4y"</f>
        <v>#VALUE!</v>
      </c>
      <c r="CA129" t="e">
        <f>'2.4.Функции'!403:403-"BYw!'4z"</f>
        <v>#VALUE!</v>
      </c>
      <c r="CB129" t="e">
        <f>'2.4.Функции'!404:404-"BYw!'4{"</f>
        <v>#VALUE!</v>
      </c>
      <c r="CC129" t="e">
        <f>'2.4.Функции'!405:405-"BYw!'4|"</f>
        <v>#VALUE!</v>
      </c>
      <c r="CD129" t="e">
        <f>'2.4.Функции'!406:406-"BYw!'4}"</f>
        <v>#VALUE!</v>
      </c>
      <c r="CE129" t="e">
        <f>'2.4.Функции'!407:407-"BYw!'4~"</f>
        <v>#VALUE!</v>
      </c>
      <c r="CF129" t="e">
        <f>'2.4.Функции'!408:408-"BYw!'5#"</f>
        <v>#VALUE!</v>
      </c>
      <c r="CG129" t="e">
        <f>'2.4.Функции'!409:409-"BYw!'5$"</f>
        <v>#VALUE!</v>
      </c>
      <c r="CH129" t="e">
        <f>'2.4.Функции'!410:410-"BYw!'5%"</f>
        <v>#VALUE!</v>
      </c>
      <c r="CI129" t="e">
        <f>'2.4.Функции'!411:411-"BYw!'5&amp;"</f>
        <v>#VALUE!</v>
      </c>
      <c r="CJ129" t="e">
        <f>'2.4.Функции'!412:412-"BYw!'5'"</f>
        <v>#VALUE!</v>
      </c>
      <c r="CK129" t="e">
        <f>'2.4.Функции'!413:413-"BYw!'5("</f>
        <v>#VALUE!</v>
      </c>
      <c r="CL129" t="e">
        <f>'2.4.Функции'!414:414-"BYw!'5)"</f>
        <v>#VALUE!</v>
      </c>
      <c r="CM129" t="e">
        <f>'2.4.Функции'!415:415-"BYw!'5."</f>
        <v>#VALUE!</v>
      </c>
      <c r="CN129" t="e">
        <f>'2.4.Функции'!416:416-"BYw!'5/"</f>
        <v>#VALUE!</v>
      </c>
      <c r="CO129" t="e">
        <f>'2.4.Функции'!417:417-"BYw!'50"</f>
        <v>#VALUE!</v>
      </c>
      <c r="CP129" t="e">
        <f>'2.4.Функции'!418:418-"BYw!'51"</f>
        <v>#VALUE!</v>
      </c>
      <c r="CQ129" t="e">
        <f>'2.4.Функции'!419:419-"BYw!'52"</f>
        <v>#VALUE!</v>
      </c>
      <c r="CR129" t="e">
        <f>'2.4.Функции'!420:420-"BYw!'53"</f>
        <v>#VALUE!</v>
      </c>
      <c r="CS129" t="e">
        <f>'2.4.Функции'!421:421-"BYw!'54"</f>
        <v>#VALUE!</v>
      </c>
      <c r="CT129" t="e">
        <f>'2.4.Функции'!422:422-"BYw!'55"</f>
        <v>#VALUE!</v>
      </c>
      <c r="CU129" t="e">
        <f>'2.4.Функции'!423:423-"BYw!'56"</f>
        <v>#VALUE!</v>
      </c>
      <c r="CV129" t="e">
        <f>'2.4.Функции'!424:424-"BYw!'57"</f>
        <v>#VALUE!</v>
      </c>
      <c r="CW129" t="e">
        <f>'2.4.Функции'!425:425-"BYw!'58"</f>
        <v>#VALUE!</v>
      </c>
      <c r="CX129" t="e">
        <f>'2.4.Функции'!426:426-"BYw!'59"</f>
        <v>#VALUE!</v>
      </c>
      <c r="CY129" t="e">
        <f>'2.4.Функции'!427:427-"BYw!'5:"</f>
        <v>#VALUE!</v>
      </c>
      <c r="CZ129" t="e">
        <f>'2.4.Функции'!428:428-"BYw!'5;"</f>
        <v>#VALUE!</v>
      </c>
      <c r="DA129" t="e">
        <f>'2.4.Функции'!429:429-"BYw!'5&lt;"</f>
        <v>#VALUE!</v>
      </c>
      <c r="DB129" t="e">
        <f>'2.5.Трудоемкость'!A2+"BYw!'5="</f>
        <v>#VALUE!</v>
      </c>
      <c r="DC129" t="e">
        <f>'2.5.Трудоемкость'!B2+"BYw!'5&gt;"</f>
        <v>#VALUE!</v>
      </c>
      <c r="DD129" t="e">
        <f>'2.5.Трудоемкость'!C2+"BYw!'5?"</f>
        <v>#VALUE!</v>
      </c>
      <c r="DE129" t="e">
        <f>'2.5.Трудоемкость'!D2+"BYw!'5@"</f>
        <v>#VALUE!</v>
      </c>
      <c r="DF129" t="e">
        <f>'2.5.Трудоемкость'!E2+"BYw!'5A"</f>
        <v>#VALUE!</v>
      </c>
      <c r="DG129" t="e">
        <f>'2.5.Трудоемкость'!F2+"BYw!'5B"</f>
        <v>#VALUE!</v>
      </c>
      <c r="DH129" t="e">
        <f>'2.5.Трудоемкость'!G2+"BYw!'5C"</f>
        <v>#VALUE!</v>
      </c>
      <c r="DI129" t="e">
        <f>'2.5.Трудоемкость'!H2+"BYw!'5D"</f>
        <v>#VALUE!</v>
      </c>
      <c r="DJ129" t="e">
        <f>'2.5.Трудоемкость'!I2+"BYw!'5E"</f>
        <v>#VALUE!</v>
      </c>
      <c r="DK129" t="e">
        <f>'2.5.Трудоемкость'!J2+"BYw!'5F"</f>
        <v>#VALUE!</v>
      </c>
      <c r="DL129" t="e">
        <f>'2.5.Трудоемкость'!K2+"BYw!'5G"</f>
        <v>#VALUE!</v>
      </c>
      <c r="DM129" t="e">
        <f>'2.5.Трудоемкость'!L2+"BYw!'5H"</f>
        <v>#VALUE!</v>
      </c>
      <c r="DN129" t="e">
        <f>'2.5.Трудоемкость'!M2+"BYw!'5I"</f>
        <v>#VALUE!</v>
      </c>
      <c r="DO129" t="e">
        <f>'2.5.Трудоемкость'!N2+"BYw!'5J"</f>
        <v>#VALUE!</v>
      </c>
      <c r="DP129" t="e">
        <f>'2.5.Трудоемкость'!O2+"BYw!'5K"</f>
        <v>#VALUE!</v>
      </c>
      <c r="DQ129" t="e">
        <f>'2.5.Трудоемкость'!P2+"BYw!'5L"</f>
        <v>#VALUE!</v>
      </c>
      <c r="DR129" t="e">
        <f>'2.5.Трудоемкость'!Q2+"BYw!'5M"</f>
        <v>#VALUE!</v>
      </c>
      <c r="DS129" t="e">
        <f>'2.5.Трудоемкость'!R2+"BYw!'5N"</f>
        <v>#VALUE!</v>
      </c>
      <c r="DT129" t="e">
        <f>'2.5.Трудоемкость'!S2+"BYw!'5O"</f>
        <v>#VALUE!</v>
      </c>
      <c r="DU129" t="e">
        <f>'2.5.Трудоемкость'!T2+"BYw!'5P"</f>
        <v>#VALUE!</v>
      </c>
      <c r="DV129" t="e">
        <f>'2.5.Трудоемкость'!U2+"BYw!'5Q"</f>
        <v>#VALUE!</v>
      </c>
      <c r="DW129" t="e">
        <f>'2.5.Трудоемкость'!V2+"BYw!'5R"</f>
        <v>#VALUE!</v>
      </c>
      <c r="DX129" t="e">
        <f>'2.5.Трудоемкость'!W2+"BYw!'5S"</f>
        <v>#VALUE!</v>
      </c>
      <c r="DY129" t="e">
        <f>'2.5.Трудоемкость'!X2+"BYw!'5T"</f>
        <v>#VALUE!</v>
      </c>
      <c r="DZ129" t="e">
        <f>'2.5.Трудоемкость'!Y2+"BYw!'5U"</f>
        <v>#VALUE!</v>
      </c>
      <c r="EA129" t="e">
        <f>'2.5.Трудоемкость'!Z2+"BYw!'5V"</f>
        <v>#VALUE!</v>
      </c>
      <c r="EB129" t="e">
        <f>'2.5.Трудоемкость'!AA2+"BYw!'5W"</f>
        <v>#VALUE!</v>
      </c>
      <c r="EC129" t="e">
        <f>'2.5.Трудоемкость'!AB2+"BYw!'5X"</f>
        <v>#VALUE!</v>
      </c>
      <c r="ED129" t="e">
        <f>'2.5.Трудоемкость'!AC2+"BYw!'5Y"</f>
        <v>#VALUE!</v>
      </c>
      <c r="EE129" t="e">
        <f>'2.5.Трудоемкость'!AD2+"BYw!'5Z"</f>
        <v>#VALUE!</v>
      </c>
      <c r="EF129" t="e">
        <f>'2.5.Трудоемкость'!AE2+"BYw!'5["</f>
        <v>#VALUE!</v>
      </c>
      <c r="EG129" t="e">
        <f>'2.5.Трудоемкость'!AF2+"BYw!'5\"</f>
        <v>#VALUE!</v>
      </c>
      <c r="EH129" t="e">
        <f>'2.5.Трудоемкость'!AG2+"BYw!'5]"</f>
        <v>#VALUE!</v>
      </c>
      <c r="EI129" t="e">
        <f>'2.5.Трудоемкость'!A3+"BYw!'5^"</f>
        <v>#VALUE!</v>
      </c>
      <c r="EJ129" t="e">
        <f>'2.5.Трудоемкость'!B3+"BYw!'5_"</f>
        <v>#VALUE!</v>
      </c>
      <c r="EK129" t="e">
        <f>'2.5.Трудоемкость'!C3+"BYw!'5`"</f>
        <v>#VALUE!</v>
      </c>
      <c r="EL129" t="e">
        <f>'2.5.Трудоемкость'!D3+"BYw!'5a"</f>
        <v>#VALUE!</v>
      </c>
      <c r="EM129" t="e">
        <f>'2.5.Трудоемкость'!E3+"BYw!'5b"</f>
        <v>#VALUE!</v>
      </c>
      <c r="EN129" t="e">
        <f>'2.5.Трудоемкость'!F3+"BYw!'5c"</f>
        <v>#VALUE!</v>
      </c>
      <c r="EO129" t="e">
        <f>'2.5.Трудоемкость'!G3+"BYw!'5d"</f>
        <v>#VALUE!</v>
      </c>
      <c r="EP129" t="e">
        <f>'2.5.Трудоемкость'!H3+"BYw!'5e"</f>
        <v>#VALUE!</v>
      </c>
      <c r="EQ129" t="e">
        <f>'2.5.Трудоемкость'!I3+"BYw!'5f"</f>
        <v>#VALUE!</v>
      </c>
      <c r="ER129" t="e">
        <f>'2.5.Трудоемкость'!J3+"BYw!'5g"</f>
        <v>#VALUE!</v>
      </c>
      <c r="ES129" t="e">
        <f>'2.5.Трудоемкость'!K3+"BYw!'5h"</f>
        <v>#VALUE!</v>
      </c>
      <c r="ET129" t="e">
        <f>'2.5.Трудоемкость'!L3+"BYw!'5i"</f>
        <v>#VALUE!</v>
      </c>
      <c r="EU129" t="e">
        <f>'2.5.Трудоемкость'!M3+"BYw!'5j"</f>
        <v>#VALUE!</v>
      </c>
      <c r="EV129" t="e">
        <f>'2.5.Трудоемкость'!N3+"BYw!'5k"</f>
        <v>#VALUE!</v>
      </c>
      <c r="EW129" t="e">
        <f>'2.5.Трудоемкость'!O3+"BYw!'5l"</f>
        <v>#VALUE!</v>
      </c>
      <c r="EX129" t="e">
        <f>'2.5.Трудоемкость'!P3+"BYw!'5m"</f>
        <v>#VALUE!</v>
      </c>
      <c r="EY129" t="e">
        <f>'2.5.Трудоемкость'!Q3+"BYw!'5n"</f>
        <v>#VALUE!</v>
      </c>
      <c r="EZ129" t="e">
        <f>'2.5.Трудоемкость'!R3+"BYw!'5o"</f>
        <v>#VALUE!</v>
      </c>
      <c r="FA129" t="e">
        <f>'2.5.Трудоемкость'!S3+"BYw!'5p"</f>
        <v>#VALUE!</v>
      </c>
      <c r="FB129" t="e">
        <f>'2.5.Трудоемкость'!T3+"BYw!'5q"</f>
        <v>#VALUE!</v>
      </c>
      <c r="FC129" t="e">
        <f>'2.5.Трудоемкость'!U3+"BYw!'5r"</f>
        <v>#VALUE!</v>
      </c>
      <c r="FD129" t="e">
        <f>'2.5.Трудоемкость'!V3+"BYw!'5s"</f>
        <v>#VALUE!</v>
      </c>
      <c r="FE129" t="e">
        <f>'2.5.Трудоемкость'!W3+"BYw!'5t"</f>
        <v>#VALUE!</v>
      </c>
      <c r="FF129" t="e">
        <f>'2.5.Трудоемкость'!X3+"BYw!'5u"</f>
        <v>#VALUE!</v>
      </c>
      <c r="FG129" t="e">
        <f>'2.5.Трудоемкость'!Y3+"BYw!'5v"</f>
        <v>#VALUE!</v>
      </c>
      <c r="FH129" t="e">
        <f>'2.5.Трудоемкость'!Z3+"BYw!'5w"</f>
        <v>#VALUE!</v>
      </c>
      <c r="FI129" t="e">
        <f>'2.5.Трудоемкость'!AA3+"BYw!'5x"</f>
        <v>#VALUE!</v>
      </c>
      <c r="FJ129" t="e">
        <f>'2.5.Трудоемкость'!AB3+"BYw!'5y"</f>
        <v>#VALUE!</v>
      </c>
      <c r="FK129" t="e">
        <f>'2.5.Трудоемкость'!AC3+"BYw!'5z"</f>
        <v>#VALUE!</v>
      </c>
      <c r="FL129" t="e">
        <f>'2.5.Трудоемкость'!AD3+"BYw!'5{"</f>
        <v>#VALUE!</v>
      </c>
      <c r="FM129" t="e">
        <f>'2.5.Трудоемкость'!AE3+"BYw!'5|"</f>
        <v>#VALUE!</v>
      </c>
      <c r="FN129" t="e">
        <f>'2.5.Трудоемкость'!AF3+"BYw!'5}"</f>
        <v>#VALUE!</v>
      </c>
      <c r="FO129" t="e">
        <f>'2.5.Трудоемкость'!AG3+"BYw!'5~"</f>
        <v>#VALUE!</v>
      </c>
      <c r="FP129" t="e">
        <f>'2.5.Трудоемкость'!#REF!+"BYw!'6#"</f>
        <v>#REF!</v>
      </c>
      <c r="FQ129" t="e">
        <f>'2.5.Трудоемкость'!A4+"BYw!'6$"</f>
        <v>#VALUE!</v>
      </c>
      <c r="FR129" s="119" t="e">
        <f>'2.5.Трудоемкость'!C4+"BYw!'6%"</f>
        <v>#VALUE!</v>
      </c>
      <c r="FS129" s="119" t="e">
        <f>'2.5.Трудоемкость'!D4+"BYw!'6&amp;"</f>
        <v>#VALUE!</v>
      </c>
      <c r="FT129" s="119" t="e">
        <f>'2.5.Трудоемкость'!E4+"BYw!'6'"</f>
        <v>#VALUE!</v>
      </c>
      <c r="FU129" s="119" t="e">
        <f>'2.5.Трудоемкость'!F4+"BYw!'6("</f>
        <v>#VALUE!</v>
      </c>
      <c r="FV129" s="119" t="e">
        <f>'2.5.Трудоемкость'!G4+"BYw!'6)"</f>
        <v>#VALUE!</v>
      </c>
      <c r="FW129" s="119" t="e">
        <f>'2.5.Трудоемкость'!H4+"BYw!'6."</f>
        <v>#VALUE!</v>
      </c>
      <c r="FX129" s="119" t="e">
        <f>'2.5.Трудоемкость'!I4+"BYw!'6/"</f>
        <v>#VALUE!</v>
      </c>
      <c r="FY129" s="119" t="e">
        <f>'2.5.Трудоемкость'!J4+"BYw!'60"</f>
        <v>#VALUE!</v>
      </c>
      <c r="FZ129" s="119" t="e">
        <f>'2.5.Трудоемкость'!K4+"BYw!'61"</f>
        <v>#VALUE!</v>
      </c>
      <c r="GA129" s="119" t="e">
        <f>'2.5.Трудоемкость'!L4+"BYw!'62"</f>
        <v>#VALUE!</v>
      </c>
      <c r="GB129" s="119" t="e">
        <f>'2.5.Трудоемкость'!M4+"BYw!'63"</f>
        <v>#VALUE!</v>
      </c>
      <c r="GC129" s="119" t="e">
        <f>'2.5.Трудоемкость'!N4+"BYw!'64"</f>
        <v>#VALUE!</v>
      </c>
      <c r="GD129" s="119" t="e">
        <f>'2.5.Трудоемкость'!O4+"BYw!'65"</f>
        <v>#VALUE!</v>
      </c>
      <c r="GE129" s="119" t="e">
        <f>'2.5.Трудоемкость'!P4+"BYw!'66"</f>
        <v>#VALUE!</v>
      </c>
      <c r="GF129" s="119" t="e">
        <f>'2.5.Трудоемкость'!Q4+"BYw!'67"</f>
        <v>#VALUE!</v>
      </c>
      <c r="GG129" s="119" t="e">
        <f>'2.5.Трудоемкость'!R4+"BYw!'68"</f>
        <v>#VALUE!</v>
      </c>
      <c r="GH129" s="119" t="e">
        <f>'2.5.Трудоемкость'!S4+"BYw!'69"</f>
        <v>#VALUE!</v>
      </c>
      <c r="GI129" s="119" t="e">
        <f>'2.5.Трудоемкость'!T4+"BYw!'6:"</f>
        <v>#VALUE!</v>
      </c>
      <c r="GJ129" t="e">
        <f>'2.5.Трудоемкость'!U4+"BYw!'6;"</f>
        <v>#VALUE!</v>
      </c>
      <c r="GK129" t="e">
        <f>'2.5.Трудоемкость'!V4+"BYw!'6&lt;"</f>
        <v>#VALUE!</v>
      </c>
      <c r="GL129" s="117" t="e">
        <f>'2.5.Трудоемкость'!W4+"BYw!'6="</f>
        <v>#VALUE!</v>
      </c>
      <c r="GM129" s="120" t="e">
        <f>'2.5.Трудоемкость'!X4+"BYw!'6&gt;"</f>
        <v>#VALUE!</v>
      </c>
      <c r="GN129" t="e">
        <f>'2.5.Трудоемкость'!Y4+"BYw!'6?"</f>
        <v>#VALUE!</v>
      </c>
      <c r="GO129" t="e">
        <f>'2.5.Трудоемкость'!Z4+"BYw!'6@"</f>
        <v>#VALUE!</v>
      </c>
      <c r="GP129" s="120" t="e">
        <f>'2.5.Трудоемкость'!AA4+"BYw!'6A"</f>
        <v>#VALUE!</v>
      </c>
      <c r="GQ129" t="e">
        <f>'2.5.Трудоемкость'!AB4+"BYw!'6B"</f>
        <v>#VALUE!</v>
      </c>
      <c r="GR129" s="120" t="e">
        <f>'2.5.Трудоемкость'!AC4+"BYw!'6C"</f>
        <v>#VALUE!</v>
      </c>
      <c r="GS129" s="120" t="e">
        <f>'2.5.Трудоемкость'!AD4+"BYw!'6D"</f>
        <v>#VALUE!</v>
      </c>
      <c r="GT129" s="120" t="e">
        <f>'2.5.Трудоемкость'!AE4+"BYw!'6E"</f>
        <v>#VALUE!</v>
      </c>
      <c r="GU129" s="117" t="e">
        <f>'2.5.Трудоемкость'!AF4+"BYw!'6F"</f>
        <v>#VALUE!</v>
      </c>
      <c r="GV129" s="117" t="e">
        <f>'2.5.Трудоемкость'!AG4+"BYw!'6G"</f>
        <v>#VALUE!</v>
      </c>
      <c r="GW129" t="e">
        <f>'2.5.Трудоемкость'!A5+"BYw!'6H"</f>
        <v>#VALUE!</v>
      </c>
      <c r="GX129" t="e">
        <f>'2.5.Трудоемкость'!B5+"BYw!'6I"</f>
        <v>#VALUE!</v>
      </c>
      <c r="GY129" s="119" t="e">
        <f>'2.5.Трудоемкость'!C5+"BYw!'6J"</f>
        <v>#VALUE!</v>
      </c>
      <c r="GZ129" s="119" t="e">
        <f>'2.5.Трудоемкость'!D5+"BYw!'6K"</f>
        <v>#VALUE!</v>
      </c>
      <c r="HA129" s="119" t="e">
        <f>'2.5.Трудоемкость'!E5+"BYw!'6L"</f>
        <v>#VALUE!</v>
      </c>
      <c r="HB129" s="119" t="e">
        <f>'2.5.Трудоемкость'!F5+"BYw!'6M"</f>
        <v>#VALUE!</v>
      </c>
      <c r="HC129" s="119" t="e">
        <f>'2.5.Трудоемкость'!G5+"BYw!'6N"</f>
        <v>#VALUE!</v>
      </c>
      <c r="HD129" s="119" t="e">
        <f>'2.5.Трудоемкость'!H5+"BYw!'6O"</f>
        <v>#VALUE!</v>
      </c>
      <c r="HE129" s="119" t="e">
        <f>'2.5.Трудоемкость'!I5+"BYw!'6P"</f>
        <v>#VALUE!</v>
      </c>
      <c r="HF129" s="119" t="e">
        <f>'2.5.Трудоемкость'!J5+"BYw!'6Q"</f>
        <v>#VALUE!</v>
      </c>
      <c r="HG129" s="119" t="e">
        <f>'2.5.Трудоемкость'!K5+"BYw!'6R"</f>
        <v>#VALUE!</v>
      </c>
      <c r="HH129" s="119" t="e">
        <f>'2.5.Трудоемкость'!L5+"BYw!'6S"</f>
        <v>#VALUE!</v>
      </c>
      <c r="HI129" s="119" t="e">
        <f>'2.5.Трудоемкость'!M5+"BYw!'6T"</f>
        <v>#VALUE!</v>
      </c>
      <c r="HJ129" s="119" t="e">
        <f>'2.5.Трудоемкость'!N5+"BYw!'6U"</f>
        <v>#VALUE!</v>
      </c>
      <c r="HK129" s="119" t="e">
        <f>'2.5.Трудоемкость'!O5+"BYw!'6V"</f>
        <v>#VALUE!</v>
      </c>
      <c r="HL129" s="119" t="e">
        <f>'2.5.Трудоемкость'!P5+"BYw!'6W"</f>
        <v>#VALUE!</v>
      </c>
      <c r="HM129" s="119" t="e">
        <f>'2.5.Трудоемкость'!Q5+"BYw!'6X"</f>
        <v>#VALUE!</v>
      </c>
      <c r="HN129" s="119" t="e">
        <f>'2.5.Трудоемкость'!R5+"BYw!'6Y"</f>
        <v>#VALUE!</v>
      </c>
      <c r="HO129" s="119" t="e">
        <f>'2.5.Трудоемкость'!S5+"BYw!'6Z"</f>
        <v>#VALUE!</v>
      </c>
      <c r="HP129" s="119" t="e">
        <f>'2.5.Трудоемкость'!T5+"BYw!'6["</f>
        <v>#VALUE!</v>
      </c>
      <c r="HQ129" s="118" t="e">
        <f>'2.5.Трудоемкость'!U5+"BYw!'6\"</f>
        <v>#VALUE!</v>
      </c>
      <c r="HR129" t="e">
        <f>'2.5.Трудоемкость'!V5+"BYw!'6]"</f>
        <v>#VALUE!</v>
      </c>
      <c r="HS129" s="117" t="e">
        <f>'2.5.Трудоемкость'!W5+"BYw!'6^"</f>
        <v>#VALUE!</v>
      </c>
      <c r="HT129" s="120" t="e">
        <f>'2.5.Трудоемкость'!X5+"BYw!'6_"</f>
        <v>#VALUE!</v>
      </c>
      <c r="HU129" s="120" t="e">
        <f>'2.5.Трудоемкость'!Y5+"BYw!'6`"</f>
        <v>#VALUE!</v>
      </c>
      <c r="HV129" s="120" t="e">
        <f>'2.5.Трудоемкость'!Z5+"BYw!'6a"</f>
        <v>#VALUE!</v>
      </c>
      <c r="HW129" s="120" t="e">
        <f>'2.5.Трудоемкость'!AA5+"BYw!'6b"</f>
        <v>#VALUE!</v>
      </c>
      <c r="HX129" s="120" t="e">
        <f>'2.5.Трудоемкость'!AB5+"BYw!'6c"</f>
        <v>#VALUE!</v>
      </c>
      <c r="HY129" s="120" t="e">
        <f>'2.5.Трудоемкость'!AC5+"BYw!'6d"</f>
        <v>#VALUE!</v>
      </c>
      <c r="HZ129" s="120" t="e">
        <f>'2.5.Трудоемкость'!AD5+"BYw!'6e"</f>
        <v>#VALUE!</v>
      </c>
      <c r="IA129" s="120" t="e">
        <f>'2.5.Трудоемкость'!AE5+"BYw!'6f"</f>
        <v>#VALUE!</v>
      </c>
      <c r="IB129" t="e">
        <f>'2.5.Трудоемкость'!AF5+"BYw!'6g"</f>
        <v>#VALUE!</v>
      </c>
      <c r="IC129" s="120" t="e">
        <f>'2.5.Трудоемкость'!AG5+"BYw!'6h"</f>
        <v>#VALUE!</v>
      </c>
      <c r="ID129" t="e">
        <f>'2.5.Трудоемкость'!A6+"BYw!'6i"</f>
        <v>#VALUE!</v>
      </c>
      <c r="IE129" t="e">
        <f>'2.5.Трудоемкость'!B6+"BYw!'6j"</f>
        <v>#VALUE!</v>
      </c>
      <c r="IF129" s="119" t="e">
        <f>'2.5.Трудоемкость'!C6+"BYw!'6k"</f>
        <v>#VALUE!</v>
      </c>
      <c r="IG129" s="119" t="e">
        <f>'2.5.Трудоемкость'!D6+"BYw!'6l"</f>
        <v>#VALUE!</v>
      </c>
      <c r="IH129" s="119" t="e">
        <f>'2.5.Трудоемкость'!E6+"BYw!'6m"</f>
        <v>#VALUE!</v>
      </c>
      <c r="II129" s="119" t="e">
        <f>'2.5.Трудоемкость'!F6+"BYw!'6n"</f>
        <v>#VALUE!</v>
      </c>
      <c r="IJ129" s="119" t="e">
        <f>'2.5.Трудоемкость'!G6+"BYw!'6o"</f>
        <v>#VALUE!</v>
      </c>
      <c r="IK129" s="119" t="e">
        <f>'2.5.Трудоемкость'!H6+"BYw!'6p"</f>
        <v>#VALUE!</v>
      </c>
      <c r="IL129" s="119" t="e">
        <f>'2.5.Трудоемкость'!I6+"BYw!'6q"</f>
        <v>#VALUE!</v>
      </c>
      <c r="IM129" s="119" t="e">
        <f>'2.5.Трудоемкость'!J6+"BYw!'6r"</f>
        <v>#VALUE!</v>
      </c>
      <c r="IN129" s="119" t="e">
        <f>'2.5.Трудоемкость'!K6+"BYw!'6s"</f>
        <v>#VALUE!</v>
      </c>
      <c r="IO129" s="119" t="e">
        <f>'2.5.Трудоемкость'!L6+"BYw!'6t"</f>
        <v>#VALUE!</v>
      </c>
      <c r="IP129" s="119" t="e">
        <f>'2.5.Трудоемкость'!M6+"BYw!'6u"</f>
        <v>#VALUE!</v>
      </c>
      <c r="IQ129" s="119" t="e">
        <f>'2.5.Трудоемкость'!N6+"BYw!'6v"</f>
        <v>#VALUE!</v>
      </c>
      <c r="IR129" s="119" t="e">
        <f>'2.5.Трудоемкость'!O6+"BYw!'6w"</f>
        <v>#VALUE!</v>
      </c>
      <c r="IS129" s="119" t="e">
        <f>'2.5.Трудоемкость'!P6+"BYw!'6x"</f>
        <v>#VALUE!</v>
      </c>
      <c r="IT129" s="119" t="e">
        <f>'2.5.Трудоемкость'!Q6+"BYw!'6y"</f>
        <v>#VALUE!</v>
      </c>
      <c r="IU129" s="119" t="e">
        <f>'2.5.Трудоемкость'!R6+"BYw!'6z"</f>
        <v>#VALUE!</v>
      </c>
      <c r="IV129" s="119" t="e">
        <f>'2.5.Трудоемкость'!S6+"BYw!'6{"</f>
        <v>#VALUE!</v>
      </c>
    </row>
    <row r="130" spans="6:256" x14ac:dyDescent="0.2">
      <c r="F130" s="119" t="e">
        <f>'2.5.Трудоемкость'!T6+"BYw!'6|"</f>
        <v>#VALUE!</v>
      </c>
      <c r="G130" s="118" t="e">
        <f>'2.5.Трудоемкость'!U6+"BYw!'6}"</f>
        <v>#VALUE!</v>
      </c>
      <c r="H130" t="e">
        <f>'2.5.Трудоемкость'!V6+"BYw!'6~"</f>
        <v>#VALUE!</v>
      </c>
      <c r="I130" s="117" t="e">
        <f>'2.5.Трудоемкость'!W6+"BYw!'7#"</f>
        <v>#VALUE!</v>
      </c>
      <c r="J130" s="120" t="e">
        <f>'2.5.Трудоемкость'!X6+"BYw!'7$"</f>
        <v>#VALUE!</v>
      </c>
      <c r="K130" s="120" t="e">
        <f>'2.5.Трудоемкость'!Y6+"BYw!'7%"</f>
        <v>#VALUE!</v>
      </c>
      <c r="L130" s="120" t="e">
        <f>'2.5.Трудоемкость'!Z6+"BYw!'7&amp;"</f>
        <v>#VALUE!</v>
      </c>
      <c r="M130" s="120" t="e">
        <f>'2.5.Трудоемкость'!AA6+"BYw!'7'"</f>
        <v>#VALUE!</v>
      </c>
      <c r="N130" s="120" t="e">
        <f>'2.5.Трудоемкость'!AB6+"BYw!'7("</f>
        <v>#VALUE!</v>
      </c>
      <c r="O130" s="120" t="e">
        <f>'2.5.Трудоемкость'!AC6+"BYw!'7)"</f>
        <v>#VALUE!</v>
      </c>
      <c r="P130" s="120" t="e">
        <f>'2.5.Трудоемкость'!AD6+"BYw!'7."</f>
        <v>#VALUE!</v>
      </c>
      <c r="Q130" s="120" t="e">
        <f>'2.5.Трудоемкость'!AE6+"BYw!'7/"</f>
        <v>#VALUE!</v>
      </c>
      <c r="R130" t="e">
        <f>'2.5.Трудоемкость'!AF6+"BYw!'70"</f>
        <v>#VALUE!</v>
      </c>
      <c r="S130" s="120" t="e">
        <f>'2.5.Трудоемкость'!AG6+"BYw!'71"</f>
        <v>#VALUE!</v>
      </c>
      <c r="T130" t="e">
        <f>'2.5.Трудоемкость'!A7+"BYw!'72"</f>
        <v>#VALUE!</v>
      </c>
      <c r="U130" t="e">
        <f>'2.5.Трудоемкость'!B7+"BYw!'73"</f>
        <v>#VALUE!</v>
      </c>
      <c r="V130" s="119" t="e">
        <f>'2.5.Трудоемкость'!C7+"BYw!'74"</f>
        <v>#VALUE!</v>
      </c>
      <c r="W130" s="119" t="e">
        <f>'2.5.Трудоемкость'!D7+"BYw!'75"</f>
        <v>#VALUE!</v>
      </c>
      <c r="X130" s="119" t="e">
        <f>'2.5.Трудоемкость'!E7+"BYw!'76"</f>
        <v>#VALUE!</v>
      </c>
      <c r="Y130" s="119" t="e">
        <f>'2.5.Трудоемкость'!F7+"BYw!'77"</f>
        <v>#VALUE!</v>
      </c>
      <c r="Z130" s="119" t="e">
        <f>'2.5.Трудоемкость'!G7+"BYw!'78"</f>
        <v>#VALUE!</v>
      </c>
      <c r="AA130" s="119" t="e">
        <f>'2.5.Трудоемкость'!H7+"BYw!'79"</f>
        <v>#VALUE!</v>
      </c>
      <c r="AB130" s="119" t="e">
        <f>'2.5.Трудоемкость'!I7+"BYw!'7:"</f>
        <v>#VALUE!</v>
      </c>
      <c r="AC130" s="119" t="e">
        <f>'2.5.Трудоемкость'!J7+"BYw!'7;"</f>
        <v>#VALUE!</v>
      </c>
      <c r="AD130" s="119" t="e">
        <f>'2.5.Трудоемкость'!K7+"BYw!'7&lt;"</f>
        <v>#VALUE!</v>
      </c>
      <c r="AE130" s="119" t="e">
        <f>'2.5.Трудоемкость'!L7+"BYw!'7="</f>
        <v>#VALUE!</v>
      </c>
      <c r="AF130" s="119" t="e">
        <f>'2.5.Трудоемкость'!M7+"BYw!'7&gt;"</f>
        <v>#VALUE!</v>
      </c>
      <c r="AG130" s="119" t="e">
        <f>'2.5.Трудоемкость'!N7+"BYw!'7?"</f>
        <v>#VALUE!</v>
      </c>
      <c r="AH130" s="119" t="e">
        <f>'2.5.Трудоемкость'!O7+"BYw!'7@"</f>
        <v>#VALUE!</v>
      </c>
      <c r="AI130" s="119" t="e">
        <f>'2.5.Трудоемкость'!P7+"BYw!'7A"</f>
        <v>#VALUE!</v>
      </c>
      <c r="AJ130" s="119" t="e">
        <f>'2.5.Трудоемкость'!Q7+"BYw!'7B"</f>
        <v>#VALUE!</v>
      </c>
      <c r="AK130" s="119" t="e">
        <f>'2.5.Трудоемкость'!R7+"BYw!'7C"</f>
        <v>#VALUE!</v>
      </c>
      <c r="AL130" s="119" t="e">
        <f>'2.5.Трудоемкость'!S7+"BYw!'7D"</f>
        <v>#VALUE!</v>
      </c>
      <c r="AM130" s="119" t="e">
        <f>'2.5.Трудоемкость'!T7+"BYw!'7E"</f>
        <v>#VALUE!</v>
      </c>
      <c r="AN130" s="118" t="e">
        <f>'2.5.Трудоемкость'!U7+"BYw!'7F"</f>
        <v>#VALUE!</v>
      </c>
      <c r="AO130" t="e">
        <f>'2.5.Трудоемкость'!V7+"BYw!'7G"</f>
        <v>#VALUE!</v>
      </c>
      <c r="AP130" s="117" t="e">
        <f>'2.5.Трудоемкость'!W7+"BYw!'7H"</f>
        <v>#VALUE!</v>
      </c>
      <c r="AQ130" s="120" t="e">
        <f>'2.5.Трудоемкость'!X7+"BYw!'7I"</f>
        <v>#VALUE!</v>
      </c>
      <c r="AR130" s="120" t="e">
        <f>'2.5.Трудоемкость'!Y7+"BYw!'7J"</f>
        <v>#VALUE!</v>
      </c>
      <c r="AS130" s="120" t="e">
        <f>'2.5.Трудоемкость'!Z7+"BYw!'7K"</f>
        <v>#VALUE!</v>
      </c>
      <c r="AT130" s="120" t="e">
        <f>'2.5.Трудоемкость'!AA7+"BYw!'7L"</f>
        <v>#VALUE!</v>
      </c>
      <c r="AU130" s="120" t="e">
        <f>'2.5.Трудоемкость'!AB7+"BYw!'7M"</f>
        <v>#VALUE!</v>
      </c>
      <c r="AV130" s="120" t="e">
        <f>'2.5.Трудоемкость'!AC7+"BYw!'7N"</f>
        <v>#VALUE!</v>
      </c>
      <c r="AW130" s="120" t="e">
        <f>'2.5.Трудоемкость'!AD7+"BYw!'7O"</f>
        <v>#VALUE!</v>
      </c>
      <c r="AX130" s="120" t="e">
        <f>'2.5.Трудоемкость'!AE7+"BYw!'7P"</f>
        <v>#VALUE!</v>
      </c>
      <c r="AY130" t="e">
        <f>'2.5.Трудоемкость'!AF7+"BYw!'7Q"</f>
        <v>#VALUE!</v>
      </c>
      <c r="AZ130" s="120" t="e">
        <f>'2.5.Трудоемкость'!AG7+"BYw!'7R"</f>
        <v>#VALUE!</v>
      </c>
      <c r="BA130" t="e">
        <f>'2.5.Трудоемкость'!A8+"BYw!'7S"</f>
        <v>#VALUE!</v>
      </c>
      <c r="BB130" t="e">
        <f>'2.5.Трудоемкость'!B8+"BYw!'7T"</f>
        <v>#VALUE!</v>
      </c>
      <c r="BC130" s="119" t="e">
        <f>'2.5.Трудоемкость'!C8+"BYw!'7U"</f>
        <v>#VALUE!</v>
      </c>
      <c r="BD130" s="119" t="e">
        <f>'2.5.Трудоемкость'!D8+"BYw!'7V"</f>
        <v>#VALUE!</v>
      </c>
      <c r="BE130" s="119" t="e">
        <f>'2.5.Трудоемкость'!E8+"BYw!'7W"</f>
        <v>#VALUE!</v>
      </c>
      <c r="BF130" s="119" t="e">
        <f>'2.5.Трудоемкость'!F8+"BYw!'7X"</f>
        <v>#VALUE!</v>
      </c>
      <c r="BG130" s="119" t="e">
        <f>'2.5.Трудоемкость'!G8+"BYw!'7Y"</f>
        <v>#VALUE!</v>
      </c>
      <c r="BH130" s="119" t="e">
        <f>'2.5.Трудоемкость'!H8+"BYw!'7Z"</f>
        <v>#VALUE!</v>
      </c>
      <c r="BI130" s="119" t="e">
        <f>'2.5.Трудоемкость'!I8+"BYw!'7["</f>
        <v>#VALUE!</v>
      </c>
      <c r="BJ130" s="119" t="e">
        <f>'2.5.Трудоемкость'!J8+"BYw!'7\"</f>
        <v>#VALUE!</v>
      </c>
      <c r="BK130" s="119" t="e">
        <f>'2.5.Трудоемкость'!K8+"BYw!'7]"</f>
        <v>#VALUE!</v>
      </c>
      <c r="BL130" s="119" t="e">
        <f>'2.5.Трудоемкость'!L8+"BYw!'7^"</f>
        <v>#VALUE!</v>
      </c>
      <c r="BM130" s="119" t="e">
        <f>'2.5.Трудоемкость'!M8+"BYw!'7_"</f>
        <v>#VALUE!</v>
      </c>
      <c r="BN130" s="119" t="e">
        <f>'2.5.Трудоемкость'!N8+"BYw!'7`"</f>
        <v>#VALUE!</v>
      </c>
      <c r="BO130" s="119" t="e">
        <f>'2.5.Трудоемкость'!O8+"BYw!'7a"</f>
        <v>#VALUE!</v>
      </c>
      <c r="BP130" s="119" t="e">
        <f>'2.5.Трудоемкость'!P8+"BYw!'7b"</f>
        <v>#VALUE!</v>
      </c>
      <c r="BQ130" s="119" t="e">
        <f>'2.5.Трудоемкость'!Q8+"BYw!'7c"</f>
        <v>#VALUE!</v>
      </c>
      <c r="BR130" s="119" t="e">
        <f>'2.5.Трудоемкость'!R8+"BYw!'7d"</f>
        <v>#VALUE!</v>
      </c>
      <c r="BS130" s="119" t="e">
        <f>'2.5.Трудоемкость'!S8+"BYw!'7e"</f>
        <v>#VALUE!</v>
      </c>
      <c r="BT130" s="119" t="e">
        <f>'2.5.Трудоемкость'!T8+"BYw!'7f"</f>
        <v>#VALUE!</v>
      </c>
      <c r="BU130" s="118" t="e">
        <f>'2.5.Трудоемкость'!U8+"BYw!'7g"</f>
        <v>#VALUE!</v>
      </c>
      <c r="BV130" t="e">
        <f>'2.5.Трудоемкость'!V8+"BYw!'7h"</f>
        <v>#VALUE!</v>
      </c>
      <c r="BW130" s="117" t="e">
        <f>'2.5.Трудоемкость'!W8+"BYw!'7i"</f>
        <v>#VALUE!</v>
      </c>
      <c r="BX130" s="120" t="e">
        <f>'2.5.Трудоемкость'!X8+"BYw!'7j"</f>
        <v>#VALUE!</v>
      </c>
      <c r="BY130" s="120" t="e">
        <f>'2.5.Трудоемкость'!Y8+"BYw!'7k"</f>
        <v>#VALUE!</v>
      </c>
      <c r="BZ130" s="120" t="e">
        <f>'2.5.Трудоемкость'!Z8+"BYw!'7l"</f>
        <v>#VALUE!</v>
      </c>
      <c r="CA130" s="120" t="e">
        <f>'2.5.Трудоемкость'!AA8+"BYw!'7m"</f>
        <v>#VALUE!</v>
      </c>
      <c r="CB130" s="120" t="e">
        <f>'2.5.Трудоемкость'!AB8+"BYw!'7n"</f>
        <v>#VALUE!</v>
      </c>
      <c r="CC130" s="120" t="e">
        <f>'2.5.Трудоемкость'!AC8+"BYw!'7o"</f>
        <v>#VALUE!</v>
      </c>
      <c r="CD130" s="120" t="e">
        <f>'2.5.Трудоемкость'!AD8+"BYw!'7p"</f>
        <v>#VALUE!</v>
      </c>
      <c r="CE130" s="120" t="e">
        <f>'2.5.Трудоемкость'!AE8+"BYw!'7q"</f>
        <v>#VALUE!</v>
      </c>
      <c r="CF130" t="e">
        <f>'2.5.Трудоемкость'!AF8+"BYw!'7r"</f>
        <v>#VALUE!</v>
      </c>
      <c r="CG130" s="120" t="e">
        <f>'2.5.Трудоемкость'!AG8+"BYw!'7s"</f>
        <v>#VALUE!</v>
      </c>
      <c r="CH130" t="e">
        <f>'2.5.Трудоемкость'!A9+"BYw!'7t"</f>
        <v>#VALUE!</v>
      </c>
      <c r="CI130" t="e">
        <f>'2.5.Трудоемкость'!B9+"BYw!'7u"</f>
        <v>#VALUE!</v>
      </c>
      <c r="CJ130" s="120" t="e">
        <f>'2.5.Трудоемкость'!C9+"BYw!'7v"</f>
        <v>#VALUE!</v>
      </c>
      <c r="CK130" s="120" t="e">
        <f>'2.5.Трудоемкость'!D9+"BYw!'7w"</f>
        <v>#VALUE!</v>
      </c>
      <c r="CL130" s="120" t="e">
        <f>'2.5.Трудоемкость'!E9+"BYw!'7x"</f>
        <v>#VALUE!</v>
      </c>
      <c r="CM130" s="120" t="e">
        <f>'2.5.Трудоемкость'!F9+"BYw!'7y"</f>
        <v>#VALUE!</v>
      </c>
      <c r="CN130" s="120" t="e">
        <f>'2.5.Трудоемкость'!G9+"BYw!'7z"</f>
        <v>#VALUE!</v>
      </c>
      <c r="CO130" s="120" t="e">
        <f>'2.5.Трудоемкость'!H9+"BYw!'7{"</f>
        <v>#VALUE!</v>
      </c>
      <c r="CP130" s="120" t="e">
        <f>'2.5.Трудоемкость'!I9+"BYw!'7|"</f>
        <v>#VALUE!</v>
      </c>
      <c r="CQ130" s="120" t="e">
        <f>'2.5.Трудоемкость'!J9+"BYw!'7}"</f>
        <v>#VALUE!</v>
      </c>
      <c r="CR130" s="120" t="e">
        <f>'2.5.Трудоемкость'!K9+"BYw!'7~"</f>
        <v>#VALUE!</v>
      </c>
      <c r="CS130" s="120" t="e">
        <f>'2.5.Трудоемкость'!L9+"BYw!'8#"</f>
        <v>#VALUE!</v>
      </c>
      <c r="CT130" s="120" t="e">
        <f>'2.5.Трудоемкость'!M9+"BYw!'8$"</f>
        <v>#VALUE!</v>
      </c>
      <c r="CU130" s="120" t="e">
        <f>'2.5.Трудоемкость'!N9+"BYw!'8%"</f>
        <v>#VALUE!</v>
      </c>
      <c r="CV130" s="120" t="e">
        <f>'2.5.Трудоемкость'!O9+"BYw!'8&amp;"</f>
        <v>#VALUE!</v>
      </c>
      <c r="CW130" s="120" t="e">
        <f>'2.5.Трудоемкость'!P9+"BYw!'8'"</f>
        <v>#VALUE!</v>
      </c>
      <c r="CX130" s="120" t="e">
        <f>'2.5.Трудоемкость'!Q9+"BYw!'8("</f>
        <v>#VALUE!</v>
      </c>
      <c r="CY130" s="120" t="e">
        <f>'2.5.Трудоемкость'!R9+"BYw!'8)"</f>
        <v>#VALUE!</v>
      </c>
      <c r="CZ130" s="120" t="e">
        <f>'2.5.Трудоемкость'!S9+"BYw!'8."</f>
        <v>#VALUE!</v>
      </c>
      <c r="DA130" s="120" t="e">
        <f>'2.5.Трудоемкость'!T9+"BYw!'8/"</f>
        <v>#VALUE!</v>
      </c>
      <c r="DB130" t="e">
        <f>'2.5.Трудоемкость'!U9+"BYw!'80"</f>
        <v>#VALUE!</v>
      </c>
      <c r="DC130" t="e">
        <f>'2.5.Трудоемкость'!V9+"BYw!'81"</f>
        <v>#VALUE!</v>
      </c>
      <c r="DD130" s="120" t="e">
        <f>'2.5.Трудоемкость'!W9+"BYw!'82"</f>
        <v>#VALUE!</v>
      </c>
      <c r="DE130" t="e">
        <f>'2.5.Трудоемкость'!X9+"BYw!'83"</f>
        <v>#VALUE!</v>
      </c>
      <c r="DF130" t="e">
        <f>'2.5.Трудоемкость'!Y9+"BYw!'84"</f>
        <v>#VALUE!</v>
      </c>
      <c r="DG130" t="e">
        <f>'2.5.Трудоемкость'!Z9+"BYw!'85"</f>
        <v>#VALUE!</v>
      </c>
      <c r="DH130" t="e">
        <f>'2.5.Трудоемкость'!AA9+"BYw!'86"</f>
        <v>#VALUE!</v>
      </c>
      <c r="DI130" t="e">
        <f>'2.5.Трудоемкость'!AB9+"BYw!'87"</f>
        <v>#VALUE!</v>
      </c>
      <c r="DJ130" t="e">
        <f>'2.5.Трудоемкость'!AC9+"BYw!'88"</f>
        <v>#VALUE!</v>
      </c>
      <c r="DK130" t="e">
        <f>'2.5.Трудоемкость'!AD9+"BYw!'89"</f>
        <v>#VALUE!</v>
      </c>
      <c r="DL130" t="e">
        <f>'2.5.Трудоемкость'!AE9+"BYw!'8:"</f>
        <v>#VALUE!</v>
      </c>
      <c r="DM130" t="e">
        <f>'2.5.Трудоемкость'!AF9+"BYw!'8;"</f>
        <v>#VALUE!</v>
      </c>
      <c r="DN130" s="120" t="e">
        <f>'2.5.Трудоемкость'!AG9+"BYw!'8&lt;"</f>
        <v>#VALUE!</v>
      </c>
      <c r="DO130" t="e">
        <f>'2.5.Трудоемкость'!AH9+"BYw!'8="</f>
        <v>#VALUE!</v>
      </c>
      <c r="DP130" t="e">
        <f>'2.5.Трудоемкость'!AI9+"BYw!'8&gt;"</f>
        <v>#VALUE!</v>
      </c>
      <c r="DQ130" t="e">
        <f>'2.5.Трудоемкость'!AJ9+"BYw!'8?"</f>
        <v>#VALUE!</v>
      </c>
      <c r="DR130" t="e">
        <f>'2.5.Трудоемкость'!AK9+"BYw!'8@"</f>
        <v>#VALUE!</v>
      </c>
      <c r="DS130" t="e">
        <f>'2.5.Трудоемкость'!AL9+"BYw!'8A"</f>
        <v>#VALUE!</v>
      </c>
      <c r="DT130" t="e">
        <f>'2.5.Трудоемкость'!AM9+"BYw!'8B"</f>
        <v>#VALUE!</v>
      </c>
      <c r="DU130" t="e">
        <f>'2.5.Трудоемкость'!AN9+"BYw!'8C"</f>
        <v>#VALUE!</v>
      </c>
      <c r="DV130" t="e">
        <f>'2.5.Трудоемкость'!AO9+"BYw!'8D"</f>
        <v>#VALUE!</v>
      </c>
      <c r="DW130" t="e">
        <f>'2.5.Трудоемкость'!AP9+"BYw!'8E"</f>
        <v>#VALUE!</v>
      </c>
      <c r="DX130" t="e">
        <f>'2.5.Трудоемкость'!AQ9+"BYw!'8F"</f>
        <v>#VALUE!</v>
      </c>
      <c r="DY130" t="e">
        <f>'2.5.Трудоемкость'!AR9+"BYw!'8G"</f>
        <v>#VALUE!</v>
      </c>
      <c r="DZ130" t="e">
        <f>'2.5.Трудоемкость'!AS9+"BYw!'8H"</f>
        <v>#VALUE!</v>
      </c>
      <c r="EA130" t="e">
        <f>'2.5.Трудоемкость'!AT9+"BYw!'8I"</f>
        <v>#VALUE!</v>
      </c>
      <c r="EB130" t="e">
        <f>'2.5.Трудоемкость'!AU9+"BYw!'8J"</f>
        <v>#VALUE!</v>
      </c>
      <c r="EC130" t="e">
        <f>'2.5.Трудоемкость'!AV9+"BYw!'8K"</f>
        <v>#VALUE!</v>
      </c>
      <c r="ED130" t="e">
        <f>'2.5.Трудоемкость'!AW9+"BYw!'8L"</f>
        <v>#VALUE!</v>
      </c>
      <c r="EE130" t="e">
        <f>'2.5.Трудоемкость'!AX9+"BYw!'8M"</f>
        <v>#VALUE!</v>
      </c>
      <c r="EF130" t="e">
        <f>'2.5.Трудоемкость'!AY9+"BYw!'8N"</f>
        <v>#VALUE!</v>
      </c>
      <c r="EG130" t="e">
        <f>'2.5.Трудоемкость'!AZ9+"BYw!'8O"</f>
        <v>#VALUE!</v>
      </c>
      <c r="EH130" t="e">
        <f>'2.5.Трудоемкость'!BA9+"BYw!'8P"</f>
        <v>#VALUE!</v>
      </c>
      <c r="EI130" t="e">
        <f>'2.5.Трудоемкость'!BB9+"BYw!'8Q"</f>
        <v>#VALUE!</v>
      </c>
      <c r="EJ130" t="e">
        <f>'2.5.Трудоемкость'!BC9+"BYw!'8R"</f>
        <v>#VALUE!</v>
      </c>
      <c r="EK130" t="e">
        <f>'2.5.Трудоемкость'!BD9+"BYw!'8S"</f>
        <v>#VALUE!</v>
      </c>
      <c r="EL130" t="e">
        <f>'2.5.Трудоемкость'!BE9+"BYw!'8T"</f>
        <v>#VALUE!</v>
      </c>
      <c r="EM130" t="e">
        <f>'2.5.Трудоемкость'!BF9+"BYw!'8U"</f>
        <v>#VALUE!</v>
      </c>
      <c r="EN130" t="e">
        <f>'2.5.Трудоемкость'!BG9+"BYw!'8V"</f>
        <v>#VALUE!</v>
      </c>
      <c r="EO130" t="e">
        <f>'2.5.Трудоемкость'!BH9+"BYw!'8W"</f>
        <v>#VALUE!</v>
      </c>
      <c r="EP130" t="e">
        <f>'2.5.Трудоемкость'!BI9+"BYw!'8X"</f>
        <v>#VALUE!</v>
      </c>
      <c r="EQ130" t="e">
        <f>'2.5.Трудоемкость'!BJ9+"BYw!'8Y"</f>
        <v>#VALUE!</v>
      </c>
      <c r="ER130" t="e">
        <f>'2.5.Трудоемкость'!BK9+"BYw!'8Z"</f>
        <v>#VALUE!</v>
      </c>
      <c r="ES130" t="e">
        <f>'2.5.Трудоемкость'!BL9+"BYw!'8["</f>
        <v>#VALUE!</v>
      </c>
      <c r="ET130" t="e">
        <f>'2.5.Трудоемкость'!BM9+"BYw!'8\"</f>
        <v>#VALUE!</v>
      </c>
      <c r="EU130" t="e">
        <f>'2.5.Трудоемкость'!BN9+"BYw!'8]"</f>
        <v>#VALUE!</v>
      </c>
      <c r="EV130" t="e">
        <f>'2.5.Трудоемкость'!BO9+"BYw!'8^"</f>
        <v>#VALUE!</v>
      </c>
      <c r="EW130" t="e">
        <f>'2.5.Трудоемкость'!BP9+"BYw!'8_"</f>
        <v>#VALUE!</v>
      </c>
      <c r="EX130" t="e">
        <f>'2.5.Трудоемкость'!BQ9+"BYw!'8`"</f>
        <v>#VALUE!</v>
      </c>
      <c r="EY130" t="e">
        <f>'2.5.Трудоемкость'!BR9+"BYw!'8a"</f>
        <v>#VALUE!</v>
      </c>
      <c r="EZ130" t="e">
        <f>'2.5.Трудоемкость'!BS9+"BYw!'8b"</f>
        <v>#VALUE!</v>
      </c>
      <c r="FA130" t="e">
        <f>'2.5.Трудоемкость'!BT9+"BYw!'8c"</f>
        <v>#VALUE!</v>
      </c>
      <c r="FB130" t="e">
        <f>'2.5.Трудоемкость'!BU9+"BYw!'8d"</f>
        <v>#VALUE!</v>
      </c>
      <c r="FC130" t="e">
        <f>'2.5.Трудоемкость'!BV9+"BYw!'8e"</f>
        <v>#VALUE!</v>
      </c>
      <c r="FD130" t="e">
        <f>'2.5.Трудоемкость'!BW9+"BYw!'8f"</f>
        <v>#VALUE!</v>
      </c>
      <c r="FE130" t="e">
        <f>'2.5.Трудоемкость'!BX9+"BYw!'8g"</f>
        <v>#VALUE!</v>
      </c>
      <c r="FF130" t="e">
        <f>'2.5.Трудоемкость'!BY9+"BYw!'8h"</f>
        <v>#VALUE!</v>
      </c>
      <c r="FG130" t="e">
        <f>'2.5.Трудоемкость'!BZ9+"BYw!'8i"</f>
        <v>#VALUE!</v>
      </c>
      <c r="FH130" t="e">
        <f>'2.5.Трудоемкость'!CA9+"BYw!'8j"</f>
        <v>#VALUE!</v>
      </c>
      <c r="FI130" t="e">
        <f>'2.5.Трудоемкость'!CB9+"BYw!'8k"</f>
        <v>#VALUE!</v>
      </c>
      <c r="FJ130" t="e">
        <f>'2.5.Трудоемкость'!CC9+"BYw!'8l"</f>
        <v>#VALUE!</v>
      </c>
      <c r="FK130" t="e">
        <f>'2.5.Трудоемкость'!CD9+"BYw!'8m"</f>
        <v>#VALUE!</v>
      </c>
      <c r="FL130" t="e">
        <f>'2.5.Трудоемкость'!CE9+"BYw!'8n"</f>
        <v>#VALUE!</v>
      </c>
      <c r="FM130" t="e">
        <f>'2.5.Трудоемкость'!CF9+"BYw!'8o"</f>
        <v>#VALUE!</v>
      </c>
      <c r="FN130" t="e">
        <f>'2.5.Трудоемкость'!CG9+"BYw!'8p"</f>
        <v>#VALUE!</v>
      </c>
      <c r="FO130" t="e">
        <f>'2.5.Трудоемкость'!CH9+"BYw!'8q"</f>
        <v>#VALUE!</v>
      </c>
      <c r="FP130" t="e">
        <f>'2.5.Трудоемкость'!CI9+"BYw!'8r"</f>
        <v>#VALUE!</v>
      </c>
      <c r="FQ130" t="e">
        <f>'2.5.Трудоемкость'!CJ9+"BYw!'8s"</f>
        <v>#VALUE!</v>
      </c>
      <c r="FR130" t="e">
        <f>'2.5.Трудоемкость'!CK9+"BYw!'8t"</f>
        <v>#VALUE!</v>
      </c>
      <c r="FS130" t="e">
        <f>'2.5.Трудоемкость'!CL9+"BYw!'8u"</f>
        <v>#VALUE!</v>
      </c>
      <c r="FT130" t="e">
        <f>'2.5.Трудоемкость'!CM9+"BYw!'8v"</f>
        <v>#VALUE!</v>
      </c>
      <c r="FU130" t="e">
        <f>'2.5.Трудоемкость'!CN9+"BYw!'8w"</f>
        <v>#VALUE!</v>
      </c>
      <c r="FV130" t="e">
        <f>'2.5.Трудоемкость'!CO9+"BYw!'8x"</f>
        <v>#VALUE!</v>
      </c>
      <c r="FW130" t="e">
        <f>'2.5.Трудоемкость'!CP9+"BYw!'8y"</f>
        <v>#VALUE!</v>
      </c>
      <c r="FX130" t="e">
        <f>'2.5.Трудоемкость'!CQ9+"BYw!'8z"</f>
        <v>#VALUE!</v>
      </c>
      <c r="FY130" t="e">
        <f>'2.5.Трудоемкость'!CR9+"BYw!'8{"</f>
        <v>#VALUE!</v>
      </c>
      <c r="FZ130" t="e">
        <f>'2.5.Трудоемкость'!CS9+"BYw!'8|"</f>
        <v>#VALUE!</v>
      </c>
      <c r="GA130" t="e">
        <f>'2.5.Трудоемкость'!CT9+"BYw!'8}"</f>
        <v>#VALUE!</v>
      </c>
      <c r="GB130" t="e">
        <f>'2.5.Трудоемкость'!CU9+"BYw!'8~"</f>
        <v>#VALUE!</v>
      </c>
      <c r="GC130" t="e">
        <f>'2.5.Трудоемкость'!CV9+"BYw!'9#"</f>
        <v>#VALUE!</v>
      </c>
      <c r="GD130" t="e">
        <f>'2.5.Трудоемкость'!CW9+"BYw!'9$"</f>
        <v>#VALUE!</v>
      </c>
      <c r="GE130" t="e">
        <f>'2.5.Трудоемкость'!CX9+"BYw!'9%"</f>
        <v>#VALUE!</v>
      </c>
      <c r="GF130" t="e">
        <f>'2.5.Трудоемкость'!CY9+"BYw!'9&amp;"</f>
        <v>#VALUE!</v>
      </c>
      <c r="GG130" t="e">
        <f>'2.5.Трудоемкость'!CZ9+"BYw!'9'"</f>
        <v>#VALUE!</v>
      </c>
      <c r="GH130" t="e">
        <f>'2.5.Трудоемкость'!DA9+"BYw!'9("</f>
        <v>#VALUE!</v>
      </c>
      <c r="GI130" t="e">
        <f>'2.5.Трудоемкость'!DB9+"BYw!'9)"</f>
        <v>#VALUE!</v>
      </c>
      <c r="GJ130" t="e">
        <f>'2.5.Трудоемкость'!DC9+"BYw!'9."</f>
        <v>#VALUE!</v>
      </c>
      <c r="GK130" t="e">
        <f>'2.5.Трудоемкость'!DD9+"BYw!'9/"</f>
        <v>#VALUE!</v>
      </c>
      <c r="GL130" t="e">
        <f>'2.5.Трудоемкость'!DE9+"BYw!'90"</f>
        <v>#VALUE!</v>
      </c>
      <c r="GM130" t="e">
        <f>'2.5.Трудоемкость'!DF9+"BYw!'91"</f>
        <v>#VALUE!</v>
      </c>
      <c r="GN130" t="e">
        <f>'2.5.Трудоемкость'!DG9+"BYw!'92"</f>
        <v>#VALUE!</v>
      </c>
      <c r="GO130" t="e">
        <f>'2.5.Трудоемкость'!DH9+"BYw!'93"</f>
        <v>#VALUE!</v>
      </c>
      <c r="GP130" t="e">
        <f>'2.5.Трудоемкость'!DI9+"BYw!'94"</f>
        <v>#VALUE!</v>
      </c>
      <c r="GQ130" t="e">
        <f>'2.5.Трудоемкость'!DJ9+"BYw!'95"</f>
        <v>#VALUE!</v>
      </c>
      <c r="GR130" t="e">
        <f>'2.5.Трудоемкость'!DK9+"BYw!'96"</f>
        <v>#VALUE!</v>
      </c>
      <c r="GS130" t="e">
        <f>'2.5.Трудоемкость'!DL9+"BYw!'97"</f>
        <v>#VALUE!</v>
      </c>
      <c r="GT130" t="e">
        <f>'2.5.Трудоемкость'!DM9+"BYw!'98"</f>
        <v>#VALUE!</v>
      </c>
      <c r="GU130" t="e">
        <f>'2.5.Трудоемкость'!DN9+"BYw!'99"</f>
        <v>#VALUE!</v>
      </c>
      <c r="GV130" t="e">
        <f>'2.5.Трудоемкость'!DO9+"BYw!'9:"</f>
        <v>#VALUE!</v>
      </c>
      <c r="GW130" t="e">
        <f>'2.5.Трудоемкость'!DP9+"BYw!'9;"</f>
        <v>#VALUE!</v>
      </c>
      <c r="GX130" t="e">
        <f>'2.5.Трудоемкость'!DQ9+"BYw!'9&lt;"</f>
        <v>#VALUE!</v>
      </c>
      <c r="GY130" t="e">
        <f>'2.5.Трудоемкость'!DR9+"BYw!'9="</f>
        <v>#VALUE!</v>
      </c>
      <c r="GZ130" t="e">
        <f>'2.5.Трудоемкость'!DS9+"BYw!'9&gt;"</f>
        <v>#VALUE!</v>
      </c>
      <c r="HA130" t="e">
        <f>'2.5.Трудоемкость'!DT9+"BYw!'9?"</f>
        <v>#VALUE!</v>
      </c>
      <c r="HB130" t="e">
        <f>'2.5.Трудоемкость'!DU9+"BYw!'9@"</f>
        <v>#VALUE!</v>
      </c>
      <c r="HC130" t="e">
        <f>'2.5.Трудоемкость'!DV9+"BYw!'9A"</f>
        <v>#VALUE!</v>
      </c>
      <c r="HD130" t="e">
        <f>'2.5.Трудоемкость'!DW9+"BYw!'9B"</f>
        <v>#VALUE!</v>
      </c>
      <c r="HE130" t="e">
        <f>'2.5.Трудоемкость'!DX9+"BYw!'9C"</f>
        <v>#VALUE!</v>
      </c>
      <c r="HF130" t="e">
        <f>'2.5.Трудоемкость'!DY9+"BYw!'9D"</f>
        <v>#VALUE!</v>
      </c>
      <c r="HG130" t="e">
        <f>'2.5.Трудоемкость'!DZ9+"BYw!'9E"</f>
        <v>#VALUE!</v>
      </c>
      <c r="HH130" t="e">
        <f>'2.5.Трудоемкость'!EA9+"BYw!'9F"</f>
        <v>#VALUE!</v>
      </c>
      <c r="HI130" t="e">
        <f>'2.5.Трудоемкость'!EB9+"BYw!'9G"</f>
        <v>#VALUE!</v>
      </c>
      <c r="HJ130" t="e">
        <f>'2.5.Трудоемкость'!EC9+"BYw!'9H"</f>
        <v>#VALUE!</v>
      </c>
      <c r="HK130" t="e">
        <f>'2.5.Трудоемкость'!ED9+"BYw!'9I"</f>
        <v>#VALUE!</v>
      </c>
      <c r="HL130" t="e">
        <f>'2.5.Трудоемкость'!EE9+"BYw!'9J"</f>
        <v>#VALUE!</v>
      </c>
      <c r="HM130" t="e">
        <f>'2.5.Трудоемкость'!EF9+"BYw!'9K"</f>
        <v>#VALUE!</v>
      </c>
      <c r="HN130" t="e">
        <f>'2.5.Трудоемкость'!EG9+"BYw!'9L"</f>
        <v>#VALUE!</v>
      </c>
      <c r="HO130" t="e">
        <f>'2.5.Трудоемкость'!EH9+"BYw!'9M"</f>
        <v>#VALUE!</v>
      </c>
      <c r="HP130" t="e">
        <f>'2.5.Трудоемкость'!EI9+"BYw!'9N"</f>
        <v>#VALUE!</v>
      </c>
      <c r="HQ130" t="e">
        <f>'2.5.Трудоемкость'!EJ9+"BYw!'9O"</f>
        <v>#VALUE!</v>
      </c>
      <c r="HR130" t="e">
        <f>'2.5.Трудоемкость'!EK9+"BYw!'9P"</f>
        <v>#VALUE!</v>
      </c>
      <c r="HS130" t="e">
        <f>'2.5.Трудоемкость'!EL9+"BYw!'9Q"</f>
        <v>#VALUE!</v>
      </c>
      <c r="HT130" t="e">
        <f>'2.5.Трудоемкость'!EM9+"BYw!'9R"</f>
        <v>#VALUE!</v>
      </c>
      <c r="HU130" t="e">
        <f>'2.5.Трудоемкость'!EN9+"BYw!'9S"</f>
        <v>#VALUE!</v>
      </c>
      <c r="HV130" t="e">
        <f>'2.5.Трудоемкость'!EO9+"BYw!'9T"</f>
        <v>#VALUE!</v>
      </c>
      <c r="HW130" t="e">
        <f>'2.5.Трудоемкость'!EP9+"BYw!'9U"</f>
        <v>#VALUE!</v>
      </c>
      <c r="HX130" t="e">
        <f>'2.5.Трудоемкость'!EQ9+"BYw!'9V"</f>
        <v>#VALUE!</v>
      </c>
      <c r="HY130" t="e">
        <f>'2.5.Трудоемкость'!ER9+"BYw!'9W"</f>
        <v>#VALUE!</v>
      </c>
      <c r="HZ130" t="e">
        <f>'2.5.Трудоемкость'!ES9+"BYw!'9X"</f>
        <v>#VALUE!</v>
      </c>
      <c r="IA130" t="e">
        <f>'2.5.Трудоемкость'!ET9+"BYw!'9Y"</f>
        <v>#VALUE!</v>
      </c>
      <c r="IB130" t="e">
        <f>'2.5.Трудоемкость'!EU9+"BYw!'9Z"</f>
        <v>#VALUE!</v>
      </c>
      <c r="IC130" t="e">
        <f>'2.5.Трудоемкость'!EV9+"BYw!'9["</f>
        <v>#VALUE!</v>
      </c>
      <c r="ID130" t="e">
        <f>'2.5.Трудоемкость'!EW9+"BYw!'9\"</f>
        <v>#VALUE!</v>
      </c>
      <c r="IE130" t="e">
        <f>'2.5.Трудоемкость'!EX9+"BYw!'9]"</f>
        <v>#VALUE!</v>
      </c>
      <c r="IF130" t="e">
        <f>'2.5.Трудоемкость'!EY9+"BYw!'9^"</f>
        <v>#VALUE!</v>
      </c>
      <c r="IG130" t="e">
        <f>'2.5.Трудоемкость'!EZ9+"BYw!'9_"</f>
        <v>#VALUE!</v>
      </c>
      <c r="IH130" t="e">
        <f>'2.5.Трудоемкость'!FA9+"BYw!'9`"</f>
        <v>#VALUE!</v>
      </c>
      <c r="II130" t="e">
        <f>'2.5.Трудоемкость'!FB9+"BYw!'9a"</f>
        <v>#VALUE!</v>
      </c>
      <c r="IJ130" t="e">
        <f>'2.5.Трудоемкость'!FC9+"BYw!'9b"</f>
        <v>#VALUE!</v>
      </c>
      <c r="IK130" t="e">
        <f>'2.5.Трудоемкость'!FD9+"BYw!'9c"</f>
        <v>#VALUE!</v>
      </c>
      <c r="IL130" t="e">
        <f>'2.5.Трудоемкость'!FE9+"BYw!'9d"</f>
        <v>#VALUE!</v>
      </c>
      <c r="IM130" t="e">
        <f>'2.5.Трудоемкость'!FF9+"BYw!'9e"</f>
        <v>#VALUE!</v>
      </c>
      <c r="IN130" t="e">
        <f>'2.5.Трудоемкость'!FG9+"BYw!'9f"</f>
        <v>#VALUE!</v>
      </c>
      <c r="IO130" t="e">
        <f>'2.5.Трудоемкость'!FH9+"BYw!'9g"</f>
        <v>#VALUE!</v>
      </c>
      <c r="IP130" t="e">
        <f>'2.5.Трудоемкость'!FI9+"BYw!'9h"</f>
        <v>#VALUE!</v>
      </c>
      <c r="IQ130" t="e">
        <f>'2.5.Трудоемкость'!FJ9+"BYw!'9i"</f>
        <v>#VALUE!</v>
      </c>
      <c r="IR130" t="e">
        <f>'2.5.Трудоемкость'!FK9+"BYw!'9j"</f>
        <v>#VALUE!</v>
      </c>
      <c r="IS130" t="e">
        <f>'2.5.Трудоемкость'!FL9+"BYw!'9k"</f>
        <v>#VALUE!</v>
      </c>
      <c r="IT130" t="e">
        <f>'2.5.Трудоемкость'!FM9+"BYw!'9l"</f>
        <v>#VALUE!</v>
      </c>
      <c r="IU130" t="e">
        <f>'2.5.Трудоемкость'!FN9+"BYw!'9m"</f>
        <v>#VALUE!</v>
      </c>
      <c r="IV130" t="e">
        <f>'2.5.Трудоемкость'!FO9+"BYw!'9n"</f>
        <v>#VALUE!</v>
      </c>
    </row>
    <row r="131" spans="6:256" x14ac:dyDescent="0.2">
      <c r="F131" t="e">
        <f>'2.5.Трудоемкость'!FP9+"BYw!'9o"</f>
        <v>#VALUE!</v>
      </c>
      <c r="G131" t="e">
        <f>'2.5.Трудоемкость'!FQ9+"BYw!'9p"</f>
        <v>#VALUE!</v>
      </c>
      <c r="H131" t="e">
        <f>'2.5.Трудоемкость'!FR9+"BYw!'9q"</f>
        <v>#VALUE!</v>
      </c>
      <c r="I131" t="e">
        <f>'2.5.Трудоемкость'!FS9+"BYw!'9r"</f>
        <v>#VALUE!</v>
      </c>
      <c r="J131" t="e">
        <f>'2.5.Трудоемкость'!FT9+"BYw!'9s"</f>
        <v>#VALUE!</v>
      </c>
      <c r="K131" t="e">
        <f>'2.5.Трудоемкость'!FU9+"BYw!'9t"</f>
        <v>#VALUE!</v>
      </c>
      <c r="L131" t="e">
        <f>'2.5.Трудоемкость'!FV9+"BYw!'9u"</f>
        <v>#VALUE!</v>
      </c>
      <c r="M131" t="e">
        <f>'2.5.Трудоемкость'!FW9+"BYw!'9v"</f>
        <v>#VALUE!</v>
      </c>
      <c r="N131" t="e">
        <f>'2.5.Трудоемкость'!FX9+"BYw!'9w"</f>
        <v>#VALUE!</v>
      </c>
      <c r="O131" t="e">
        <f>'2.5.Трудоемкость'!FY9+"BYw!'9x"</f>
        <v>#VALUE!</v>
      </c>
      <c r="P131" t="e">
        <f>'2.5.Трудоемкость'!FZ9+"BYw!'9y"</f>
        <v>#VALUE!</v>
      </c>
      <c r="Q131" t="e">
        <f>'2.5.Трудоемкость'!GA9+"BYw!'9z"</f>
        <v>#VALUE!</v>
      </c>
      <c r="R131" t="e">
        <f>'2.5.Трудоемкость'!GB9+"BYw!'9{"</f>
        <v>#VALUE!</v>
      </c>
      <c r="S131" t="e">
        <f>'2.5.Трудоемкость'!GC9+"BYw!'9|"</f>
        <v>#VALUE!</v>
      </c>
      <c r="T131" t="e">
        <f>'2.5.Трудоемкость'!GD9+"BYw!'9}"</f>
        <v>#VALUE!</v>
      </c>
      <c r="U131" t="e">
        <f>'2.5.Трудоемкость'!GE9+"BYw!'9~"</f>
        <v>#VALUE!</v>
      </c>
      <c r="V131" t="e">
        <f>'2.5.Трудоемкость'!GF9+"BYw!':#"</f>
        <v>#VALUE!</v>
      </c>
      <c r="W131" t="e">
        <f>'2.5.Трудоемкость'!GG9+"BYw!':$"</f>
        <v>#VALUE!</v>
      </c>
      <c r="X131" t="e">
        <f>'2.5.Трудоемкость'!GH9+"BYw!':%"</f>
        <v>#VALUE!</v>
      </c>
      <c r="Y131" t="e">
        <f>'2.5.Трудоемкость'!GI9+"BYw!':&amp;"</f>
        <v>#VALUE!</v>
      </c>
      <c r="Z131" t="e">
        <f>'2.5.Трудоемкость'!GJ9+"BYw!':'"</f>
        <v>#VALUE!</v>
      </c>
      <c r="AA131" t="e">
        <f>'2.5.Трудоемкость'!GK9+"BYw!':("</f>
        <v>#VALUE!</v>
      </c>
      <c r="AB131" t="e">
        <f>'2.5.Трудоемкость'!GL9+"BYw!':)"</f>
        <v>#VALUE!</v>
      </c>
      <c r="AC131" t="e">
        <f>'2.5.Трудоемкость'!GM9+"BYw!':."</f>
        <v>#VALUE!</v>
      </c>
      <c r="AD131" t="e">
        <f>'2.5.Трудоемкость'!GN9+"BYw!':/"</f>
        <v>#VALUE!</v>
      </c>
      <c r="AE131" t="e">
        <f>'2.5.Трудоемкость'!GO9+"BYw!':0"</f>
        <v>#VALUE!</v>
      </c>
      <c r="AF131" t="e">
        <f>'2.5.Трудоемкость'!GP9+"BYw!':1"</f>
        <v>#VALUE!</v>
      </c>
      <c r="AG131" t="e">
        <f>'2.5.Трудоемкость'!GQ9+"BYw!':2"</f>
        <v>#VALUE!</v>
      </c>
      <c r="AH131" t="e">
        <f>'2.5.Трудоемкость'!GR9+"BYw!':3"</f>
        <v>#VALUE!</v>
      </c>
      <c r="AI131" t="e">
        <f>'2.5.Трудоемкость'!GS9+"BYw!':4"</f>
        <v>#VALUE!</v>
      </c>
      <c r="AJ131" t="e">
        <f>'2.5.Трудоемкость'!GT9+"BYw!':5"</f>
        <v>#VALUE!</v>
      </c>
      <c r="AK131" t="e">
        <f>'2.5.Трудоемкость'!GU9+"BYw!':6"</f>
        <v>#VALUE!</v>
      </c>
      <c r="AL131" t="e">
        <f>'2.5.Трудоемкость'!GV9+"BYw!':7"</f>
        <v>#VALUE!</v>
      </c>
      <c r="AM131" t="e">
        <f>'2.5.Трудоемкость'!GW9+"BYw!':8"</f>
        <v>#VALUE!</v>
      </c>
      <c r="AN131" t="e">
        <f>'2.5.Трудоемкость'!GX9+"BYw!':9"</f>
        <v>#VALUE!</v>
      </c>
      <c r="AO131" t="e">
        <f>'2.5.Трудоемкость'!GY9+"BYw!'::"</f>
        <v>#VALUE!</v>
      </c>
      <c r="AP131" t="e">
        <f>'2.5.Трудоемкость'!GZ9+"BYw!':;"</f>
        <v>#VALUE!</v>
      </c>
      <c r="AQ131" t="e">
        <f>'2.5.Трудоемкость'!HA9+"BYw!':&lt;"</f>
        <v>#VALUE!</v>
      </c>
      <c r="AR131" t="e">
        <f>'2.5.Трудоемкость'!HB9+"BYw!':="</f>
        <v>#VALUE!</v>
      </c>
      <c r="AS131" t="e">
        <f>'2.5.Трудоемкость'!HC9+"BYw!':&gt;"</f>
        <v>#VALUE!</v>
      </c>
      <c r="AT131" t="e">
        <f>'2.5.Трудоемкость'!HD9+"BYw!':?"</f>
        <v>#VALUE!</v>
      </c>
      <c r="AU131" t="e">
        <f>'2.5.Трудоемкость'!HE9+"BYw!':@"</f>
        <v>#VALUE!</v>
      </c>
      <c r="AV131" t="e">
        <f>'2.5.Трудоемкость'!HF9+"BYw!':A"</f>
        <v>#VALUE!</v>
      </c>
      <c r="AW131" t="e">
        <f>'2.5.Трудоемкость'!HG9+"BYw!':B"</f>
        <v>#VALUE!</v>
      </c>
      <c r="AX131" t="e">
        <f>'2.5.Трудоемкость'!HH9+"BYw!':C"</f>
        <v>#VALUE!</v>
      </c>
      <c r="AY131" t="e">
        <f>'2.5.Трудоемкость'!HI9+"BYw!':D"</f>
        <v>#VALUE!</v>
      </c>
      <c r="AZ131" t="e">
        <f>'2.5.Трудоемкость'!HJ9+"BYw!':E"</f>
        <v>#VALUE!</v>
      </c>
      <c r="BA131" t="e">
        <f>'2.5.Трудоемкость'!HK9+"BYw!':F"</f>
        <v>#VALUE!</v>
      </c>
      <c r="BB131" t="e">
        <f>'2.5.Трудоемкость'!HL9+"BYw!':G"</f>
        <v>#VALUE!</v>
      </c>
      <c r="BC131" t="e">
        <f>'2.5.Трудоемкость'!HM9+"BYw!':H"</f>
        <v>#VALUE!</v>
      </c>
      <c r="BD131" t="e">
        <f>'2.5.Трудоемкость'!HN9+"BYw!':I"</f>
        <v>#VALUE!</v>
      </c>
      <c r="BE131" t="e">
        <f>'2.5.Трудоемкость'!HO9+"BYw!':J"</f>
        <v>#VALUE!</v>
      </c>
      <c r="BF131" t="e">
        <f>'2.5.Трудоемкость'!HP9+"BYw!':K"</f>
        <v>#VALUE!</v>
      </c>
      <c r="BG131" t="e">
        <f>'2.5.Трудоемкость'!HQ9+"BYw!':L"</f>
        <v>#VALUE!</v>
      </c>
      <c r="BH131" t="e">
        <f>'2.5.Трудоемкость'!HR9+"BYw!':M"</f>
        <v>#VALUE!</v>
      </c>
      <c r="BI131" t="e">
        <f>'2.5.Трудоемкость'!HS9+"BYw!':N"</f>
        <v>#VALUE!</v>
      </c>
      <c r="BJ131" t="e">
        <f>'2.5.Трудоемкость'!HT9+"BYw!':O"</f>
        <v>#VALUE!</v>
      </c>
      <c r="BK131" t="e">
        <f>'2.5.Трудоемкость'!HU9+"BYw!':P"</f>
        <v>#VALUE!</v>
      </c>
      <c r="BL131" t="e">
        <f>'2.5.Трудоемкость'!HV9+"BYw!':Q"</f>
        <v>#VALUE!</v>
      </c>
      <c r="BM131" t="e">
        <f>'2.5.Трудоемкость'!HW9+"BYw!':R"</f>
        <v>#VALUE!</v>
      </c>
      <c r="BN131" t="e">
        <f>'2.5.Трудоемкость'!HX9+"BYw!':S"</f>
        <v>#VALUE!</v>
      </c>
      <c r="BO131" t="e">
        <f>'2.5.Трудоемкость'!HY9+"BYw!':T"</f>
        <v>#VALUE!</v>
      </c>
      <c r="BP131" t="e">
        <f>'2.5.Трудоемкость'!HZ9+"BYw!':U"</f>
        <v>#VALUE!</v>
      </c>
      <c r="BQ131" t="e">
        <f>'2.5.Трудоемкость'!IA9+"BYw!':V"</f>
        <v>#VALUE!</v>
      </c>
      <c r="BR131" t="e">
        <f>'2.5.Трудоемкость'!IB9+"BYw!':W"</f>
        <v>#VALUE!</v>
      </c>
      <c r="BS131" t="e">
        <f>'2.5.Трудоемкость'!IC9+"BYw!':X"</f>
        <v>#VALUE!</v>
      </c>
      <c r="BT131" t="e">
        <f>'2.5.Трудоемкость'!ID9+"BYw!':Y"</f>
        <v>#VALUE!</v>
      </c>
      <c r="BU131" t="e">
        <f>'2.5.Трудоемкость'!IE9+"BYw!':Z"</f>
        <v>#VALUE!</v>
      </c>
      <c r="BV131" t="e">
        <f>'2.5.Трудоемкость'!IF9+"BYw!':["</f>
        <v>#VALUE!</v>
      </c>
      <c r="BW131" t="e">
        <f>'2.5.Трудоемкость'!IG9+"BYw!':\"</f>
        <v>#VALUE!</v>
      </c>
      <c r="BX131" t="e">
        <f>'2.5.Трудоемкость'!IH9+"BYw!':]"</f>
        <v>#VALUE!</v>
      </c>
      <c r="BY131" t="e">
        <f>'2.5.Трудоемкость'!II9+"BYw!':^"</f>
        <v>#VALUE!</v>
      </c>
      <c r="BZ131" t="e">
        <f>'2.5.Трудоемкость'!IJ9+"BYw!':_"</f>
        <v>#VALUE!</v>
      </c>
      <c r="CA131" t="e">
        <f>'2.5.Трудоемкость'!IK9+"BYw!':`"</f>
        <v>#VALUE!</v>
      </c>
      <c r="CB131" t="e">
        <f>'2.5.Трудоемкость'!IL9+"BYw!':a"</f>
        <v>#VALUE!</v>
      </c>
      <c r="CC131" t="e">
        <f>'2.5.Трудоемкость'!IM9+"BYw!':b"</f>
        <v>#VALUE!</v>
      </c>
      <c r="CD131" t="e">
        <f>'2.5.Трудоемкость'!IN9+"BYw!':c"</f>
        <v>#VALUE!</v>
      </c>
      <c r="CE131" t="e">
        <f>'2.5.Трудоемкость'!IO9+"BYw!':d"</f>
        <v>#VALUE!</v>
      </c>
      <c r="CF131" t="e">
        <f>'2.5.Трудоемкость'!IP9+"BYw!':e"</f>
        <v>#VALUE!</v>
      </c>
      <c r="CG131" t="e">
        <f>'2.5.Трудоемкость'!IQ9+"BYw!':f"</f>
        <v>#VALUE!</v>
      </c>
      <c r="CH131" t="e">
        <f>'2.5.Трудоемкость'!IR9+"BYw!':g"</f>
        <v>#VALUE!</v>
      </c>
      <c r="CI131" t="e">
        <f>'2.5.Трудоемкость'!IS9+"BYw!':h"</f>
        <v>#VALUE!</v>
      </c>
      <c r="CJ131" t="e">
        <f>'2.5.Трудоемкость'!IT9+"BYw!':i"</f>
        <v>#VALUE!</v>
      </c>
      <c r="CK131" t="e">
        <f>'2.5.Трудоемкость'!IU9+"BYw!':j"</f>
        <v>#VALUE!</v>
      </c>
      <c r="CL131" t="e">
        <f>'2.5.Трудоемкость'!IV9+"BYw!':k"</f>
        <v>#VALUE!</v>
      </c>
      <c r="CM131" t="e">
        <f>'2.5.Трудоемкость'!IW9+"BYw!':l"</f>
        <v>#VALUE!</v>
      </c>
      <c r="CN131" t="e">
        <f>'2.5.Трудоемкость'!IX9+"BYw!':m"</f>
        <v>#VALUE!</v>
      </c>
      <c r="CO131" t="e">
        <f>'2.5.Трудоемкость'!IY9+"BYw!':n"</f>
        <v>#VALUE!</v>
      </c>
      <c r="CP131" t="e">
        <f>'2.5.Трудоемкость'!IZ9+"BYw!':o"</f>
        <v>#VALUE!</v>
      </c>
      <c r="CQ131" t="e">
        <f>'2.5.Трудоемкость'!JA9+"BYw!':p"</f>
        <v>#VALUE!</v>
      </c>
      <c r="CR131" t="e">
        <f>'2.5.Трудоемкость'!JB9+"BYw!':q"</f>
        <v>#VALUE!</v>
      </c>
      <c r="CS131" t="e">
        <f>'2.5.Трудоемкость'!JC9+"BYw!':r"</f>
        <v>#VALUE!</v>
      </c>
      <c r="CT131" t="e">
        <f>'2.5.Трудоемкость'!JD9+"BYw!':s"</f>
        <v>#VALUE!</v>
      </c>
      <c r="CU131" t="e">
        <f>'2.5.Трудоемкость'!JE9+"BYw!':t"</f>
        <v>#VALUE!</v>
      </c>
      <c r="CV131" t="e">
        <f>'2.5.Трудоемкость'!JF9+"BYw!':u"</f>
        <v>#VALUE!</v>
      </c>
      <c r="CW131" t="e">
        <f>'2.5.Трудоемкость'!JG9+"BYw!':v"</f>
        <v>#VALUE!</v>
      </c>
      <c r="CX131" t="e">
        <f>'2.5.Трудоемкость'!JH9+"BYw!':w"</f>
        <v>#VALUE!</v>
      </c>
      <c r="CY131" t="e">
        <f>'2.5.Трудоемкость'!JI9+"BYw!':x"</f>
        <v>#VALUE!</v>
      </c>
      <c r="CZ131" t="e">
        <f>'2.5.Трудоемкость'!JJ9+"BYw!':y"</f>
        <v>#VALUE!</v>
      </c>
      <c r="DA131" t="e">
        <f>'2.5.Трудоемкость'!JK9+"BYw!':z"</f>
        <v>#VALUE!</v>
      </c>
      <c r="DB131" t="e">
        <f>'2.5.Трудоемкость'!JL9+"BYw!':{"</f>
        <v>#VALUE!</v>
      </c>
      <c r="DC131" t="e">
        <f>'2.5.Трудоемкость'!JM9+"BYw!':|"</f>
        <v>#VALUE!</v>
      </c>
      <c r="DD131" t="e">
        <f>'2.5.Трудоемкость'!JN9+"BYw!':}"</f>
        <v>#VALUE!</v>
      </c>
      <c r="DE131" t="e">
        <f>'2.5.Трудоемкость'!JO9+"BYw!':~"</f>
        <v>#VALUE!</v>
      </c>
      <c r="DF131" t="e">
        <f>'2.5.Трудоемкость'!JP9+"BYw!';#"</f>
        <v>#VALUE!</v>
      </c>
      <c r="DG131" t="e">
        <f>'2.5.Трудоемкость'!JQ9+"BYw!';$"</f>
        <v>#VALUE!</v>
      </c>
      <c r="DH131" t="e">
        <f>'2.5.Трудоемкость'!JR9+"BYw!';%"</f>
        <v>#VALUE!</v>
      </c>
      <c r="DI131" t="e">
        <f>'2.5.Трудоемкость'!JS9+"BYw!';&amp;"</f>
        <v>#VALUE!</v>
      </c>
      <c r="DJ131" t="e">
        <f>'2.5.Трудоемкость'!JT9+"BYw!';'"</f>
        <v>#VALUE!</v>
      </c>
      <c r="DK131" t="e">
        <f>'2.5.Трудоемкость'!JU9+"BYw!';("</f>
        <v>#VALUE!</v>
      </c>
      <c r="DL131" t="e">
        <f>'2.5.Трудоемкость'!JV9+"BYw!';)"</f>
        <v>#VALUE!</v>
      </c>
      <c r="DM131" t="e">
        <f>'2.5.Трудоемкость'!JW9+"BYw!';."</f>
        <v>#VALUE!</v>
      </c>
      <c r="DN131" t="e">
        <f>'2.5.Трудоемкость'!JX9+"BYw!';/"</f>
        <v>#VALUE!</v>
      </c>
      <c r="DO131" t="e">
        <f>'2.5.Трудоемкость'!JY9+"BYw!';0"</f>
        <v>#VALUE!</v>
      </c>
      <c r="DP131" t="e">
        <f>'2.5.Трудоемкость'!JZ9+"BYw!';1"</f>
        <v>#VALUE!</v>
      </c>
      <c r="DQ131" t="e">
        <f>'2.5.Трудоемкость'!KA9+"BYw!';2"</f>
        <v>#VALUE!</v>
      </c>
      <c r="DR131" t="e">
        <f>'2.5.Трудоемкость'!KB9+"BYw!';3"</f>
        <v>#VALUE!</v>
      </c>
      <c r="DS131" t="e">
        <f>'2.5.Трудоемкость'!KC9+"BYw!';4"</f>
        <v>#VALUE!</v>
      </c>
      <c r="DT131" t="e">
        <f>'2.5.Трудоемкость'!KD9+"BYw!';5"</f>
        <v>#VALUE!</v>
      </c>
      <c r="DU131" t="e">
        <f>'2.5.Трудоемкость'!KE9+"BYw!';6"</f>
        <v>#VALUE!</v>
      </c>
      <c r="DV131" t="e">
        <f>'2.5.Трудоемкость'!KF9+"BYw!';7"</f>
        <v>#VALUE!</v>
      </c>
      <c r="DW131" t="e">
        <f>'2.5.Трудоемкость'!KG9+"BYw!';8"</f>
        <v>#VALUE!</v>
      </c>
      <c r="DX131" t="e">
        <f>'2.5.Трудоемкость'!KH9+"BYw!';9"</f>
        <v>#VALUE!</v>
      </c>
      <c r="DY131" t="e">
        <f>'2.5.Трудоемкость'!KI9+"BYw!';:"</f>
        <v>#VALUE!</v>
      </c>
      <c r="DZ131" t="e">
        <f>'2.5.Трудоемкость'!KJ9+"BYw!';;"</f>
        <v>#VALUE!</v>
      </c>
      <c r="EA131" t="e">
        <f>'2.5.Трудоемкость'!KK9+"BYw!';&lt;"</f>
        <v>#VALUE!</v>
      </c>
      <c r="EB131" t="e">
        <f>'2.5.Трудоемкость'!KL9+"BYw!';="</f>
        <v>#VALUE!</v>
      </c>
      <c r="EC131" t="e">
        <f>'2.5.Трудоемкость'!KM9+"BYw!';&gt;"</f>
        <v>#VALUE!</v>
      </c>
      <c r="ED131" t="e">
        <f>'2.5.Трудоемкость'!KN9+"BYw!';?"</f>
        <v>#VALUE!</v>
      </c>
      <c r="EE131" t="e">
        <f>'2.5.Трудоемкость'!KO9+"BYw!';@"</f>
        <v>#VALUE!</v>
      </c>
      <c r="EF131" t="e">
        <f>'2.5.Трудоемкость'!KP9+"BYw!';A"</f>
        <v>#VALUE!</v>
      </c>
      <c r="EG131" t="e">
        <f>'2.5.Трудоемкость'!KQ9+"BYw!';B"</f>
        <v>#VALUE!</v>
      </c>
      <c r="EH131" t="e">
        <f>'2.5.Трудоемкость'!KR9+"BYw!';C"</f>
        <v>#VALUE!</v>
      </c>
      <c r="EI131" t="e">
        <f>'2.5.Трудоемкость'!KS9+"BYw!';D"</f>
        <v>#VALUE!</v>
      </c>
      <c r="EJ131" t="e">
        <f>'2.5.Трудоемкость'!KT9+"BYw!';E"</f>
        <v>#VALUE!</v>
      </c>
      <c r="EK131" t="e">
        <f>'2.5.Трудоемкость'!KU9+"BYw!';F"</f>
        <v>#VALUE!</v>
      </c>
      <c r="EL131" t="e">
        <f>'2.5.Трудоемкость'!KV9+"BYw!';G"</f>
        <v>#VALUE!</v>
      </c>
      <c r="EM131" t="e">
        <f>'2.5.Трудоемкость'!KW9+"BYw!';H"</f>
        <v>#VALUE!</v>
      </c>
      <c r="EN131" t="e">
        <f>'2.5.Трудоемкость'!KX9+"BYw!';I"</f>
        <v>#VALUE!</v>
      </c>
      <c r="EO131" t="e">
        <f>'2.5.Трудоемкость'!KY9+"BYw!';J"</f>
        <v>#VALUE!</v>
      </c>
      <c r="EP131" t="e">
        <f>'2.5.Трудоемкость'!KZ9+"BYw!';K"</f>
        <v>#VALUE!</v>
      </c>
      <c r="EQ131" t="e">
        <f>'2.5.Трудоемкость'!LA9+"BYw!';L"</f>
        <v>#VALUE!</v>
      </c>
      <c r="ER131" t="e">
        <f>'2.5.Трудоемкость'!LB9+"BYw!';M"</f>
        <v>#VALUE!</v>
      </c>
      <c r="ES131" t="e">
        <f>'2.5.Трудоемкость'!LC9+"BYw!';N"</f>
        <v>#VALUE!</v>
      </c>
      <c r="ET131" t="e">
        <f>'2.5.Трудоемкость'!LD9+"BYw!';O"</f>
        <v>#VALUE!</v>
      </c>
      <c r="EU131" t="e">
        <f>'2.5.Трудоемкость'!LE9+"BYw!';P"</f>
        <v>#VALUE!</v>
      </c>
      <c r="EV131" t="e">
        <f>'2.5.Трудоемкость'!LF9+"BYw!';Q"</f>
        <v>#VALUE!</v>
      </c>
      <c r="EW131" t="e">
        <f>'2.5.Трудоемкость'!LG9+"BYw!';R"</f>
        <v>#VALUE!</v>
      </c>
      <c r="EX131" t="e">
        <f>'2.5.Трудоемкость'!LH9+"BYw!';S"</f>
        <v>#VALUE!</v>
      </c>
      <c r="EY131" t="e">
        <f>'2.5.Трудоемкость'!LI9+"BYw!';T"</f>
        <v>#VALUE!</v>
      </c>
      <c r="EZ131" t="e">
        <f>'2.5.Трудоемкость'!LJ9+"BYw!';U"</f>
        <v>#VALUE!</v>
      </c>
      <c r="FA131" t="e">
        <f>'2.5.Трудоемкость'!LK9+"BYw!';V"</f>
        <v>#VALUE!</v>
      </c>
      <c r="FB131" t="e">
        <f>'2.5.Трудоемкость'!LL9+"BYw!';W"</f>
        <v>#VALUE!</v>
      </c>
      <c r="FC131" t="e">
        <f>'2.5.Трудоемкость'!LM9+"BYw!';X"</f>
        <v>#VALUE!</v>
      </c>
      <c r="FD131" t="e">
        <f>'2.5.Трудоемкость'!LN9+"BYw!';Y"</f>
        <v>#VALUE!</v>
      </c>
      <c r="FE131" t="e">
        <f>'2.5.Трудоемкость'!LO9+"BYw!';Z"</f>
        <v>#VALUE!</v>
      </c>
      <c r="FF131" t="e">
        <f>'2.5.Трудоемкость'!LP9+"BYw!';["</f>
        <v>#VALUE!</v>
      </c>
      <c r="FG131" t="e">
        <f>'2.5.Трудоемкость'!LQ9+"BYw!';\"</f>
        <v>#VALUE!</v>
      </c>
      <c r="FH131" t="e">
        <f>'2.5.Трудоемкость'!LR9+"BYw!';]"</f>
        <v>#VALUE!</v>
      </c>
      <c r="FI131" t="e">
        <f>'2.5.Трудоемкость'!LS9+"BYw!';^"</f>
        <v>#VALUE!</v>
      </c>
      <c r="FJ131" t="e">
        <f>'2.5.Трудоемкость'!LT9+"BYw!';_"</f>
        <v>#VALUE!</v>
      </c>
      <c r="FK131" t="e">
        <f>'2.5.Трудоемкость'!LU9+"BYw!';`"</f>
        <v>#VALUE!</v>
      </c>
      <c r="FL131" t="e">
        <f>'2.5.Трудоемкость'!LV9+"BYw!';a"</f>
        <v>#VALUE!</v>
      </c>
      <c r="FM131" t="e">
        <f>'2.5.Трудоемкость'!LW9+"BYw!';b"</f>
        <v>#VALUE!</v>
      </c>
      <c r="FN131" t="e">
        <f>'2.5.Трудоемкость'!LX9+"BYw!';c"</f>
        <v>#VALUE!</v>
      </c>
      <c r="FO131" t="e">
        <f>'2.5.Трудоемкость'!LY9+"BYw!';d"</f>
        <v>#VALUE!</v>
      </c>
      <c r="FP131" t="e">
        <f>'2.5.Трудоемкость'!LZ9+"BYw!';e"</f>
        <v>#VALUE!</v>
      </c>
      <c r="FQ131" t="e">
        <f>'2.5.Трудоемкость'!MA9+"BYw!';f"</f>
        <v>#VALUE!</v>
      </c>
      <c r="FR131" t="e">
        <f>'2.5.Трудоемкость'!MB9+"BYw!';g"</f>
        <v>#VALUE!</v>
      </c>
      <c r="FS131" t="e">
        <f>'2.5.Трудоемкость'!MC9+"BYw!';h"</f>
        <v>#VALUE!</v>
      </c>
      <c r="FT131" t="e">
        <f>'2.5.Трудоемкость'!MD9+"BYw!';i"</f>
        <v>#VALUE!</v>
      </c>
      <c r="FU131" t="e">
        <f>'2.5.Трудоемкость'!ME9+"BYw!';j"</f>
        <v>#VALUE!</v>
      </c>
      <c r="FV131" t="e">
        <f>'2.5.Трудоемкость'!MF9+"BYw!';k"</f>
        <v>#VALUE!</v>
      </c>
      <c r="FW131" t="e">
        <f>'2.5.Трудоемкость'!MG9+"BYw!';l"</f>
        <v>#VALUE!</v>
      </c>
      <c r="FX131" t="e">
        <f>'2.5.Трудоемкость'!MH9+"BYw!';m"</f>
        <v>#VALUE!</v>
      </c>
      <c r="FY131" t="e">
        <f>'2.5.Трудоемкость'!MI9+"BYw!';n"</f>
        <v>#VALUE!</v>
      </c>
      <c r="FZ131" t="e">
        <f>'2.5.Трудоемкость'!MJ9+"BYw!';o"</f>
        <v>#VALUE!</v>
      </c>
      <c r="GA131" t="e">
        <f>'2.5.Трудоемкость'!MK9+"BYw!';p"</f>
        <v>#VALUE!</v>
      </c>
      <c r="GB131" t="e">
        <f>'2.5.Трудоемкость'!ML9+"BYw!';q"</f>
        <v>#VALUE!</v>
      </c>
      <c r="GC131" t="e">
        <f>'2.5.Трудоемкость'!MM9+"BYw!';r"</f>
        <v>#VALUE!</v>
      </c>
      <c r="GD131" t="e">
        <f>'2.5.Трудоемкость'!MN9+"BYw!';s"</f>
        <v>#VALUE!</v>
      </c>
      <c r="GE131" t="e">
        <f>'2.5.Трудоемкость'!MO9+"BYw!';t"</f>
        <v>#VALUE!</v>
      </c>
      <c r="GF131" t="e">
        <f>'2.5.Трудоемкость'!MP9+"BYw!';u"</f>
        <v>#VALUE!</v>
      </c>
      <c r="GG131" t="e">
        <f>'2.5.Трудоемкость'!MQ9+"BYw!';v"</f>
        <v>#VALUE!</v>
      </c>
      <c r="GH131" t="e">
        <f>'2.5.Трудоемкость'!MR9+"BYw!';w"</f>
        <v>#VALUE!</v>
      </c>
      <c r="GI131" t="e">
        <f>'2.5.Трудоемкость'!MS9+"BYw!';x"</f>
        <v>#VALUE!</v>
      </c>
      <c r="GJ131" t="e">
        <f>'2.5.Трудоемкость'!MT9+"BYw!';y"</f>
        <v>#VALUE!</v>
      </c>
      <c r="GK131" t="e">
        <f>'2.5.Трудоемкость'!MU9+"BYw!';z"</f>
        <v>#VALUE!</v>
      </c>
      <c r="GL131" t="e">
        <f>'2.5.Трудоемкость'!MV9+"BYw!';{"</f>
        <v>#VALUE!</v>
      </c>
      <c r="GM131" t="e">
        <f>'2.5.Трудоемкость'!MW9+"BYw!';|"</f>
        <v>#VALUE!</v>
      </c>
      <c r="GN131" t="e">
        <f>'2.5.Трудоемкость'!MX9+"BYw!';}"</f>
        <v>#VALUE!</v>
      </c>
      <c r="GO131" t="e">
        <f>'2.5.Трудоемкость'!MY9+"BYw!';~"</f>
        <v>#VALUE!</v>
      </c>
      <c r="GP131" t="e">
        <f>'2.5.Трудоемкость'!MZ9+"BYw!'&lt;#"</f>
        <v>#VALUE!</v>
      </c>
      <c r="GQ131" t="e">
        <f>'2.5.Трудоемкость'!NA9+"BYw!'&lt;$"</f>
        <v>#VALUE!</v>
      </c>
      <c r="GR131" t="e">
        <f>'2.5.Трудоемкость'!NB9+"BYw!'&lt;%"</f>
        <v>#VALUE!</v>
      </c>
      <c r="GS131" t="e">
        <f>'2.5.Трудоемкость'!NC9+"BYw!'&lt;&amp;"</f>
        <v>#VALUE!</v>
      </c>
      <c r="GT131" t="e">
        <f>'2.5.Трудоемкость'!ND9+"BYw!'&lt;'"</f>
        <v>#VALUE!</v>
      </c>
      <c r="GU131" t="e">
        <f>'2.5.Трудоемкость'!NE9+"BYw!'&lt;("</f>
        <v>#VALUE!</v>
      </c>
      <c r="GV131" t="e">
        <f>'2.5.Трудоемкость'!NF9+"BYw!'&lt;)"</f>
        <v>#VALUE!</v>
      </c>
      <c r="GW131" t="e">
        <f>'2.5.Трудоемкость'!NG9+"BYw!'&lt;."</f>
        <v>#VALUE!</v>
      </c>
      <c r="GX131" t="e">
        <f>'2.5.Трудоемкость'!NH9+"BYw!'&lt;/"</f>
        <v>#VALUE!</v>
      </c>
      <c r="GY131" t="e">
        <f>'2.5.Трудоемкость'!NI9+"BYw!'&lt;0"</f>
        <v>#VALUE!</v>
      </c>
      <c r="GZ131" t="e">
        <f>'2.5.Трудоемкость'!NJ9+"BYw!'&lt;1"</f>
        <v>#VALUE!</v>
      </c>
      <c r="HA131" t="e">
        <f>'2.5.Трудоемкость'!NK9+"BYw!'&lt;2"</f>
        <v>#VALUE!</v>
      </c>
      <c r="HB131" t="e">
        <f>'2.5.Трудоемкость'!NL9+"BYw!'&lt;3"</f>
        <v>#VALUE!</v>
      </c>
      <c r="HC131" t="e">
        <f>'2.5.Трудоемкость'!NM9+"BYw!'&lt;4"</f>
        <v>#VALUE!</v>
      </c>
      <c r="HD131" t="e">
        <f>'2.5.Трудоемкость'!NN9+"BYw!'&lt;5"</f>
        <v>#VALUE!</v>
      </c>
      <c r="HE131" t="e">
        <f>'2.5.Трудоемкость'!NO9+"BYw!'&lt;6"</f>
        <v>#VALUE!</v>
      </c>
      <c r="HF131" t="e">
        <f>'2.5.Трудоемкость'!NP9+"BYw!'&lt;7"</f>
        <v>#VALUE!</v>
      </c>
      <c r="HG131" t="e">
        <f>'2.5.Трудоемкость'!NQ9+"BYw!'&lt;8"</f>
        <v>#VALUE!</v>
      </c>
      <c r="HH131" t="e">
        <f>'2.5.Трудоемкость'!NR9+"BYw!'&lt;9"</f>
        <v>#VALUE!</v>
      </c>
      <c r="HI131" t="e">
        <f>'2.5.Трудоемкость'!NS9+"BYw!'&lt;:"</f>
        <v>#VALUE!</v>
      </c>
      <c r="HJ131" t="e">
        <f>'2.5.Трудоемкость'!NT9+"BYw!'&lt;;"</f>
        <v>#VALUE!</v>
      </c>
      <c r="HK131" t="e">
        <f>'2.5.Трудоемкость'!NU9+"BYw!'&lt;&lt;"</f>
        <v>#VALUE!</v>
      </c>
      <c r="HL131" t="e">
        <f>'2.5.Трудоемкость'!NV9+"BYw!'&lt;="</f>
        <v>#VALUE!</v>
      </c>
      <c r="HM131" t="e">
        <f>'2.5.Трудоемкость'!NW9+"BYw!'&lt;&gt;"</f>
        <v>#VALUE!</v>
      </c>
      <c r="HN131" t="e">
        <f>'2.5.Трудоемкость'!NX9+"BYw!'&lt;?"</f>
        <v>#VALUE!</v>
      </c>
      <c r="HO131" t="e">
        <f>'2.5.Трудоемкость'!NY9+"BYw!'&lt;@"</f>
        <v>#VALUE!</v>
      </c>
      <c r="HP131" t="e">
        <f>'2.5.Трудоемкость'!NZ9+"BYw!'&lt;A"</f>
        <v>#VALUE!</v>
      </c>
      <c r="HQ131" t="e">
        <f>'2.5.Трудоемкость'!OA9+"BYw!'&lt;B"</f>
        <v>#VALUE!</v>
      </c>
      <c r="HR131" t="e">
        <f>'2.5.Трудоемкость'!OB9+"BYw!'&lt;C"</f>
        <v>#VALUE!</v>
      </c>
      <c r="HS131" t="e">
        <f>'2.5.Трудоемкость'!OC9+"BYw!'&lt;D"</f>
        <v>#VALUE!</v>
      </c>
      <c r="HT131" t="e">
        <f>'2.5.Трудоемкость'!OD9+"BYw!'&lt;E"</f>
        <v>#VALUE!</v>
      </c>
      <c r="HU131" t="e">
        <f>'2.5.Трудоемкость'!OE9+"BYw!'&lt;F"</f>
        <v>#VALUE!</v>
      </c>
      <c r="HV131" t="e">
        <f>'2.5.Трудоемкость'!OF9+"BYw!'&lt;G"</f>
        <v>#VALUE!</v>
      </c>
      <c r="HW131" t="e">
        <f>'2.5.Трудоемкость'!OG9+"BYw!'&lt;H"</f>
        <v>#VALUE!</v>
      </c>
      <c r="HX131" t="e">
        <f>'2.5.Трудоемкость'!OH9+"BYw!'&lt;I"</f>
        <v>#VALUE!</v>
      </c>
      <c r="HY131" t="e">
        <f>'2.5.Трудоемкость'!OI9+"BYw!'&lt;J"</f>
        <v>#VALUE!</v>
      </c>
      <c r="HZ131" t="e">
        <f>'2.5.Трудоемкость'!OJ9+"BYw!'&lt;K"</f>
        <v>#VALUE!</v>
      </c>
      <c r="IA131" t="e">
        <f>'2.5.Трудоемкость'!OK9+"BYw!'&lt;L"</f>
        <v>#VALUE!</v>
      </c>
      <c r="IB131" t="e">
        <f>'2.5.Трудоемкость'!OL9+"BYw!'&lt;M"</f>
        <v>#VALUE!</v>
      </c>
      <c r="IC131" t="e">
        <f>'2.5.Трудоемкость'!OM9+"BYw!'&lt;N"</f>
        <v>#VALUE!</v>
      </c>
      <c r="ID131" t="e">
        <f>'2.5.Трудоемкость'!ON9+"BYw!'&lt;O"</f>
        <v>#VALUE!</v>
      </c>
      <c r="IE131" t="e">
        <f>'2.5.Трудоемкость'!OO9+"BYw!'&lt;P"</f>
        <v>#VALUE!</v>
      </c>
      <c r="IF131" t="e">
        <f>'2.5.Трудоемкость'!OP9+"BYw!'&lt;Q"</f>
        <v>#VALUE!</v>
      </c>
      <c r="IG131" t="e">
        <f>'2.5.Трудоемкость'!OQ9+"BYw!'&lt;R"</f>
        <v>#VALUE!</v>
      </c>
      <c r="IH131" t="e">
        <f>'2.5.Трудоемкость'!OR9+"BYw!'&lt;S"</f>
        <v>#VALUE!</v>
      </c>
      <c r="II131" t="e">
        <f>'2.5.Трудоемкость'!OS9+"BYw!'&lt;T"</f>
        <v>#VALUE!</v>
      </c>
      <c r="IJ131" t="e">
        <f>'2.5.Трудоемкость'!OT9+"BYw!'&lt;U"</f>
        <v>#VALUE!</v>
      </c>
      <c r="IK131" t="e">
        <f>'2.5.Трудоемкость'!OU9+"BYw!'&lt;V"</f>
        <v>#VALUE!</v>
      </c>
      <c r="IL131" t="e">
        <f>'2.5.Трудоемкость'!OV9+"BYw!'&lt;W"</f>
        <v>#VALUE!</v>
      </c>
      <c r="IM131" t="e">
        <f>'2.5.Трудоемкость'!OW9+"BYw!'&lt;X"</f>
        <v>#VALUE!</v>
      </c>
      <c r="IN131" t="e">
        <f>'2.5.Трудоемкость'!OX9+"BYw!'&lt;Y"</f>
        <v>#VALUE!</v>
      </c>
      <c r="IO131" t="e">
        <f>'2.5.Трудоемкость'!OY9+"BYw!'&lt;Z"</f>
        <v>#VALUE!</v>
      </c>
      <c r="IP131" t="e">
        <f>'2.5.Трудоемкость'!OZ9+"BYw!'&lt;["</f>
        <v>#VALUE!</v>
      </c>
      <c r="IQ131" t="e">
        <f>'2.5.Трудоемкость'!PA9+"BYw!'&lt;\"</f>
        <v>#VALUE!</v>
      </c>
      <c r="IR131" t="e">
        <f>'2.5.Трудоемкость'!PB9+"BYw!'&lt;]"</f>
        <v>#VALUE!</v>
      </c>
      <c r="IS131" t="e">
        <f>'2.5.Трудоемкость'!PC9+"BYw!'&lt;^"</f>
        <v>#VALUE!</v>
      </c>
      <c r="IT131" t="e">
        <f>'2.5.Трудоемкость'!PD9+"BYw!'&lt;_"</f>
        <v>#VALUE!</v>
      </c>
      <c r="IU131" t="e">
        <f>'2.5.Трудоемкость'!PE9+"BYw!'&lt;`"</f>
        <v>#VALUE!</v>
      </c>
      <c r="IV131" t="e">
        <f>'2.5.Трудоемкость'!PF9+"BYw!'&lt;a"</f>
        <v>#VALUE!</v>
      </c>
    </row>
    <row r="132" spans="6:256" x14ac:dyDescent="0.2">
      <c r="F132" t="e">
        <f>'2.5.Трудоемкость'!PG9+"BYw!'&lt;b"</f>
        <v>#VALUE!</v>
      </c>
      <c r="G132" t="e">
        <f>'2.5.Трудоемкость'!PH9+"BYw!'&lt;c"</f>
        <v>#VALUE!</v>
      </c>
      <c r="H132" t="e">
        <f>'2.5.Трудоемкость'!PI9+"BYw!'&lt;d"</f>
        <v>#VALUE!</v>
      </c>
      <c r="I132" t="e">
        <f>'2.5.Трудоемкость'!PJ9+"BYw!'&lt;e"</f>
        <v>#VALUE!</v>
      </c>
      <c r="J132" t="e">
        <f>'2.5.Трудоемкость'!PK9+"BYw!'&lt;f"</f>
        <v>#VALUE!</v>
      </c>
      <c r="K132" t="e">
        <f>'2.5.Трудоемкость'!PL9+"BYw!'&lt;g"</f>
        <v>#VALUE!</v>
      </c>
      <c r="L132" t="e">
        <f>'2.5.Трудоемкость'!PM9+"BYw!'&lt;h"</f>
        <v>#VALUE!</v>
      </c>
      <c r="M132" t="e">
        <f>'2.5.Трудоемкость'!PN9+"BYw!'&lt;i"</f>
        <v>#VALUE!</v>
      </c>
      <c r="N132" t="e">
        <f>'2.5.Трудоемкость'!PO9+"BYw!'&lt;j"</f>
        <v>#VALUE!</v>
      </c>
      <c r="O132" t="e">
        <f>'2.5.Трудоемкость'!PP9+"BYw!'&lt;k"</f>
        <v>#VALUE!</v>
      </c>
      <c r="P132" t="e">
        <f>'2.5.Трудоемкость'!PQ9+"BYw!'&lt;l"</f>
        <v>#VALUE!</v>
      </c>
      <c r="Q132" t="e">
        <f>'2.5.Трудоемкость'!PR9+"BYw!'&lt;m"</f>
        <v>#VALUE!</v>
      </c>
      <c r="R132" t="e">
        <f>'2.5.Трудоемкость'!PS9+"BYw!'&lt;n"</f>
        <v>#VALUE!</v>
      </c>
      <c r="S132" t="e">
        <f>'2.5.Трудоемкость'!PT9+"BYw!'&lt;o"</f>
        <v>#VALUE!</v>
      </c>
      <c r="T132" t="e">
        <f>'2.5.Трудоемкость'!PU9+"BYw!'&lt;p"</f>
        <v>#VALUE!</v>
      </c>
      <c r="U132" t="e">
        <f>'2.5.Трудоемкость'!PV9+"BYw!'&lt;q"</f>
        <v>#VALUE!</v>
      </c>
      <c r="V132" t="e">
        <f>'2.5.Трудоемкость'!PW9+"BYw!'&lt;r"</f>
        <v>#VALUE!</v>
      </c>
      <c r="W132" t="e">
        <f>'2.5.Трудоемкость'!PX9+"BYw!'&lt;s"</f>
        <v>#VALUE!</v>
      </c>
      <c r="X132" t="e">
        <f>'2.5.Трудоемкость'!PY9+"BYw!'&lt;t"</f>
        <v>#VALUE!</v>
      </c>
      <c r="Y132" t="e">
        <f>'2.5.Трудоемкость'!PZ9+"BYw!'&lt;u"</f>
        <v>#VALUE!</v>
      </c>
      <c r="Z132" t="e">
        <f>'2.5.Трудоемкость'!QA9+"BYw!'&lt;v"</f>
        <v>#VALUE!</v>
      </c>
      <c r="AA132" t="e">
        <f>'2.5.Трудоемкость'!QB9+"BYw!'&lt;w"</f>
        <v>#VALUE!</v>
      </c>
      <c r="AB132" t="e">
        <f>'2.5.Трудоемкость'!QC9+"BYw!'&lt;x"</f>
        <v>#VALUE!</v>
      </c>
      <c r="AC132" t="e">
        <f>'2.5.Трудоемкость'!QD9+"BYw!'&lt;y"</f>
        <v>#VALUE!</v>
      </c>
      <c r="AD132" t="e">
        <f>'2.5.Трудоемкость'!QE9+"BYw!'&lt;z"</f>
        <v>#VALUE!</v>
      </c>
      <c r="AE132" t="e">
        <f>'2.5.Трудоемкость'!QF9+"BYw!'&lt;{"</f>
        <v>#VALUE!</v>
      </c>
      <c r="AF132" t="e">
        <f>'2.5.Трудоемкость'!QG9+"BYw!'&lt;|"</f>
        <v>#VALUE!</v>
      </c>
      <c r="AG132" t="e">
        <f>'2.5.Трудоемкость'!QH9+"BYw!'&lt;}"</f>
        <v>#VALUE!</v>
      </c>
      <c r="AH132" t="e">
        <f>'2.5.Трудоемкость'!QI9+"BYw!'&lt;~"</f>
        <v>#VALUE!</v>
      </c>
      <c r="AI132" t="e">
        <f>'2.5.Трудоемкость'!QJ9+"BYw!'=#"</f>
        <v>#VALUE!</v>
      </c>
      <c r="AJ132" t="e">
        <f>'2.5.Трудоемкость'!QK9+"BYw!'=$"</f>
        <v>#VALUE!</v>
      </c>
      <c r="AK132" t="e">
        <f>'2.5.Трудоемкость'!QL9+"BYw!'=%"</f>
        <v>#VALUE!</v>
      </c>
      <c r="AL132" t="e">
        <f>'2.5.Трудоемкость'!QM9+"BYw!'=&amp;"</f>
        <v>#VALUE!</v>
      </c>
      <c r="AM132" t="e">
        <f>'2.5.Трудоемкость'!QN9+"BYw!'='"</f>
        <v>#VALUE!</v>
      </c>
      <c r="AN132" t="e">
        <f>'2.5.Трудоемкость'!QO9+"BYw!'=("</f>
        <v>#VALUE!</v>
      </c>
      <c r="AO132" t="e">
        <f>'2.5.Трудоемкость'!QP9+"BYw!'=)"</f>
        <v>#VALUE!</v>
      </c>
      <c r="AP132" t="e">
        <f>'2.5.Трудоемкость'!QQ9+"BYw!'=."</f>
        <v>#VALUE!</v>
      </c>
      <c r="AQ132" t="e">
        <f>'2.5.Трудоемкость'!QR9+"BYw!'=/"</f>
        <v>#VALUE!</v>
      </c>
      <c r="AR132" t="e">
        <f>'2.5.Трудоемкость'!QS9+"BYw!'=0"</f>
        <v>#VALUE!</v>
      </c>
      <c r="AS132" t="e">
        <f>'2.5.Трудоемкость'!QT9+"BYw!'=1"</f>
        <v>#VALUE!</v>
      </c>
      <c r="AT132" t="e">
        <f>'2.5.Трудоемкость'!QU9+"BYw!'=2"</f>
        <v>#VALUE!</v>
      </c>
      <c r="AU132" t="e">
        <f>'2.5.Трудоемкость'!QV9+"BYw!'=3"</f>
        <v>#VALUE!</v>
      </c>
      <c r="AV132" t="e">
        <f>'2.5.Трудоемкость'!QW9+"BYw!'=4"</f>
        <v>#VALUE!</v>
      </c>
      <c r="AW132" t="e">
        <f>'2.5.Трудоемкость'!QX9+"BYw!'=5"</f>
        <v>#VALUE!</v>
      </c>
      <c r="AX132" t="e">
        <f>'2.5.Трудоемкость'!QY9+"BYw!'=6"</f>
        <v>#VALUE!</v>
      </c>
      <c r="AY132" t="e">
        <f>'2.5.Трудоемкость'!QZ9+"BYw!'=7"</f>
        <v>#VALUE!</v>
      </c>
      <c r="AZ132" t="e">
        <f>'2.5.Трудоемкость'!RA9+"BYw!'=8"</f>
        <v>#VALUE!</v>
      </c>
      <c r="BA132" t="e">
        <f>'2.5.Трудоемкость'!RB9+"BYw!'=9"</f>
        <v>#VALUE!</v>
      </c>
      <c r="BB132" t="e">
        <f>'2.5.Трудоемкость'!RC9+"BYw!'=:"</f>
        <v>#VALUE!</v>
      </c>
      <c r="BC132" t="e">
        <f>'2.5.Трудоемкость'!RD9+"BYw!'=;"</f>
        <v>#VALUE!</v>
      </c>
      <c r="BD132" t="e">
        <f>'2.5.Трудоемкость'!RE9+"BYw!'=&lt;"</f>
        <v>#VALUE!</v>
      </c>
      <c r="BE132" t="e">
        <f>'2.5.Трудоемкость'!RF9+"BYw!'=="</f>
        <v>#VALUE!</v>
      </c>
      <c r="BF132" t="e">
        <f>'2.5.Трудоемкость'!RG9+"BYw!'=&gt;"</f>
        <v>#VALUE!</v>
      </c>
      <c r="BG132" t="e">
        <f>'2.5.Трудоемкость'!RH9+"BYw!'=?"</f>
        <v>#VALUE!</v>
      </c>
      <c r="BH132" t="e">
        <f>'2.5.Трудоемкость'!RI9+"BYw!'=@"</f>
        <v>#VALUE!</v>
      </c>
      <c r="BI132" t="e">
        <f>'2.5.Трудоемкость'!RJ9+"BYw!'=A"</f>
        <v>#VALUE!</v>
      </c>
      <c r="BJ132" t="e">
        <f>'2.5.Трудоемкость'!RK9+"BYw!'=B"</f>
        <v>#VALUE!</v>
      </c>
      <c r="BK132" t="e">
        <f>'2.5.Трудоемкость'!RL9+"BYw!'=C"</f>
        <v>#VALUE!</v>
      </c>
      <c r="BL132" t="e">
        <f>'2.5.Трудоемкость'!RM9+"BYw!'=D"</f>
        <v>#VALUE!</v>
      </c>
      <c r="BM132" t="e">
        <f>'2.5.Трудоемкость'!RN9+"BYw!'=E"</f>
        <v>#VALUE!</v>
      </c>
      <c r="BN132" t="e">
        <f>'2.5.Трудоемкость'!RO9+"BYw!'=F"</f>
        <v>#VALUE!</v>
      </c>
      <c r="BO132" t="e">
        <f>'2.5.Трудоемкость'!RP9+"BYw!'=G"</f>
        <v>#VALUE!</v>
      </c>
      <c r="BP132" t="e">
        <f>'2.5.Трудоемкость'!RQ9+"BYw!'=H"</f>
        <v>#VALUE!</v>
      </c>
      <c r="BQ132" t="e">
        <f>'2.5.Трудоемкость'!RR9+"BYw!'=I"</f>
        <v>#VALUE!</v>
      </c>
      <c r="BR132" t="e">
        <f>'2.5.Трудоемкость'!RS9+"BYw!'=J"</f>
        <v>#VALUE!</v>
      </c>
      <c r="BS132" t="e">
        <f>'2.5.Трудоемкость'!RT9+"BYw!'=K"</f>
        <v>#VALUE!</v>
      </c>
      <c r="BT132" t="e">
        <f>'2.5.Трудоемкость'!RU9+"BYw!'=L"</f>
        <v>#VALUE!</v>
      </c>
      <c r="BU132" t="e">
        <f>'2.5.Трудоемкость'!RV9+"BYw!'=M"</f>
        <v>#VALUE!</v>
      </c>
      <c r="BV132" t="e">
        <f>'2.5.Трудоемкость'!RW9+"BYw!'=N"</f>
        <v>#VALUE!</v>
      </c>
      <c r="BW132" t="e">
        <f>'2.5.Трудоемкость'!RX9+"BYw!'=O"</f>
        <v>#VALUE!</v>
      </c>
      <c r="BX132" t="e">
        <f>'2.5.Трудоемкость'!RY9+"BYw!'=P"</f>
        <v>#VALUE!</v>
      </c>
      <c r="BY132" t="e">
        <f>'2.5.Трудоемкость'!RZ9+"BYw!'=Q"</f>
        <v>#VALUE!</v>
      </c>
      <c r="BZ132" t="e">
        <f>'2.5.Трудоемкость'!SA9+"BYw!'=R"</f>
        <v>#VALUE!</v>
      </c>
      <c r="CA132" t="e">
        <f>'2.5.Трудоемкость'!SB9+"BYw!'=S"</f>
        <v>#VALUE!</v>
      </c>
      <c r="CB132" t="e">
        <f>'2.5.Трудоемкость'!SC9+"BYw!'=T"</f>
        <v>#VALUE!</v>
      </c>
      <c r="CC132" t="e">
        <f>'2.5.Трудоемкость'!SD9+"BYw!'=U"</f>
        <v>#VALUE!</v>
      </c>
      <c r="CD132" t="e">
        <f>'2.5.Трудоемкость'!SE9+"BYw!'=V"</f>
        <v>#VALUE!</v>
      </c>
      <c r="CE132" t="e">
        <f>'2.5.Трудоемкость'!SF9+"BYw!'=W"</f>
        <v>#VALUE!</v>
      </c>
      <c r="CF132" t="e">
        <f>'2.5.Трудоемкость'!SG9+"BYw!'=X"</f>
        <v>#VALUE!</v>
      </c>
      <c r="CG132" t="e">
        <f>'2.5.Трудоемкость'!SH9+"BYw!'=Y"</f>
        <v>#VALUE!</v>
      </c>
      <c r="CH132" t="e">
        <f>'2.5.Трудоемкость'!SI9+"BYw!'=Z"</f>
        <v>#VALUE!</v>
      </c>
      <c r="CI132" t="e">
        <f>'2.5.Трудоемкость'!SJ9+"BYw!'=["</f>
        <v>#VALUE!</v>
      </c>
      <c r="CJ132" t="e">
        <f>'2.5.Трудоемкость'!SK9+"BYw!'=\"</f>
        <v>#VALUE!</v>
      </c>
      <c r="CK132" t="e">
        <f>'2.5.Трудоемкость'!SL9+"BYw!'=]"</f>
        <v>#VALUE!</v>
      </c>
      <c r="CL132" t="e">
        <f>'2.5.Трудоемкость'!SM9+"BYw!'=^"</f>
        <v>#VALUE!</v>
      </c>
      <c r="CM132" t="e">
        <f>'2.5.Трудоемкость'!SN9+"BYw!'=_"</f>
        <v>#VALUE!</v>
      </c>
      <c r="CN132" t="e">
        <f>'2.5.Трудоемкость'!SO9+"BYw!'=`"</f>
        <v>#VALUE!</v>
      </c>
      <c r="CO132" t="e">
        <f>'2.5.Трудоемкость'!SP9+"BYw!'=a"</f>
        <v>#VALUE!</v>
      </c>
      <c r="CP132" t="e">
        <f>'2.5.Трудоемкость'!SQ9+"BYw!'=b"</f>
        <v>#VALUE!</v>
      </c>
      <c r="CQ132" t="e">
        <f>'2.5.Трудоемкость'!SR9+"BYw!'=c"</f>
        <v>#VALUE!</v>
      </c>
      <c r="CR132" t="e">
        <f>'2.5.Трудоемкость'!SS9+"BYw!'=d"</f>
        <v>#VALUE!</v>
      </c>
      <c r="CS132" t="e">
        <f>'2.5.Трудоемкость'!ST9+"BYw!'=e"</f>
        <v>#VALUE!</v>
      </c>
      <c r="CT132" t="e">
        <f>'2.5.Трудоемкость'!SU9+"BYw!'=f"</f>
        <v>#VALUE!</v>
      </c>
      <c r="CU132" t="e">
        <f>'2.5.Трудоемкость'!SV9+"BYw!'=g"</f>
        <v>#VALUE!</v>
      </c>
      <c r="CV132" t="e">
        <f>'2.5.Трудоемкость'!SW9+"BYw!'=h"</f>
        <v>#VALUE!</v>
      </c>
      <c r="CW132" t="e">
        <f>'2.5.Трудоемкость'!SX9+"BYw!'=i"</f>
        <v>#VALUE!</v>
      </c>
      <c r="CX132" t="e">
        <f>'2.5.Трудоемкость'!SY9+"BYw!'=j"</f>
        <v>#VALUE!</v>
      </c>
      <c r="CY132" t="e">
        <f>'2.5.Трудоемкость'!SZ9+"BYw!'=k"</f>
        <v>#VALUE!</v>
      </c>
      <c r="CZ132" t="e">
        <f>'2.5.Трудоемкость'!TA9+"BYw!'=l"</f>
        <v>#VALUE!</v>
      </c>
      <c r="DA132" t="e">
        <f>'2.5.Трудоемкость'!TB9+"BYw!'=m"</f>
        <v>#VALUE!</v>
      </c>
      <c r="DB132" t="e">
        <f>'2.5.Трудоемкость'!TC9+"BYw!'=n"</f>
        <v>#VALUE!</v>
      </c>
      <c r="DC132" t="e">
        <f>'2.5.Трудоемкость'!TD9+"BYw!'=o"</f>
        <v>#VALUE!</v>
      </c>
      <c r="DD132" t="e">
        <f>'2.5.Трудоемкость'!TE9+"BYw!'=p"</f>
        <v>#VALUE!</v>
      </c>
      <c r="DE132" t="e">
        <f>'2.5.Трудоемкость'!TF9+"BYw!'=q"</f>
        <v>#VALUE!</v>
      </c>
      <c r="DF132" t="e">
        <f>'2.5.Трудоемкость'!TG9+"BYw!'=r"</f>
        <v>#VALUE!</v>
      </c>
      <c r="DG132" t="e">
        <f>'2.5.Трудоемкость'!TH9+"BYw!'=s"</f>
        <v>#VALUE!</v>
      </c>
      <c r="DH132" t="e">
        <f>'2.5.Трудоемкость'!TI9+"BYw!'=t"</f>
        <v>#VALUE!</v>
      </c>
      <c r="DI132" t="e">
        <f>'2.5.Трудоемкость'!TJ9+"BYw!'=u"</f>
        <v>#VALUE!</v>
      </c>
      <c r="DJ132" t="e">
        <f>'2.5.Трудоемкость'!TK9+"BYw!'=v"</f>
        <v>#VALUE!</v>
      </c>
      <c r="DK132" t="e">
        <f>'2.5.Трудоемкость'!TL9+"BYw!'=w"</f>
        <v>#VALUE!</v>
      </c>
      <c r="DL132" t="e">
        <f>'2.5.Трудоемкость'!TM9+"BYw!'=x"</f>
        <v>#VALUE!</v>
      </c>
      <c r="DM132" t="e">
        <f>'2.5.Трудоемкость'!TN9+"BYw!'=y"</f>
        <v>#VALUE!</v>
      </c>
      <c r="DN132" t="e">
        <f>'2.5.Трудоемкость'!TO9+"BYw!'=z"</f>
        <v>#VALUE!</v>
      </c>
      <c r="DO132" t="e">
        <f>'2.5.Трудоемкость'!TP9+"BYw!'={"</f>
        <v>#VALUE!</v>
      </c>
      <c r="DP132" t="e">
        <f>'2.5.Трудоемкость'!TQ9+"BYw!'=|"</f>
        <v>#VALUE!</v>
      </c>
      <c r="DQ132" t="e">
        <f>'2.5.Трудоемкость'!TR9+"BYw!'=}"</f>
        <v>#VALUE!</v>
      </c>
      <c r="DR132" t="e">
        <f>'2.5.Трудоемкость'!TS9+"BYw!'=~"</f>
        <v>#VALUE!</v>
      </c>
      <c r="DS132" t="e">
        <f>'2.5.Трудоемкость'!TT9+"BYw!'&gt;#"</f>
        <v>#VALUE!</v>
      </c>
      <c r="DT132" t="e">
        <f>'2.5.Трудоемкость'!TU9+"BYw!'&gt;$"</f>
        <v>#VALUE!</v>
      </c>
      <c r="DU132" t="e">
        <f>'2.5.Трудоемкость'!TV9+"BYw!'&gt;%"</f>
        <v>#VALUE!</v>
      </c>
      <c r="DV132" t="e">
        <f>'2.5.Трудоемкость'!TW9+"BYw!'&gt;&amp;"</f>
        <v>#VALUE!</v>
      </c>
      <c r="DW132" t="e">
        <f>'2.5.Трудоемкость'!TX9+"BYw!'&gt;'"</f>
        <v>#VALUE!</v>
      </c>
      <c r="DX132" t="e">
        <f>'2.5.Трудоемкость'!TY9+"BYw!'&gt;("</f>
        <v>#VALUE!</v>
      </c>
      <c r="DY132" t="e">
        <f>'2.5.Трудоемкость'!TZ9+"BYw!'&gt;)"</f>
        <v>#VALUE!</v>
      </c>
      <c r="DZ132" t="e">
        <f>'2.5.Трудоемкость'!UA9+"BYw!'&gt;."</f>
        <v>#VALUE!</v>
      </c>
      <c r="EA132" t="e">
        <f>'2.5.Трудоемкость'!UB9+"BYw!'&gt;/"</f>
        <v>#VALUE!</v>
      </c>
      <c r="EB132" t="e">
        <f>'2.5.Трудоемкость'!UC9+"BYw!'&gt;0"</f>
        <v>#VALUE!</v>
      </c>
      <c r="EC132" t="e">
        <f>'2.5.Трудоемкость'!UD9+"BYw!'&gt;1"</f>
        <v>#VALUE!</v>
      </c>
      <c r="ED132" t="e">
        <f>'2.5.Трудоемкость'!UE9+"BYw!'&gt;2"</f>
        <v>#VALUE!</v>
      </c>
      <c r="EE132" t="e">
        <f>'2.5.Трудоемкость'!UF9+"BYw!'&gt;3"</f>
        <v>#VALUE!</v>
      </c>
      <c r="EF132" t="e">
        <f>'2.5.Трудоемкость'!UG9+"BYw!'&gt;4"</f>
        <v>#VALUE!</v>
      </c>
      <c r="EG132" t="e">
        <f>'2.5.Трудоемкость'!UH9+"BYw!'&gt;5"</f>
        <v>#VALUE!</v>
      </c>
      <c r="EH132" t="e">
        <f>'2.5.Трудоемкость'!UI9+"BYw!'&gt;6"</f>
        <v>#VALUE!</v>
      </c>
      <c r="EI132" t="e">
        <f>'2.5.Трудоемкость'!UJ9+"BYw!'&gt;7"</f>
        <v>#VALUE!</v>
      </c>
      <c r="EJ132" t="e">
        <f>'2.5.Трудоемкость'!UK9+"BYw!'&gt;8"</f>
        <v>#VALUE!</v>
      </c>
      <c r="EK132" t="e">
        <f>'2.5.Трудоемкость'!UL9+"BYw!'&gt;9"</f>
        <v>#VALUE!</v>
      </c>
      <c r="EL132" t="e">
        <f>'2.5.Трудоемкость'!UM9+"BYw!'&gt;:"</f>
        <v>#VALUE!</v>
      </c>
      <c r="EM132" t="e">
        <f>'2.5.Трудоемкость'!UN9+"BYw!'&gt;;"</f>
        <v>#VALUE!</v>
      </c>
      <c r="EN132" t="e">
        <f>'2.5.Трудоемкость'!UO9+"BYw!'&gt;&lt;"</f>
        <v>#VALUE!</v>
      </c>
      <c r="EO132" t="e">
        <f>'2.5.Трудоемкость'!UP9+"BYw!'&gt;="</f>
        <v>#VALUE!</v>
      </c>
      <c r="EP132" t="e">
        <f>'2.5.Трудоемкость'!UQ9+"BYw!'&gt;&gt;"</f>
        <v>#VALUE!</v>
      </c>
      <c r="EQ132" t="e">
        <f>'2.5.Трудоемкость'!UR9+"BYw!'&gt;?"</f>
        <v>#VALUE!</v>
      </c>
      <c r="ER132" t="e">
        <f>'2.5.Трудоемкость'!US9+"BYw!'&gt;@"</f>
        <v>#VALUE!</v>
      </c>
      <c r="ES132" t="e">
        <f>'2.5.Трудоемкость'!UT9+"BYw!'&gt;A"</f>
        <v>#VALUE!</v>
      </c>
      <c r="ET132" t="e">
        <f>'2.5.Трудоемкость'!UU9+"BYw!'&gt;B"</f>
        <v>#VALUE!</v>
      </c>
      <c r="EU132" t="e">
        <f>'2.5.Трудоемкость'!UV9+"BYw!'&gt;C"</f>
        <v>#VALUE!</v>
      </c>
      <c r="EV132" t="e">
        <f>'2.5.Трудоемкость'!UW9+"BYw!'&gt;D"</f>
        <v>#VALUE!</v>
      </c>
      <c r="EW132" t="e">
        <f>'2.5.Трудоемкость'!UX9+"BYw!'&gt;E"</f>
        <v>#VALUE!</v>
      </c>
      <c r="EX132" t="e">
        <f>'2.5.Трудоемкость'!UY9+"BYw!'&gt;F"</f>
        <v>#VALUE!</v>
      </c>
      <c r="EY132" t="e">
        <f>'2.5.Трудоемкость'!UZ9+"BYw!'&gt;G"</f>
        <v>#VALUE!</v>
      </c>
      <c r="EZ132" t="e">
        <f>'2.5.Трудоемкость'!VA9+"BYw!'&gt;H"</f>
        <v>#VALUE!</v>
      </c>
      <c r="FA132" t="e">
        <f>'2.5.Трудоемкость'!VB9+"BYw!'&gt;I"</f>
        <v>#VALUE!</v>
      </c>
      <c r="FB132" t="e">
        <f>'2.5.Трудоемкость'!VC9+"BYw!'&gt;J"</f>
        <v>#VALUE!</v>
      </c>
      <c r="FC132" t="e">
        <f>'2.5.Трудоемкость'!VD9+"BYw!'&gt;K"</f>
        <v>#VALUE!</v>
      </c>
      <c r="FD132" t="e">
        <f>'2.5.Трудоемкость'!VE9+"BYw!'&gt;L"</f>
        <v>#VALUE!</v>
      </c>
      <c r="FE132" t="e">
        <f>'2.5.Трудоемкость'!VF9+"BYw!'&gt;M"</f>
        <v>#VALUE!</v>
      </c>
      <c r="FF132" t="e">
        <f>'2.5.Трудоемкость'!VG9+"BYw!'&gt;N"</f>
        <v>#VALUE!</v>
      </c>
      <c r="FG132" t="e">
        <f>'2.5.Трудоемкость'!VH9+"BYw!'&gt;O"</f>
        <v>#VALUE!</v>
      </c>
      <c r="FH132" t="e">
        <f>'2.5.Трудоемкость'!VI9+"BYw!'&gt;P"</f>
        <v>#VALUE!</v>
      </c>
      <c r="FI132" t="e">
        <f>'2.5.Трудоемкость'!VJ9+"BYw!'&gt;Q"</f>
        <v>#VALUE!</v>
      </c>
      <c r="FJ132" t="e">
        <f>'2.5.Трудоемкость'!VK9+"BYw!'&gt;R"</f>
        <v>#VALUE!</v>
      </c>
      <c r="FK132" t="e">
        <f>'2.5.Трудоемкость'!VL9+"BYw!'&gt;S"</f>
        <v>#VALUE!</v>
      </c>
      <c r="FL132" t="e">
        <f>'2.5.Трудоемкость'!VM9+"BYw!'&gt;T"</f>
        <v>#VALUE!</v>
      </c>
      <c r="FM132" t="e">
        <f>'2.5.Трудоемкость'!VN9+"BYw!'&gt;U"</f>
        <v>#VALUE!</v>
      </c>
      <c r="FN132" t="e">
        <f>'2.5.Трудоемкость'!VO9+"BYw!'&gt;V"</f>
        <v>#VALUE!</v>
      </c>
      <c r="FO132" t="e">
        <f>'2.5.Трудоемкость'!VP9+"BYw!'&gt;W"</f>
        <v>#VALUE!</v>
      </c>
      <c r="FP132" t="e">
        <f>'2.5.Трудоемкость'!VQ9+"BYw!'&gt;X"</f>
        <v>#VALUE!</v>
      </c>
      <c r="FQ132" t="e">
        <f>'2.5.Трудоемкость'!VR9+"BYw!'&gt;Y"</f>
        <v>#VALUE!</v>
      </c>
      <c r="FR132" t="e">
        <f>'2.5.Трудоемкость'!VS9+"BYw!'&gt;Z"</f>
        <v>#VALUE!</v>
      </c>
      <c r="FS132" t="e">
        <f>'2.5.Трудоемкость'!VT9+"BYw!'&gt;["</f>
        <v>#VALUE!</v>
      </c>
      <c r="FT132" t="e">
        <f>'2.5.Трудоемкость'!VU9+"BYw!'&gt;\"</f>
        <v>#VALUE!</v>
      </c>
      <c r="FU132" t="e">
        <f>'2.5.Трудоемкость'!VV9+"BYw!'&gt;]"</f>
        <v>#VALUE!</v>
      </c>
      <c r="FV132" t="e">
        <f>'2.5.Трудоемкость'!VW9+"BYw!'&gt;^"</f>
        <v>#VALUE!</v>
      </c>
      <c r="FW132" t="e">
        <f>'2.5.Трудоемкость'!VX9+"BYw!'&gt;_"</f>
        <v>#VALUE!</v>
      </c>
      <c r="FX132" t="e">
        <f>'2.5.Трудоемкость'!VY9+"BYw!'&gt;`"</f>
        <v>#VALUE!</v>
      </c>
      <c r="FY132" t="e">
        <f>'2.5.Трудоемкость'!VZ9+"BYw!'&gt;a"</f>
        <v>#VALUE!</v>
      </c>
      <c r="FZ132" t="e">
        <f>'2.5.Трудоемкость'!WA9+"BYw!'&gt;b"</f>
        <v>#VALUE!</v>
      </c>
      <c r="GA132" t="e">
        <f>'2.5.Трудоемкость'!WB9+"BYw!'&gt;c"</f>
        <v>#VALUE!</v>
      </c>
      <c r="GB132" t="e">
        <f>'2.5.Трудоемкость'!WC9+"BYw!'&gt;d"</f>
        <v>#VALUE!</v>
      </c>
      <c r="GC132" t="e">
        <f>'2.5.Трудоемкость'!WD9+"BYw!'&gt;e"</f>
        <v>#VALUE!</v>
      </c>
      <c r="GD132" t="e">
        <f>'2.5.Трудоемкость'!WE9+"BYw!'&gt;f"</f>
        <v>#VALUE!</v>
      </c>
      <c r="GE132" t="e">
        <f>'2.5.Трудоемкость'!WF9+"BYw!'&gt;g"</f>
        <v>#VALUE!</v>
      </c>
      <c r="GF132" t="e">
        <f>'2.5.Трудоемкость'!WG9+"BYw!'&gt;h"</f>
        <v>#VALUE!</v>
      </c>
      <c r="GG132" t="e">
        <f>'2.5.Трудоемкость'!WH9+"BYw!'&gt;i"</f>
        <v>#VALUE!</v>
      </c>
      <c r="GH132" t="e">
        <f>'2.5.Трудоемкость'!WI9+"BYw!'&gt;j"</f>
        <v>#VALUE!</v>
      </c>
      <c r="GI132" t="e">
        <f>'2.5.Трудоемкость'!WJ9+"BYw!'&gt;k"</f>
        <v>#VALUE!</v>
      </c>
      <c r="GJ132" t="e">
        <f>'2.5.Трудоемкость'!WK9+"BYw!'&gt;l"</f>
        <v>#VALUE!</v>
      </c>
      <c r="GK132" t="e">
        <f>'2.5.Трудоемкость'!WL9+"BYw!'&gt;m"</f>
        <v>#VALUE!</v>
      </c>
      <c r="GL132" t="e">
        <f>'2.5.Трудоемкость'!WM9+"BYw!'&gt;n"</f>
        <v>#VALUE!</v>
      </c>
      <c r="GM132" t="e">
        <f>'2.5.Трудоемкость'!WN9+"BYw!'&gt;o"</f>
        <v>#VALUE!</v>
      </c>
      <c r="GN132" t="e">
        <f>'2.5.Трудоемкость'!WO9+"BYw!'&gt;p"</f>
        <v>#VALUE!</v>
      </c>
      <c r="GO132" t="e">
        <f>'2.5.Трудоемкость'!WP9+"BYw!'&gt;q"</f>
        <v>#VALUE!</v>
      </c>
      <c r="GP132" t="e">
        <f>'2.5.Трудоемкость'!WQ9+"BYw!'&gt;r"</f>
        <v>#VALUE!</v>
      </c>
      <c r="GQ132" t="e">
        <f>'2.5.Трудоемкость'!WR9+"BYw!'&gt;s"</f>
        <v>#VALUE!</v>
      </c>
      <c r="GR132" t="e">
        <f>'2.5.Трудоемкость'!WS9+"BYw!'&gt;t"</f>
        <v>#VALUE!</v>
      </c>
      <c r="GS132" t="e">
        <f>'2.5.Трудоемкость'!WT9+"BYw!'&gt;u"</f>
        <v>#VALUE!</v>
      </c>
      <c r="GT132" t="e">
        <f>'2.5.Трудоемкость'!WU9+"BYw!'&gt;v"</f>
        <v>#VALUE!</v>
      </c>
      <c r="GU132" t="e">
        <f>'2.5.Трудоемкость'!WV9+"BYw!'&gt;w"</f>
        <v>#VALUE!</v>
      </c>
      <c r="GV132" t="e">
        <f>'2.5.Трудоемкость'!WW9+"BYw!'&gt;x"</f>
        <v>#VALUE!</v>
      </c>
      <c r="GW132" t="e">
        <f>'2.5.Трудоемкость'!WX9+"BYw!'&gt;y"</f>
        <v>#VALUE!</v>
      </c>
      <c r="GX132" t="e">
        <f>'2.5.Трудоемкость'!WY9+"BYw!'&gt;z"</f>
        <v>#VALUE!</v>
      </c>
      <c r="GY132" t="e">
        <f>'2.5.Трудоемкость'!WZ9+"BYw!'&gt;{"</f>
        <v>#VALUE!</v>
      </c>
      <c r="GZ132" t="e">
        <f>'2.5.Трудоемкость'!XA9+"BYw!'&gt;|"</f>
        <v>#VALUE!</v>
      </c>
      <c r="HA132" t="e">
        <f>'2.5.Трудоемкость'!XB9+"BYw!'&gt;}"</f>
        <v>#VALUE!</v>
      </c>
      <c r="HB132" t="e">
        <f>'2.5.Трудоемкость'!XC9+"BYw!'&gt;~"</f>
        <v>#VALUE!</v>
      </c>
      <c r="HC132" t="e">
        <f>'2.5.Трудоемкость'!XD9+"BYw!'?#"</f>
        <v>#VALUE!</v>
      </c>
      <c r="HD132" t="e">
        <f>'2.5.Трудоемкость'!XE9+"BYw!'?$"</f>
        <v>#VALUE!</v>
      </c>
      <c r="HE132" t="e">
        <f>'2.5.Трудоемкость'!XF9+"BYw!'?%"</f>
        <v>#VALUE!</v>
      </c>
      <c r="HF132" t="e">
        <f>'2.5.Трудоемкость'!XG9+"BYw!'?&amp;"</f>
        <v>#VALUE!</v>
      </c>
      <c r="HG132" t="e">
        <f>'2.5.Трудоемкость'!XH9+"BYw!'?'"</f>
        <v>#VALUE!</v>
      </c>
      <c r="HH132" t="e">
        <f>'2.5.Трудоемкость'!XI9+"BYw!'?("</f>
        <v>#VALUE!</v>
      </c>
      <c r="HI132" t="e">
        <f>'2.5.Трудоемкость'!XJ9+"BYw!'?)"</f>
        <v>#VALUE!</v>
      </c>
      <c r="HJ132" t="e">
        <f>'2.5.Трудоемкость'!XK9+"BYw!'?."</f>
        <v>#VALUE!</v>
      </c>
      <c r="HK132" t="e">
        <f>'2.5.Трудоемкость'!XL9+"BYw!'?/"</f>
        <v>#VALUE!</v>
      </c>
      <c r="HL132" t="e">
        <f>'2.5.Трудоемкость'!XM9+"BYw!'?0"</f>
        <v>#VALUE!</v>
      </c>
      <c r="HM132" t="e">
        <f>'2.5.Трудоемкость'!XN9+"BYw!'?1"</f>
        <v>#VALUE!</v>
      </c>
      <c r="HN132" t="e">
        <f>'2.5.Трудоемкость'!XO9+"BYw!'?2"</f>
        <v>#VALUE!</v>
      </c>
      <c r="HO132" t="e">
        <f>'2.5.Трудоемкость'!XP9+"BYw!'?3"</f>
        <v>#VALUE!</v>
      </c>
      <c r="HP132" t="e">
        <f>'2.5.Трудоемкость'!XQ9+"BYw!'?4"</f>
        <v>#VALUE!</v>
      </c>
      <c r="HQ132" t="e">
        <f>'2.5.Трудоемкость'!XR9+"BYw!'?5"</f>
        <v>#VALUE!</v>
      </c>
      <c r="HR132" t="e">
        <f>'2.5.Трудоемкость'!XS9+"BYw!'?6"</f>
        <v>#VALUE!</v>
      </c>
      <c r="HS132" t="e">
        <f>'2.5.Трудоемкость'!XT9+"BYw!'?7"</f>
        <v>#VALUE!</v>
      </c>
      <c r="HT132" t="e">
        <f>'2.5.Трудоемкость'!XU9+"BYw!'?8"</f>
        <v>#VALUE!</v>
      </c>
      <c r="HU132" t="e">
        <f>'2.5.Трудоемкость'!XV9+"BYw!'?9"</f>
        <v>#VALUE!</v>
      </c>
      <c r="HV132" t="e">
        <f>'2.5.Трудоемкость'!XW9+"BYw!'?:"</f>
        <v>#VALUE!</v>
      </c>
      <c r="HW132" t="e">
        <f>'2.5.Трудоемкость'!XX9+"BYw!'?;"</f>
        <v>#VALUE!</v>
      </c>
      <c r="HX132" t="e">
        <f>'2.5.Трудоемкость'!XY9+"BYw!'?&lt;"</f>
        <v>#VALUE!</v>
      </c>
      <c r="HY132" t="e">
        <f>'2.5.Трудоемкость'!XZ9+"BYw!'?="</f>
        <v>#VALUE!</v>
      </c>
      <c r="HZ132" t="e">
        <f>'2.5.Трудоемкость'!YA9+"BYw!'?&gt;"</f>
        <v>#VALUE!</v>
      </c>
      <c r="IA132" t="e">
        <f>'2.5.Трудоемкость'!YB9+"BYw!'??"</f>
        <v>#VALUE!</v>
      </c>
      <c r="IB132" t="e">
        <f>'2.5.Трудоемкость'!YC9+"BYw!'?@"</f>
        <v>#VALUE!</v>
      </c>
      <c r="IC132" t="e">
        <f>'2.5.Трудоемкость'!YD9+"BYw!'?A"</f>
        <v>#VALUE!</v>
      </c>
      <c r="ID132" t="e">
        <f>'2.5.Трудоемкость'!YE9+"BYw!'?B"</f>
        <v>#VALUE!</v>
      </c>
      <c r="IE132" t="e">
        <f>'2.5.Трудоемкость'!YF9+"BYw!'?C"</f>
        <v>#VALUE!</v>
      </c>
      <c r="IF132" t="e">
        <f>'2.5.Трудоемкость'!YG9+"BYw!'?D"</f>
        <v>#VALUE!</v>
      </c>
      <c r="IG132" t="e">
        <f>'2.5.Трудоемкость'!YH9+"BYw!'?E"</f>
        <v>#VALUE!</v>
      </c>
      <c r="IH132" t="e">
        <f>'2.5.Трудоемкость'!YI9+"BYw!'?F"</f>
        <v>#VALUE!</v>
      </c>
      <c r="II132" t="e">
        <f>'2.5.Трудоемкость'!YJ9+"BYw!'?G"</f>
        <v>#VALUE!</v>
      </c>
      <c r="IJ132" t="e">
        <f>'2.5.Трудоемкость'!YK9+"BYw!'?H"</f>
        <v>#VALUE!</v>
      </c>
      <c r="IK132" t="e">
        <f>'2.5.Трудоемкость'!YL9+"BYw!'?I"</f>
        <v>#VALUE!</v>
      </c>
      <c r="IL132" t="e">
        <f>'2.5.Трудоемкость'!YM9+"BYw!'?J"</f>
        <v>#VALUE!</v>
      </c>
      <c r="IM132" t="e">
        <f>'2.5.Трудоемкость'!YN9+"BYw!'?K"</f>
        <v>#VALUE!</v>
      </c>
      <c r="IN132" t="e">
        <f>'2.5.Трудоемкость'!YO9+"BYw!'?L"</f>
        <v>#VALUE!</v>
      </c>
      <c r="IO132" t="e">
        <f>'2.5.Трудоемкость'!YP9+"BYw!'?M"</f>
        <v>#VALUE!</v>
      </c>
      <c r="IP132" t="e">
        <f>'2.5.Трудоемкость'!YQ9+"BYw!'?N"</f>
        <v>#VALUE!</v>
      </c>
      <c r="IQ132" t="e">
        <f>'2.5.Трудоемкость'!YR9+"BYw!'?O"</f>
        <v>#VALUE!</v>
      </c>
      <c r="IR132" t="e">
        <f>'2.5.Трудоемкость'!YS9+"BYw!'?P"</f>
        <v>#VALUE!</v>
      </c>
      <c r="IS132" t="e">
        <f>'2.5.Трудоемкость'!YT9+"BYw!'?Q"</f>
        <v>#VALUE!</v>
      </c>
      <c r="IT132" t="e">
        <f>'2.5.Трудоемкость'!YU9+"BYw!'?R"</f>
        <v>#VALUE!</v>
      </c>
      <c r="IU132" t="e">
        <f>'2.5.Трудоемкость'!YV9+"BYw!'?S"</f>
        <v>#VALUE!</v>
      </c>
      <c r="IV132" t="e">
        <f>'2.5.Трудоемкость'!YW9+"BYw!'?T"</f>
        <v>#VALUE!</v>
      </c>
    </row>
    <row r="133" spans="6:256" x14ac:dyDescent="0.2">
      <c r="F133" t="e">
        <f>'2.5.Трудоемкость'!YX9+"BYw!'?U"</f>
        <v>#VALUE!</v>
      </c>
      <c r="G133" t="e">
        <f>'2.5.Трудоемкость'!YY9+"BYw!'?V"</f>
        <v>#VALUE!</v>
      </c>
      <c r="H133" t="e">
        <f>'2.5.Трудоемкость'!YZ9+"BYw!'?W"</f>
        <v>#VALUE!</v>
      </c>
      <c r="I133" t="e">
        <f>'2.5.Трудоемкость'!ZA9+"BYw!'?X"</f>
        <v>#VALUE!</v>
      </c>
      <c r="J133" t="e">
        <f>'2.5.Трудоемкость'!ZB9+"BYw!'?Y"</f>
        <v>#VALUE!</v>
      </c>
      <c r="K133" t="e">
        <f>'2.5.Трудоемкость'!ZC9+"BYw!'?Z"</f>
        <v>#VALUE!</v>
      </c>
      <c r="L133" t="e">
        <f>'2.5.Трудоемкость'!ZD9+"BYw!'?["</f>
        <v>#VALUE!</v>
      </c>
      <c r="M133" t="e">
        <f>'2.5.Трудоемкость'!ZE9+"BYw!'?\"</f>
        <v>#VALUE!</v>
      </c>
      <c r="N133" t="e">
        <f>'2.5.Трудоемкость'!ZF9+"BYw!'?]"</f>
        <v>#VALUE!</v>
      </c>
      <c r="O133" t="e">
        <f>'2.5.Трудоемкость'!ZG9+"BYw!'?^"</f>
        <v>#VALUE!</v>
      </c>
      <c r="P133" t="e">
        <f>'2.5.Трудоемкость'!ZH9+"BYw!'?_"</f>
        <v>#VALUE!</v>
      </c>
      <c r="Q133" t="e">
        <f>'2.5.Трудоемкость'!ZI9+"BYw!'?`"</f>
        <v>#VALUE!</v>
      </c>
      <c r="R133" t="e">
        <f>'2.5.Трудоемкость'!ZJ9+"BYw!'?a"</f>
        <v>#VALUE!</v>
      </c>
      <c r="S133" t="e">
        <f>'2.5.Трудоемкость'!ZK9+"BYw!'?b"</f>
        <v>#VALUE!</v>
      </c>
      <c r="T133" t="e">
        <f>'2.5.Трудоемкость'!ZL9+"BYw!'?c"</f>
        <v>#VALUE!</v>
      </c>
      <c r="U133" t="e">
        <f>'2.5.Трудоемкость'!ZM9+"BYw!'?d"</f>
        <v>#VALUE!</v>
      </c>
      <c r="V133" t="e">
        <f>'2.5.Трудоемкость'!ZN9+"BYw!'?e"</f>
        <v>#VALUE!</v>
      </c>
      <c r="W133" t="e">
        <f>'2.5.Трудоемкость'!ZO9+"BYw!'?f"</f>
        <v>#VALUE!</v>
      </c>
      <c r="X133" t="e">
        <f>'2.5.Трудоемкость'!ZP9+"BYw!'?g"</f>
        <v>#VALUE!</v>
      </c>
      <c r="Y133" t="e">
        <f>'2.5.Трудоемкость'!ZQ9+"BYw!'?h"</f>
        <v>#VALUE!</v>
      </c>
      <c r="Z133" t="e">
        <f>'2.5.Трудоемкость'!ZR9+"BYw!'?i"</f>
        <v>#VALUE!</v>
      </c>
      <c r="AA133" t="e">
        <f>'2.5.Трудоемкость'!ZS9+"BYw!'?j"</f>
        <v>#VALUE!</v>
      </c>
      <c r="AB133" t="e">
        <f>'2.5.Трудоемкость'!ZT9+"BYw!'?k"</f>
        <v>#VALUE!</v>
      </c>
      <c r="AC133" t="e">
        <f>'2.5.Трудоемкость'!ZU9+"BYw!'?l"</f>
        <v>#VALUE!</v>
      </c>
      <c r="AD133" t="e">
        <f>'2.5.Трудоемкость'!ZV9+"BYw!'?m"</f>
        <v>#VALUE!</v>
      </c>
      <c r="AE133" t="e">
        <f>'2.5.Трудоемкость'!ZW9+"BYw!'?n"</f>
        <v>#VALUE!</v>
      </c>
      <c r="AF133" t="e">
        <f>'2.5.Трудоемкость'!ZX9+"BYw!'?o"</f>
        <v>#VALUE!</v>
      </c>
      <c r="AG133" t="e">
        <f>'2.5.Трудоемкость'!ZY9+"BYw!'?p"</f>
        <v>#VALUE!</v>
      </c>
      <c r="AH133" t="e">
        <f>'2.5.Трудоемкость'!ZZ9+"BYw!'?q"</f>
        <v>#VALUE!</v>
      </c>
      <c r="AI133" t="e">
        <f>'2.5.Трудоемкость'!AAA9+"BYw!'?r"</f>
        <v>#VALUE!</v>
      </c>
      <c r="AJ133" t="e">
        <f>'2.5.Трудоемкость'!AAB9+"BYw!'?s"</f>
        <v>#VALUE!</v>
      </c>
      <c r="AK133" t="e">
        <f>'2.5.Трудоемкость'!AAC9+"BYw!'?t"</f>
        <v>#VALUE!</v>
      </c>
      <c r="AL133" t="e">
        <f>'2.5.Трудоемкость'!AAD9+"BYw!'?u"</f>
        <v>#VALUE!</v>
      </c>
      <c r="AM133" t="e">
        <f>'2.5.Трудоемкость'!AAE9+"BYw!'?v"</f>
        <v>#VALUE!</v>
      </c>
      <c r="AN133" t="e">
        <f>'2.5.Трудоемкость'!AAF9+"BYw!'?w"</f>
        <v>#VALUE!</v>
      </c>
      <c r="AO133" t="e">
        <f>'2.5.Трудоемкость'!AAG9+"BYw!'?x"</f>
        <v>#VALUE!</v>
      </c>
      <c r="AP133" t="e">
        <f>'2.5.Трудоемкость'!AAH9+"BYw!'?y"</f>
        <v>#VALUE!</v>
      </c>
      <c r="AQ133" t="e">
        <f>'2.5.Трудоемкость'!AAI9+"BYw!'?z"</f>
        <v>#VALUE!</v>
      </c>
      <c r="AR133" t="e">
        <f>'2.5.Трудоемкость'!AAJ9+"BYw!'?{"</f>
        <v>#VALUE!</v>
      </c>
      <c r="AS133" t="e">
        <f>'2.5.Трудоемкость'!AAK9+"BYw!'?|"</f>
        <v>#VALUE!</v>
      </c>
      <c r="AT133" t="e">
        <f>'2.5.Трудоемкость'!AAL9+"BYw!'?}"</f>
        <v>#VALUE!</v>
      </c>
      <c r="AU133" t="e">
        <f>'2.5.Трудоемкость'!AAM9+"BYw!'?~"</f>
        <v>#VALUE!</v>
      </c>
      <c r="AV133" t="e">
        <f>'2.5.Трудоемкость'!AAN9+"BYw!'@#"</f>
        <v>#VALUE!</v>
      </c>
      <c r="AW133" t="e">
        <f>'2.5.Трудоемкость'!AAO9+"BYw!'@$"</f>
        <v>#VALUE!</v>
      </c>
      <c r="AX133" t="e">
        <f>'2.5.Трудоемкость'!AAP9+"BYw!'@%"</f>
        <v>#VALUE!</v>
      </c>
      <c r="AY133" t="e">
        <f>'2.5.Трудоемкость'!AAQ9+"BYw!'@&amp;"</f>
        <v>#VALUE!</v>
      </c>
      <c r="AZ133" t="e">
        <f>'2.5.Трудоемкость'!AAR9+"BYw!'@'"</f>
        <v>#VALUE!</v>
      </c>
      <c r="BA133" t="e">
        <f>'2.5.Трудоемкость'!AAS9+"BYw!'@("</f>
        <v>#VALUE!</v>
      </c>
      <c r="BB133" t="e">
        <f>'2.5.Трудоемкость'!AAT9+"BYw!'@)"</f>
        <v>#VALUE!</v>
      </c>
      <c r="BC133" t="e">
        <f>'2.5.Трудоемкость'!AAU9+"BYw!'@."</f>
        <v>#VALUE!</v>
      </c>
      <c r="BD133" t="e">
        <f>'2.5.Трудоемкость'!AAV9+"BYw!'@/"</f>
        <v>#VALUE!</v>
      </c>
      <c r="BE133" t="e">
        <f>'2.5.Трудоемкость'!AAW9+"BYw!'@0"</f>
        <v>#VALUE!</v>
      </c>
      <c r="BF133" t="e">
        <f>'2.5.Трудоемкость'!AAX9+"BYw!'@1"</f>
        <v>#VALUE!</v>
      </c>
      <c r="BG133" t="e">
        <f>'2.5.Трудоемкость'!AAY9+"BYw!'@2"</f>
        <v>#VALUE!</v>
      </c>
      <c r="BH133" t="e">
        <f>'2.5.Трудоемкость'!AAZ9+"BYw!'@3"</f>
        <v>#VALUE!</v>
      </c>
      <c r="BI133" t="e">
        <f>'2.5.Трудоемкость'!ABA9+"BYw!'@4"</f>
        <v>#VALUE!</v>
      </c>
      <c r="BJ133" t="e">
        <f>'2.5.Трудоемкость'!ABB9+"BYw!'@5"</f>
        <v>#VALUE!</v>
      </c>
      <c r="BK133" t="e">
        <f>'2.5.Трудоемкость'!ABC9+"BYw!'@6"</f>
        <v>#VALUE!</v>
      </c>
      <c r="BL133" t="e">
        <f>'2.5.Трудоемкость'!ABD9+"BYw!'@7"</f>
        <v>#VALUE!</v>
      </c>
      <c r="BM133" t="e">
        <f>'2.5.Трудоемкость'!ABE9+"BYw!'@8"</f>
        <v>#VALUE!</v>
      </c>
      <c r="BN133" t="e">
        <f>'2.5.Трудоемкость'!ABF9+"BYw!'@9"</f>
        <v>#VALUE!</v>
      </c>
      <c r="BO133" t="e">
        <f>'2.5.Трудоемкость'!ABG9+"BYw!'@:"</f>
        <v>#VALUE!</v>
      </c>
      <c r="BP133" t="e">
        <f>'2.5.Трудоемкость'!ABH9+"BYw!'@;"</f>
        <v>#VALUE!</v>
      </c>
      <c r="BQ133" t="e">
        <f>'2.5.Трудоемкость'!ABI9+"BYw!'@&lt;"</f>
        <v>#VALUE!</v>
      </c>
      <c r="BR133" t="e">
        <f>'2.5.Трудоемкость'!ABJ9+"BYw!'@="</f>
        <v>#VALUE!</v>
      </c>
      <c r="BS133" t="e">
        <f>'2.5.Трудоемкость'!ABK9+"BYw!'@&gt;"</f>
        <v>#VALUE!</v>
      </c>
      <c r="BT133" t="e">
        <f>'2.5.Трудоемкость'!ABL9+"BYw!'@?"</f>
        <v>#VALUE!</v>
      </c>
      <c r="BU133" t="e">
        <f>'2.5.Трудоемкость'!ABM9+"BYw!'@@"</f>
        <v>#VALUE!</v>
      </c>
      <c r="BV133" t="e">
        <f>'2.5.Трудоемкость'!ABN9+"BYw!'@A"</f>
        <v>#VALUE!</v>
      </c>
      <c r="BW133" t="e">
        <f>'2.5.Трудоемкость'!ABO9+"BYw!'@B"</f>
        <v>#VALUE!</v>
      </c>
      <c r="BX133" t="e">
        <f>'2.5.Трудоемкость'!ABP9+"BYw!'@C"</f>
        <v>#VALUE!</v>
      </c>
      <c r="BY133" t="e">
        <f>'2.5.Трудоемкость'!ABQ9+"BYw!'@D"</f>
        <v>#VALUE!</v>
      </c>
      <c r="BZ133" t="e">
        <f>'2.5.Трудоемкость'!ABR9+"BYw!'@E"</f>
        <v>#VALUE!</v>
      </c>
      <c r="CA133" t="e">
        <f>'2.5.Трудоемкость'!ABS9+"BYw!'@F"</f>
        <v>#VALUE!</v>
      </c>
      <c r="CB133" t="e">
        <f>'2.5.Трудоемкость'!ABT9+"BYw!'@G"</f>
        <v>#VALUE!</v>
      </c>
      <c r="CC133" t="e">
        <f>'2.5.Трудоемкость'!ABU9+"BYw!'@H"</f>
        <v>#VALUE!</v>
      </c>
      <c r="CD133" t="e">
        <f>'2.5.Трудоемкость'!ABV9+"BYw!'@I"</f>
        <v>#VALUE!</v>
      </c>
      <c r="CE133" t="e">
        <f>'2.5.Трудоемкость'!ABW9+"BYw!'@J"</f>
        <v>#VALUE!</v>
      </c>
      <c r="CF133" t="e">
        <f>'2.5.Трудоемкость'!ABX9+"BYw!'@K"</f>
        <v>#VALUE!</v>
      </c>
      <c r="CG133" t="e">
        <f>'2.5.Трудоемкость'!ABY9+"BYw!'@L"</f>
        <v>#VALUE!</v>
      </c>
      <c r="CH133" t="e">
        <f>'2.5.Трудоемкость'!ABZ9+"BYw!'@M"</f>
        <v>#VALUE!</v>
      </c>
      <c r="CI133" t="e">
        <f>'2.5.Трудоемкость'!ACA9+"BYw!'@N"</f>
        <v>#VALUE!</v>
      </c>
      <c r="CJ133" t="e">
        <f>'2.5.Трудоемкость'!ACB9+"BYw!'@O"</f>
        <v>#VALUE!</v>
      </c>
      <c r="CK133" t="e">
        <f>'2.5.Трудоемкость'!ACC9+"BYw!'@P"</f>
        <v>#VALUE!</v>
      </c>
      <c r="CL133" t="e">
        <f>'2.5.Трудоемкость'!ACD9+"BYw!'@Q"</f>
        <v>#VALUE!</v>
      </c>
      <c r="CM133" t="e">
        <f>'2.5.Трудоемкость'!ACE9+"BYw!'@R"</f>
        <v>#VALUE!</v>
      </c>
      <c r="CN133" t="e">
        <f>'2.5.Трудоемкость'!ACF9+"BYw!'@S"</f>
        <v>#VALUE!</v>
      </c>
      <c r="CO133" t="e">
        <f>'2.5.Трудоемкость'!ACG9+"BYw!'@T"</f>
        <v>#VALUE!</v>
      </c>
      <c r="CP133" t="e">
        <f>'2.5.Трудоемкость'!ACH9+"BYw!'@U"</f>
        <v>#VALUE!</v>
      </c>
      <c r="CQ133" t="e">
        <f>'2.5.Трудоемкость'!ACI9+"BYw!'@V"</f>
        <v>#VALUE!</v>
      </c>
      <c r="CR133" t="e">
        <f>'2.5.Трудоемкость'!ACJ9+"BYw!'@W"</f>
        <v>#VALUE!</v>
      </c>
      <c r="CS133" t="e">
        <f>'2.5.Трудоемкость'!ACK9+"BYw!'@X"</f>
        <v>#VALUE!</v>
      </c>
      <c r="CT133" t="e">
        <f>'2.5.Трудоемкость'!ACL9+"BYw!'@Y"</f>
        <v>#VALUE!</v>
      </c>
      <c r="CU133" t="e">
        <f>'2.5.Трудоемкость'!ACM9+"BYw!'@Z"</f>
        <v>#VALUE!</v>
      </c>
      <c r="CV133" t="e">
        <f>'2.5.Трудоемкость'!ACN9+"BYw!'@["</f>
        <v>#VALUE!</v>
      </c>
      <c r="CW133" t="e">
        <f>'2.5.Трудоемкость'!ACO9+"BYw!'@\"</f>
        <v>#VALUE!</v>
      </c>
      <c r="CX133" t="e">
        <f>'2.5.Трудоемкость'!ACP9+"BYw!'@]"</f>
        <v>#VALUE!</v>
      </c>
      <c r="CY133" t="e">
        <f>'2.5.Трудоемкость'!ACQ9+"BYw!'@^"</f>
        <v>#VALUE!</v>
      </c>
      <c r="CZ133" t="e">
        <f>'2.5.Трудоемкость'!ACR9+"BYw!'@_"</f>
        <v>#VALUE!</v>
      </c>
      <c r="DA133" t="e">
        <f>'2.5.Трудоемкость'!ACS9+"BYw!'@`"</f>
        <v>#VALUE!</v>
      </c>
      <c r="DB133" t="e">
        <f>'2.5.Трудоемкость'!ACT9+"BYw!'@a"</f>
        <v>#VALUE!</v>
      </c>
      <c r="DC133" t="e">
        <f>'2.5.Трудоемкость'!ACU9+"BYw!'@b"</f>
        <v>#VALUE!</v>
      </c>
      <c r="DD133" t="e">
        <f>'2.5.Трудоемкость'!ACV9+"BYw!'@c"</f>
        <v>#VALUE!</v>
      </c>
      <c r="DE133" t="e">
        <f>'2.5.Трудоемкость'!ACW9+"BYw!'@d"</f>
        <v>#VALUE!</v>
      </c>
      <c r="DF133" t="e">
        <f>'2.5.Трудоемкость'!ACX9+"BYw!'@e"</f>
        <v>#VALUE!</v>
      </c>
      <c r="DG133" t="e">
        <f>'2.5.Трудоемкость'!ACY9+"BYw!'@f"</f>
        <v>#VALUE!</v>
      </c>
      <c r="DH133" t="e">
        <f>'2.5.Трудоемкость'!ACZ9+"BYw!'@g"</f>
        <v>#VALUE!</v>
      </c>
      <c r="DI133" t="e">
        <f>'2.5.Трудоемкость'!ADA9+"BYw!'@h"</f>
        <v>#VALUE!</v>
      </c>
      <c r="DJ133" t="e">
        <f>'2.5.Трудоемкость'!ADB9+"BYw!'@i"</f>
        <v>#VALUE!</v>
      </c>
      <c r="DK133" t="e">
        <f>'2.5.Трудоемкость'!ADC9+"BYw!'@j"</f>
        <v>#VALUE!</v>
      </c>
      <c r="DL133" t="e">
        <f>'2.5.Трудоемкость'!ADD9+"BYw!'@k"</f>
        <v>#VALUE!</v>
      </c>
      <c r="DM133" t="e">
        <f>'2.5.Трудоемкость'!ADE9+"BYw!'@l"</f>
        <v>#VALUE!</v>
      </c>
      <c r="DN133" t="e">
        <f>'2.5.Трудоемкость'!ADF9+"BYw!'@m"</f>
        <v>#VALUE!</v>
      </c>
      <c r="DO133" t="e">
        <f>'2.5.Трудоемкость'!ADG9+"BYw!'@n"</f>
        <v>#VALUE!</v>
      </c>
      <c r="DP133" t="e">
        <f>'2.5.Трудоемкость'!ADH9+"BYw!'@o"</f>
        <v>#VALUE!</v>
      </c>
      <c r="DQ133" t="e">
        <f>'2.5.Трудоемкость'!ADI9+"BYw!'@p"</f>
        <v>#VALUE!</v>
      </c>
      <c r="DR133" t="e">
        <f>'2.5.Трудоемкость'!ADJ9+"BYw!'@q"</f>
        <v>#VALUE!</v>
      </c>
      <c r="DS133" t="e">
        <f>'2.5.Трудоемкость'!ADK9+"BYw!'@r"</f>
        <v>#VALUE!</v>
      </c>
      <c r="DT133" t="e">
        <f>'2.5.Трудоемкость'!ADL9+"BYw!'@s"</f>
        <v>#VALUE!</v>
      </c>
      <c r="DU133" t="e">
        <f>'2.5.Трудоемкость'!ADM9+"BYw!'@t"</f>
        <v>#VALUE!</v>
      </c>
      <c r="DV133" t="e">
        <f>'2.5.Трудоемкость'!ADN9+"BYw!'@u"</f>
        <v>#VALUE!</v>
      </c>
      <c r="DW133" t="e">
        <f>'2.5.Трудоемкость'!ADO9+"BYw!'@v"</f>
        <v>#VALUE!</v>
      </c>
      <c r="DX133" t="e">
        <f>'2.5.Трудоемкость'!ADP9+"BYw!'@w"</f>
        <v>#VALUE!</v>
      </c>
      <c r="DY133" t="e">
        <f>'2.5.Трудоемкость'!ADQ9+"BYw!'@x"</f>
        <v>#VALUE!</v>
      </c>
      <c r="DZ133" t="e">
        <f>'2.5.Трудоемкость'!ADR9+"BYw!'@y"</f>
        <v>#VALUE!</v>
      </c>
      <c r="EA133" t="e">
        <f>'2.5.Трудоемкость'!ADS9+"BYw!'@z"</f>
        <v>#VALUE!</v>
      </c>
      <c r="EB133" t="e">
        <f>'2.5.Трудоемкость'!ADT9+"BYw!'@{"</f>
        <v>#VALUE!</v>
      </c>
      <c r="EC133" t="e">
        <f>'2.5.Трудоемкость'!ADU9+"BYw!'@|"</f>
        <v>#VALUE!</v>
      </c>
      <c r="ED133" t="e">
        <f>'2.5.Трудоемкость'!ADV9+"BYw!'@}"</f>
        <v>#VALUE!</v>
      </c>
      <c r="EE133" t="e">
        <f>'2.5.Трудоемкость'!ADW9+"BYw!'@~"</f>
        <v>#VALUE!</v>
      </c>
      <c r="EF133" t="e">
        <f>'2.5.Трудоемкость'!ADX9+"BYw!'A#"</f>
        <v>#VALUE!</v>
      </c>
      <c r="EG133" t="e">
        <f>'2.5.Трудоемкость'!ADY9+"BYw!'A$"</f>
        <v>#VALUE!</v>
      </c>
      <c r="EH133" t="e">
        <f>'2.5.Трудоемкость'!ADZ9+"BYw!'A%"</f>
        <v>#VALUE!</v>
      </c>
      <c r="EI133" t="e">
        <f>'2.5.Трудоемкость'!AEA9+"BYw!'A&amp;"</f>
        <v>#VALUE!</v>
      </c>
      <c r="EJ133" t="e">
        <f>'2.5.Трудоемкость'!AEB9+"BYw!'A'"</f>
        <v>#VALUE!</v>
      </c>
      <c r="EK133" t="e">
        <f>'2.5.Трудоемкость'!AEC9+"BYw!'A("</f>
        <v>#VALUE!</v>
      </c>
      <c r="EL133" t="e">
        <f>'2.5.Трудоемкость'!AED9+"BYw!'A)"</f>
        <v>#VALUE!</v>
      </c>
      <c r="EM133" t="e">
        <f>'2.5.Трудоемкость'!AEE9+"BYw!'A."</f>
        <v>#VALUE!</v>
      </c>
      <c r="EN133" t="e">
        <f>'2.5.Трудоемкость'!AEF9+"BYw!'A/"</f>
        <v>#VALUE!</v>
      </c>
      <c r="EO133" t="e">
        <f>'2.5.Трудоемкость'!AEG9+"BYw!'A0"</f>
        <v>#VALUE!</v>
      </c>
      <c r="EP133" t="e">
        <f>'2.5.Трудоемкость'!AEH9+"BYw!'A1"</f>
        <v>#VALUE!</v>
      </c>
      <c r="EQ133" t="e">
        <f>'2.5.Трудоемкость'!AEI9+"BYw!'A2"</f>
        <v>#VALUE!</v>
      </c>
      <c r="ER133" t="e">
        <f>'2.5.Трудоемкость'!AEJ9+"BYw!'A3"</f>
        <v>#VALUE!</v>
      </c>
      <c r="ES133" t="e">
        <f>'2.5.Трудоемкость'!AEK9+"BYw!'A4"</f>
        <v>#VALUE!</v>
      </c>
      <c r="ET133" t="e">
        <f>'2.5.Трудоемкость'!AEL9+"BYw!'A5"</f>
        <v>#VALUE!</v>
      </c>
      <c r="EU133" t="e">
        <f>'2.5.Трудоемкость'!AEM9+"BYw!'A6"</f>
        <v>#VALUE!</v>
      </c>
      <c r="EV133" t="e">
        <f>'2.5.Трудоемкость'!AEN9+"BYw!'A7"</f>
        <v>#VALUE!</v>
      </c>
      <c r="EW133" t="e">
        <f>'2.5.Трудоемкость'!AEO9+"BYw!'A8"</f>
        <v>#VALUE!</v>
      </c>
      <c r="EX133" t="e">
        <f>'2.5.Трудоемкость'!AEP9+"BYw!'A9"</f>
        <v>#VALUE!</v>
      </c>
      <c r="EY133" t="e">
        <f>'2.5.Трудоемкость'!AEQ9+"BYw!'A:"</f>
        <v>#VALUE!</v>
      </c>
      <c r="EZ133" t="e">
        <f>'2.5.Трудоемкость'!AER9+"BYw!'A;"</f>
        <v>#VALUE!</v>
      </c>
      <c r="FA133" t="e">
        <f>'2.5.Трудоемкость'!AES9+"BYw!'A&lt;"</f>
        <v>#VALUE!</v>
      </c>
      <c r="FB133" t="e">
        <f>'2.5.Трудоемкость'!AET9+"BYw!'A="</f>
        <v>#VALUE!</v>
      </c>
      <c r="FC133" t="e">
        <f>'2.5.Трудоемкость'!AEU9+"BYw!'A&gt;"</f>
        <v>#VALUE!</v>
      </c>
      <c r="FD133" t="e">
        <f>'2.5.Трудоемкость'!AEV9+"BYw!'A?"</f>
        <v>#VALUE!</v>
      </c>
      <c r="FE133" t="e">
        <f>'2.5.Трудоемкость'!AEW9+"BYw!'A@"</f>
        <v>#VALUE!</v>
      </c>
      <c r="FF133" t="e">
        <f>'2.5.Трудоемкость'!AEX9+"BYw!'AA"</f>
        <v>#VALUE!</v>
      </c>
      <c r="FG133" t="e">
        <f>'2.5.Трудоемкость'!AEY9+"BYw!'AB"</f>
        <v>#VALUE!</v>
      </c>
      <c r="FH133" t="e">
        <f>'2.5.Трудоемкость'!AEZ9+"BYw!'AC"</f>
        <v>#VALUE!</v>
      </c>
      <c r="FI133" t="e">
        <f>'2.5.Трудоемкость'!AFA9+"BYw!'AD"</f>
        <v>#VALUE!</v>
      </c>
      <c r="FJ133" t="e">
        <f>'2.5.Трудоемкость'!AFB9+"BYw!'AE"</f>
        <v>#VALUE!</v>
      </c>
      <c r="FK133" t="e">
        <f>'2.5.Трудоемкость'!AFC9+"BYw!'AF"</f>
        <v>#VALUE!</v>
      </c>
      <c r="FL133" t="e">
        <f>'2.5.Трудоемкость'!AFD9+"BYw!'AG"</f>
        <v>#VALUE!</v>
      </c>
      <c r="FM133" t="e">
        <f>'2.5.Трудоемкость'!AFE9+"BYw!'AH"</f>
        <v>#VALUE!</v>
      </c>
      <c r="FN133" t="e">
        <f>'2.5.Трудоемкость'!AFF9+"BYw!'AI"</f>
        <v>#VALUE!</v>
      </c>
      <c r="FO133" t="e">
        <f>'2.5.Трудоемкость'!AFG9+"BYw!'AJ"</f>
        <v>#VALUE!</v>
      </c>
      <c r="FP133" t="e">
        <f>'2.5.Трудоемкость'!AFH9+"BYw!'AK"</f>
        <v>#VALUE!</v>
      </c>
      <c r="FQ133" t="e">
        <f>'2.5.Трудоемкость'!AFI9+"BYw!'AL"</f>
        <v>#VALUE!</v>
      </c>
      <c r="FR133" t="e">
        <f>'2.5.Трудоемкость'!AFJ9+"BYw!'AM"</f>
        <v>#VALUE!</v>
      </c>
      <c r="FS133" t="e">
        <f>'2.5.Трудоемкость'!AFK9+"BYw!'AN"</f>
        <v>#VALUE!</v>
      </c>
      <c r="FT133" t="e">
        <f>'2.5.Трудоемкость'!AFL9+"BYw!'AO"</f>
        <v>#VALUE!</v>
      </c>
      <c r="FU133" t="e">
        <f>'2.5.Трудоемкость'!AFM9+"BYw!'AP"</f>
        <v>#VALUE!</v>
      </c>
      <c r="FV133" t="e">
        <f>'2.5.Трудоемкость'!AFN9+"BYw!'AQ"</f>
        <v>#VALUE!</v>
      </c>
      <c r="FW133" t="e">
        <f>'2.5.Трудоемкость'!AFO9+"BYw!'AR"</f>
        <v>#VALUE!</v>
      </c>
      <c r="FX133" t="e">
        <f>'2.5.Трудоемкость'!AFP9+"BYw!'AS"</f>
        <v>#VALUE!</v>
      </c>
      <c r="FY133" t="e">
        <f>'2.5.Трудоемкость'!AFQ9+"BYw!'AT"</f>
        <v>#VALUE!</v>
      </c>
      <c r="FZ133" t="e">
        <f>'2.5.Трудоемкость'!AFR9+"BYw!'AU"</f>
        <v>#VALUE!</v>
      </c>
      <c r="GA133" t="e">
        <f>'2.5.Трудоемкость'!AFS9+"BYw!'AV"</f>
        <v>#VALUE!</v>
      </c>
      <c r="GB133" t="e">
        <f>'2.5.Трудоемкость'!AFT9+"BYw!'AW"</f>
        <v>#VALUE!</v>
      </c>
      <c r="GC133" t="e">
        <f>'2.5.Трудоемкость'!AFU9+"BYw!'AX"</f>
        <v>#VALUE!</v>
      </c>
      <c r="GD133" t="e">
        <f>'2.5.Трудоемкость'!AFV9+"BYw!'AY"</f>
        <v>#VALUE!</v>
      </c>
      <c r="GE133" t="e">
        <f>'2.5.Трудоемкость'!AFW9+"BYw!'AZ"</f>
        <v>#VALUE!</v>
      </c>
      <c r="GF133" t="e">
        <f>'2.5.Трудоемкость'!AFX9+"BYw!'A["</f>
        <v>#VALUE!</v>
      </c>
      <c r="GG133" t="e">
        <f>'2.5.Трудоемкость'!AFY9+"BYw!'A\"</f>
        <v>#VALUE!</v>
      </c>
      <c r="GH133" t="e">
        <f>'2.5.Трудоемкость'!AFZ9+"BYw!'A]"</f>
        <v>#VALUE!</v>
      </c>
      <c r="GI133" t="e">
        <f>'2.5.Трудоемкость'!AGA9+"BYw!'A^"</f>
        <v>#VALUE!</v>
      </c>
      <c r="GJ133" t="e">
        <f>'2.5.Трудоемкость'!AGB9+"BYw!'A_"</f>
        <v>#VALUE!</v>
      </c>
      <c r="GK133" t="e">
        <f>'2.5.Трудоемкость'!AGC9+"BYw!'A`"</f>
        <v>#VALUE!</v>
      </c>
      <c r="GL133" t="e">
        <f>'2.5.Трудоемкость'!AGD9+"BYw!'Aa"</f>
        <v>#VALUE!</v>
      </c>
      <c r="GM133" t="e">
        <f>'2.5.Трудоемкость'!AGE9+"BYw!'Ab"</f>
        <v>#VALUE!</v>
      </c>
      <c r="GN133" t="e">
        <f>'2.5.Трудоемкость'!AGF9+"BYw!'Ac"</f>
        <v>#VALUE!</v>
      </c>
      <c r="GO133" t="e">
        <f>'2.5.Трудоемкость'!AGG9+"BYw!'Ad"</f>
        <v>#VALUE!</v>
      </c>
      <c r="GP133" t="e">
        <f>'2.5.Трудоемкость'!AGH9+"BYw!'Ae"</f>
        <v>#VALUE!</v>
      </c>
      <c r="GQ133" t="e">
        <f>'2.5.Трудоемкость'!AGI9+"BYw!'Af"</f>
        <v>#VALUE!</v>
      </c>
      <c r="GR133" t="e">
        <f>'2.5.Трудоемкость'!AGJ9+"BYw!'Ag"</f>
        <v>#VALUE!</v>
      </c>
      <c r="GS133" t="e">
        <f>'2.5.Трудоемкость'!AGK9+"BYw!'Ah"</f>
        <v>#VALUE!</v>
      </c>
      <c r="GT133" t="e">
        <f>'2.5.Трудоемкость'!AGL9+"BYw!'Ai"</f>
        <v>#VALUE!</v>
      </c>
      <c r="GU133" t="e">
        <f>'2.5.Трудоемкость'!AGM9+"BYw!'Aj"</f>
        <v>#VALUE!</v>
      </c>
      <c r="GV133" t="e">
        <f>'2.5.Трудоемкость'!AGN9+"BYw!'Ak"</f>
        <v>#VALUE!</v>
      </c>
      <c r="GW133" t="e">
        <f>'2.5.Трудоемкость'!AGO9+"BYw!'Al"</f>
        <v>#VALUE!</v>
      </c>
      <c r="GX133" t="e">
        <f>'2.5.Трудоемкость'!AGP9+"BYw!'Am"</f>
        <v>#VALUE!</v>
      </c>
      <c r="GY133" t="e">
        <f>'2.5.Трудоемкость'!AGQ9+"BYw!'An"</f>
        <v>#VALUE!</v>
      </c>
      <c r="GZ133" t="e">
        <f>'2.5.Трудоемкость'!AGR9+"BYw!'Ao"</f>
        <v>#VALUE!</v>
      </c>
      <c r="HA133" t="e">
        <f>'2.5.Трудоемкость'!AGS9+"BYw!'Ap"</f>
        <v>#VALUE!</v>
      </c>
      <c r="HB133" t="e">
        <f>'2.5.Трудоемкость'!AGT9+"BYw!'Aq"</f>
        <v>#VALUE!</v>
      </c>
      <c r="HC133" t="e">
        <f>'2.5.Трудоемкость'!AGU9+"BYw!'Ar"</f>
        <v>#VALUE!</v>
      </c>
      <c r="HD133" t="e">
        <f>'2.5.Трудоемкость'!AGV9+"BYw!'As"</f>
        <v>#VALUE!</v>
      </c>
      <c r="HE133" t="e">
        <f>'2.5.Трудоемкость'!AGW9+"BYw!'At"</f>
        <v>#VALUE!</v>
      </c>
      <c r="HF133" t="e">
        <f>'2.5.Трудоемкость'!AGX9+"BYw!'Au"</f>
        <v>#VALUE!</v>
      </c>
      <c r="HG133" t="e">
        <f>'2.5.Трудоемкость'!AGY9+"BYw!'Av"</f>
        <v>#VALUE!</v>
      </c>
      <c r="HH133" t="e">
        <f>'2.5.Трудоемкость'!AGZ9+"BYw!'Aw"</f>
        <v>#VALUE!</v>
      </c>
      <c r="HI133" t="e">
        <f>'2.5.Трудоемкость'!AHA9+"BYw!'Ax"</f>
        <v>#VALUE!</v>
      </c>
      <c r="HJ133" t="e">
        <f>'2.5.Трудоемкость'!AHB9+"BYw!'Ay"</f>
        <v>#VALUE!</v>
      </c>
      <c r="HK133" t="e">
        <f>'2.5.Трудоемкость'!AHC9+"BYw!'Az"</f>
        <v>#VALUE!</v>
      </c>
      <c r="HL133" t="e">
        <f>'2.5.Трудоемкость'!AHD9+"BYw!'A{"</f>
        <v>#VALUE!</v>
      </c>
      <c r="HM133" t="e">
        <f>'2.5.Трудоемкость'!AHE9+"BYw!'A|"</f>
        <v>#VALUE!</v>
      </c>
      <c r="HN133" t="e">
        <f>'2.5.Трудоемкость'!AHF9+"BYw!'A}"</f>
        <v>#VALUE!</v>
      </c>
      <c r="HO133" t="e">
        <f>'2.5.Трудоемкость'!AHG9+"BYw!'A~"</f>
        <v>#VALUE!</v>
      </c>
      <c r="HP133" t="e">
        <f>'2.5.Трудоемкость'!AHH9+"BYw!'B#"</f>
        <v>#VALUE!</v>
      </c>
      <c r="HQ133" t="e">
        <f>'2.5.Трудоемкость'!AHI9+"BYw!'B$"</f>
        <v>#VALUE!</v>
      </c>
      <c r="HR133" t="e">
        <f>'2.5.Трудоемкость'!AHJ9+"BYw!'B%"</f>
        <v>#VALUE!</v>
      </c>
      <c r="HS133" t="e">
        <f>'2.5.Трудоемкость'!AHK9+"BYw!'B&amp;"</f>
        <v>#VALUE!</v>
      </c>
      <c r="HT133" t="e">
        <f>'2.5.Трудоемкость'!AHL9+"BYw!'B'"</f>
        <v>#VALUE!</v>
      </c>
      <c r="HU133" t="e">
        <f>'2.5.Трудоемкость'!AHM9+"BYw!'B("</f>
        <v>#VALUE!</v>
      </c>
      <c r="HV133" t="e">
        <f>'2.5.Трудоемкость'!AHN9+"BYw!'B)"</f>
        <v>#VALUE!</v>
      </c>
      <c r="HW133" t="e">
        <f>'2.5.Трудоемкость'!AHO9+"BYw!'B."</f>
        <v>#VALUE!</v>
      </c>
      <c r="HX133" t="e">
        <f>'2.5.Трудоемкость'!AHP9+"BYw!'B/"</f>
        <v>#VALUE!</v>
      </c>
      <c r="HY133" t="e">
        <f>'2.5.Трудоемкость'!AHQ9+"BYw!'B0"</f>
        <v>#VALUE!</v>
      </c>
      <c r="HZ133" t="e">
        <f>'2.5.Трудоемкость'!AHR9+"BYw!'B1"</f>
        <v>#VALUE!</v>
      </c>
      <c r="IA133" t="e">
        <f>'2.5.Трудоемкость'!AHS9+"BYw!'B2"</f>
        <v>#VALUE!</v>
      </c>
      <c r="IB133" t="e">
        <f>'2.5.Трудоемкость'!AHT9+"BYw!'B3"</f>
        <v>#VALUE!</v>
      </c>
      <c r="IC133" t="e">
        <f>'2.5.Трудоемкость'!AHU9+"BYw!'B4"</f>
        <v>#VALUE!</v>
      </c>
      <c r="ID133" t="e">
        <f>'2.5.Трудоемкость'!AHV9+"BYw!'B5"</f>
        <v>#VALUE!</v>
      </c>
      <c r="IE133" t="e">
        <f>'2.5.Трудоемкость'!AHW9+"BYw!'B6"</f>
        <v>#VALUE!</v>
      </c>
      <c r="IF133" t="e">
        <f>'2.5.Трудоемкость'!AHX9+"BYw!'B7"</f>
        <v>#VALUE!</v>
      </c>
      <c r="IG133" t="e">
        <f>'2.5.Трудоемкость'!AHY9+"BYw!'B8"</f>
        <v>#VALUE!</v>
      </c>
      <c r="IH133" t="e">
        <f>'2.5.Трудоемкость'!AHZ9+"BYw!'B9"</f>
        <v>#VALUE!</v>
      </c>
      <c r="II133" t="e">
        <f>'2.5.Трудоемкость'!AIA9+"BYw!'B:"</f>
        <v>#VALUE!</v>
      </c>
      <c r="IJ133" t="e">
        <f>'2.5.Трудоемкость'!AIB9+"BYw!'B;"</f>
        <v>#VALUE!</v>
      </c>
      <c r="IK133" t="e">
        <f>'2.5.Трудоемкость'!AIC9+"BYw!'B&lt;"</f>
        <v>#VALUE!</v>
      </c>
      <c r="IL133" t="e">
        <f>'2.5.Трудоемкость'!AID9+"BYw!'B="</f>
        <v>#VALUE!</v>
      </c>
      <c r="IM133" t="e">
        <f>'2.5.Трудоемкость'!AIE9+"BYw!'B&gt;"</f>
        <v>#VALUE!</v>
      </c>
      <c r="IN133" t="e">
        <f>'2.5.Трудоемкость'!AIF9+"BYw!'B?"</f>
        <v>#VALUE!</v>
      </c>
      <c r="IO133" t="e">
        <f>'2.5.Трудоемкость'!AIG9+"BYw!'B@"</f>
        <v>#VALUE!</v>
      </c>
      <c r="IP133" t="e">
        <f>'2.5.Трудоемкость'!AIH9+"BYw!'BA"</f>
        <v>#VALUE!</v>
      </c>
      <c r="IQ133" t="e">
        <f>'2.5.Трудоемкость'!AII9+"BYw!'BB"</f>
        <v>#VALUE!</v>
      </c>
      <c r="IR133" t="e">
        <f>'2.5.Трудоемкость'!AIJ9+"BYw!'BC"</f>
        <v>#VALUE!</v>
      </c>
      <c r="IS133" t="e">
        <f>'2.5.Трудоемкость'!AIK9+"BYw!'BD"</f>
        <v>#VALUE!</v>
      </c>
      <c r="IT133" t="e">
        <f>'2.5.Трудоемкость'!AIL9+"BYw!'BE"</f>
        <v>#VALUE!</v>
      </c>
      <c r="IU133" t="e">
        <f>'2.5.Трудоемкость'!AIM9+"BYw!'BF"</f>
        <v>#VALUE!</v>
      </c>
      <c r="IV133" t="e">
        <f>'2.5.Трудоемкость'!AIN9+"BYw!'BG"</f>
        <v>#VALUE!</v>
      </c>
    </row>
    <row r="134" spans="6:256" x14ac:dyDescent="0.2">
      <c r="F134" t="e">
        <f>'2.5.Трудоемкость'!AIO9+"BYw!'BH"</f>
        <v>#VALUE!</v>
      </c>
      <c r="G134" t="e">
        <f>'2.5.Трудоемкость'!AIP9+"BYw!'BI"</f>
        <v>#VALUE!</v>
      </c>
      <c r="H134" t="e">
        <f>'2.5.Трудоемкость'!AIQ9+"BYw!'BJ"</f>
        <v>#VALUE!</v>
      </c>
      <c r="I134" t="e">
        <f>'2.5.Трудоемкость'!AIR9+"BYw!'BK"</f>
        <v>#VALUE!</v>
      </c>
      <c r="J134" t="e">
        <f>'2.5.Трудоемкость'!AIS9+"BYw!'BL"</f>
        <v>#VALUE!</v>
      </c>
      <c r="K134" t="e">
        <f>'2.5.Трудоемкость'!AIT9+"BYw!'BM"</f>
        <v>#VALUE!</v>
      </c>
      <c r="L134" t="e">
        <f>'2.5.Трудоемкость'!AIU9+"BYw!'BN"</f>
        <v>#VALUE!</v>
      </c>
      <c r="M134" t="e">
        <f>'2.5.Трудоемкость'!AIV9+"BYw!'BO"</f>
        <v>#VALUE!</v>
      </c>
      <c r="N134" t="e">
        <f>'2.5.Трудоемкость'!AIW9+"BYw!'BP"</f>
        <v>#VALUE!</v>
      </c>
      <c r="O134" t="e">
        <f>'2.5.Трудоемкость'!AIX9+"BYw!'BQ"</f>
        <v>#VALUE!</v>
      </c>
      <c r="P134" t="e">
        <f>'2.5.Трудоемкость'!AIY9+"BYw!'BR"</f>
        <v>#VALUE!</v>
      </c>
      <c r="Q134" t="e">
        <f>'2.5.Трудоемкость'!AIZ9+"BYw!'BS"</f>
        <v>#VALUE!</v>
      </c>
      <c r="R134" t="e">
        <f>'2.5.Трудоемкость'!AJA9+"BYw!'BT"</f>
        <v>#VALUE!</v>
      </c>
      <c r="S134" t="e">
        <f>'2.5.Трудоемкость'!AJB9+"BYw!'BU"</f>
        <v>#VALUE!</v>
      </c>
      <c r="T134" t="e">
        <f>'2.5.Трудоемкость'!AJC9+"BYw!'BV"</f>
        <v>#VALUE!</v>
      </c>
      <c r="U134" t="e">
        <f>'2.5.Трудоемкость'!AJD9+"BYw!'BW"</f>
        <v>#VALUE!</v>
      </c>
      <c r="V134" t="e">
        <f>'2.5.Трудоемкость'!AJE9+"BYw!'BX"</f>
        <v>#VALUE!</v>
      </c>
      <c r="W134" t="e">
        <f>'2.5.Трудоемкость'!AJF9+"BYw!'BY"</f>
        <v>#VALUE!</v>
      </c>
      <c r="X134" t="e">
        <f>'2.5.Трудоемкость'!AJG9+"BYw!'BZ"</f>
        <v>#VALUE!</v>
      </c>
      <c r="Y134" t="e">
        <f>'2.5.Трудоемкость'!AJH9+"BYw!'B["</f>
        <v>#VALUE!</v>
      </c>
      <c r="Z134" t="e">
        <f>'2.5.Трудоемкость'!AJI9+"BYw!'B\"</f>
        <v>#VALUE!</v>
      </c>
      <c r="AA134" t="e">
        <f>'2.5.Трудоемкость'!AJJ9+"BYw!'B]"</f>
        <v>#VALUE!</v>
      </c>
      <c r="AB134" t="e">
        <f>'2.5.Трудоемкость'!AJK9+"BYw!'B^"</f>
        <v>#VALUE!</v>
      </c>
      <c r="AC134" t="e">
        <f>'2.5.Трудоемкость'!AJL9+"BYw!'B_"</f>
        <v>#VALUE!</v>
      </c>
      <c r="AD134" t="e">
        <f>'2.5.Трудоемкость'!AJM9+"BYw!'B`"</f>
        <v>#VALUE!</v>
      </c>
      <c r="AE134" t="e">
        <f>'2.5.Трудоемкость'!AJN9+"BYw!'Ba"</f>
        <v>#VALUE!</v>
      </c>
      <c r="AF134" t="e">
        <f>'2.5.Трудоемкость'!AJO9+"BYw!'Bb"</f>
        <v>#VALUE!</v>
      </c>
      <c r="AG134" t="e">
        <f>'2.5.Трудоемкость'!AJP9+"BYw!'Bc"</f>
        <v>#VALUE!</v>
      </c>
      <c r="AH134" t="e">
        <f>'2.5.Трудоемкость'!AJQ9+"BYw!'Bd"</f>
        <v>#VALUE!</v>
      </c>
      <c r="AI134" t="e">
        <f>'2.5.Трудоемкость'!AJR9+"BYw!'Be"</f>
        <v>#VALUE!</v>
      </c>
      <c r="AJ134" t="e">
        <f>'2.5.Трудоемкость'!AJS9+"BYw!'Bf"</f>
        <v>#VALUE!</v>
      </c>
      <c r="AK134" t="e">
        <f>'2.5.Трудоемкость'!AJT9+"BYw!'Bg"</f>
        <v>#VALUE!</v>
      </c>
      <c r="AL134" t="e">
        <f>'2.5.Трудоемкость'!AJU9+"BYw!'Bh"</f>
        <v>#VALUE!</v>
      </c>
      <c r="AM134" t="e">
        <f>'2.5.Трудоемкость'!AJV9+"BYw!'Bi"</f>
        <v>#VALUE!</v>
      </c>
      <c r="AN134" t="e">
        <f>'2.5.Трудоемкость'!AJW9+"BYw!'Bj"</f>
        <v>#VALUE!</v>
      </c>
      <c r="AO134" t="e">
        <f>'2.5.Трудоемкость'!AJX9+"BYw!'Bk"</f>
        <v>#VALUE!</v>
      </c>
      <c r="AP134" t="e">
        <f>'2.5.Трудоемкость'!AJY9+"BYw!'Bl"</f>
        <v>#VALUE!</v>
      </c>
      <c r="AQ134" t="e">
        <f>'2.5.Трудоемкость'!AJZ9+"BYw!'Bm"</f>
        <v>#VALUE!</v>
      </c>
      <c r="AR134" t="e">
        <f>'2.5.Трудоемкость'!AKA9+"BYw!'Bn"</f>
        <v>#VALUE!</v>
      </c>
      <c r="AS134" t="e">
        <f>'2.5.Трудоемкость'!AKB9+"BYw!'Bo"</f>
        <v>#VALUE!</v>
      </c>
      <c r="AT134" t="e">
        <f>'2.5.Трудоемкость'!AKC9+"BYw!'Bp"</f>
        <v>#VALUE!</v>
      </c>
      <c r="AU134" t="e">
        <f>'2.5.Трудоемкость'!AKD9+"BYw!'Bq"</f>
        <v>#VALUE!</v>
      </c>
      <c r="AV134" t="e">
        <f>'2.5.Трудоемкость'!AKE9+"BYw!'Br"</f>
        <v>#VALUE!</v>
      </c>
      <c r="AW134" t="e">
        <f>'2.5.Трудоемкость'!AKF9+"BYw!'Bs"</f>
        <v>#VALUE!</v>
      </c>
      <c r="AX134" t="e">
        <f>'2.5.Трудоемкость'!AKG9+"BYw!'Bt"</f>
        <v>#VALUE!</v>
      </c>
      <c r="AY134" t="e">
        <f>'2.5.Трудоемкость'!AKH9+"BYw!'Bu"</f>
        <v>#VALUE!</v>
      </c>
      <c r="AZ134" t="e">
        <f>'2.5.Трудоемкость'!AKI9+"BYw!'Bv"</f>
        <v>#VALUE!</v>
      </c>
      <c r="BA134" t="e">
        <f>'2.5.Трудоемкость'!AKJ9+"BYw!'Bw"</f>
        <v>#VALUE!</v>
      </c>
      <c r="BB134" t="e">
        <f>'2.5.Трудоемкость'!AKK9+"BYw!'Bx"</f>
        <v>#VALUE!</v>
      </c>
      <c r="BC134" t="e">
        <f>'2.5.Трудоемкость'!AKL9+"BYw!'By"</f>
        <v>#VALUE!</v>
      </c>
      <c r="BD134" t="e">
        <f>'2.5.Трудоемкость'!AKM9+"BYw!'Bz"</f>
        <v>#VALUE!</v>
      </c>
      <c r="BE134" t="e">
        <f>'2.5.Трудоемкость'!AKN9+"BYw!'B{"</f>
        <v>#VALUE!</v>
      </c>
      <c r="BF134" t="e">
        <f>'2.5.Трудоемкость'!AKO9+"BYw!'B|"</f>
        <v>#VALUE!</v>
      </c>
      <c r="BG134" t="e">
        <f>'2.5.Трудоемкость'!AKP9+"BYw!'B}"</f>
        <v>#VALUE!</v>
      </c>
      <c r="BH134" t="e">
        <f>'2.5.Трудоемкость'!AKQ9+"BYw!'B~"</f>
        <v>#VALUE!</v>
      </c>
      <c r="BI134" t="e">
        <f>'2.5.Трудоемкость'!AKR9+"BYw!'C#"</f>
        <v>#VALUE!</v>
      </c>
      <c r="BJ134" t="e">
        <f>'2.5.Трудоемкость'!AKS9+"BYw!'C$"</f>
        <v>#VALUE!</v>
      </c>
      <c r="BK134" t="e">
        <f>'2.5.Трудоемкость'!AKT9+"BYw!'C%"</f>
        <v>#VALUE!</v>
      </c>
      <c r="BL134" t="e">
        <f>'2.5.Трудоемкость'!AKU9+"BYw!'C&amp;"</f>
        <v>#VALUE!</v>
      </c>
      <c r="BM134" t="e">
        <f>'2.5.Трудоемкость'!AKV9+"BYw!'C'"</f>
        <v>#VALUE!</v>
      </c>
      <c r="BN134" t="e">
        <f>'2.5.Трудоемкость'!AKW9+"BYw!'C("</f>
        <v>#VALUE!</v>
      </c>
      <c r="BO134" t="e">
        <f>'2.5.Трудоемкость'!AKX9+"BYw!'C)"</f>
        <v>#VALUE!</v>
      </c>
      <c r="BP134" t="e">
        <f>'2.5.Трудоемкость'!AKY9+"BYw!'C."</f>
        <v>#VALUE!</v>
      </c>
      <c r="BQ134" t="e">
        <f>'2.5.Трудоемкость'!AKZ9+"BYw!'C/"</f>
        <v>#VALUE!</v>
      </c>
      <c r="BR134" t="e">
        <f>'2.5.Трудоемкость'!ALA9+"BYw!'C0"</f>
        <v>#VALUE!</v>
      </c>
      <c r="BS134" t="e">
        <f>'2.5.Трудоемкость'!ALB9+"BYw!'C1"</f>
        <v>#VALUE!</v>
      </c>
      <c r="BT134" t="e">
        <f>'2.5.Трудоемкость'!ALC9+"BYw!'C2"</f>
        <v>#VALUE!</v>
      </c>
      <c r="BU134" t="e">
        <f>'2.5.Трудоемкость'!ALD9+"BYw!'C3"</f>
        <v>#VALUE!</v>
      </c>
      <c r="BV134" t="e">
        <f>'2.5.Трудоемкость'!ALE9+"BYw!'C4"</f>
        <v>#VALUE!</v>
      </c>
      <c r="BW134" t="e">
        <f>'2.5.Трудоемкость'!ALF9+"BYw!'C5"</f>
        <v>#VALUE!</v>
      </c>
      <c r="BX134" t="e">
        <f>'2.5.Трудоемкость'!ALG9+"BYw!'C6"</f>
        <v>#VALUE!</v>
      </c>
      <c r="BY134" t="e">
        <f>'2.5.Трудоемкость'!ALH9+"BYw!'C7"</f>
        <v>#VALUE!</v>
      </c>
      <c r="BZ134" t="e">
        <f>'2.5.Трудоемкость'!ALI9+"BYw!'C8"</f>
        <v>#VALUE!</v>
      </c>
      <c r="CA134" t="e">
        <f>'2.5.Трудоемкость'!ALJ9+"BYw!'C9"</f>
        <v>#VALUE!</v>
      </c>
      <c r="CB134" t="e">
        <f>'2.5.Трудоемкость'!ALK9+"BYw!'C:"</f>
        <v>#VALUE!</v>
      </c>
      <c r="CC134" t="e">
        <f>'2.5.Трудоемкость'!ALL9+"BYw!'C;"</f>
        <v>#VALUE!</v>
      </c>
      <c r="CD134" t="e">
        <f>'2.5.Трудоемкость'!ALM9+"BYw!'C&lt;"</f>
        <v>#VALUE!</v>
      </c>
      <c r="CE134" t="e">
        <f>'2.5.Трудоемкость'!ALN9+"BYw!'C="</f>
        <v>#VALUE!</v>
      </c>
      <c r="CF134" t="e">
        <f>'2.5.Трудоемкость'!ALO9+"BYw!'C&gt;"</f>
        <v>#VALUE!</v>
      </c>
      <c r="CG134" t="e">
        <f>'2.5.Трудоемкость'!ALP9+"BYw!'C?"</f>
        <v>#VALUE!</v>
      </c>
      <c r="CH134" t="e">
        <f>'2.5.Трудоемкость'!ALQ9+"BYw!'C@"</f>
        <v>#VALUE!</v>
      </c>
      <c r="CI134" t="e">
        <f>'2.5.Трудоемкость'!ALR9+"BYw!'CA"</f>
        <v>#VALUE!</v>
      </c>
      <c r="CJ134" t="e">
        <f>'2.5.Трудоемкость'!ALS9+"BYw!'CB"</f>
        <v>#VALUE!</v>
      </c>
      <c r="CK134" t="e">
        <f>'2.5.Трудоемкость'!ALT9+"BYw!'CC"</f>
        <v>#VALUE!</v>
      </c>
      <c r="CL134" t="e">
        <f>'2.5.Трудоемкость'!ALU9+"BYw!'CD"</f>
        <v>#VALUE!</v>
      </c>
      <c r="CM134" t="e">
        <f>'2.5.Трудоемкость'!ALV9+"BYw!'CE"</f>
        <v>#VALUE!</v>
      </c>
      <c r="CN134" t="e">
        <f>'2.5.Трудоемкость'!ALW9+"BYw!'CF"</f>
        <v>#VALUE!</v>
      </c>
      <c r="CO134" t="e">
        <f>'2.5.Трудоемкость'!ALX9+"BYw!'CG"</f>
        <v>#VALUE!</v>
      </c>
      <c r="CP134" t="e">
        <f>'2.5.Трудоемкость'!ALY9+"BYw!'CH"</f>
        <v>#VALUE!</v>
      </c>
      <c r="CQ134" t="e">
        <f>'2.5.Трудоемкость'!ALZ9+"BYw!'CI"</f>
        <v>#VALUE!</v>
      </c>
      <c r="CR134" t="e">
        <f>'2.5.Трудоемкость'!AMA9+"BYw!'CJ"</f>
        <v>#VALUE!</v>
      </c>
      <c r="CS134" t="e">
        <f>'2.5.Трудоемкость'!AMB9+"BYw!'CK"</f>
        <v>#VALUE!</v>
      </c>
      <c r="CT134" t="e">
        <f>'2.5.Трудоемкость'!AMC9+"BYw!'CL"</f>
        <v>#VALUE!</v>
      </c>
      <c r="CU134" t="e">
        <f>'2.5.Трудоемкость'!AMD9+"BYw!'CM"</f>
        <v>#VALUE!</v>
      </c>
      <c r="CV134" t="e">
        <f>'2.5.Трудоемкость'!AME9+"BYw!'CN"</f>
        <v>#VALUE!</v>
      </c>
      <c r="CW134" t="e">
        <f>'2.5.Трудоемкость'!AMF9+"BYw!'CO"</f>
        <v>#VALUE!</v>
      </c>
      <c r="CX134" t="e">
        <f>'2.5.Трудоемкость'!AMG9+"BYw!'CP"</f>
        <v>#VALUE!</v>
      </c>
      <c r="CY134" t="e">
        <f>'2.5.Трудоемкость'!AMH9+"BYw!'CQ"</f>
        <v>#VALUE!</v>
      </c>
      <c r="CZ134" t="e">
        <f>'2.5.Трудоемкость'!AMI9+"BYw!'CR"</f>
        <v>#VALUE!</v>
      </c>
      <c r="DA134" t="e">
        <f>'2.5.Трудоемкость'!AMJ9+"BYw!'CS"</f>
        <v>#VALUE!</v>
      </c>
      <c r="DB134" t="e">
        <f>'2.5.Трудоемкость'!A10+"BYw!'CT"</f>
        <v>#VALUE!</v>
      </c>
      <c r="DC134" t="e">
        <f>'2.5.Трудоемкость'!B10+"BYw!'CU"</f>
        <v>#VALUE!</v>
      </c>
      <c r="DD134" t="e">
        <f>'2.5.Трудоемкость'!C10+"BYw!'CV"</f>
        <v>#VALUE!</v>
      </c>
      <c r="DE134" t="e">
        <f>'2.5.Трудоемкость'!D10+"BYw!'CW"</f>
        <v>#VALUE!</v>
      </c>
      <c r="DF134" t="e">
        <f>'2.5.Трудоемкость'!E10+"BYw!'CX"</f>
        <v>#VALUE!</v>
      </c>
      <c r="DG134" t="e">
        <f>'2.5.Трудоемкость'!F10+"BYw!'CY"</f>
        <v>#VALUE!</v>
      </c>
      <c r="DH134" t="e">
        <f>'2.5.Трудоемкость'!G10+"BYw!'CZ"</f>
        <v>#VALUE!</v>
      </c>
      <c r="DI134" t="e">
        <f>'2.5.Трудоемкость'!H10+"BYw!'C["</f>
        <v>#VALUE!</v>
      </c>
      <c r="DJ134" t="e">
        <f>'2.5.Трудоемкость'!I10+"BYw!'C\"</f>
        <v>#VALUE!</v>
      </c>
      <c r="DK134" t="e">
        <f>'2.5.Трудоемкость'!J10+"BYw!'C]"</f>
        <v>#VALUE!</v>
      </c>
      <c r="DL134" t="e">
        <f>'2.5.Трудоемкость'!K10+"BYw!'C^"</f>
        <v>#VALUE!</v>
      </c>
      <c r="DM134" t="e">
        <f>'2.5.Трудоемкость'!L10+"BYw!'C_"</f>
        <v>#VALUE!</v>
      </c>
      <c r="DN134" t="e">
        <f>'2.5.Трудоемкость'!M10+"BYw!'C`"</f>
        <v>#VALUE!</v>
      </c>
      <c r="DO134" t="e">
        <f>'2.5.Трудоемкость'!N10+"BYw!'Ca"</f>
        <v>#VALUE!</v>
      </c>
      <c r="DP134" t="e">
        <f>'2.5.Трудоемкость'!O10+"BYw!'Cb"</f>
        <v>#VALUE!</v>
      </c>
      <c r="DQ134" t="e">
        <f>'2.5.Трудоемкость'!P10+"BYw!'Cc"</f>
        <v>#VALUE!</v>
      </c>
      <c r="DR134" t="e">
        <f>'2.5.Трудоемкость'!Q10+"BYw!'Cd"</f>
        <v>#VALUE!</v>
      </c>
      <c r="DS134" t="e">
        <f>'2.5.Трудоемкость'!R10+"BYw!'Ce"</f>
        <v>#VALUE!</v>
      </c>
      <c r="DT134" t="e">
        <f>'2.5.Трудоемкость'!S10+"BYw!'Cf"</f>
        <v>#VALUE!</v>
      </c>
      <c r="DU134" t="e">
        <f>'2.5.Трудоемкость'!T10+"BYw!'Cg"</f>
        <v>#VALUE!</v>
      </c>
      <c r="DV134" t="e">
        <f>'2.5.Трудоемкость'!U10+"BYw!'Ch"</f>
        <v>#VALUE!</v>
      </c>
      <c r="DW134" t="e">
        <f>'2.5.Трудоемкость'!V10+"BYw!'Ci"</f>
        <v>#VALUE!</v>
      </c>
      <c r="DX134" t="e">
        <f>'2.5.Трудоемкость'!X10+"BYw!'Cj"</f>
        <v>#VALUE!</v>
      </c>
      <c r="DY134" t="e">
        <f>'2.5.Трудоемкость'!Y10+"BYw!'Ck"</f>
        <v>#VALUE!</v>
      </c>
      <c r="DZ134" t="e">
        <f>'2.5.Трудоемкость'!Z10+"BYw!'Cl"</f>
        <v>#VALUE!</v>
      </c>
      <c r="EA134" t="e">
        <f>'2.5.Трудоемкость'!AA10+"BYw!'Cm"</f>
        <v>#VALUE!</v>
      </c>
      <c r="EB134" t="e">
        <f>'2.5.Трудоемкость'!AB10+"BYw!'Cn"</f>
        <v>#VALUE!</v>
      </c>
      <c r="EC134" t="e">
        <f>'2.5.Трудоемкость'!AC10+"BYw!'Co"</f>
        <v>#VALUE!</v>
      </c>
      <c r="ED134" t="e">
        <f>'2.5.Трудоемкость'!AD10+"BYw!'Cp"</f>
        <v>#VALUE!</v>
      </c>
      <c r="EE134" t="e">
        <f>'2.5.Трудоемкость'!AE10+"BYw!'Cq"</f>
        <v>#VALUE!</v>
      </c>
      <c r="EF134" t="e">
        <f>'2.5.Трудоемкость'!AF10+"BYw!'Cr"</f>
        <v>#VALUE!</v>
      </c>
      <c r="EG134" t="e">
        <f>'2.5.Трудоемкость'!AG10+"BYw!'Cs"</f>
        <v>#VALUE!</v>
      </c>
      <c r="EH134" t="e">
        <f>'2.5.Трудоемкость'!AH10+"BYw!'Ct"</f>
        <v>#VALUE!</v>
      </c>
      <c r="EI134" t="e">
        <f>'2.5.Трудоемкость'!AI10+"BYw!'Cu"</f>
        <v>#VALUE!</v>
      </c>
      <c r="EJ134" t="e">
        <f>'2.5.Трудоемкость'!AJ10+"BYw!'Cv"</f>
        <v>#VALUE!</v>
      </c>
      <c r="EK134" t="e">
        <f>'2.5.Трудоемкость'!AK10+"BYw!'Cw"</f>
        <v>#VALUE!</v>
      </c>
      <c r="EL134" t="e">
        <f>'2.5.Трудоемкость'!AL10+"BYw!'Cx"</f>
        <v>#VALUE!</v>
      </c>
      <c r="EM134" t="e">
        <f>'2.5.Трудоемкость'!AM10+"BYw!'Cy"</f>
        <v>#VALUE!</v>
      </c>
      <c r="EN134" t="e">
        <f>'2.5.Трудоемкость'!AN10+"BYw!'Cz"</f>
        <v>#VALUE!</v>
      </c>
      <c r="EO134" t="e">
        <f>'2.5.Трудоемкость'!AO10+"BYw!'C{"</f>
        <v>#VALUE!</v>
      </c>
      <c r="EP134" t="e">
        <f>'2.5.Трудоемкость'!AP10+"BYw!'C|"</f>
        <v>#VALUE!</v>
      </c>
      <c r="EQ134" t="e">
        <f>'2.5.Трудоемкость'!AQ10+"BYw!'C}"</f>
        <v>#VALUE!</v>
      </c>
      <c r="ER134" t="e">
        <f>'2.5.Трудоемкость'!AR10+"BYw!'C~"</f>
        <v>#VALUE!</v>
      </c>
      <c r="ES134" t="e">
        <f>'2.5.Трудоемкость'!AS10+"BYw!'D#"</f>
        <v>#VALUE!</v>
      </c>
      <c r="ET134" t="e">
        <f>'2.5.Трудоемкость'!AT10+"BYw!'D$"</f>
        <v>#VALUE!</v>
      </c>
      <c r="EU134" t="e">
        <f>'2.5.Трудоемкость'!AU10+"BYw!'D%"</f>
        <v>#VALUE!</v>
      </c>
      <c r="EV134" t="e">
        <f>'2.5.Трудоемкость'!AV10+"BYw!'D&amp;"</f>
        <v>#VALUE!</v>
      </c>
      <c r="EW134" t="e">
        <f>'2.5.Трудоемкость'!AW10+"BYw!'D'"</f>
        <v>#VALUE!</v>
      </c>
      <c r="EX134" t="e">
        <f>'2.5.Трудоемкость'!AX10+"BYw!'D("</f>
        <v>#VALUE!</v>
      </c>
      <c r="EY134" t="e">
        <f>'2.5.Трудоемкость'!AY10+"BYw!'D)"</f>
        <v>#VALUE!</v>
      </c>
      <c r="EZ134" t="e">
        <f>'2.5.Трудоемкость'!AZ10+"BYw!'D."</f>
        <v>#VALUE!</v>
      </c>
      <c r="FA134" t="e">
        <f>'2.5.Трудоемкость'!BA10+"BYw!'D/"</f>
        <v>#VALUE!</v>
      </c>
      <c r="FB134" t="e">
        <f>'2.5.Трудоемкость'!BB10+"BYw!'D0"</f>
        <v>#VALUE!</v>
      </c>
      <c r="FC134" t="e">
        <f>'2.5.Трудоемкость'!BC10+"BYw!'D1"</f>
        <v>#VALUE!</v>
      </c>
      <c r="FD134" t="e">
        <f>'2.5.Трудоемкость'!BD10+"BYw!'D2"</f>
        <v>#VALUE!</v>
      </c>
      <c r="FE134" t="e">
        <f>'2.5.Трудоемкость'!BE10+"BYw!'D3"</f>
        <v>#VALUE!</v>
      </c>
      <c r="FF134" t="e">
        <f>'2.5.Трудоемкость'!BF10+"BYw!'D4"</f>
        <v>#VALUE!</v>
      </c>
      <c r="FG134" t="e">
        <f>'2.5.Трудоемкость'!BG10+"BYw!'D5"</f>
        <v>#VALUE!</v>
      </c>
      <c r="FH134" t="e">
        <f>'2.5.Трудоемкость'!BH10+"BYw!'D6"</f>
        <v>#VALUE!</v>
      </c>
      <c r="FI134" t="e">
        <f>'2.5.Трудоемкость'!BI10+"BYw!'D7"</f>
        <v>#VALUE!</v>
      </c>
      <c r="FJ134" t="e">
        <f>'2.5.Трудоемкость'!BJ10+"BYw!'D8"</f>
        <v>#VALUE!</v>
      </c>
      <c r="FK134" t="e">
        <f>'2.5.Трудоемкость'!BK10+"BYw!'D9"</f>
        <v>#VALUE!</v>
      </c>
      <c r="FL134" t="e">
        <f>'2.5.Трудоемкость'!BL10+"BYw!'D:"</f>
        <v>#VALUE!</v>
      </c>
      <c r="FM134" t="e">
        <f>'2.5.Трудоемкость'!BM10+"BYw!'D;"</f>
        <v>#VALUE!</v>
      </c>
      <c r="FN134" t="e">
        <f>'2.5.Трудоемкость'!BN10+"BYw!'D&lt;"</f>
        <v>#VALUE!</v>
      </c>
      <c r="FO134" t="e">
        <f>'2.5.Трудоемкость'!BO10+"BYw!'D="</f>
        <v>#VALUE!</v>
      </c>
      <c r="FP134" t="e">
        <f>'2.5.Трудоемкость'!BP10+"BYw!'D&gt;"</f>
        <v>#VALUE!</v>
      </c>
      <c r="FQ134" t="e">
        <f>'2.5.Трудоемкость'!BQ10+"BYw!'D?"</f>
        <v>#VALUE!</v>
      </c>
      <c r="FR134" t="e">
        <f>'2.5.Трудоемкость'!BR10+"BYw!'D@"</f>
        <v>#VALUE!</v>
      </c>
      <c r="FS134" t="e">
        <f>'2.5.Трудоемкость'!BS10+"BYw!'DA"</f>
        <v>#VALUE!</v>
      </c>
      <c r="FT134" t="e">
        <f>'2.5.Трудоемкость'!BT10+"BYw!'DB"</f>
        <v>#VALUE!</v>
      </c>
      <c r="FU134" t="e">
        <f>'2.5.Трудоемкость'!BU10+"BYw!'DC"</f>
        <v>#VALUE!</v>
      </c>
      <c r="FV134" t="e">
        <f>'2.5.Трудоемкость'!BV10+"BYw!'DD"</f>
        <v>#VALUE!</v>
      </c>
      <c r="FW134" t="e">
        <f>'2.5.Трудоемкость'!BW10+"BYw!'DE"</f>
        <v>#VALUE!</v>
      </c>
      <c r="FX134" t="e">
        <f>'2.5.Трудоемкость'!BX10+"BYw!'DF"</f>
        <v>#VALUE!</v>
      </c>
      <c r="FY134" t="e">
        <f>'2.5.Трудоемкость'!BY10+"BYw!'DG"</f>
        <v>#VALUE!</v>
      </c>
      <c r="FZ134" t="e">
        <f>'2.5.Трудоемкость'!BZ10+"BYw!'DH"</f>
        <v>#VALUE!</v>
      </c>
      <c r="GA134" t="e">
        <f>'2.5.Трудоемкость'!CA10+"BYw!'DI"</f>
        <v>#VALUE!</v>
      </c>
      <c r="GB134" t="e">
        <f>'2.5.Трудоемкость'!CB10+"BYw!'DJ"</f>
        <v>#VALUE!</v>
      </c>
      <c r="GC134" t="e">
        <f>'2.5.Трудоемкость'!CC10+"BYw!'DK"</f>
        <v>#VALUE!</v>
      </c>
      <c r="GD134" t="e">
        <f>'2.5.Трудоемкость'!CD10+"BYw!'DL"</f>
        <v>#VALUE!</v>
      </c>
      <c r="GE134" t="e">
        <f>'2.5.Трудоемкость'!CE10+"BYw!'DM"</f>
        <v>#VALUE!</v>
      </c>
      <c r="GF134" t="e">
        <f>'2.5.Трудоемкость'!CF10+"BYw!'DN"</f>
        <v>#VALUE!</v>
      </c>
      <c r="GG134" t="e">
        <f>'2.5.Трудоемкость'!CG10+"BYw!'DO"</f>
        <v>#VALUE!</v>
      </c>
      <c r="GH134" t="e">
        <f>'2.5.Трудоемкость'!CH10+"BYw!'DP"</f>
        <v>#VALUE!</v>
      </c>
      <c r="GI134" t="e">
        <f>'2.5.Трудоемкость'!CI10+"BYw!'DQ"</f>
        <v>#VALUE!</v>
      </c>
      <c r="GJ134" t="e">
        <f>'2.5.Трудоемкость'!CJ10+"BYw!'DR"</f>
        <v>#VALUE!</v>
      </c>
      <c r="GK134" t="e">
        <f>'2.5.Трудоемкость'!CK10+"BYw!'DS"</f>
        <v>#VALUE!</v>
      </c>
      <c r="GL134" t="e">
        <f>'2.5.Трудоемкость'!CL10+"BYw!'DT"</f>
        <v>#VALUE!</v>
      </c>
      <c r="GM134" t="e">
        <f>'2.5.Трудоемкость'!CM10+"BYw!'DU"</f>
        <v>#VALUE!</v>
      </c>
      <c r="GN134" t="e">
        <f>'2.5.Трудоемкость'!CN10+"BYw!'DV"</f>
        <v>#VALUE!</v>
      </c>
      <c r="GO134" t="e">
        <f>'2.5.Трудоемкость'!CO10+"BYw!'DW"</f>
        <v>#VALUE!</v>
      </c>
      <c r="GP134" t="e">
        <f>'2.5.Трудоемкость'!CP10+"BYw!'DX"</f>
        <v>#VALUE!</v>
      </c>
      <c r="GQ134" t="e">
        <f>'2.5.Трудоемкость'!CQ10+"BYw!'DY"</f>
        <v>#VALUE!</v>
      </c>
      <c r="GR134" t="e">
        <f>'2.5.Трудоемкость'!CR10+"BYw!'DZ"</f>
        <v>#VALUE!</v>
      </c>
      <c r="GS134" t="e">
        <f>'2.5.Трудоемкость'!CS10+"BYw!'D["</f>
        <v>#VALUE!</v>
      </c>
      <c r="GT134" t="e">
        <f>'2.5.Трудоемкость'!CT10+"BYw!'D\"</f>
        <v>#VALUE!</v>
      </c>
      <c r="GU134" t="e">
        <f>'2.5.Трудоемкость'!CU10+"BYw!'D]"</f>
        <v>#VALUE!</v>
      </c>
      <c r="GV134" t="e">
        <f>'2.5.Трудоемкость'!CV10+"BYw!'D^"</f>
        <v>#VALUE!</v>
      </c>
      <c r="GW134" t="e">
        <f>'2.5.Трудоемкость'!CW10+"BYw!'D_"</f>
        <v>#VALUE!</v>
      </c>
      <c r="GX134" t="e">
        <f>'2.5.Трудоемкость'!CX10+"BYw!'D`"</f>
        <v>#VALUE!</v>
      </c>
      <c r="GY134" t="e">
        <f>'2.5.Трудоемкость'!CY10+"BYw!'Da"</f>
        <v>#VALUE!</v>
      </c>
      <c r="GZ134" t="e">
        <f>'2.5.Трудоемкость'!CZ10+"BYw!'Db"</f>
        <v>#VALUE!</v>
      </c>
      <c r="HA134" t="e">
        <f>'2.5.Трудоемкость'!DA10+"BYw!'Dc"</f>
        <v>#VALUE!</v>
      </c>
      <c r="HB134" t="e">
        <f>'2.5.Трудоемкость'!DB10+"BYw!'Dd"</f>
        <v>#VALUE!</v>
      </c>
      <c r="HC134" t="e">
        <f>'2.5.Трудоемкость'!DC10+"BYw!'De"</f>
        <v>#VALUE!</v>
      </c>
      <c r="HD134" t="e">
        <f>'2.5.Трудоемкость'!DD10+"BYw!'Df"</f>
        <v>#VALUE!</v>
      </c>
      <c r="HE134" t="e">
        <f>'2.5.Трудоемкость'!DE10+"BYw!'Dg"</f>
        <v>#VALUE!</v>
      </c>
      <c r="HF134" t="e">
        <f>'2.5.Трудоемкость'!DF10+"BYw!'Dh"</f>
        <v>#VALUE!</v>
      </c>
      <c r="HG134" t="e">
        <f>'2.5.Трудоемкость'!DG10+"BYw!'Di"</f>
        <v>#VALUE!</v>
      </c>
      <c r="HH134" t="e">
        <f>'2.5.Трудоемкость'!DH10+"BYw!'Dj"</f>
        <v>#VALUE!</v>
      </c>
      <c r="HI134" t="e">
        <f>'2.5.Трудоемкость'!DI10+"BYw!'Dk"</f>
        <v>#VALUE!</v>
      </c>
      <c r="HJ134" t="e">
        <f>'2.5.Трудоемкость'!DJ10+"BYw!'Dl"</f>
        <v>#VALUE!</v>
      </c>
      <c r="HK134" t="e">
        <f>'2.5.Трудоемкость'!DK10+"BYw!'Dm"</f>
        <v>#VALUE!</v>
      </c>
      <c r="HL134" t="e">
        <f>'2.5.Трудоемкость'!DL10+"BYw!'Dn"</f>
        <v>#VALUE!</v>
      </c>
      <c r="HM134" t="e">
        <f>'2.5.Трудоемкость'!DM10+"BYw!'Do"</f>
        <v>#VALUE!</v>
      </c>
      <c r="HN134" t="e">
        <f>'2.5.Трудоемкость'!DN10+"BYw!'Dp"</f>
        <v>#VALUE!</v>
      </c>
      <c r="HO134" t="e">
        <f>'2.5.Трудоемкость'!DO10+"BYw!'Dq"</f>
        <v>#VALUE!</v>
      </c>
      <c r="HP134" t="e">
        <f>'2.5.Трудоемкость'!DP10+"BYw!'Dr"</f>
        <v>#VALUE!</v>
      </c>
      <c r="HQ134" t="e">
        <f>'2.5.Трудоемкость'!DQ10+"BYw!'Ds"</f>
        <v>#VALUE!</v>
      </c>
      <c r="HR134" t="e">
        <f>'2.5.Трудоемкость'!DR10+"BYw!'Dt"</f>
        <v>#VALUE!</v>
      </c>
      <c r="HS134" t="e">
        <f>'2.5.Трудоемкость'!DS10+"BYw!'Du"</f>
        <v>#VALUE!</v>
      </c>
      <c r="HT134" t="e">
        <f>'2.5.Трудоемкость'!DT10+"BYw!'Dv"</f>
        <v>#VALUE!</v>
      </c>
      <c r="HU134" t="e">
        <f>'2.5.Трудоемкость'!DU10+"BYw!'Dw"</f>
        <v>#VALUE!</v>
      </c>
      <c r="HV134" t="e">
        <f>'2.5.Трудоемкость'!DV10+"BYw!'Dx"</f>
        <v>#VALUE!</v>
      </c>
      <c r="HW134" t="e">
        <f>'2.5.Трудоемкость'!DW10+"BYw!'Dy"</f>
        <v>#VALUE!</v>
      </c>
      <c r="HX134" t="e">
        <f>'2.5.Трудоемкость'!DX10+"BYw!'Dz"</f>
        <v>#VALUE!</v>
      </c>
      <c r="HY134" t="e">
        <f>'2.5.Трудоемкость'!DY10+"BYw!'D{"</f>
        <v>#VALUE!</v>
      </c>
      <c r="HZ134" t="e">
        <f>'2.5.Трудоемкость'!DZ10+"BYw!'D|"</f>
        <v>#VALUE!</v>
      </c>
      <c r="IA134" t="e">
        <f>'2.5.Трудоемкость'!EA10+"BYw!'D}"</f>
        <v>#VALUE!</v>
      </c>
      <c r="IB134" t="e">
        <f>'2.5.Трудоемкость'!EB10+"BYw!'D~"</f>
        <v>#VALUE!</v>
      </c>
      <c r="IC134" t="e">
        <f>'2.5.Трудоемкость'!EC10+"BYw!'E#"</f>
        <v>#VALUE!</v>
      </c>
      <c r="ID134" t="e">
        <f>'2.5.Трудоемкость'!ED10+"BYw!'E$"</f>
        <v>#VALUE!</v>
      </c>
      <c r="IE134" t="e">
        <f>'2.5.Трудоемкость'!EE10+"BYw!'E%"</f>
        <v>#VALUE!</v>
      </c>
      <c r="IF134" t="e">
        <f>'2.5.Трудоемкость'!EF10+"BYw!'E&amp;"</f>
        <v>#VALUE!</v>
      </c>
      <c r="IG134" t="e">
        <f>'2.5.Трудоемкость'!EG10+"BYw!'E'"</f>
        <v>#VALUE!</v>
      </c>
      <c r="IH134" t="e">
        <f>'2.5.Трудоемкость'!EH10+"BYw!'E("</f>
        <v>#VALUE!</v>
      </c>
      <c r="II134" t="e">
        <f>'2.5.Трудоемкость'!EI10+"BYw!'E)"</f>
        <v>#VALUE!</v>
      </c>
      <c r="IJ134" t="e">
        <f>'2.5.Трудоемкость'!EJ10+"BYw!'E."</f>
        <v>#VALUE!</v>
      </c>
      <c r="IK134" t="e">
        <f>'2.5.Трудоемкость'!EK10+"BYw!'E/"</f>
        <v>#VALUE!</v>
      </c>
      <c r="IL134" t="e">
        <f>'2.5.Трудоемкость'!EL10+"BYw!'E0"</f>
        <v>#VALUE!</v>
      </c>
      <c r="IM134" t="e">
        <f>'2.5.Трудоемкость'!EM10+"BYw!'E1"</f>
        <v>#VALUE!</v>
      </c>
      <c r="IN134" t="e">
        <f>'2.5.Трудоемкость'!EN10+"BYw!'E2"</f>
        <v>#VALUE!</v>
      </c>
      <c r="IO134" t="e">
        <f>'2.5.Трудоемкость'!EO10+"BYw!'E3"</f>
        <v>#VALUE!</v>
      </c>
      <c r="IP134" t="e">
        <f>'2.5.Трудоемкость'!EP10+"BYw!'E4"</f>
        <v>#VALUE!</v>
      </c>
      <c r="IQ134" t="e">
        <f>'2.5.Трудоемкость'!EQ10+"BYw!'E5"</f>
        <v>#VALUE!</v>
      </c>
      <c r="IR134" t="e">
        <f>'2.5.Трудоемкость'!ER10+"BYw!'E6"</f>
        <v>#VALUE!</v>
      </c>
      <c r="IS134" t="e">
        <f>'2.5.Трудоемкость'!ES10+"BYw!'E7"</f>
        <v>#VALUE!</v>
      </c>
      <c r="IT134" t="e">
        <f>'2.5.Трудоемкость'!ET10+"BYw!'E8"</f>
        <v>#VALUE!</v>
      </c>
      <c r="IU134" t="e">
        <f>'2.5.Трудоемкость'!EU10+"BYw!'E9"</f>
        <v>#VALUE!</v>
      </c>
      <c r="IV134" t="e">
        <f>'2.5.Трудоемкость'!EV10+"BYw!'E:"</f>
        <v>#VALUE!</v>
      </c>
    </row>
    <row r="135" spans="6:256" x14ac:dyDescent="0.2">
      <c r="F135" t="e">
        <f>'2.5.Трудоемкость'!EW10+"BYw!'E;"</f>
        <v>#VALUE!</v>
      </c>
      <c r="G135" t="e">
        <f>'2.5.Трудоемкость'!EX10+"BYw!'E&lt;"</f>
        <v>#VALUE!</v>
      </c>
      <c r="H135" t="e">
        <f>'2.5.Трудоемкость'!EY10+"BYw!'E="</f>
        <v>#VALUE!</v>
      </c>
      <c r="I135" t="e">
        <f>'2.5.Трудоемкость'!EZ10+"BYw!'E&gt;"</f>
        <v>#VALUE!</v>
      </c>
      <c r="J135" t="e">
        <f>'2.5.Трудоемкость'!FA10+"BYw!'E?"</f>
        <v>#VALUE!</v>
      </c>
      <c r="K135" t="e">
        <f>'2.5.Трудоемкость'!FB10+"BYw!'E@"</f>
        <v>#VALUE!</v>
      </c>
      <c r="L135" t="e">
        <f>'2.5.Трудоемкость'!FC10+"BYw!'EA"</f>
        <v>#VALUE!</v>
      </c>
      <c r="M135" t="e">
        <f>'2.5.Трудоемкость'!FD10+"BYw!'EB"</f>
        <v>#VALUE!</v>
      </c>
      <c r="N135" t="e">
        <f>'2.5.Трудоемкость'!FE10+"BYw!'EC"</f>
        <v>#VALUE!</v>
      </c>
      <c r="O135" t="e">
        <f>'2.5.Трудоемкость'!FF10+"BYw!'ED"</f>
        <v>#VALUE!</v>
      </c>
      <c r="P135" t="e">
        <f>'2.5.Трудоемкость'!FG10+"BYw!'EE"</f>
        <v>#VALUE!</v>
      </c>
      <c r="Q135" t="e">
        <f>'2.5.Трудоемкость'!FH10+"BYw!'EF"</f>
        <v>#VALUE!</v>
      </c>
      <c r="R135" t="e">
        <f>'2.5.Трудоемкость'!FI10+"BYw!'EG"</f>
        <v>#VALUE!</v>
      </c>
      <c r="S135" t="e">
        <f>'2.5.Трудоемкость'!FJ10+"BYw!'EH"</f>
        <v>#VALUE!</v>
      </c>
      <c r="T135" t="e">
        <f>'2.5.Трудоемкость'!FK10+"BYw!'EI"</f>
        <v>#VALUE!</v>
      </c>
      <c r="U135" t="e">
        <f>'2.5.Трудоемкость'!FL10+"BYw!'EJ"</f>
        <v>#VALUE!</v>
      </c>
      <c r="V135" t="e">
        <f>'2.5.Трудоемкость'!FM10+"BYw!'EK"</f>
        <v>#VALUE!</v>
      </c>
      <c r="W135" t="e">
        <f>'2.5.Трудоемкость'!FN10+"BYw!'EL"</f>
        <v>#VALUE!</v>
      </c>
      <c r="X135" t="e">
        <f>'2.5.Трудоемкость'!FO10+"BYw!'EM"</f>
        <v>#VALUE!</v>
      </c>
      <c r="Y135" t="e">
        <f>'2.5.Трудоемкость'!FP10+"BYw!'EN"</f>
        <v>#VALUE!</v>
      </c>
      <c r="Z135" t="e">
        <f>'2.5.Трудоемкость'!FQ10+"BYw!'EO"</f>
        <v>#VALUE!</v>
      </c>
      <c r="AA135" t="e">
        <f>'2.5.Трудоемкость'!FR10+"BYw!'EP"</f>
        <v>#VALUE!</v>
      </c>
      <c r="AB135" t="e">
        <f>'2.5.Трудоемкость'!FS10+"BYw!'EQ"</f>
        <v>#VALUE!</v>
      </c>
      <c r="AC135" t="e">
        <f>'2.5.Трудоемкость'!FT10+"BYw!'ER"</f>
        <v>#VALUE!</v>
      </c>
      <c r="AD135" t="e">
        <f>'2.5.Трудоемкость'!FU10+"BYw!'ES"</f>
        <v>#VALUE!</v>
      </c>
      <c r="AE135" t="e">
        <f>'2.5.Трудоемкость'!FV10+"BYw!'ET"</f>
        <v>#VALUE!</v>
      </c>
      <c r="AF135" t="e">
        <f>'2.5.Трудоемкость'!FW10+"BYw!'EU"</f>
        <v>#VALUE!</v>
      </c>
      <c r="AG135" t="e">
        <f>'2.5.Трудоемкость'!FX10+"BYw!'EV"</f>
        <v>#VALUE!</v>
      </c>
      <c r="AH135" t="e">
        <f>'2.5.Трудоемкость'!FY10+"BYw!'EW"</f>
        <v>#VALUE!</v>
      </c>
      <c r="AI135" t="e">
        <f>'2.5.Трудоемкость'!FZ10+"BYw!'EX"</f>
        <v>#VALUE!</v>
      </c>
      <c r="AJ135" t="e">
        <f>'2.5.Трудоемкость'!GA10+"BYw!'EY"</f>
        <v>#VALUE!</v>
      </c>
      <c r="AK135" t="e">
        <f>'2.5.Трудоемкость'!GB10+"BYw!'EZ"</f>
        <v>#VALUE!</v>
      </c>
      <c r="AL135" t="e">
        <f>'2.5.Трудоемкость'!GC10+"BYw!'E["</f>
        <v>#VALUE!</v>
      </c>
      <c r="AM135" t="e">
        <f>'2.5.Трудоемкость'!GD10+"BYw!'E\"</f>
        <v>#VALUE!</v>
      </c>
      <c r="AN135" t="e">
        <f>'2.5.Трудоемкость'!GE10+"BYw!'E]"</f>
        <v>#VALUE!</v>
      </c>
      <c r="AO135" t="e">
        <f>'2.5.Трудоемкость'!GF10+"BYw!'E^"</f>
        <v>#VALUE!</v>
      </c>
      <c r="AP135" t="e">
        <f>'2.5.Трудоемкость'!GG10+"BYw!'E_"</f>
        <v>#VALUE!</v>
      </c>
      <c r="AQ135" t="e">
        <f>'2.5.Трудоемкость'!GH10+"BYw!'E`"</f>
        <v>#VALUE!</v>
      </c>
      <c r="AR135" t="e">
        <f>'2.5.Трудоемкость'!GI10+"BYw!'Ea"</f>
        <v>#VALUE!</v>
      </c>
      <c r="AS135" t="e">
        <f>'2.5.Трудоемкость'!GJ10+"BYw!'Eb"</f>
        <v>#VALUE!</v>
      </c>
      <c r="AT135" t="e">
        <f>'2.5.Трудоемкость'!GK10+"BYw!'Ec"</f>
        <v>#VALUE!</v>
      </c>
      <c r="AU135" t="e">
        <f>'2.5.Трудоемкость'!GL10+"BYw!'Ed"</f>
        <v>#VALUE!</v>
      </c>
      <c r="AV135" t="e">
        <f>'2.5.Трудоемкость'!GM10+"BYw!'Ee"</f>
        <v>#VALUE!</v>
      </c>
      <c r="AW135" t="e">
        <f>'2.5.Трудоемкость'!GN10+"BYw!'Ef"</f>
        <v>#VALUE!</v>
      </c>
      <c r="AX135" t="e">
        <f>'2.5.Трудоемкость'!GO10+"BYw!'Eg"</f>
        <v>#VALUE!</v>
      </c>
      <c r="AY135" t="e">
        <f>'2.5.Трудоемкость'!GP10+"BYw!'Eh"</f>
        <v>#VALUE!</v>
      </c>
      <c r="AZ135" t="e">
        <f>'2.5.Трудоемкость'!GQ10+"BYw!'Ei"</f>
        <v>#VALUE!</v>
      </c>
      <c r="BA135" t="e">
        <f>'2.5.Трудоемкость'!GR10+"BYw!'Ej"</f>
        <v>#VALUE!</v>
      </c>
      <c r="BB135" t="e">
        <f>'2.5.Трудоемкость'!GS10+"BYw!'Ek"</f>
        <v>#VALUE!</v>
      </c>
      <c r="BC135" t="e">
        <f>'2.5.Трудоемкость'!GT10+"BYw!'El"</f>
        <v>#VALUE!</v>
      </c>
      <c r="BD135" t="e">
        <f>'2.5.Трудоемкость'!GU10+"BYw!'Em"</f>
        <v>#VALUE!</v>
      </c>
      <c r="BE135" t="e">
        <f>'2.5.Трудоемкость'!GV10+"BYw!'En"</f>
        <v>#VALUE!</v>
      </c>
      <c r="BF135" t="e">
        <f>'2.5.Трудоемкость'!GW10+"BYw!'Eo"</f>
        <v>#VALUE!</v>
      </c>
      <c r="BG135" t="e">
        <f>'2.5.Трудоемкость'!GX10+"BYw!'Ep"</f>
        <v>#VALUE!</v>
      </c>
      <c r="BH135" t="e">
        <f>'2.5.Трудоемкость'!GY10+"BYw!'Eq"</f>
        <v>#VALUE!</v>
      </c>
      <c r="BI135" t="e">
        <f>'2.5.Трудоемкость'!GZ10+"BYw!'Er"</f>
        <v>#VALUE!</v>
      </c>
      <c r="BJ135" t="e">
        <f>'2.5.Трудоемкость'!HA10+"BYw!'Es"</f>
        <v>#VALUE!</v>
      </c>
      <c r="BK135" t="e">
        <f>'2.5.Трудоемкость'!HB10+"BYw!'Et"</f>
        <v>#VALUE!</v>
      </c>
      <c r="BL135" t="e">
        <f>'2.5.Трудоемкость'!HC10+"BYw!'Eu"</f>
        <v>#VALUE!</v>
      </c>
      <c r="BM135" t="e">
        <f>'2.5.Трудоемкость'!HD10+"BYw!'Ev"</f>
        <v>#VALUE!</v>
      </c>
      <c r="BN135" t="e">
        <f>'2.5.Трудоемкость'!HE10+"BYw!'Ew"</f>
        <v>#VALUE!</v>
      </c>
      <c r="BO135" t="e">
        <f>'2.5.Трудоемкость'!HF10+"BYw!'Ex"</f>
        <v>#VALUE!</v>
      </c>
      <c r="BP135" t="e">
        <f>'2.5.Трудоемкость'!HG10+"BYw!'Ey"</f>
        <v>#VALUE!</v>
      </c>
      <c r="BQ135" t="e">
        <f>'2.5.Трудоемкость'!HH10+"BYw!'Ez"</f>
        <v>#VALUE!</v>
      </c>
      <c r="BR135" t="e">
        <f>'2.5.Трудоемкость'!HI10+"BYw!'E{"</f>
        <v>#VALUE!</v>
      </c>
      <c r="BS135" t="e">
        <f>'2.5.Трудоемкость'!HJ10+"BYw!'E|"</f>
        <v>#VALUE!</v>
      </c>
      <c r="BT135" t="e">
        <f>'2.5.Трудоемкость'!HK10+"BYw!'E}"</f>
        <v>#VALUE!</v>
      </c>
      <c r="BU135" t="e">
        <f>'2.5.Трудоемкость'!HL10+"BYw!'E~"</f>
        <v>#VALUE!</v>
      </c>
      <c r="BV135" t="e">
        <f>'2.5.Трудоемкость'!HM10+"BYw!'F#"</f>
        <v>#VALUE!</v>
      </c>
      <c r="BW135" t="e">
        <f>'2.5.Трудоемкость'!HN10+"BYw!'F$"</f>
        <v>#VALUE!</v>
      </c>
      <c r="BX135" t="e">
        <f>'2.5.Трудоемкость'!HO10+"BYw!'F%"</f>
        <v>#VALUE!</v>
      </c>
      <c r="BY135" t="e">
        <f>'2.5.Трудоемкость'!HP10+"BYw!'F&amp;"</f>
        <v>#VALUE!</v>
      </c>
      <c r="BZ135" t="e">
        <f>'2.5.Трудоемкость'!HQ10+"BYw!'F'"</f>
        <v>#VALUE!</v>
      </c>
      <c r="CA135" t="e">
        <f>'2.5.Трудоемкость'!HR10+"BYw!'F("</f>
        <v>#VALUE!</v>
      </c>
      <c r="CB135" t="e">
        <f>'2.5.Трудоемкость'!HS10+"BYw!'F)"</f>
        <v>#VALUE!</v>
      </c>
      <c r="CC135" t="e">
        <f>'2.5.Трудоемкость'!HT10+"BYw!'F."</f>
        <v>#VALUE!</v>
      </c>
      <c r="CD135" t="e">
        <f>'2.5.Трудоемкость'!HU10+"BYw!'F/"</f>
        <v>#VALUE!</v>
      </c>
      <c r="CE135" t="e">
        <f>'2.5.Трудоемкость'!HV10+"BYw!'F0"</f>
        <v>#VALUE!</v>
      </c>
      <c r="CF135" t="e">
        <f>'2.5.Трудоемкость'!HW10+"BYw!'F1"</f>
        <v>#VALUE!</v>
      </c>
      <c r="CG135" t="e">
        <f>'2.5.Трудоемкость'!HX10+"BYw!'F2"</f>
        <v>#VALUE!</v>
      </c>
      <c r="CH135" t="e">
        <f>'2.5.Трудоемкость'!HY10+"BYw!'F3"</f>
        <v>#VALUE!</v>
      </c>
      <c r="CI135" t="e">
        <f>'2.5.Трудоемкость'!HZ10+"BYw!'F4"</f>
        <v>#VALUE!</v>
      </c>
      <c r="CJ135" t="e">
        <f>'2.5.Трудоемкость'!IA10+"BYw!'F5"</f>
        <v>#VALUE!</v>
      </c>
      <c r="CK135" t="e">
        <f>'2.5.Трудоемкость'!IB10+"BYw!'F6"</f>
        <v>#VALUE!</v>
      </c>
      <c r="CL135" t="e">
        <f>'2.5.Трудоемкость'!IC10+"BYw!'F7"</f>
        <v>#VALUE!</v>
      </c>
      <c r="CM135" t="e">
        <f>'2.5.Трудоемкость'!ID10+"BYw!'F8"</f>
        <v>#VALUE!</v>
      </c>
      <c r="CN135" t="e">
        <f>'2.5.Трудоемкость'!IE10+"BYw!'F9"</f>
        <v>#VALUE!</v>
      </c>
      <c r="CO135" t="e">
        <f>'2.5.Трудоемкость'!IF10+"BYw!'F:"</f>
        <v>#VALUE!</v>
      </c>
      <c r="CP135" t="e">
        <f>'2.5.Трудоемкость'!IG10+"BYw!'F;"</f>
        <v>#VALUE!</v>
      </c>
      <c r="CQ135" t="e">
        <f>'2.5.Трудоемкость'!IH10+"BYw!'F&lt;"</f>
        <v>#VALUE!</v>
      </c>
      <c r="CR135" t="e">
        <f>'2.5.Трудоемкость'!II10+"BYw!'F="</f>
        <v>#VALUE!</v>
      </c>
      <c r="CS135" t="e">
        <f>'2.5.Трудоемкость'!IJ10+"BYw!'F&gt;"</f>
        <v>#VALUE!</v>
      </c>
      <c r="CT135" t="e">
        <f>'2.5.Трудоемкость'!IK10+"BYw!'F?"</f>
        <v>#VALUE!</v>
      </c>
      <c r="CU135" t="e">
        <f>'2.5.Трудоемкость'!IL10+"BYw!'F@"</f>
        <v>#VALUE!</v>
      </c>
      <c r="CV135" t="e">
        <f>'2.5.Трудоемкость'!IM10+"BYw!'FA"</f>
        <v>#VALUE!</v>
      </c>
      <c r="CW135" t="e">
        <f>'2.5.Трудоемкость'!IN10+"BYw!'FB"</f>
        <v>#VALUE!</v>
      </c>
      <c r="CX135" t="e">
        <f>'2.5.Трудоемкость'!IO10+"BYw!'FC"</f>
        <v>#VALUE!</v>
      </c>
      <c r="CY135" t="e">
        <f>'2.5.Трудоемкость'!IP10+"BYw!'FD"</f>
        <v>#VALUE!</v>
      </c>
      <c r="CZ135" t="e">
        <f>'2.5.Трудоемкость'!IQ10+"BYw!'FE"</f>
        <v>#VALUE!</v>
      </c>
      <c r="DA135" t="e">
        <f>'2.5.Трудоемкость'!IR10+"BYw!'FF"</f>
        <v>#VALUE!</v>
      </c>
      <c r="DB135" t="e">
        <f>'2.5.Трудоемкость'!IS10+"BYw!'FG"</f>
        <v>#VALUE!</v>
      </c>
      <c r="DC135" t="e">
        <f>'2.5.Трудоемкость'!IT10+"BYw!'FH"</f>
        <v>#VALUE!</v>
      </c>
      <c r="DD135" t="e">
        <f>'2.5.Трудоемкость'!IU10+"BYw!'FI"</f>
        <v>#VALUE!</v>
      </c>
      <c r="DE135" t="e">
        <f>'2.5.Трудоемкость'!IV10+"BYw!'FJ"</f>
        <v>#VALUE!</v>
      </c>
      <c r="DF135" t="e">
        <f>'2.5.Трудоемкость'!IW10+"BYw!'FK"</f>
        <v>#VALUE!</v>
      </c>
      <c r="DG135" t="e">
        <f>'2.5.Трудоемкость'!IX10+"BYw!'FL"</f>
        <v>#VALUE!</v>
      </c>
      <c r="DH135" t="e">
        <f>'2.5.Трудоемкость'!IY10+"BYw!'FM"</f>
        <v>#VALUE!</v>
      </c>
      <c r="DI135" t="e">
        <f>'2.5.Трудоемкость'!IZ10+"BYw!'FN"</f>
        <v>#VALUE!</v>
      </c>
      <c r="DJ135" t="e">
        <f>'2.5.Трудоемкость'!JA10+"BYw!'FO"</f>
        <v>#VALUE!</v>
      </c>
      <c r="DK135" t="e">
        <f>'2.5.Трудоемкость'!JB10+"BYw!'FP"</f>
        <v>#VALUE!</v>
      </c>
      <c r="DL135" t="e">
        <f>'2.5.Трудоемкость'!JC10+"BYw!'FQ"</f>
        <v>#VALUE!</v>
      </c>
      <c r="DM135" t="e">
        <f>'2.5.Трудоемкость'!JD10+"BYw!'FR"</f>
        <v>#VALUE!</v>
      </c>
      <c r="DN135" t="e">
        <f>'2.5.Трудоемкость'!JE10+"BYw!'FS"</f>
        <v>#VALUE!</v>
      </c>
      <c r="DO135" t="e">
        <f>'2.5.Трудоемкость'!JF10+"BYw!'FT"</f>
        <v>#VALUE!</v>
      </c>
      <c r="DP135" t="e">
        <f>'2.5.Трудоемкость'!JG10+"BYw!'FU"</f>
        <v>#VALUE!</v>
      </c>
      <c r="DQ135" t="e">
        <f>'2.5.Трудоемкость'!JH10+"BYw!'FV"</f>
        <v>#VALUE!</v>
      </c>
      <c r="DR135" t="e">
        <f>'2.5.Трудоемкость'!JI10+"BYw!'FW"</f>
        <v>#VALUE!</v>
      </c>
      <c r="DS135" t="e">
        <f>'2.5.Трудоемкость'!JJ10+"BYw!'FX"</f>
        <v>#VALUE!</v>
      </c>
      <c r="DT135" t="e">
        <f>'2.5.Трудоемкость'!JK10+"BYw!'FY"</f>
        <v>#VALUE!</v>
      </c>
      <c r="DU135" t="e">
        <f>'2.5.Трудоемкость'!JL10+"BYw!'FZ"</f>
        <v>#VALUE!</v>
      </c>
      <c r="DV135" t="e">
        <f>'2.5.Трудоемкость'!JM10+"BYw!'F["</f>
        <v>#VALUE!</v>
      </c>
      <c r="DW135" t="e">
        <f>'2.5.Трудоемкость'!JN10+"BYw!'F\"</f>
        <v>#VALUE!</v>
      </c>
      <c r="DX135" t="e">
        <f>'2.5.Трудоемкость'!JO10+"BYw!'F]"</f>
        <v>#VALUE!</v>
      </c>
      <c r="DY135" t="e">
        <f>'2.5.Трудоемкость'!JP10+"BYw!'F^"</f>
        <v>#VALUE!</v>
      </c>
      <c r="DZ135" t="e">
        <f>'2.5.Трудоемкость'!JQ10+"BYw!'F_"</f>
        <v>#VALUE!</v>
      </c>
      <c r="EA135" t="e">
        <f>'2.5.Трудоемкость'!JR10+"BYw!'F`"</f>
        <v>#VALUE!</v>
      </c>
      <c r="EB135" t="e">
        <f>'2.5.Трудоемкость'!JS10+"BYw!'Fa"</f>
        <v>#VALUE!</v>
      </c>
      <c r="EC135" t="e">
        <f>'2.5.Трудоемкость'!JT10+"BYw!'Fb"</f>
        <v>#VALUE!</v>
      </c>
      <c r="ED135" t="e">
        <f>'2.5.Трудоемкость'!JU10+"BYw!'Fc"</f>
        <v>#VALUE!</v>
      </c>
      <c r="EE135" t="e">
        <f>'2.5.Трудоемкость'!JV10+"BYw!'Fd"</f>
        <v>#VALUE!</v>
      </c>
      <c r="EF135" t="e">
        <f>'2.5.Трудоемкость'!JW10+"BYw!'Fe"</f>
        <v>#VALUE!</v>
      </c>
      <c r="EG135" t="e">
        <f>'2.5.Трудоемкость'!JX10+"BYw!'Ff"</f>
        <v>#VALUE!</v>
      </c>
      <c r="EH135" t="e">
        <f>'2.5.Трудоемкость'!JY10+"BYw!'Fg"</f>
        <v>#VALUE!</v>
      </c>
      <c r="EI135" t="e">
        <f>'2.5.Трудоемкость'!JZ10+"BYw!'Fh"</f>
        <v>#VALUE!</v>
      </c>
      <c r="EJ135" t="e">
        <f>'2.5.Трудоемкость'!KA10+"BYw!'Fi"</f>
        <v>#VALUE!</v>
      </c>
      <c r="EK135" t="e">
        <f>'2.5.Трудоемкость'!KB10+"BYw!'Fj"</f>
        <v>#VALUE!</v>
      </c>
      <c r="EL135" t="e">
        <f>'2.5.Трудоемкость'!KC10+"BYw!'Fk"</f>
        <v>#VALUE!</v>
      </c>
      <c r="EM135" t="e">
        <f>'2.5.Трудоемкость'!KD10+"BYw!'Fl"</f>
        <v>#VALUE!</v>
      </c>
      <c r="EN135" t="e">
        <f>'2.5.Трудоемкость'!KE10+"BYw!'Fm"</f>
        <v>#VALUE!</v>
      </c>
      <c r="EO135" t="e">
        <f>'2.5.Трудоемкость'!KF10+"BYw!'Fn"</f>
        <v>#VALUE!</v>
      </c>
      <c r="EP135" t="e">
        <f>'2.5.Трудоемкость'!KG10+"BYw!'Fo"</f>
        <v>#VALUE!</v>
      </c>
      <c r="EQ135" t="e">
        <f>'2.5.Трудоемкость'!KH10+"BYw!'Fp"</f>
        <v>#VALUE!</v>
      </c>
      <c r="ER135" t="e">
        <f>'2.5.Трудоемкость'!KI10+"BYw!'Fq"</f>
        <v>#VALUE!</v>
      </c>
      <c r="ES135" t="e">
        <f>'2.5.Трудоемкость'!KJ10+"BYw!'Fr"</f>
        <v>#VALUE!</v>
      </c>
      <c r="ET135" t="e">
        <f>'2.5.Трудоемкость'!KK10+"BYw!'Fs"</f>
        <v>#VALUE!</v>
      </c>
      <c r="EU135" t="e">
        <f>'2.5.Трудоемкость'!KL10+"BYw!'Ft"</f>
        <v>#VALUE!</v>
      </c>
      <c r="EV135" t="e">
        <f>'2.5.Трудоемкость'!KM10+"BYw!'Fu"</f>
        <v>#VALUE!</v>
      </c>
      <c r="EW135" t="e">
        <f>'2.5.Трудоемкость'!KN10+"BYw!'Fv"</f>
        <v>#VALUE!</v>
      </c>
      <c r="EX135" t="e">
        <f>'2.5.Трудоемкость'!KO10+"BYw!'Fw"</f>
        <v>#VALUE!</v>
      </c>
      <c r="EY135" t="e">
        <f>'2.5.Трудоемкость'!KP10+"BYw!'Fx"</f>
        <v>#VALUE!</v>
      </c>
      <c r="EZ135" t="e">
        <f>'2.5.Трудоемкость'!KQ10+"BYw!'Fy"</f>
        <v>#VALUE!</v>
      </c>
      <c r="FA135" t="e">
        <f>'2.5.Трудоемкость'!KR10+"BYw!'Fz"</f>
        <v>#VALUE!</v>
      </c>
      <c r="FB135" t="e">
        <f>'2.5.Трудоемкость'!KS10+"BYw!'F{"</f>
        <v>#VALUE!</v>
      </c>
      <c r="FC135" t="e">
        <f>'2.5.Трудоемкость'!KT10+"BYw!'F|"</f>
        <v>#VALUE!</v>
      </c>
      <c r="FD135" t="e">
        <f>'2.5.Трудоемкость'!KU10+"BYw!'F}"</f>
        <v>#VALUE!</v>
      </c>
      <c r="FE135" t="e">
        <f>'2.5.Трудоемкость'!KV10+"BYw!'F~"</f>
        <v>#VALUE!</v>
      </c>
      <c r="FF135" t="e">
        <f>'2.5.Трудоемкость'!KW10+"BYw!'G#"</f>
        <v>#VALUE!</v>
      </c>
      <c r="FG135" t="e">
        <f>'2.5.Трудоемкость'!KX10+"BYw!'G$"</f>
        <v>#VALUE!</v>
      </c>
      <c r="FH135" t="e">
        <f>'2.5.Трудоемкость'!KY10+"BYw!'G%"</f>
        <v>#VALUE!</v>
      </c>
      <c r="FI135" t="e">
        <f>'2.5.Трудоемкость'!KZ10+"BYw!'G&amp;"</f>
        <v>#VALUE!</v>
      </c>
      <c r="FJ135" t="e">
        <f>'2.5.Трудоемкость'!LA10+"BYw!'G'"</f>
        <v>#VALUE!</v>
      </c>
      <c r="FK135" t="e">
        <f>'2.5.Трудоемкость'!LB10+"BYw!'G("</f>
        <v>#VALUE!</v>
      </c>
      <c r="FL135" t="e">
        <f>'2.5.Трудоемкость'!LC10+"BYw!'G)"</f>
        <v>#VALUE!</v>
      </c>
      <c r="FM135" t="e">
        <f>'2.5.Трудоемкость'!LD10+"BYw!'G."</f>
        <v>#VALUE!</v>
      </c>
      <c r="FN135" t="e">
        <f>'2.5.Трудоемкость'!LE10+"BYw!'G/"</f>
        <v>#VALUE!</v>
      </c>
      <c r="FO135" t="e">
        <f>'2.5.Трудоемкость'!LF10+"BYw!'G0"</f>
        <v>#VALUE!</v>
      </c>
      <c r="FP135" t="e">
        <f>'2.5.Трудоемкость'!LG10+"BYw!'G1"</f>
        <v>#VALUE!</v>
      </c>
      <c r="FQ135" t="e">
        <f>'2.5.Трудоемкость'!LH10+"BYw!'G2"</f>
        <v>#VALUE!</v>
      </c>
      <c r="FR135" t="e">
        <f>'2.5.Трудоемкость'!LI10+"BYw!'G3"</f>
        <v>#VALUE!</v>
      </c>
      <c r="FS135" t="e">
        <f>'2.5.Трудоемкость'!LJ10+"BYw!'G4"</f>
        <v>#VALUE!</v>
      </c>
      <c r="FT135" t="e">
        <f>'2.5.Трудоемкость'!LK10+"BYw!'G5"</f>
        <v>#VALUE!</v>
      </c>
      <c r="FU135" t="e">
        <f>'2.5.Трудоемкость'!LL10+"BYw!'G6"</f>
        <v>#VALUE!</v>
      </c>
      <c r="FV135" t="e">
        <f>'2.5.Трудоемкость'!LM10+"BYw!'G7"</f>
        <v>#VALUE!</v>
      </c>
      <c r="FW135" t="e">
        <f>'2.5.Трудоемкость'!LN10+"BYw!'G8"</f>
        <v>#VALUE!</v>
      </c>
      <c r="FX135" t="e">
        <f>'2.5.Трудоемкость'!LO10+"BYw!'G9"</f>
        <v>#VALUE!</v>
      </c>
      <c r="FY135" t="e">
        <f>'2.5.Трудоемкость'!LP10+"BYw!'G:"</f>
        <v>#VALUE!</v>
      </c>
      <c r="FZ135" t="e">
        <f>'2.5.Трудоемкость'!LQ10+"BYw!'G;"</f>
        <v>#VALUE!</v>
      </c>
      <c r="GA135" t="e">
        <f>'2.5.Трудоемкость'!LR10+"BYw!'G&lt;"</f>
        <v>#VALUE!</v>
      </c>
      <c r="GB135" t="e">
        <f>'2.5.Трудоемкость'!LS10+"BYw!'G="</f>
        <v>#VALUE!</v>
      </c>
      <c r="GC135" t="e">
        <f>'2.5.Трудоемкость'!LT10+"BYw!'G&gt;"</f>
        <v>#VALUE!</v>
      </c>
      <c r="GD135" t="e">
        <f>'2.5.Трудоемкость'!LU10+"BYw!'G?"</f>
        <v>#VALUE!</v>
      </c>
      <c r="GE135" t="e">
        <f>'2.5.Трудоемкость'!LV10+"BYw!'G@"</f>
        <v>#VALUE!</v>
      </c>
      <c r="GF135" t="e">
        <f>'2.5.Трудоемкость'!LW10+"BYw!'GA"</f>
        <v>#VALUE!</v>
      </c>
      <c r="GG135" t="e">
        <f>'2.5.Трудоемкость'!LX10+"BYw!'GB"</f>
        <v>#VALUE!</v>
      </c>
      <c r="GH135" t="e">
        <f>'2.5.Трудоемкость'!LY10+"BYw!'GC"</f>
        <v>#VALUE!</v>
      </c>
      <c r="GI135" t="e">
        <f>'2.5.Трудоемкость'!LZ10+"BYw!'GD"</f>
        <v>#VALUE!</v>
      </c>
      <c r="GJ135" t="e">
        <f>'2.5.Трудоемкость'!MA10+"BYw!'GE"</f>
        <v>#VALUE!</v>
      </c>
      <c r="GK135" t="e">
        <f>'2.5.Трудоемкость'!MB10+"BYw!'GF"</f>
        <v>#VALUE!</v>
      </c>
      <c r="GL135" t="e">
        <f>'2.5.Трудоемкость'!MC10+"BYw!'GG"</f>
        <v>#VALUE!</v>
      </c>
      <c r="GM135" t="e">
        <f>'2.5.Трудоемкость'!MD10+"BYw!'GH"</f>
        <v>#VALUE!</v>
      </c>
      <c r="GN135" t="e">
        <f>'2.5.Трудоемкость'!ME10+"BYw!'GI"</f>
        <v>#VALUE!</v>
      </c>
      <c r="GO135" t="e">
        <f>'2.5.Трудоемкость'!MF10+"BYw!'GJ"</f>
        <v>#VALUE!</v>
      </c>
      <c r="GP135" t="e">
        <f>'2.5.Трудоемкость'!MG10+"BYw!'GK"</f>
        <v>#VALUE!</v>
      </c>
      <c r="GQ135" t="e">
        <f>'2.5.Трудоемкость'!MH10+"BYw!'GL"</f>
        <v>#VALUE!</v>
      </c>
      <c r="GR135" t="e">
        <f>'2.5.Трудоемкость'!MI10+"BYw!'GM"</f>
        <v>#VALUE!</v>
      </c>
      <c r="GS135" t="e">
        <f>'2.5.Трудоемкость'!MJ10+"BYw!'GN"</f>
        <v>#VALUE!</v>
      </c>
      <c r="GT135" t="e">
        <f>'2.5.Трудоемкость'!MK10+"BYw!'GO"</f>
        <v>#VALUE!</v>
      </c>
      <c r="GU135" t="e">
        <f>'2.5.Трудоемкость'!ML10+"BYw!'GP"</f>
        <v>#VALUE!</v>
      </c>
      <c r="GV135" t="e">
        <f>'2.5.Трудоемкость'!MM10+"BYw!'GQ"</f>
        <v>#VALUE!</v>
      </c>
      <c r="GW135" t="e">
        <f>'2.5.Трудоемкость'!MN10+"BYw!'GR"</f>
        <v>#VALUE!</v>
      </c>
      <c r="GX135" t="e">
        <f>'2.5.Трудоемкость'!MO10+"BYw!'GS"</f>
        <v>#VALUE!</v>
      </c>
      <c r="GY135" t="e">
        <f>'2.5.Трудоемкость'!MP10+"BYw!'GT"</f>
        <v>#VALUE!</v>
      </c>
      <c r="GZ135" t="e">
        <f>'2.5.Трудоемкость'!MQ10+"BYw!'GU"</f>
        <v>#VALUE!</v>
      </c>
      <c r="HA135" t="e">
        <f>'2.5.Трудоемкость'!MR10+"BYw!'GV"</f>
        <v>#VALUE!</v>
      </c>
      <c r="HB135" t="e">
        <f>'2.5.Трудоемкость'!MS10+"BYw!'GW"</f>
        <v>#VALUE!</v>
      </c>
      <c r="HC135" t="e">
        <f>'2.5.Трудоемкость'!MT10+"BYw!'GX"</f>
        <v>#VALUE!</v>
      </c>
      <c r="HD135" t="e">
        <f>'2.5.Трудоемкость'!MU10+"BYw!'GY"</f>
        <v>#VALUE!</v>
      </c>
      <c r="HE135" t="e">
        <f>'2.5.Трудоемкость'!MV10+"BYw!'GZ"</f>
        <v>#VALUE!</v>
      </c>
      <c r="HF135" t="e">
        <f>'2.5.Трудоемкость'!MW10+"BYw!'G["</f>
        <v>#VALUE!</v>
      </c>
      <c r="HG135" t="e">
        <f>'2.5.Трудоемкость'!MX10+"BYw!'G\"</f>
        <v>#VALUE!</v>
      </c>
      <c r="HH135" t="e">
        <f>'2.5.Трудоемкость'!MY10+"BYw!'G]"</f>
        <v>#VALUE!</v>
      </c>
      <c r="HI135" t="e">
        <f>'2.5.Трудоемкость'!MZ10+"BYw!'G^"</f>
        <v>#VALUE!</v>
      </c>
      <c r="HJ135" t="e">
        <f>'2.5.Трудоемкость'!NA10+"BYw!'G_"</f>
        <v>#VALUE!</v>
      </c>
      <c r="HK135" t="e">
        <f>'2.5.Трудоемкость'!NB10+"BYw!'G`"</f>
        <v>#VALUE!</v>
      </c>
      <c r="HL135" t="e">
        <f>'2.5.Трудоемкость'!NC10+"BYw!'Ga"</f>
        <v>#VALUE!</v>
      </c>
      <c r="HM135" t="e">
        <f>'2.5.Трудоемкость'!ND10+"BYw!'Gb"</f>
        <v>#VALUE!</v>
      </c>
      <c r="HN135" t="e">
        <f>'2.5.Трудоемкость'!NE10+"BYw!'Gc"</f>
        <v>#VALUE!</v>
      </c>
      <c r="HO135" t="e">
        <f>'2.5.Трудоемкость'!NF10+"BYw!'Gd"</f>
        <v>#VALUE!</v>
      </c>
      <c r="HP135" t="e">
        <f>'2.5.Трудоемкость'!NG10+"BYw!'Ge"</f>
        <v>#VALUE!</v>
      </c>
      <c r="HQ135" t="e">
        <f>'2.5.Трудоемкость'!NH10+"BYw!'Gf"</f>
        <v>#VALUE!</v>
      </c>
      <c r="HR135" t="e">
        <f>'2.5.Трудоемкость'!NI10+"BYw!'Gg"</f>
        <v>#VALUE!</v>
      </c>
      <c r="HS135" t="e">
        <f>'2.5.Трудоемкость'!NJ10+"BYw!'Gh"</f>
        <v>#VALUE!</v>
      </c>
      <c r="HT135" t="e">
        <f>'2.5.Трудоемкость'!NK10+"BYw!'Gi"</f>
        <v>#VALUE!</v>
      </c>
      <c r="HU135" t="e">
        <f>'2.5.Трудоемкость'!NL10+"BYw!'Gj"</f>
        <v>#VALUE!</v>
      </c>
      <c r="HV135" t="e">
        <f>'2.5.Трудоемкость'!NM10+"BYw!'Gk"</f>
        <v>#VALUE!</v>
      </c>
      <c r="HW135" t="e">
        <f>'2.5.Трудоемкость'!NN10+"BYw!'Gl"</f>
        <v>#VALUE!</v>
      </c>
      <c r="HX135" t="e">
        <f>'2.5.Трудоемкость'!NO10+"BYw!'Gm"</f>
        <v>#VALUE!</v>
      </c>
      <c r="HY135" t="e">
        <f>'2.5.Трудоемкость'!NP10+"BYw!'Gn"</f>
        <v>#VALUE!</v>
      </c>
      <c r="HZ135" t="e">
        <f>'2.5.Трудоемкость'!NQ10+"BYw!'Go"</f>
        <v>#VALUE!</v>
      </c>
      <c r="IA135" t="e">
        <f>'2.5.Трудоемкость'!NR10+"BYw!'Gp"</f>
        <v>#VALUE!</v>
      </c>
      <c r="IB135" t="e">
        <f>'2.5.Трудоемкость'!NS10+"BYw!'Gq"</f>
        <v>#VALUE!</v>
      </c>
      <c r="IC135" t="e">
        <f>'2.5.Трудоемкость'!NT10+"BYw!'Gr"</f>
        <v>#VALUE!</v>
      </c>
      <c r="ID135" t="e">
        <f>'2.5.Трудоемкость'!NU10+"BYw!'Gs"</f>
        <v>#VALUE!</v>
      </c>
      <c r="IE135" t="e">
        <f>'2.5.Трудоемкость'!NV10+"BYw!'Gt"</f>
        <v>#VALUE!</v>
      </c>
      <c r="IF135" t="e">
        <f>'2.5.Трудоемкость'!NW10+"BYw!'Gu"</f>
        <v>#VALUE!</v>
      </c>
      <c r="IG135" t="e">
        <f>'2.5.Трудоемкость'!NX10+"BYw!'Gv"</f>
        <v>#VALUE!</v>
      </c>
      <c r="IH135" t="e">
        <f>'2.5.Трудоемкость'!NY10+"BYw!'Gw"</f>
        <v>#VALUE!</v>
      </c>
      <c r="II135" t="e">
        <f>'2.5.Трудоемкость'!NZ10+"BYw!'Gx"</f>
        <v>#VALUE!</v>
      </c>
      <c r="IJ135" t="e">
        <f>'2.5.Трудоемкость'!OA10+"BYw!'Gy"</f>
        <v>#VALUE!</v>
      </c>
      <c r="IK135" t="e">
        <f>'2.5.Трудоемкость'!OB10+"BYw!'Gz"</f>
        <v>#VALUE!</v>
      </c>
      <c r="IL135" t="e">
        <f>'2.5.Трудоемкость'!OC10+"BYw!'G{"</f>
        <v>#VALUE!</v>
      </c>
      <c r="IM135" t="e">
        <f>'2.5.Трудоемкость'!OD10+"BYw!'G|"</f>
        <v>#VALUE!</v>
      </c>
      <c r="IN135" t="e">
        <f>'2.5.Трудоемкость'!OE10+"BYw!'G}"</f>
        <v>#VALUE!</v>
      </c>
      <c r="IO135" t="e">
        <f>'2.5.Трудоемкость'!OF10+"BYw!'G~"</f>
        <v>#VALUE!</v>
      </c>
      <c r="IP135" t="e">
        <f>'2.5.Трудоемкость'!OG10+"BYw!'H#"</f>
        <v>#VALUE!</v>
      </c>
      <c r="IQ135" t="e">
        <f>'2.5.Трудоемкость'!OH10+"BYw!'H$"</f>
        <v>#VALUE!</v>
      </c>
      <c r="IR135" t="e">
        <f>'2.5.Трудоемкость'!OI10+"BYw!'H%"</f>
        <v>#VALUE!</v>
      </c>
      <c r="IS135" t="e">
        <f>'2.5.Трудоемкость'!OJ10+"BYw!'H&amp;"</f>
        <v>#VALUE!</v>
      </c>
      <c r="IT135" t="e">
        <f>'2.5.Трудоемкость'!OK10+"BYw!'H'"</f>
        <v>#VALUE!</v>
      </c>
      <c r="IU135" t="e">
        <f>'2.5.Трудоемкость'!OL10+"BYw!'H("</f>
        <v>#VALUE!</v>
      </c>
      <c r="IV135" t="e">
        <f>'2.5.Трудоемкость'!OM10+"BYw!'H)"</f>
        <v>#VALUE!</v>
      </c>
    </row>
    <row r="136" spans="6:256" x14ac:dyDescent="0.2">
      <c r="F136" t="e">
        <f>'2.5.Трудоемкость'!ON10+"BYw!'H."</f>
        <v>#VALUE!</v>
      </c>
      <c r="G136" t="e">
        <f>'2.5.Трудоемкость'!OO10+"BYw!'H/"</f>
        <v>#VALUE!</v>
      </c>
      <c r="H136" t="e">
        <f>'2.5.Трудоемкость'!OP10+"BYw!'H0"</f>
        <v>#VALUE!</v>
      </c>
      <c r="I136" t="e">
        <f>'2.5.Трудоемкость'!OQ10+"BYw!'H1"</f>
        <v>#VALUE!</v>
      </c>
      <c r="J136" t="e">
        <f>'2.5.Трудоемкость'!OR10+"BYw!'H2"</f>
        <v>#VALUE!</v>
      </c>
      <c r="K136" t="e">
        <f>'2.5.Трудоемкость'!OS10+"BYw!'H3"</f>
        <v>#VALUE!</v>
      </c>
      <c r="L136" t="e">
        <f>'2.5.Трудоемкость'!OT10+"BYw!'H4"</f>
        <v>#VALUE!</v>
      </c>
      <c r="M136" t="e">
        <f>'2.5.Трудоемкость'!OU10+"BYw!'H5"</f>
        <v>#VALUE!</v>
      </c>
      <c r="N136" t="e">
        <f>'2.5.Трудоемкость'!OV10+"BYw!'H6"</f>
        <v>#VALUE!</v>
      </c>
      <c r="O136" t="e">
        <f>'2.5.Трудоемкость'!OW10+"BYw!'H7"</f>
        <v>#VALUE!</v>
      </c>
      <c r="P136" t="e">
        <f>'2.5.Трудоемкость'!OX10+"BYw!'H8"</f>
        <v>#VALUE!</v>
      </c>
      <c r="Q136" t="e">
        <f>'2.5.Трудоемкость'!OY10+"BYw!'H9"</f>
        <v>#VALUE!</v>
      </c>
      <c r="R136" t="e">
        <f>'2.5.Трудоемкость'!OZ10+"BYw!'H:"</f>
        <v>#VALUE!</v>
      </c>
      <c r="S136" t="e">
        <f>'2.5.Трудоемкость'!PA10+"BYw!'H;"</f>
        <v>#VALUE!</v>
      </c>
      <c r="T136" t="e">
        <f>'2.5.Трудоемкость'!PB10+"BYw!'H&lt;"</f>
        <v>#VALUE!</v>
      </c>
      <c r="U136" t="e">
        <f>'2.5.Трудоемкость'!PC10+"BYw!'H="</f>
        <v>#VALUE!</v>
      </c>
      <c r="V136" t="e">
        <f>'2.5.Трудоемкость'!PD10+"BYw!'H&gt;"</f>
        <v>#VALUE!</v>
      </c>
      <c r="W136" t="e">
        <f>'2.5.Трудоемкость'!PE10+"BYw!'H?"</f>
        <v>#VALUE!</v>
      </c>
      <c r="X136" t="e">
        <f>'2.5.Трудоемкость'!PF10+"BYw!'H@"</f>
        <v>#VALUE!</v>
      </c>
      <c r="Y136" t="e">
        <f>'2.5.Трудоемкость'!PG10+"BYw!'HA"</f>
        <v>#VALUE!</v>
      </c>
      <c r="Z136" t="e">
        <f>'2.5.Трудоемкость'!PH10+"BYw!'HB"</f>
        <v>#VALUE!</v>
      </c>
      <c r="AA136" t="e">
        <f>'2.5.Трудоемкость'!PI10+"BYw!'HC"</f>
        <v>#VALUE!</v>
      </c>
      <c r="AB136" t="e">
        <f>'2.5.Трудоемкость'!PJ10+"BYw!'HD"</f>
        <v>#VALUE!</v>
      </c>
      <c r="AC136" t="e">
        <f>'2.5.Трудоемкость'!PK10+"BYw!'HE"</f>
        <v>#VALUE!</v>
      </c>
      <c r="AD136" t="e">
        <f>'2.5.Трудоемкость'!PL10+"BYw!'HF"</f>
        <v>#VALUE!</v>
      </c>
      <c r="AE136" t="e">
        <f>'2.5.Трудоемкость'!PM10+"BYw!'HG"</f>
        <v>#VALUE!</v>
      </c>
      <c r="AF136" t="e">
        <f>'2.5.Трудоемкость'!PN10+"BYw!'HH"</f>
        <v>#VALUE!</v>
      </c>
      <c r="AG136" t="e">
        <f>'2.5.Трудоемкость'!PO10+"BYw!'HI"</f>
        <v>#VALUE!</v>
      </c>
      <c r="AH136" t="e">
        <f>'2.5.Трудоемкость'!PP10+"BYw!'HJ"</f>
        <v>#VALUE!</v>
      </c>
      <c r="AI136" t="e">
        <f>'2.5.Трудоемкость'!PQ10+"BYw!'HK"</f>
        <v>#VALUE!</v>
      </c>
      <c r="AJ136" t="e">
        <f>'2.5.Трудоемкость'!PR10+"BYw!'HL"</f>
        <v>#VALUE!</v>
      </c>
      <c r="AK136" t="e">
        <f>'2.5.Трудоемкость'!PS10+"BYw!'HM"</f>
        <v>#VALUE!</v>
      </c>
      <c r="AL136" t="e">
        <f>'2.5.Трудоемкость'!PT10+"BYw!'HN"</f>
        <v>#VALUE!</v>
      </c>
      <c r="AM136" t="e">
        <f>'2.5.Трудоемкость'!PU10+"BYw!'HO"</f>
        <v>#VALUE!</v>
      </c>
      <c r="AN136" t="e">
        <f>'2.5.Трудоемкость'!PV10+"BYw!'HP"</f>
        <v>#VALUE!</v>
      </c>
      <c r="AO136" t="e">
        <f>'2.5.Трудоемкость'!PW10+"BYw!'HQ"</f>
        <v>#VALUE!</v>
      </c>
      <c r="AP136" t="e">
        <f>'2.5.Трудоемкость'!PX10+"BYw!'HR"</f>
        <v>#VALUE!</v>
      </c>
      <c r="AQ136" t="e">
        <f>'2.5.Трудоемкость'!PY10+"BYw!'HS"</f>
        <v>#VALUE!</v>
      </c>
      <c r="AR136" t="e">
        <f>'2.5.Трудоемкость'!PZ10+"BYw!'HT"</f>
        <v>#VALUE!</v>
      </c>
      <c r="AS136" t="e">
        <f>'2.5.Трудоемкость'!QA10+"BYw!'HU"</f>
        <v>#VALUE!</v>
      </c>
      <c r="AT136" t="e">
        <f>'2.5.Трудоемкость'!QB10+"BYw!'HV"</f>
        <v>#VALUE!</v>
      </c>
      <c r="AU136" t="e">
        <f>'2.5.Трудоемкость'!QC10+"BYw!'HW"</f>
        <v>#VALUE!</v>
      </c>
      <c r="AV136" t="e">
        <f>'2.5.Трудоемкость'!QD10+"BYw!'HX"</f>
        <v>#VALUE!</v>
      </c>
      <c r="AW136" t="e">
        <f>'2.5.Трудоемкость'!QE10+"BYw!'HY"</f>
        <v>#VALUE!</v>
      </c>
      <c r="AX136" t="e">
        <f>'2.5.Трудоемкость'!QF10+"BYw!'HZ"</f>
        <v>#VALUE!</v>
      </c>
      <c r="AY136" t="e">
        <f>'2.5.Трудоемкость'!QG10+"BYw!'H["</f>
        <v>#VALUE!</v>
      </c>
      <c r="AZ136" t="e">
        <f>'2.5.Трудоемкость'!QH10+"BYw!'H\"</f>
        <v>#VALUE!</v>
      </c>
      <c r="BA136" t="e">
        <f>'2.5.Трудоемкость'!QI10+"BYw!'H]"</f>
        <v>#VALUE!</v>
      </c>
      <c r="BB136" t="e">
        <f>'2.5.Трудоемкость'!QJ10+"BYw!'H^"</f>
        <v>#VALUE!</v>
      </c>
      <c r="BC136" t="e">
        <f>'2.5.Трудоемкость'!QK10+"BYw!'H_"</f>
        <v>#VALUE!</v>
      </c>
      <c r="BD136" t="e">
        <f>'2.5.Трудоемкость'!QL10+"BYw!'H`"</f>
        <v>#VALUE!</v>
      </c>
      <c r="BE136" t="e">
        <f>'2.5.Трудоемкость'!QM10+"BYw!'Ha"</f>
        <v>#VALUE!</v>
      </c>
      <c r="BF136" t="e">
        <f>'2.5.Трудоемкость'!QN10+"BYw!'Hb"</f>
        <v>#VALUE!</v>
      </c>
      <c r="BG136" t="e">
        <f>'2.5.Трудоемкость'!QO10+"BYw!'Hc"</f>
        <v>#VALUE!</v>
      </c>
      <c r="BH136" t="e">
        <f>'2.5.Трудоемкость'!QP10+"BYw!'Hd"</f>
        <v>#VALUE!</v>
      </c>
      <c r="BI136" t="e">
        <f>'2.5.Трудоемкость'!QQ10+"BYw!'He"</f>
        <v>#VALUE!</v>
      </c>
      <c r="BJ136" t="e">
        <f>'2.5.Трудоемкость'!QR10+"BYw!'Hf"</f>
        <v>#VALUE!</v>
      </c>
      <c r="BK136" t="e">
        <f>'2.5.Трудоемкость'!QS10+"BYw!'Hg"</f>
        <v>#VALUE!</v>
      </c>
      <c r="BL136" t="e">
        <f>'2.5.Трудоемкость'!QT10+"BYw!'Hh"</f>
        <v>#VALUE!</v>
      </c>
      <c r="BM136" t="e">
        <f>'2.5.Трудоемкость'!QU10+"BYw!'Hi"</f>
        <v>#VALUE!</v>
      </c>
      <c r="BN136" t="e">
        <f>'2.5.Трудоемкость'!QV10+"BYw!'Hj"</f>
        <v>#VALUE!</v>
      </c>
      <c r="BO136" t="e">
        <f>'2.5.Трудоемкость'!QW10+"BYw!'Hk"</f>
        <v>#VALUE!</v>
      </c>
      <c r="BP136" t="e">
        <f>'2.5.Трудоемкость'!QX10+"BYw!'Hl"</f>
        <v>#VALUE!</v>
      </c>
      <c r="BQ136" t="e">
        <f>'2.5.Трудоемкость'!QY10+"BYw!'Hm"</f>
        <v>#VALUE!</v>
      </c>
      <c r="BR136" t="e">
        <f>'2.5.Трудоемкость'!QZ10+"BYw!'Hn"</f>
        <v>#VALUE!</v>
      </c>
      <c r="BS136" t="e">
        <f>'2.5.Трудоемкость'!RA10+"BYw!'Ho"</f>
        <v>#VALUE!</v>
      </c>
      <c r="BT136" t="e">
        <f>'2.5.Трудоемкость'!RB10+"BYw!'Hp"</f>
        <v>#VALUE!</v>
      </c>
      <c r="BU136" t="e">
        <f>'2.5.Трудоемкость'!RC10+"BYw!'Hq"</f>
        <v>#VALUE!</v>
      </c>
      <c r="BV136" t="e">
        <f>'2.5.Трудоемкость'!RD10+"BYw!'Hr"</f>
        <v>#VALUE!</v>
      </c>
      <c r="BW136" t="e">
        <f>'2.5.Трудоемкость'!RE10+"BYw!'Hs"</f>
        <v>#VALUE!</v>
      </c>
      <c r="BX136" t="e">
        <f>'2.5.Трудоемкость'!RF10+"BYw!'Ht"</f>
        <v>#VALUE!</v>
      </c>
      <c r="BY136" t="e">
        <f>'2.5.Трудоемкость'!RG10+"BYw!'Hu"</f>
        <v>#VALUE!</v>
      </c>
      <c r="BZ136" t="e">
        <f>'2.5.Трудоемкость'!RH10+"BYw!'Hv"</f>
        <v>#VALUE!</v>
      </c>
      <c r="CA136" t="e">
        <f>'2.5.Трудоемкость'!RI10+"BYw!'Hw"</f>
        <v>#VALUE!</v>
      </c>
      <c r="CB136" t="e">
        <f>'2.5.Трудоемкость'!RJ10+"BYw!'Hx"</f>
        <v>#VALUE!</v>
      </c>
      <c r="CC136" t="e">
        <f>'2.5.Трудоемкость'!RK10+"BYw!'Hy"</f>
        <v>#VALUE!</v>
      </c>
      <c r="CD136" t="e">
        <f>'2.5.Трудоемкость'!RL10+"BYw!'Hz"</f>
        <v>#VALUE!</v>
      </c>
      <c r="CE136" t="e">
        <f>'2.5.Трудоемкость'!RM10+"BYw!'H{"</f>
        <v>#VALUE!</v>
      </c>
      <c r="CF136" t="e">
        <f>'2.5.Трудоемкость'!RN10+"BYw!'H|"</f>
        <v>#VALUE!</v>
      </c>
      <c r="CG136" t="e">
        <f>'2.5.Трудоемкость'!RO10+"BYw!'H}"</f>
        <v>#VALUE!</v>
      </c>
      <c r="CH136" t="e">
        <f>'2.5.Трудоемкость'!RP10+"BYw!'H~"</f>
        <v>#VALUE!</v>
      </c>
      <c r="CI136" t="e">
        <f>'2.5.Трудоемкость'!RQ10+"BYw!'I#"</f>
        <v>#VALUE!</v>
      </c>
      <c r="CJ136" t="e">
        <f>'2.5.Трудоемкость'!RR10+"BYw!'I$"</f>
        <v>#VALUE!</v>
      </c>
      <c r="CK136" t="e">
        <f>'2.5.Трудоемкость'!RS10+"BYw!'I%"</f>
        <v>#VALUE!</v>
      </c>
      <c r="CL136" t="e">
        <f>'2.5.Трудоемкость'!RT10+"BYw!'I&amp;"</f>
        <v>#VALUE!</v>
      </c>
      <c r="CM136" t="e">
        <f>'2.5.Трудоемкость'!RU10+"BYw!'I'"</f>
        <v>#VALUE!</v>
      </c>
      <c r="CN136" t="e">
        <f>'2.5.Трудоемкость'!RV10+"BYw!'I("</f>
        <v>#VALUE!</v>
      </c>
      <c r="CO136" t="e">
        <f>'2.5.Трудоемкость'!RW10+"BYw!'I)"</f>
        <v>#VALUE!</v>
      </c>
      <c r="CP136" t="e">
        <f>'2.5.Трудоемкость'!RX10+"BYw!'I."</f>
        <v>#VALUE!</v>
      </c>
      <c r="CQ136" t="e">
        <f>'2.5.Трудоемкость'!RY10+"BYw!'I/"</f>
        <v>#VALUE!</v>
      </c>
      <c r="CR136" t="e">
        <f>'2.5.Трудоемкость'!RZ10+"BYw!'I0"</f>
        <v>#VALUE!</v>
      </c>
      <c r="CS136" t="e">
        <f>'2.5.Трудоемкость'!SA10+"BYw!'I1"</f>
        <v>#VALUE!</v>
      </c>
      <c r="CT136" t="e">
        <f>'2.5.Трудоемкость'!SB10+"BYw!'I2"</f>
        <v>#VALUE!</v>
      </c>
      <c r="CU136" t="e">
        <f>'2.5.Трудоемкость'!SC10+"BYw!'I3"</f>
        <v>#VALUE!</v>
      </c>
      <c r="CV136" t="e">
        <f>'2.5.Трудоемкость'!SD10+"BYw!'I4"</f>
        <v>#VALUE!</v>
      </c>
      <c r="CW136" t="e">
        <f>'2.5.Трудоемкость'!SE10+"BYw!'I5"</f>
        <v>#VALUE!</v>
      </c>
      <c r="CX136" t="e">
        <f>'2.5.Трудоемкость'!SF10+"BYw!'I6"</f>
        <v>#VALUE!</v>
      </c>
      <c r="CY136" t="e">
        <f>'2.5.Трудоемкость'!SG10+"BYw!'I7"</f>
        <v>#VALUE!</v>
      </c>
      <c r="CZ136" t="e">
        <f>'2.5.Трудоемкость'!SH10+"BYw!'I8"</f>
        <v>#VALUE!</v>
      </c>
      <c r="DA136" t="e">
        <f>'2.5.Трудоемкость'!SI10+"BYw!'I9"</f>
        <v>#VALUE!</v>
      </c>
      <c r="DB136" t="e">
        <f>'2.5.Трудоемкость'!SJ10+"BYw!'I:"</f>
        <v>#VALUE!</v>
      </c>
      <c r="DC136" t="e">
        <f>'2.5.Трудоемкость'!SK10+"BYw!'I;"</f>
        <v>#VALUE!</v>
      </c>
      <c r="DD136" t="e">
        <f>'2.5.Трудоемкость'!SL10+"BYw!'I&lt;"</f>
        <v>#VALUE!</v>
      </c>
      <c r="DE136" t="e">
        <f>'2.5.Трудоемкость'!SM10+"BYw!'I="</f>
        <v>#VALUE!</v>
      </c>
      <c r="DF136" t="e">
        <f>'2.5.Трудоемкость'!SN10+"BYw!'I&gt;"</f>
        <v>#VALUE!</v>
      </c>
      <c r="DG136" t="e">
        <f>'2.5.Трудоемкость'!SO10+"BYw!'I?"</f>
        <v>#VALUE!</v>
      </c>
      <c r="DH136" t="e">
        <f>'2.5.Трудоемкость'!SP10+"BYw!'I@"</f>
        <v>#VALUE!</v>
      </c>
      <c r="DI136" t="e">
        <f>'2.5.Трудоемкость'!SQ10+"BYw!'IA"</f>
        <v>#VALUE!</v>
      </c>
      <c r="DJ136" t="e">
        <f>'2.5.Трудоемкость'!SR10+"BYw!'IB"</f>
        <v>#VALUE!</v>
      </c>
      <c r="DK136" t="e">
        <f>'2.5.Трудоемкость'!SS10+"BYw!'IC"</f>
        <v>#VALUE!</v>
      </c>
      <c r="DL136" t="e">
        <f>'2.5.Трудоемкость'!ST10+"BYw!'ID"</f>
        <v>#VALUE!</v>
      </c>
      <c r="DM136" t="e">
        <f>'2.5.Трудоемкость'!SU10+"BYw!'IE"</f>
        <v>#VALUE!</v>
      </c>
      <c r="DN136" t="e">
        <f>'2.5.Трудоемкость'!SV10+"BYw!'IF"</f>
        <v>#VALUE!</v>
      </c>
      <c r="DO136" t="e">
        <f>'2.5.Трудоемкость'!SW10+"BYw!'IG"</f>
        <v>#VALUE!</v>
      </c>
      <c r="DP136" t="e">
        <f>'2.5.Трудоемкость'!SX10+"BYw!'IH"</f>
        <v>#VALUE!</v>
      </c>
      <c r="DQ136" t="e">
        <f>'2.5.Трудоемкость'!SY10+"BYw!'II"</f>
        <v>#VALUE!</v>
      </c>
      <c r="DR136" t="e">
        <f>'2.5.Трудоемкость'!SZ10+"BYw!'IJ"</f>
        <v>#VALUE!</v>
      </c>
      <c r="DS136" t="e">
        <f>'2.5.Трудоемкость'!TA10+"BYw!'IK"</f>
        <v>#VALUE!</v>
      </c>
      <c r="DT136" t="e">
        <f>'2.5.Трудоемкость'!TB10+"BYw!'IL"</f>
        <v>#VALUE!</v>
      </c>
      <c r="DU136" t="e">
        <f>'2.5.Трудоемкость'!TC10+"BYw!'IM"</f>
        <v>#VALUE!</v>
      </c>
      <c r="DV136" t="e">
        <f>'2.5.Трудоемкость'!TD10+"BYw!'IN"</f>
        <v>#VALUE!</v>
      </c>
      <c r="DW136" t="e">
        <f>'2.5.Трудоемкость'!TE10+"BYw!'IO"</f>
        <v>#VALUE!</v>
      </c>
      <c r="DX136" t="e">
        <f>'2.5.Трудоемкость'!TF10+"BYw!'IP"</f>
        <v>#VALUE!</v>
      </c>
      <c r="DY136" t="e">
        <f>'2.5.Трудоемкость'!TG10+"BYw!'IQ"</f>
        <v>#VALUE!</v>
      </c>
      <c r="DZ136" t="e">
        <f>'2.5.Трудоемкость'!TH10+"BYw!'IR"</f>
        <v>#VALUE!</v>
      </c>
      <c r="EA136" t="e">
        <f>'2.5.Трудоемкость'!TI10+"BYw!'IS"</f>
        <v>#VALUE!</v>
      </c>
      <c r="EB136" t="e">
        <f>'2.5.Трудоемкость'!TJ10+"BYw!'IT"</f>
        <v>#VALUE!</v>
      </c>
      <c r="EC136" t="e">
        <f>'2.5.Трудоемкость'!TK10+"BYw!'IU"</f>
        <v>#VALUE!</v>
      </c>
      <c r="ED136" t="e">
        <f>'2.5.Трудоемкость'!TL10+"BYw!'IV"</f>
        <v>#VALUE!</v>
      </c>
      <c r="EE136" t="e">
        <f>'2.5.Трудоемкость'!TM10+"BYw!'IW"</f>
        <v>#VALUE!</v>
      </c>
      <c r="EF136" t="e">
        <f>'2.5.Трудоемкость'!TN10+"BYw!'IX"</f>
        <v>#VALUE!</v>
      </c>
      <c r="EG136" t="e">
        <f>'2.5.Трудоемкость'!TO10+"BYw!'IY"</f>
        <v>#VALUE!</v>
      </c>
      <c r="EH136" t="e">
        <f>'2.5.Трудоемкость'!TP10+"BYw!'IZ"</f>
        <v>#VALUE!</v>
      </c>
      <c r="EI136" t="e">
        <f>'2.5.Трудоемкость'!TQ10+"BYw!'I["</f>
        <v>#VALUE!</v>
      </c>
      <c r="EJ136" t="e">
        <f>'2.5.Трудоемкость'!TR10+"BYw!'I\"</f>
        <v>#VALUE!</v>
      </c>
      <c r="EK136" t="e">
        <f>'2.5.Трудоемкость'!TS10+"BYw!'I]"</f>
        <v>#VALUE!</v>
      </c>
      <c r="EL136" t="e">
        <f>'2.5.Трудоемкость'!TT10+"BYw!'I^"</f>
        <v>#VALUE!</v>
      </c>
      <c r="EM136" t="e">
        <f>'2.5.Трудоемкость'!TU10+"BYw!'I_"</f>
        <v>#VALUE!</v>
      </c>
      <c r="EN136" t="e">
        <f>'2.5.Трудоемкость'!TV10+"BYw!'I`"</f>
        <v>#VALUE!</v>
      </c>
      <c r="EO136" t="e">
        <f>'2.5.Трудоемкость'!TW10+"BYw!'Ia"</f>
        <v>#VALUE!</v>
      </c>
      <c r="EP136" t="e">
        <f>'2.5.Трудоемкость'!TX10+"BYw!'Ib"</f>
        <v>#VALUE!</v>
      </c>
      <c r="EQ136" t="e">
        <f>'2.5.Трудоемкость'!TY10+"BYw!'Ic"</f>
        <v>#VALUE!</v>
      </c>
      <c r="ER136" t="e">
        <f>'2.5.Трудоемкость'!TZ10+"BYw!'Id"</f>
        <v>#VALUE!</v>
      </c>
      <c r="ES136" t="e">
        <f>'2.5.Трудоемкость'!UA10+"BYw!'Ie"</f>
        <v>#VALUE!</v>
      </c>
      <c r="ET136" t="e">
        <f>'2.5.Трудоемкость'!UB10+"BYw!'If"</f>
        <v>#VALUE!</v>
      </c>
      <c r="EU136" t="e">
        <f>'2.5.Трудоемкость'!UC10+"BYw!'Ig"</f>
        <v>#VALUE!</v>
      </c>
      <c r="EV136" t="e">
        <f>'2.5.Трудоемкость'!UD10+"BYw!'Ih"</f>
        <v>#VALUE!</v>
      </c>
      <c r="EW136" t="e">
        <f>'2.5.Трудоемкость'!UE10+"BYw!'Ii"</f>
        <v>#VALUE!</v>
      </c>
      <c r="EX136" t="e">
        <f>'2.5.Трудоемкость'!UF10+"BYw!'Ij"</f>
        <v>#VALUE!</v>
      </c>
      <c r="EY136" t="e">
        <f>'2.5.Трудоемкость'!UG10+"BYw!'Ik"</f>
        <v>#VALUE!</v>
      </c>
      <c r="EZ136" t="e">
        <f>'2.5.Трудоемкость'!UH10+"BYw!'Il"</f>
        <v>#VALUE!</v>
      </c>
      <c r="FA136" t="e">
        <f>'2.5.Трудоемкость'!UI10+"BYw!'Im"</f>
        <v>#VALUE!</v>
      </c>
      <c r="FB136" t="e">
        <f>'2.5.Трудоемкость'!UJ10+"BYw!'In"</f>
        <v>#VALUE!</v>
      </c>
      <c r="FC136" t="e">
        <f>'2.5.Трудоемкость'!UK10+"BYw!'Io"</f>
        <v>#VALUE!</v>
      </c>
      <c r="FD136" t="e">
        <f>'2.5.Трудоемкость'!UL10+"BYw!'Ip"</f>
        <v>#VALUE!</v>
      </c>
      <c r="FE136" t="e">
        <f>'2.5.Трудоемкость'!UM10+"BYw!'Iq"</f>
        <v>#VALUE!</v>
      </c>
      <c r="FF136" t="e">
        <f>'2.5.Трудоемкость'!UN10+"BYw!'Ir"</f>
        <v>#VALUE!</v>
      </c>
      <c r="FG136" t="e">
        <f>'2.5.Трудоемкость'!UO10+"BYw!'Is"</f>
        <v>#VALUE!</v>
      </c>
      <c r="FH136" t="e">
        <f>'2.5.Трудоемкость'!UP10+"BYw!'It"</f>
        <v>#VALUE!</v>
      </c>
      <c r="FI136" t="e">
        <f>'2.5.Трудоемкость'!UQ10+"BYw!'Iu"</f>
        <v>#VALUE!</v>
      </c>
      <c r="FJ136" t="e">
        <f>'2.5.Трудоемкость'!UR10+"BYw!'Iv"</f>
        <v>#VALUE!</v>
      </c>
      <c r="FK136" t="e">
        <f>'2.5.Трудоемкость'!US10+"BYw!'Iw"</f>
        <v>#VALUE!</v>
      </c>
      <c r="FL136" t="e">
        <f>'2.5.Трудоемкость'!UT10+"BYw!'Ix"</f>
        <v>#VALUE!</v>
      </c>
      <c r="FM136" t="e">
        <f>'2.5.Трудоемкость'!UU10+"BYw!'Iy"</f>
        <v>#VALUE!</v>
      </c>
      <c r="FN136" t="e">
        <f>'2.5.Трудоемкость'!UV10+"BYw!'Iz"</f>
        <v>#VALUE!</v>
      </c>
      <c r="FO136" t="e">
        <f>'2.5.Трудоемкость'!UW10+"BYw!'I{"</f>
        <v>#VALUE!</v>
      </c>
      <c r="FP136" t="e">
        <f>'2.5.Трудоемкость'!UX10+"BYw!'I|"</f>
        <v>#VALUE!</v>
      </c>
      <c r="FQ136" t="e">
        <f>'2.5.Трудоемкость'!UY10+"BYw!'I}"</f>
        <v>#VALUE!</v>
      </c>
      <c r="FR136" t="e">
        <f>'2.5.Трудоемкость'!UZ10+"BYw!'I~"</f>
        <v>#VALUE!</v>
      </c>
      <c r="FS136" t="e">
        <f>'2.5.Трудоемкость'!VA10+"BYw!'J#"</f>
        <v>#VALUE!</v>
      </c>
      <c r="FT136" t="e">
        <f>'2.5.Трудоемкость'!VB10+"BYw!'J$"</f>
        <v>#VALUE!</v>
      </c>
      <c r="FU136" t="e">
        <f>'2.5.Трудоемкость'!VC10+"BYw!'J%"</f>
        <v>#VALUE!</v>
      </c>
      <c r="FV136" t="e">
        <f>'2.5.Трудоемкость'!VD10+"BYw!'J&amp;"</f>
        <v>#VALUE!</v>
      </c>
      <c r="FW136" t="e">
        <f>'2.5.Трудоемкость'!VE10+"BYw!'J'"</f>
        <v>#VALUE!</v>
      </c>
      <c r="FX136" t="e">
        <f>'2.5.Трудоемкость'!VF10+"BYw!'J("</f>
        <v>#VALUE!</v>
      </c>
      <c r="FY136" t="e">
        <f>'2.5.Трудоемкость'!VG10+"BYw!'J)"</f>
        <v>#VALUE!</v>
      </c>
      <c r="FZ136" t="e">
        <f>'2.5.Трудоемкость'!VH10+"BYw!'J."</f>
        <v>#VALUE!</v>
      </c>
      <c r="GA136" t="e">
        <f>'2.5.Трудоемкость'!VI10+"BYw!'J/"</f>
        <v>#VALUE!</v>
      </c>
      <c r="GB136" t="e">
        <f>'2.5.Трудоемкость'!VJ10+"BYw!'J0"</f>
        <v>#VALUE!</v>
      </c>
      <c r="GC136" t="e">
        <f>'2.5.Трудоемкость'!VK10+"BYw!'J1"</f>
        <v>#VALUE!</v>
      </c>
      <c r="GD136" t="e">
        <f>'2.5.Трудоемкость'!VL10+"BYw!'J2"</f>
        <v>#VALUE!</v>
      </c>
      <c r="GE136" t="e">
        <f>'2.5.Трудоемкость'!VM10+"BYw!'J3"</f>
        <v>#VALUE!</v>
      </c>
      <c r="GF136" t="e">
        <f>'2.5.Трудоемкость'!VN10+"BYw!'J4"</f>
        <v>#VALUE!</v>
      </c>
      <c r="GG136" t="e">
        <f>'2.5.Трудоемкость'!VO10+"BYw!'J5"</f>
        <v>#VALUE!</v>
      </c>
      <c r="GH136" t="e">
        <f>'2.5.Трудоемкость'!VP10+"BYw!'J6"</f>
        <v>#VALUE!</v>
      </c>
      <c r="GI136" t="e">
        <f>'2.5.Трудоемкость'!VQ10+"BYw!'J7"</f>
        <v>#VALUE!</v>
      </c>
      <c r="GJ136" t="e">
        <f>'2.5.Трудоемкость'!VR10+"BYw!'J8"</f>
        <v>#VALUE!</v>
      </c>
      <c r="GK136" t="e">
        <f>'2.5.Трудоемкость'!VS10+"BYw!'J9"</f>
        <v>#VALUE!</v>
      </c>
      <c r="GL136" t="e">
        <f>'2.5.Трудоемкость'!VT10+"BYw!'J:"</f>
        <v>#VALUE!</v>
      </c>
      <c r="GM136" t="e">
        <f>'2.5.Трудоемкость'!VU10+"BYw!'J;"</f>
        <v>#VALUE!</v>
      </c>
      <c r="GN136" t="e">
        <f>'2.5.Трудоемкость'!VV10+"BYw!'J&lt;"</f>
        <v>#VALUE!</v>
      </c>
      <c r="GO136" t="e">
        <f>'2.5.Трудоемкость'!VW10+"BYw!'J="</f>
        <v>#VALUE!</v>
      </c>
      <c r="GP136" t="e">
        <f>'2.5.Трудоемкость'!VX10+"BYw!'J&gt;"</f>
        <v>#VALUE!</v>
      </c>
      <c r="GQ136" t="e">
        <f>'2.5.Трудоемкость'!VY10+"BYw!'J?"</f>
        <v>#VALUE!</v>
      </c>
      <c r="GR136" t="e">
        <f>'2.5.Трудоемкость'!VZ10+"BYw!'J@"</f>
        <v>#VALUE!</v>
      </c>
      <c r="GS136" t="e">
        <f>'2.5.Трудоемкость'!WA10+"BYw!'JA"</f>
        <v>#VALUE!</v>
      </c>
      <c r="GT136" t="e">
        <f>'2.5.Трудоемкость'!WB10+"BYw!'JB"</f>
        <v>#VALUE!</v>
      </c>
      <c r="GU136" t="e">
        <f>'2.5.Трудоемкость'!WC10+"BYw!'JC"</f>
        <v>#VALUE!</v>
      </c>
      <c r="GV136" t="e">
        <f>'2.5.Трудоемкость'!WD10+"BYw!'JD"</f>
        <v>#VALUE!</v>
      </c>
      <c r="GW136" t="e">
        <f>'2.5.Трудоемкость'!WE10+"BYw!'JE"</f>
        <v>#VALUE!</v>
      </c>
      <c r="GX136" t="e">
        <f>'2.5.Трудоемкость'!WF10+"BYw!'JF"</f>
        <v>#VALUE!</v>
      </c>
      <c r="GY136" t="e">
        <f>'2.5.Трудоемкость'!WG10+"BYw!'JG"</f>
        <v>#VALUE!</v>
      </c>
      <c r="GZ136" t="e">
        <f>'2.5.Трудоемкость'!WH10+"BYw!'JH"</f>
        <v>#VALUE!</v>
      </c>
      <c r="HA136" t="e">
        <f>'2.5.Трудоемкость'!WI10+"BYw!'JI"</f>
        <v>#VALUE!</v>
      </c>
      <c r="HB136" t="e">
        <f>'2.5.Трудоемкость'!WJ10+"BYw!'JJ"</f>
        <v>#VALUE!</v>
      </c>
      <c r="HC136" t="e">
        <f>'2.5.Трудоемкость'!WK10+"BYw!'JK"</f>
        <v>#VALUE!</v>
      </c>
      <c r="HD136" t="e">
        <f>'2.5.Трудоемкость'!WL10+"BYw!'JL"</f>
        <v>#VALUE!</v>
      </c>
      <c r="HE136" t="e">
        <f>'2.5.Трудоемкость'!WM10+"BYw!'JM"</f>
        <v>#VALUE!</v>
      </c>
      <c r="HF136" t="e">
        <f>'2.5.Трудоемкость'!WN10+"BYw!'JN"</f>
        <v>#VALUE!</v>
      </c>
      <c r="HG136" t="e">
        <f>'2.5.Трудоемкость'!WO10+"BYw!'JO"</f>
        <v>#VALUE!</v>
      </c>
      <c r="HH136" t="e">
        <f>'2.5.Трудоемкость'!WP10+"BYw!'JP"</f>
        <v>#VALUE!</v>
      </c>
      <c r="HI136" t="e">
        <f>'2.5.Трудоемкость'!WQ10+"BYw!'JQ"</f>
        <v>#VALUE!</v>
      </c>
      <c r="HJ136" t="e">
        <f>'2.5.Трудоемкость'!WR10+"BYw!'JR"</f>
        <v>#VALUE!</v>
      </c>
      <c r="HK136" t="e">
        <f>'2.5.Трудоемкость'!WS10+"BYw!'JS"</f>
        <v>#VALUE!</v>
      </c>
      <c r="HL136" t="e">
        <f>'2.5.Трудоемкость'!WT10+"BYw!'JT"</f>
        <v>#VALUE!</v>
      </c>
      <c r="HM136" t="e">
        <f>'2.5.Трудоемкость'!WU10+"BYw!'JU"</f>
        <v>#VALUE!</v>
      </c>
      <c r="HN136" t="e">
        <f>'2.5.Трудоемкость'!WV10+"BYw!'JV"</f>
        <v>#VALUE!</v>
      </c>
      <c r="HO136" t="e">
        <f>'2.5.Трудоемкость'!WW10+"BYw!'JW"</f>
        <v>#VALUE!</v>
      </c>
      <c r="HP136" t="e">
        <f>'2.5.Трудоемкость'!WX10+"BYw!'JX"</f>
        <v>#VALUE!</v>
      </c>
      <c r="HQ136" t="e">
        <f>'2.5.Трудоемкость'!WY10+"BYw!'JY"</f>
        <v>#VALUE!</v>
      </c>
      <c r="HR136" t="e">
        <f>'2.5.Трудоемкость'!WZ10+"BYw!'JZ"</f>
        <v>#VALUE!</v>
      </c>
      <c r="HS136" t="e">
        <f>'2.5.Трудоемкость'!XA10+"BYw!'J["</f>
        <v>#VALUE!</v>
      </c>
      <c r="HT136" t="e">
        <f>'2.5.Трудоемкость'!XB10+"BYw!'J\"</f>
        <v>#VALUE!</v>
      </c>
      <c r="HU136" t="e">
        <f>'2.5.Трудоемкость'!XC10+"BYw!'J]"</f>
        <v>#VALUE!</v>
      </c>
      <c r="HV136" t="e">
        <f>'2.5.Трудоемкость'!XD10+"BYw!'J^"</f>
        <v>#VALUE!</v>
      </c>
      <c r="HW136" t="e">
        <f>'2.5.Трудоемкость'!XE10+"BYw!'J_"</f>
        <v>#VALUE!</v>
      </c>
      <c r="HX136" t="e">
        <f>'2.5.Трудоемкость'!XF10+"BYw!'J`"</f>
        <v>#VALUE!</v>
      </c>
      <c r="HY136" t="e">
        <f>'2.5.Трудоемкость'!XG10+"BYw!'Ja"</f>
        <v>#VALUE!</v>
      </c>
      <c r="HZ136" t="e">
        <f>'2.5.Трудоемкость'!XH10+"BYw!'Jb"</f>
        <v>#VALUE!</v>
      </c>
      <c r="IA136" t="e">
        <f>'2.5.Трудоемкость'!XI10+"BYw!'Jc"</f>
        <v>#VALUE!</v>
      </c>
      <c r="IB136" t="e">
        <f>'2.5.Трудоемкость'!XJ10+"BYw!'Jd"</f>
        <v>#VALUE!</v>
      </c>
      <c r="IC136" t="e">
        <f>'2.5.Трудоемкость'!XK10+"BYw!'Je"</f>
        <v>#VALUE!</v>
      </c>
      <c r="ID136" t="e">
        <f>'2.5.Трудоемкость'!XL10+"BYw!'Jf"</f>
        <v>#VALUE!</v>
      </c>
      <c r="IE136" t="e">
        <f>'2.5.Трудоемкость'!XM10+"BYw!'Jg"</f>
        <v>#VALUE!</v>
      </c>
      <c r="IF136" t="e">
        <f>'2.5.Трудоемкость'!XN10+"BYw!'Jh"</f>
        <v>#VALUE!</v>
      </c>
      <c r="IG136" t="e">
        <f>'2.5.Трудоемкость'!XO10+"BYw!'Ji"</f>
        <v>#VALUE!</v>
      </c>
      <c r="IH136" t="e">
        <f>'2.5.Трудоемкость'!XP10+"BYw!'Jj"</f>
        <v>#VALUE!</v>
      </c>
      <c r="II136" t="e">
        <f>'2.5.Трудоемкость'!XQ10+"BYw!'Jk"</f>
        <v>#VALUE!</v>
      </c>
      <c r="IJ136" t="e">
        <f>'2.5.Трудоемкость'!XR10+"BYw!'Jl"</f>
        <v>#VALUE!</v>
      </c>
      <c r="IK136" t="e">
        <f>'2.5.Трудоемкость'!XS10+"BYw!'Jm"</f>
        <v>#VALUE!</v>
      </c>
      <c r="IL136" t="e">
        <f>'2.5.Трудоемкость'!XT10+"BYw!'Jn"</f>
        <v>#VALUE!</v>
      </c>
      <c r="IM136" t="e">
        <f>'2.5.Трудоемкость'!XU10+"BYw!'Jo"</f>
        <v>#VALUE!</v>
      </c>
      <c r="IN136" t="e">
        <f>'2.5.Трудоемкость'!XV10+"BYw!'Jp"</f>
        <v>#VALUE!</v>
      </c>
      <c r="IO136" t="e">
        <f>'2.5.Трудоемкость'!XW10+"BYw!'Jq"</f>
        <v>#VALUE!</v>
      </c>
      <c r="IP136" t="e">
        <f>'2.5.Трудоемкость'!XX10+"BYw!'Jr"</f>
        <v>#VALUE!</v>
      </c>
      <c r="IQ136" t="e">
        <f>'2.5.Трудоемкость'!XY10+"BYw!'Js"</f>
        <v>#VALUE!</v>
      </c>
      <c r="IR136" t="e">
        <f>'2.5.Трудоемкость'!XZ10+"BYw!'Jt"</f>
        <v>#VALUE!</v>
      </c>
      <c r="IS136" t="e">
        <f>'2.5.Трудоемкость'!YA10+"BYw!'Ju"</f>
        <v>#VALUE!</v>
      </c>
      <c r="IT136" t="e">
        <f>'2.5.Трудоемкость'!YB10+"BYw!'Jv"</f>
        <v>#VALUE!</v>
      </c>
      <c r="IU136" t="e">
        <f>'2.5.Трудоемкость'!YC10+"BYw!'Jw"</f>
        <v>#VALUE!</v>
      </c>
      <c r="IV136" t="e">
        <f>'2.5.Трудоемкость'!YD10+"BYw!'Jx"</f>
        <v>#VALUE!</v>
      </c>
    </row>
    <row r="137" spans="6:256" x14ac:dyDescent="0.2">
      <c r="F137" t="e">
        <f>'2.5.Трудоемкость'!YE10+"BYw!'Jy"</f>
        <v>#VALUE!</v>
      </c>
      <c r="G137" t="e">
        <f>'2.5.Трудоемкость'!YF10+"BYw!'Jz"</f>
        <v>#VALUE!</v>
      </c>
      <c r="H137" t="e">
        <f>'2.5.Трудоемкость'!YG10+"BYw!'J{"</f>
        <v>#VALUE!</v>
      </c>
      <c r="I137" t="e">
        <f>'2.5.Трудоемкость'!YH10+"BYw!'J|"</f>
        <v>#VALUE!</v>
      </c>
      <c r="J137" t="e">
        <f>'2.5.Трудоемкость'!YI10+"BYw!'J}"</f>
        <v>#VALUE!</v>
      </c>
      <c r="K137" t="e">
        <f>'2.5.Трудоемкость'!YJ10+"BYw!'J~"</f>
        <v>#VALUE!</v>
      </c>
      <c r="L137" t="e">
        <f>'2.5.Трудоемкость'!YK10+"BYw!'K#"</f>
        <v>#VALUE!</v>
      </c>
      <c r="M137" t="e">
        <f>'2.5.Трудоемкость'!YL10+"BYw!'K$"</f>
        <v>#VALUE!</v>
      </c>
      <c r="N137" t="e">
        <f>'2.5.Трудоемкость'!YM10+"BYw!'K%"</f>
        <v>#VALUE!</v>
      </c>
      <c r="O137" t="e">
        <f>'2.5.Трудоемкость'!YN10+"BYw!'K&amp;"</f>
        <v>#VALUE!</v>
      </c>
      <c r="P137" t="e">
        <f>'2.5.Трудоемкость'!YO10+"BYw!'K'"</f>
        <v>#VALUE!</v>
      </c>
      <c r="Q137" t="e">
        <f>'2.5.Трудоемкость'!YP10+"BYw!'K("</f>
        <v>#VALUE!</v>
      </c>
      <c r="R137" t="e">
        <f>'2.5.Трудоемкость'!YQ10+"BYw!'K)"</f>
        <v>#VALUE!</v>
      </c>
      <c r="S137" t="e">
        <f>'2.5.Трудоемкость'!YR10+"BYw!'K."</f>
        <v>#VALUE!</v>
      </c>
      <c r="T137" t="e">
        <f>'2.5.Трудоемкость'!YS10+"BYw!'K/"</f>
        <v>#VALUE!</v>
      </c>
      <c r="U137" t="e">
        <f>'2.5.Трудоемкость'!YT10+"BYw!'K0"</f>
        <v>#VALUE!</v>
      </c>
      <c r="V137" t="e">
        <f>'2.5.Трудоемкость'!YU10+"BYw!'K1"</f>
        <v>#VALUE!</v>
      </c>
      <c r="W137" t="e">
        <f>'2.5.Трудоемкость'!YV10+"BYw!'K2"</f>
        <v>#VALUE!</v>
      </c>
      <c r="X137" t="e">
        <f>'2.5.Трудоемкость'!YW10+"BYw!'K3"</f>
        <v>#VALUE!</v>
      </c>
      <c r="Y137" t="e">
        <f>'2.5.Трудоемкость'!YX10+"BYw!'K4"</f>
        <v>#VALUE!</v>
      </c>
      <c r="Z137" t="e">
        <f>'2.5.Трудоемкость'!YY10+"BYw!'K5"</f>
        <v>#VALUE!</v>
      </c>
      <c r="AA137" t="e">
        <f>'2.5.Трудоемкость'!YZ10+"BYw!'K6"</f>
        <v>#VALUE!</v>
      </c>
      <c r="AB137" t="e">
        <f>'2.5.Трудоемкость'!ZA10+"BYw!'K7"</f>
        <v>#VALUE!</v>
      </c>
      <c r="AC137" t="e">
        <f>'2.5.Трудоемкость'!ZB10+"BYw!'K8"</f>
        <v>#VALUE!</v>
      </c>
      <c r="AD137" t="e">
        <f>'2.5.Трудоемкость'!ZC10+"BYw!'K9"</f>
        <v>#VALUE!</v>
      </c>
      <c r="AE137" t="e">
        <f>'2.5.Трудоемкость'!ZD10+"BYw!'K:"</f>
        <v>#VALUE!</v>
      </c>
      <c r="AF137" t="e">
        <f>'2.5.Трудоемкость'!ZE10+"BYw!'K;"</f>
        <v>#VALUE!</v>
      </c>
      <c r="AG137" t="e">
        <f>'2.5.Трудоемкость'!ZF10+"BYw!'K&lt;"</f>
        <v>#VALUE!</v>
      </c>
      <c r="AH137" t="e">
        <f>'2.5.Трудоемкость'!ZG10+"BYw!'K="</f>
        <v>#VALUE!</v>
      </c>
      <c r="AI137" t="e">
        <f>'2.5.Трудоемкость'!ZH10+"BYw!'K&gt;"</f>
        <v>#VALUE!</v>
      </c>
      <c r="AJ137" t="e">
        <f>'2.5.Трудоемкость'!ZI10+"BYw!'K?"</f>
        <v>#VALUE!</v>
      </c>
      <c r="AK137" t="e">
        <f>'2.5.Трудоемкость'!ZJ10+"BYw!'K@"</f>
        <v>#VALUE!</v>
      </c>
      <c r="AL137" t="e">
        <f>'2.5.Трудоемкость'!ZK10+"BYw!'KA"</f>
        <v>#VALUE!</v>
      </c>
      <c r="AM137" t="e">
        <f>'2.5.Трудоемкость'!ZL10+"BYw!'KB"</f>
        <v>#VALUE!</v>
      </c>
      <c r="AN137" t="e">
        <f>'2.5.Трудоемкость'!ZM10+"BYw!'KC"</f>
        <v>#VALUE!</v>
      </c>
      <c r="AO137" t="e">
        <f>'2.5.Трудоемкость'!ZN10+"BYw!'KD"</f>
        <v>#VALUE!</v>
      </c>
      <c r="AP137" t="e">
        <f>'2.5.Трудоемкость'!ZO10+"BYw!'KE"</f>
        <v>#VALUE!</v>
      </c>
      <c r="AQ137" t="e">
        <f>'2.5.Трудоемкость'!ZP10+"BYw!'KF"</f>
        <v>#VALUE!</v>
      </c>
      <c r="AR137" t="e">
        <f>'2.5.Трудоемкость'!ZQ10+"BYw!'KG"</f>
        <v>#VALUE!</v>
      </c>
      <c r="AS137" t="e">
        <f>'2.5.Трудоемкость'!ZR10+"BYw!'KH"</f>
        <v>#VALUE!</v>
      </c>
      <c r="AT137" t="e">
        <f>'2.5.Трудоемкость'!ZS10+"BYw!'KI"</f>
        <v>#VALUE!</v>
      </c>
      <c r="AU137" t="e">
        <f>'2.5.Трудоемкость'!ZT10+"BYw!'KJ"</f>
        <v>#VALUE!</v>
      </c>
      <c r="AV137" t="e">
        <f>'2.5.Трудоемкость'!ZU10+"BYw!'KK"</f>
        <v>#VALUE!</v>
      </c>
      <c r="AW137" t="e">
        <f>'2.5.Трудоемкость'!ZV10+"BYw!'KL"</f>
        <v>#VALUE!</v>
      </c>
      <c r="AX137" t="e">
        <f>'2.5.Трудоемкость'!ZW10+"BYw!'KM"</f>
        <v>#VALUE!</v>
      </c>
      <c r="AY137" t="e">
        <f>'2.5.Трудоемкость'!ZX10+"BYw!'KN"</f>
        <v>#VALUE!</v>
      </c>
      <c r="AZ137" t="e">
        <f>'2.5.Трудоемкость'!ZY10+"BYw!'KO"</f>
        <v>#VALUE!</v>
      </c>
      <c r="BA137" t="e">
        <f>'2.5.Трудоемкость'!ZZ10+"BYw!'KP"</f>
        <v>#VALUE!</v>
      </c>
      <c r="BB137" t="e">
        <f>'2.5.Трудоемкость'!AAA10+"BYw!'KQ"</f>
        <v>#VALUE!</v>
      </c>
      <c r="BC137" t="e">
        <f>'2.5.Трудоемкость'!AAB10+"BYw!'KR"</f>
        <v>#VALUE!</v>
      </c>
      <c r="BD137" t="e">
        <f>'2.5.Трудоемкость'!AAC10+"BYw!'KS"</f>
        <v>#VALUE!</v>
      </c>
      <c r="BE137" t="e">
        <f>'2.5.Трудоемкость'!AAD10+"BYw!'KT"</f>
        <v>#VALUE!</v>
      </c>
      <c r="BF137" t="e">
        <f>'2.5.Трудоемкость'!AAE10+"BYw!'KU"</f>
        <v>#VALUE!</v>
      </c>
      <c r="BG137" t="e">
        <f>'2.5.Трудоемкость'!AAF10+"BYw!'KV"</f>
        <v>#VALUE!</v>
      </c>
      <c r="BH137" t="e">
        <f>'2.5.Трудоемкость'!AAG10+"BYw!'KW"</f>
        <v>#VALUE!</v>
      </c>
      <c r="BI137" t="e">
        <f>'2.5.Трудоемкость'!AAH10+"BYw!'KX"</f>
        <v>#VALUE!</v>
      </c>
      <c r="BJ137" t="e">
        <f>'2.5.Трудоемкость'!AAI10+"BYw!'KY"</f>
        <v>#VALUE!</v>
      </c>
      <c r="BK137" t="e">
        <f>'2.5.Трудоемкость'!AAJ10+"BYw!'KZ"</f>
        <v>#VALUE!</v>
      </c>
      <c r="BL137" t="e">
        <f>'2.5.Трудоемкость'!AAK10+"BYw!'K["</f>
        <v>#VALUE!</v>
      </c>
      <c r="BM137" t="e">
        <f>'2.5.Трудоемкость'!AAL10+"BYw!'K\"</f>
        <v>#VALUE!</v>
      </c>
      <c r="BN137" t="e">
        <f>'2.5.Трудоемкость'!AAM10+"BYw!'K]"</f>
        <v>#VALUE!</v>
      </c>
      <c r="BO137" t="e">
        <f>'2.5.Трудоемкость'!AAN10+"BYw!'K^"</f>
        <v>#VALUE!</v>
      </c>
      <c r="BP137" t="e">
        <f>'2.5.Трудоемкость'!AAO10+"BYw!'K_"</f>
        <v>#VALUE!</v>
      </c>
      <c r="BQ137" t="e">
        <f>'2.5.Трудоемкость'!AAP10+"BYw!'K`"</f>
        <v>#VALUE!</v>
      </c>
      <c r="BR137" t="e">
        <f>'2.5.Трудоемкость'!AAQ10+"BYw!'Ka"</f>
        <v>#VALUE!</v>
      </c>
      <c r="BS137" t="e">
        <f>'2.5.Трудоемкость'!AAR10+"BYw!'Kb"</f>
        <v>#VALUE!</v>
      </c>
      <c r="BT137" t="e">
        <f>'2.5.Трудоемкость'!AAS10+"BYw!'Kc"</f>
        <v>#VALUE!</v>
      </c>
      <c r="BU137" t="e">
        <f>'2.5.Трудоемкость'!AAT10+"BYw!'Kd"</f>
        <v>#VALUE!</v>
      </c>
      <c r="BV137" t="e">
        <f>'2.5.Трудоемкость'!AAU10+"BYw!'Ke"</f>
        <v>#VALUE!</v>
      </c>
      <c r="BW137" t="e">
        <f>'2.5.Трудоемкость'!AAV10+"BYw!'Kf"</f>
        <v>#VALUE!</v>
      </c>
      <c r="BX137" t="e">
        <f>'2.5.Трудоемкость'!AAW10+"BYw!'Kg"</f>
        <v>#VALUE!</v>
      </c>
      <c r="BY137" t="e">
        <f>'2.5.Трудоемкость'!AAX10+"BYw!'Kh"</f>
        <v>#VALUE!</v>
      </c>
      <c r="BZ137" t="e">
        <f>'2.5.Трудоемкость'!AAY10+"BYw!'Ki"</f>
        <v>#VALUE!</v>
      </c>
      <c r="CA137" t="e">
        <f>'2.5.Трудоемкость'!AAZ10+"BYw!'Kj"</f>
        <v>#VALUE!</v>
      </c>
      <c r="CB137" t="e">
        <f>'2.5.Трудоемкость'!ABA10+"BYw!'Kk"</f>
        <v>#VALUE!</v>
      </c>
      <c r="CC137" t="e">
        <f>'2.5.Трудоемкость'!ABB10+"BYw!'Kl"</f>
        <v>#VALUE!</v>
      </c>
      <c r="CD137" t="e">
        <f>'2.5.Трудоемкость'!ABC10+"BYw!'Km"</f>
        <v>#VALUE!</v>
      </c>
      <c r="CE137" t="e">
        <f>'2.5.Трудоемкость'!ABD10+"BYw!'Kn"</f>
        <v>#VALUE!</v>
      </c>
      <c r="CF137" t="e">
        <f>'2.5.Трудоемкость'!ABE10+"BYw!'Ko"</f>
        <v>#VALUE!</v>
      </c>
      <c r="CG137" t="e">
        <f>'2.5.Трудоемкость'!ABF10+"BYw!'Kp"</f>
        <v>#VALUE!</v>
      </c>
      <c r="CH137" t="e">
        <f>'2.5.Трудоемкость'!ABG10+"BYw!'Kq"</f>
        <v>#VALUE!</v>
      </c>
      <c r="CI137" t="e">
        <f>'2.5.Трудоемкость'!ABH10+"BYw!'Kr"</f>
        <v>#VALUE!</v>
      </c>
      <c r="CJ137" t="e">
        <f>'2.5.Трудоемкость'!ABI10+"BYw!'Ks"</f>
        <v>#VALUE!</v>
      </c>
      <c r="CK137" t="e">
        <f>'2.5.Трудоемкость'!ABJ10+"BYw!'Kt"</f>
        <v>#VALUE!</v>
      </c>
      <c r="CL137" t="e">
        <f>'2.5.Трудоемкость'!ABK10+"BYw!'Ku"</f>
        <v>#VALUE!</v>
      </c>
      <c r="CM137" t="e">
        <f>'2.5.Трудоемкость'!ABL10+"BYw!'Kv"</f>
        <v>#VALUE!</v>
      </c>
      <c r="CN137" t="e">
        <f>'2.5.Трудоемкость'!ABM10+"BYw!'Kw"</f>
        <v>#VALUE!</v>
      </c>
      <c r="CO137" t="e">
        <f>'2.5.Трудоемкость'!ABN10+"BYw!'Kx"</f>
        <v>#VALUE!</v>
      </c>
      <c r="CP137" t="e">
        <f>'2.5.Трудоемкость'!ABO10+"BYw!'Ky"</f>
        <v>#VALUE!</v>
      </c>
      <c r="CQ137" t="e">
        <f>'2.5.Трудоемкость'!ABP10+"BYw!'Kz"</f>
        <v>#VALUE!</v>
      </c>
      <c r="CR137" t="e">
        <f>'2.5.Трудоемкость'!ABQ10+"BYw!'K{"</f>
        <v>#VALUE!</v>
      </c>
      <c r="CS137" t="e">
        <f>'2.5.Трудоемкость'!ABR10+"BYw!'K|"</f>
        <v>#VALUE!</v>
      </c>
      <c r="CT137" t="e">
        <f>'2.5.Трудоемкость'!ABS10+"BYw!'K}"</f>
        <v>#VALUE!</v>
      </c>
      <c r="CU137" t="e">
        <f>'2.5.Трудоемкость'!ABT10+"BYw!'K~"</f>
        <v>#VALUE!</v>
      </c>
      <c r="CV137" t="e">
        <f>'2.5.Трудоемкость'!ABU10+"BYw!'L#"</f>
        <v>#VALUE!</v>
      </c>
      <c r="CW137" t="e">
        <f>'2.5.Трудоемкость'!ABV10+"BYw!'L$"</f>
        <v>#VALUE!</v>
      </c>
      <c r="CX137" t="e">
        <f>'2.5.Трудоемкость'!ABW10+"BYw!'L%"</f>
        <v>#VALUE!</v>
      </c>
      <c r="CY137" t="e">
        <f>'2.5.Трудоемкость'!ABX10+"BYw!'L&amp;"</f>
        <v>#VALUE!</v>
      </c>
      <c r="CZ137" t="e">
        <f>'2.5.Трудоемкость'!ABY10+"BYw!'L'"</f>
        <v>#VALUE!</v>
      </c>
      <c r="DA137" t="e">
        <f>'2.5.Трудоемкость'!ABZ10+"BYw!'L("</f>
        <v>#VALUE!</v>
      </c>
      <c r="DB137" t="e">
        <f>'2.5.Трудоемкость'!ACA10+"BYw!'L)"</f>
        <v>#VALUE!</v>
      </c>
      <c r="DC137" t="e">
        <f>'2.5.Трудоемкость'!ACB10+"BYw!'L."</f>
        <v>#VALUE!</v>
      </c>
      <c r="DD137" t="e">
        <f>'2.5.Трудоемкость'!ACC10+"BYw!'L/"</f>
        <v>#VALUE!</v>
      </c>
      <c r="DE137" t="e">
        <f>'2.5.Трудоемкость'!ACD10+"BYw!'L0"</f>
        <v>#VALUE!</v>
      </c>
      <c r="DF137" t="e">
        <f>'2.5.Трудоемкость'!ACE10+"BYw!'L1"</f>
        <v>#VALUE!</v>
      </c>
      <c r="DG137" t="e">
        <f>'2.5.Трудоемкость'!ACF10+"BYw!'L2"</f>
        <v>#VALUE!</v>
      </c>
      <c r="DH137" t="e">
        <f>'2.5.Трудоемкость'!ACG10+"BYw!'L3"</f>
        <v>#VALUE!</v>
      </c>
      <c r="DI137" t="e">
        <f>'2.5.Трудоемкость'!ACH10+"BYw!'L4"</f>
        <v>#VALUE!</v>
      </c>
      <c r="DJ137" t="e">
        <f>'2.5.Трудоемкость'!ACI10+"BYw!'L5"</f>
        <v>#VALUE!</v>
      </c>
      <c r="DK137" t="e">
        <f>'2.5.Трудоемкость'!ACJ10+"BYw!'L6"</f>
        <v>#VALUE!</v>
      </c>
      <c r="DL137" t="e">
        <f>'2.5.Трудоемкость'!ACK10+"BYw!'L7"</f>
        <v>#VALUE!</v>
      </c>
      <c r="DM137" t="e">
        <f>'2.5.Трудоемкость'!ACL10+"BYw!'L8"</f>
        <v>#VALUE!</v>
      </c>
      <c r="DN137" t="e">
        <f>'2.5.Трудоемкость'!ACM10+"BYw!'L9"</f>
        <v>#VALUE!</v>
      </c>
      <c r="DO137" t="e">
        <f>'2.5.Трудоемкость'!ACN10+"BYw!'L:"</f>
        <v>#VALUE!</v>
      </c>
      <c r="DP137" t="e">
        <f>'2.5.Трудоемкость'!ACO10+"BYw!'L;"</f>
        <v>#VALUE!</v>
      </c>
      <c r="DQ137" t="e">
        <f>'2.5.Трудоемкость'!ACP10+"BYw!'L&lt;"</f>
        <v>#VALUE!</v>
      </c>
      <c r="DR137" t="e">
        <f>'2.5.Трудоемкость'!ACQ10+"BYw!'L="</f>
        <v>#VALUE!</v>
      </c>
      <c r="DS137" t="e">
        <f>'2.5.Трудоемкость'!ACR10+"BYw!'L&gt;"</f>
        <v>#VALUE!</v>
      </c>
      <c r="DT137" t="e">
        <f>'2.5.Трудоемкость'!ACS10+"BYw!'L?"</f>
        <v>#VALUE!</v>
      </c>
      <c r="DU137" t="e">
        <f>'2.5.Трудоемкость'!ACT10+"BYw!'L@"</f>
        <v>#VALUE!</v>
      </c>
      <c r="DV137" t="e">
        <f>'2.5.Трудоемкость'!ACU10+"BYw!'LA"</f>
        <v>#VALUE!</v>
      </c>
      <c r="DW137" t="e">
        <f>'2.5.Трудоемкость'!ACV10+"BYw!'LB"</f>
        <v>#VALUE!</v>
      </c>
      <c r="DX137" t="e">
        <f>'2.5.Трудоемкость'!ACW10+"BYw!'LC"</f>
        <v>#VALUE!</v>
      </c>
      <c r="DY137" t="e">
        <f>'2.5.Трудоемкость'!ACX10+"BYw!'LD"</f>
        <v>#VALUE!</v>
      </c>
      <c r="DZ137" t="e">
        <f>'2.5.Трудоемкость'!ACY10+"BYw!'LE"</f>
        <v>#VALUE!</v>
      </c>
      <c r="EA137" t="e">
        <f>'2.5.Трудоемкость'!ACZ10+"BYw!'LF"</f>
        <v>#VALUE!</v>
      </c>
      <c r="EB137" t="e">
        <f>'2.5.Трудоемкость'!ADA10+"BYw!'LG"</f>
        <v>#VALUE!</v>
      </c>
      <c r="EC137" t="e">
        <f>'2.5.Трудоемкость'!ADB10+"BYw!'LH"</f>
        <v>#VALUE!</v>
      </c>
      <c r="ED137" t="e">
        <f>'2.5.Трудоемкость'!ADC10+"BYw!'LI"</f>
        <v>#VALUE!</v>
      </c>
      <c r="EE137" t="e">
        <f>'2.5.Трудоемкость'!ADD10+"BYw!'LJ"</f>
        <v>#VALUE!</v>
      </c>
      <c r="EF137" t="e">
        <f>'2.5.Трудоемкость'!ADE10+"BYw!'LK"</f>
        <v>#VALUE!</v>
      </c>
      <c r="EG137" t="e">
        <f>'2.5.Трудоемкость'!ADF10+"BYw!'LL"</f>
        <v>#VALUE!</v>
      </c>
      <c r="EH137" t="e">
        <f>'2.5.Трудоемкость'!ADG10+"BYw!'LM"</f>
        <v>#VALUE!</v>
      </c>
      <c r="EI137" t="e">
        <f>'2.5.Трудоемкость'!ADH10+"BYw!'LN"</f>
        <v>#VALUE!</v>
      </c>
      <c r="EJ137" t="e">
        <f>'2.5.Трудоемкость'!ADI10+"BYw!'LO"</f>
        <v>#VALUE!</v>
      </c>
      <c r="EK137" t="e">
        <f>'2.5.Трудоемкость'!ADJ10+"BYw!'LP"</f>
        <v>#VALUE!</v>
      </c>
      <c r="EL137" t="e">
        <f>'2.5.Трудоемкость'!ADK10+"BYw!'LQ"</f>
        <v>#VALUE!</v>
      </c>
      <c r="EM137" t="e">
        <f>'2.5.Трудоемкость'!ADL10+"BYw!'LR"</f>
        <v>#VALUE!</v>
      </c>
      <c r="EN137" t="e">
        <f>'2.5.Трудоемкость'!ADM10+"BYw!'LS"</f>
        <v>#VALUE!</v>
      </c>
      <c r="EO137" t="e">
        <f>'2.5.Трудоемкость'!ADN10+"BYw!'LT"</f>
        <v>#VALUE!</v>
      </c>
      <c r="EP137" t="e">
        <f>'2.5.Трудоемкость'!ADO10+"BYw!'LU"</f>
        <v>#VALUE!</v>
      </c>
      <c r="EQ137" t="e">
        <f>'2.5.Трудоемкость'!ADP10+"BYw!'LV"</f>
        <v>#VALUE!</v>
      </c>
      <c r="ER137" t="e">
        <f>'2.5.Трудоемкость'!ADQ10+"BYw!'LW"</f>
        <v>#VALUE!</v>
      </c>
      <c r="ES137" t="e">
        <f>'2.5.Трудоемкость'!ADR10+"BYw!'LX"</f>
        <v>#VALUE!</v>
      </c>
      <c r="ET137" t="e">
        <f>'2.5.Трудоемкость'!ADS10+"BYw!'LY"</f>
        <v>#VALUE!</v>
      </c>
      <c r="EU137" t="e">
        <f>'2.5.Трудоемкость'!ADT10+"BYw!'LZ"</f>
        <v>#VALUE!</v>
      </c>
      <c r="EV137" t="e">
        <f>'2.5.Трудоемкость'!ADU10+"BYw!'L["</f>
        <v>#VALUE!</v>
      </c>
      <c r="EW137" t="e">
        <f>'2.5.Трудоемкость'!ADV10+"BYw!'L\"</f>
        <v>#VALUE!</v>
      </c>
      <c r="EX137" t="e">
        <f>'2.5.Трудоемкость'!ADW10+"BYw!'L]"</f>
        <v>#VALUE!</v>
      </c>
      <c r="EY137" t="e">
        <f>'2.5.Трудоемкость'!ADX10+"BYw!'L^"</f>
        <v>#VALUE!</v>
      </c>
      <c r="EZ137" t="e">
        <f>'2.5.Трудоемкость'!ADY10+"BYw!'L_"</f>
        <v>#VALUE!</v>
      </c>
      <c r="FA137" t="e">
        <f>'2.5.Трудоемкость'!ADZ10+"BYw!'L`"</f>
        <v>#VALUE!</v>
      </c>
      <c r="FB137" t="e">
        <f>'2.5.Трудоемкость'!AEA10+"BYw!'La"</f>
        <v>#VALUE!</v>
      </c>
      <c r="FC137" t="e">
        <f>'2.5.Трудоемкость'!AEB10+"BYw!'Lb"</f>
        <v>#VALUE!</v>
      </c>
      <c r="FD137" t="e">
        <f>'2.5.Трудоемкость'!AEC10+"BYw!'Lc"</f>
        <v>#VALUE!</v>
      </c>
      <c r="FE137" t="e">
        <f>'2.5.Трудоемкость'!AED10+"BYw!'Ld"</f>
        <v>#VALUE!</v>
      </c>
      <c r="FF137" t="e">
        <f>'2.5.Трудоемкость'!AEE10+"BYw!'Le"</f>
        <v>#VALUE!</v>
      </c>
      <c r="FG137" t="e">
        <f>'2.5.Трудоемкость'!AEF10+"BYw!'Lf"</f>
        <v>#VALUE!</v>
      </c>
      <c r="FH137" t="e">
        <f>'2.5.Трудоемкость'!AEG10+"BYw!'Lg"</f>
        <v>#VALUE!</v>
      </c>
      <c r="FI137" t="e">
        <f>'2.5.Трудоемкость'!AEH10+"BYw!'Lh"</f>
        <v>#VALUE!</v>
      </c>
      <c r="FJ137" t="e">
        <f>'2.5.Трудоемкость'!AEI10+"BYw!'Li"</f>
        <v>#VALUE!</v>
      </c>
      <c r="FK137" t="e">
        <f>'2.5.Трудоемкость'!AEJ10+"BYw!'Lj"</f>
        <v>#VALUE!</v>
      </c>
      <c r="FL137" t="e">
        <f>'2.5.Трудоемкость'!AEK10+"BYw!'Lk"</f>
        <v>#VALUE!</v>
      </c>
      <c r="FM137" t="e">
        <f>'2.5.Трудоемкость'!AEL10+"BYw!'Ll"</f>
        <v>#VALUE!</v>
      </c>
      <c r="FN137" t="e">
        <f>'2.5.Трудоемкость'!AEM10+"BYw!'Lm"</f>
        <v>#VALUE!</v>
      </c>
      <c r="FO137" t="e">
        <f>'2.5.Трудоемкость'!AEN10+"BYw!'Ln"</f>
        <v>#VALUE!</v>
      </c>
      <c r="FP137" t="e">
        <f>'2.5.Трудоемкость'!AEO10+"BYw!'Lo"</f>
        <v>#VALUE!</v>
      </c>
      <c r="FQ137" t="e">
        <f>'2.5.Трудоемкость'!AEP10+"BYw!'Lp"</f>
        <v>#VALUE!</v>
      </c>
      <c r="FR137" t="e">
        <f>'2.5.Трудоемкость'!AEQ10+"BYw!'Lq"</f>
        <v>#VALUE!</v>
      </c>
      <c r="FS137" t="e">
        <f>'2.5.Трудоемкость'!AER10+"BYw!'Lr"</f>
        <v>#VALUE!</v>
      </c>
      <c r="FT137" t="e">
        <f>'2.5.Трудоемкость'!AES10+"BYw!'Ls"</f>
        <v>#VALUE!</v>
      </c>
      <c r="FU137" t="e">
        <f>'2.5.Трудоемкость'!AET10+"BYw!'Lt"</f>
        <v>#VALUE!</v>
      </c>
      <c r="FV137" t="e">
        <f>'2.5.Трудоемкость'!AEU10+"BYw!'Lu"</f>
        <v>#VALUE!</v>
      </c>
      <c r="FW137" t="e">
        <f>'2.5.Трудоемкость'!AEV10+"BYw!'Lv"</f>
        <v>#VALUE!</v>
      </c>
      <c r="FX137" t="e">
        <f>'2.5.Трудоемкость'!AEW10+"BYw!'Lw"</f>
        <v>#VALUE!</v>
      </c>
      <c r="FY137" t="e">
        <f>'2.5.Трудоемкость'!AEX10+"BYw!'Lx"</f>
        <v>#VALUE!</v>
      </c>
      <c r="FZ137" t="e">
        <f>'2.5.Трудоемкость'!AEY10+"BYw!'Ly"</f>
        <v>#VALUE!</v>
      </c>
      <c r="GA137" t="e">
        <f>'2.5.Трудоемкость'!AEZ10+"BYw!'Lz"</f>
        <v>#VALUE!</v>
      </c>
      <c r="GB137" t="e">
        <f>'2.5.Трудоемкость'!AFA10+"BYw!'L{"</f>
        <v>#VALUE!</v>
      </c>
      <c r="GC137" t="e">
        <f>'2.5.Трудоемкость'!AFB10+"BYw!'L|"</f>
        <v>#VALUE!</v>
      </c>
      <c r="GD137" t="e">
        <f>'2.5.Трудоемкость'!AFC10+"BYw!'L}"</f>
        <v>#VALUE!</v>
      </c>
      <c r="GE137" t="e">
        <f>'2.5.Трудоемкость'!AFD10+"BYw!'L~"</f>
        <v>#VALUE!</v>
      </c>
      <c r="GF137" t="e">
        <f>'2.5.Трудоемкость'!AFE10+"BYw!'M#"</f>
        <v>#VALUE!</v>
      </c>
      <c r="GG137" t="e">
        <f>'2.5.Трудоемкость'!AFF10+"BYw!'M$"</f>
        <v>#VALUE!</v>
      </c>
      <c r="GH137" t="e">
        <f>'2.5.Трудоемкость'!AFG10+"BYw!'M%"</f>
        <v>#VALUE!</v>
      </c>
      <c r="GI137" t="e">
        <f>'2.5.Трудоемкость'!AFH10+"BYw!'M&amp;"</f>
        <v>#VALUE!</v>
      </c>
      <c r="GJ137" t="e">
        <f>'2.5.Трудоемкость'!AFI10+"BYw!'M'"</f>
        <v>#VALUE!</v>
      </c>
      <c r="GK137" t="e">
        <f>'2.5.Трудоемкость'!AFJ10+"BYw!'M("</f>
        <v>#VALUE!</v>
      </c>
      <c r="GL137" t="e">
        <f>'2.5.Трудоемкость'!AFK10+"BYw!'M)"</f>
        <v>#VALUE!</v>
      </c>
      <c r="GM137" t="e">
        <f>'2.5.Трудоемкость'!AFL10+"BYw!'M."</f>
        <v>#VALUE!</v>
      </c>
      <c r="GN137" t="e">
        <f>'2.5.Трудоемкость'!AFM10+"BYw!'M/"</f>
        <v>#VALUE!</v>
      </c>
      <c r="GO137" t="e">
        <f>'2.5.Трудоемкость'!AFN10+"BYw!'M0"</f>
        <v>#VALUE!</v>
      </c>
      <c r="GP137" t="e">
        <f>'2.5.Трудоемкость'!AFO10+"BYw!'M1"</f>
        <v>#VALUE!</v>
      </c>
      <c r="GQ137" t="e">
        <f>'2.5.Трудоемкость'!AFP10+"BYw!'M2"</f>
        <v>#VALUE!</v>
      </c>
      <c r="GR137" t="e">
        <f>'2.5.Трудоемкость'!AFQ10+"BYw!'M3"</f>
        <v>#VALUE!</v>
      </c>
      <c r="GS137" t="e">
        <f>'2.5.Трудоемкость'!AFR10+"BYw!'M4"</f>
        <v>#VALUE!</v>
      </c>
      <c r="GT137" t="e">
        <f>'2.5.Трудоемкость'!AFS10+"BYw!'M5"</f>
        <v>#VALUE!</v>
      </c>
      <c r="GU137" t="e">
        <f>'2.5.Трудоемкость'!AFT10+"BYw!'M6"</f>
        <v>#VALUE!</v>
      </c>
      <c r="GV137" t="e">
        <f>'2.5.Трудоемкость'!AFU10+"BYw!'M7"</f>
        <v>#VALUE!</v>
      </c>
      <c r="GW137" t="e">
        <f>'2.5.Трудоемкость'!AFV10+"BYw!'M8"</f>
        <v>#VALUE!</v>
      </c>
      <c r="GX137" t="e">
        <f>'2.5.Трудоемкость'!AFW10+"BYw!'M9"</f>
        <v>#VALUE!</v>
      </c>
      <c r="GY137" t="e">
        <f>'2.5.Трудоемкость'!AFX10+"BYw!'M:"</f>
        <v>#VALUE!</v>
      </c>
      <c r="GZ137" t="e">
        <f>'2.5.Трудоемкость'!AFY10+"BYw!'M;"</f>
        <v>#VALUE!</v>
      </c>
      <c r="HA137" t="e">
        <f>'2.5.Трудоемкость'!AFZ10+"BYw!'M&lt;"</f>
        <v>#VALUE!</v>
      </c>
      <c r="HB137" t="e">
        <f>'2.5.Трудоемкость'!AGA10+"BYw!'M="</f>
        <v>#VALUE!</v>
      </c>
      <c r="HC137" t="e">
        <f>'2.5.Трудоемкость'!AGB10+"BYw!'M&gt;"</f>
        <v>#VALUE!</v>
      </c>
      <c r="HD137" t="e">
        <f>'2.5.Трудоемкость'!AGC10+"BYw!'M?"</f>
        <v>#VALUE!</v>
      </c>
      <c r="HE137" t="e">
        <f>'2.5.Трудоемкость'!AGD10+"BYw!'M@"</f>
        <v>#VALUE!</v>
      </c>
      <c r="HF137" t="e">
        <f>'2.5.Трудоемкость'!AGE10+"BYw!'MA"</f>
        <v>#VALUE!</v>
      </c>
      <c r="HG137" t="e">
        <f>'2.5.Трудоемкость'!AGF10+"BYw!'MB"</f>
        <v>#VALUE!</v>
      </c>
      <c r="HH137" t="e">
        <f>'2.5.Трудоемкость'!AGG10+"BYw!'MC"</f>
        <v>#VALUE!</v>
      </c>
      <c r="HI137" t="e">
        <f>'2.5.Трудоемкость'!AGH10+"BYw!'MD"</f>
        <v>#VALUE!</v>
      </c>
      <c r="HJ137" t="e">
        <f>'2.5.Трудоемкость'!AGI10+"BYw!'ME"</f>
        <v>#VALUE!</v>
      </c>
      <c r="HK137" t="e">
        <f>'2.5.Трудоемкость'!AGJ10+"BYw!'MF"</f>
        <v>#VALUE!</v>
      </c>
      <c r="HL137" t="e">
        <f>'2.5.Трудоемкость'!AGK10+"BYw!'MG"</f>
        <v>#VALUE!</v>
      </c>
      <c r="HM137" t="e">
        <f>'2.5.Трудоемкость'!AGL10+"BYw!'MH"</f>
        <v>#VALUE!</v>
      </c>
      <c r="HN137" t="e">
        <f>'2.5.Трудоемкость'!AGM10+"BYw!'MI"</f>
        <v>#VALUE!</v>
      </c>
      <c r="HO137" t="e">
        <f>'2.5.Трудоемкость'!AGN10+"BYw!'MJ"</f>
        <v>#VALUE!</v>
      </c>
      <c r="HP137" t="e">
        <f>'2.5.Трудоемкость'!AGO10+"BYw!'MK"</f>
        <v>#VALUE!</v>
      </c>
      <c r="HQ137" t="e">
        <f>'2.5.Трудоемкость'!AGP10+"BYw!'ML"</f>
        <v>#VALUE!</v>
      </c>
      <c r="HR137" t="e">
        <f>'2.5.Трудоемкость'!AGQ10+"BYw!'MM"</f>
        <v>#VALUE!</v>
      </c>
      <c r="HS137" t="e">
        <f>'2.5.Трудоемкость'!AGR10+"BYw!'MN"</f>
        <v>#VALUE!</v>
      </c>
      <c r="HT137" t="e">
        <f>'2.5.Трудоемкость'!AGS10+"BYw!'MO"</f>
        <v>#VALUE!</v>
      </c>
      <c r="HU137" t="e">
        <f>'2.5.Трудоемкость'!AGT10+"BYw!'MP"</f>
        <v>#VALUE!</v>
      </c>
      <c r="HV137" t="e">
        <f>'2.5.Трудоемкость'!AGU10+"BYw!'MQ"</f>
        <v>#VALUE!</v>
      </c>
      <c r="HW137" t="e">
        <f>'2.5.Трудоемкость'!AGV10+"BYw!'MR"</f>
        <v>#VALUE!</v>
      </c>
      <c r="HX137" t="e">
        <f>'2.5.Трудоемкость'!AGW10+"BYw!'MS"</f>
        <v>#VALUE!</v>
      </c>
      <c r="HY137" t="e">
        <f>'2.5.Трудоемкость'!AGX10+"BYw!'MT"</f>
        <v>#VALUE!</v>
      </c>
      <c r="HZ137" t="e">
        <f>'2.5.Трудоемкость'!AGY10+"BYw!'MU"</f>
        <v>#VALUE!</v>
      </c>
      <c r="IA137" t="e">
        <f>'2.5.Трудоемкость'!AGZ10+"BYw!'MV"</f>
        <v>#VALUE!</v>
      </c>
      <c r="IB137" t="e">
        <f>'2.5.Трудоемкость'!AHA10+"BYw!'MW"</f>
        <v>#VALUE!</v>
      </c>
      <c r="IC137" t="e">
        <f>'2.5.Трудоемкость'!AHB10+"BYw!'MX"</f>
        <v>#VALUE!</v>
      </c>
      <c r="ID137" t="e">
        <f>'2.5.Трудоемкость'!AHC10+"BYw!'MY"</f>
        <v>#VALUE!</v>
      </c>
      <c r="IE137" t="e">
        <f>'2.5.Трудоемкость'!AHD10+"BYw!'MZ"</f>
        <v>#VALUE!</v>
      </c>
      <c r="IF137" t="e">
        <f>'2.5.Трудоемкость'!AHE10+"BYw!'M["</f>
        <v>#VALUE!</v>
      </c>
      <c r="IG137" t="e">
        <f>'2.5.Трудоемкость'!AHF10+"BYw!'M\"</f>
        <v>#VALUE!</v>
      </c>
      <c r="IH137" t="e">
        <f>'2.5.Трудоемкость'!AHG10+"BYw!'M]"</f>
        <v>#VALUE!</v>
      </c>
      <c r="II137" t="e">
        <f>'2.5.Трудоемкость'!AHH10+"BYw!'M^"</f>
        <v>#VALUE!</v>
      </c>
      <c r="IJ137" t="e">
        <f>'2.5.Трудоемкость'!AHI10+"BYw!'M_"</f>
        <v>#VALUE!</v>
      </c>
      <c r="IK137" t="e">
        <f>'2.5.Трудоемкость'!AHJ10+"BYw!'M`"</f>
        <v>#VALUE!</v>
      </c>
      <c r="IL137" t="e">
        <f>'2.5.Трудоемкость'!AHK10+"BYw!'Ma"</f>
        <v>#VALUE!</v>
      </c>
      <c r="IM137" t="e">
        <f>'2.5.Трудоемкость'!AHL10+"BYw!'Mb"</f>
        <v>#VALUE!</v>
      </c>
      <c r="IN137" t="e">
        <f>'2.5.Трудоемкость'!AHM10+"BYw!'Mc"</f>
        <v>#VALUE!</v>
      </c>
      <c r="IO137" t="e">
        <f>'2.5.Трудоемкость'!AHN10+"BYw!'Md"</f>
        <v>#VALUE!</v>
      </c>
      <c r="IP137" t="e">
        <f>'2.5.Трудоемкость'!AHO10+"BYw!'Me"</f>
        <v>#VALUE!</v>
      </c>
      <c r="IQ137" t="e">
        <f>'2.5.Трудоемкость'!AHP10+"BYw!'Mf"</f>
        <v>#VALUE!</v>
      </c>
      <c r="IR137" t="e">
        <f>'2.5.Трудоемкость'!AHQ10+"BYw!'Mg"</f>
        <v>#VALUE!</v>
      </c>
      <c r="IS137" t="e">
        <f>'2.5.Трудоемкость'!AHR10+"BYw!'Mh"</f>
        <v>#VALUE!</v>
      </c>
      <c r="IT137" t="e">
        <f>'2.5.Трудоемкость'!AHS10+"BYw!'Mi"</f>
        <v>#VALUE!</v>
      </c>
      <c r="IU137" t="e">
        <f>'2.5.Трудоемкость'!AHT10+"BYw!'Mj"</f>
        <v>#VALUE!</v>
      </c>
      <c r="IV137" t="e">
        <f>'2.5.Трудоемкость'!AHU10+"BYw!'Mk"</f>
        <v>#VALUE!</v>
      </c>
    </row>
    <row r="138" spans="6:256" x14ac:dyDescent="0.2">
      <c r="F138" t="e">
        <f>'2.5.Трудоемкость'!AHV10+"BYw!'Ml"</f>
        <v>#VALUE!</v>
      </c>
      <c r="G138" t="e">
        <f>'2.5.Трудоемкость'!AHW10+"BYw!'Mm"</f>
        <v>#VALUE!</v>
      </c>
      <c r="H138" t="e">
        <f>'2.5.Трудоемкость'!AHX10+"BYw!'Mn"</f>
        <v>#VALUE!</v>
      </c>
      <c r="I138" t="e">
        <f>'2.5.Трудоемкость'!AHY10+"BYw!'Mo"</f>
        <v>#VALUE!</v>
      </c>
      <c r="J138" t="e">
        <f>'2.5.Трудоемкость'!AHZ10+"BYw!'Mp"</f>
        <v>#VALUE!</v>
      </c>
      <c r="K138" t="e">
        <f>'2.5.Трудоемкость'!AIA10+"BYw!'Mq"</f>
        <v>#VALUE!</v>
      </c>
      <c r="L138" t="e">
        <f>'2.5.Трудоемкость'!AIB10+"BYw!'Mr"</f>
        <v>#VALUE!</v>
      </c>
      <c r="M138" t="e">
        <f>'2.5.Трудоемкость'!AIC10+"BYw!'Ms"</f>
        <v>#VALUE!</v>
      </c>
      <c r="N138" t="e">
        <f>'2.5.Трудоемкость'!AID10+"BYw!'Mt"</f>
        <v>#VALUE!</v>
      </c>
      <c r="O138" t="e">
        <f>'2.5.Трудоемкость'!AIE10+"BYw!'Mu"</f>
        <v>#VALUE!</v>
      </c>
      <c r="P138" t="e">
        <f>'2.5.Трудоемкость'!AIF10+"BYw!'Mv"</f>
        <v>#VALUE!</v>
      </c>
      <c r="Q138" t="e">
        <f>'2.5.Трудоемкость'!AIG10+"BYw!'Mw"</f>
        <v>#VALUE!</v>
      </c>
      <c r="R138" t="e">
        <f>'2.5.Трудоемкость'!AIH10+"BYw!'Mx"</f>
        <v>#VALUE!</v>
      </c>
      <c r="S138" t="e">
        <f>'2.5.Трудоемкость'!AII10+"BYw!'My"</f>
        <v>#VALUE!</v>
      </c>
      <c r="T138" t="e">
        <f>'2.5.Трудоемкость'!AIJ10+"BYw!'Mz"</f>
        <v>#VALUE!</v>
      </c>
      <c r="U138" t="e">
        <f>'2.5.Трудоемкость'!AIK10+"BYw!'M{"</f>
        <v>#VALUE!</v>
      </c>
      <c r="V138" t="e">
        <f>'2.5.Трудоемкость'!AIL10+"BYw!'M|"</f>
        <v>#VALUE!</v>
      </c>
      <c r="W138" t="e">
        <f>'2.5.Трудоемкость'!AIM10+"BYw!'M}"</f>
        <v>#VALUE!</v>
      </c>
      <c r="X138" t="e">
        <f>'2.5.Трудоемкость'!AIN10+"BYw!'M~"</f>
        <v>#VALUE!</v>
      </c>
      <c r="Y138" t="e">
        <f>'2.5.Трудоемкость'!AIO10+"BYw!'N#"</f>
        <v>#VALUE!</v>
      </c>
      <c r="Z138" t="e">
        <f>'2.5.Трудоемкость'!AIP10+"BYw!'N$"</f>
        <v>#VALUE!</v>
      </c>
      <c r="AA138" t="e">
        <f>'2.5.Трудоемкость'!AIQ10+"BYw!'N%"</f>
        <v>#VALUE!</v>
      </c>
      <c r="AB138" t="e">
        <f>'2.5.Трудоемкость'!AIR10+"BYw!'N&amp;"</f>
        <v>#VALUE!</v>
      </c>
      <c r="AC138" t="e">
        <f>'2.5.Трудоемкость'!AIS10+"BYw!'N'"</f>
        <v>#VALUE!</v>
      </c>
      <c r="AD138" t="e">
        <f>'2.5.Трудоемкость'!AIT10+"BYw!'N("</f>
        <v>#VALUE!</v>
      </c>
      <c r="AE138" t="e">
        <f>'2.5.Трудоемкость'!AIU10+"BYw!'N)"</f>
        <v>#VALUE!</v>
      </c>
      <c r="AF138" t="e">
        <f>'2.5.Трудоемкость'!AIV10+"BYw!'N."</f>
        <v>#VALUE!</v>
      </c>
      <c r="AG138" t="e">
        <f>'2.5.Трудоемкость'!AIW10+"BYw!'N/"</f>
        <v>#VALUE!</v>
      </c>
      <c r="AH138" t="e">
        <f>'2.5.Трудоемкость'!AIX10+"BYw!'N0"</f>
        <v>#VALUE!</v>
      </c>
      <c r="AI138" t="e">
        <f>'2.5.Трудоемкость'!AIY10+"BYw!'N1"</f>
        <v>#VALUE!</v>
      </c>
      <c r="AJ138" t="e">
        <f>'2.5.Трудоемкость'!AIZ10+"BYw!'N2"</f>
        <v>#VALUE!</v>
      </c>
      <c r="AK138" t="e">
        <f>'2.5.Трудоемкость'!AJA10+"BYw!'N3"</f>
        <v>#VALUE!</v>
      </c>
      <c r="AL138" t="e">
        <f>'2.5.Трудоемкость'!AJB10+"BYw!'N4"</f>
        <v>#VALUE!</v>
      </c>
      <c r="AM138" t="e">
        <f>'2.5.Трудоемкость'!AJC10+"BYw!'N5"</f>
        <v>#VALUE!</v>
      </c>
      <c r="AN138" t="e">
        <f>'2.5.Трудоемкость'!AJD10+"BYw!'N6"</f>
        <v>#VALUE!</v>
      </c>
      <c r="AO138" t="e">
        <f>'2.5.Трудоемкость'!AJE10+"BYw!'N7"</f>
        <v>#VALUE!</v>
      </c>
      <c r="AP138" t="e">
        <f>'2.5.Трудоемкость'!AJF10+"BYw!'N8"</f>
        <v>#VALUE!</v>
      </c>
      <c r="AQ138" t="e">
        <f>'2.5.Трудоемкость'!AJG10+"BYw!'N9"</f>
        <v>#VALUE!</v>
      </c>
      <c r="AR138" t="e">
        <f>'2.5.Трудоемкость'!AJH10+"BYw!'N:"</f>
        <v>#VALUE!</v>
      </c>
      <c r="AS138" t="e">
        <f>'2.5.Трудоемкость'!AJI10+"BYw!'N;"</f>
        <v>#VALUE!</v>
      </c>
      <c r="AT138" t="e">
        <f>'2.5.Трудоемкость'!AJJ10+"BYw!'N&lt;"</f>
        <v>#VALUE!</v>
      </c>
      <c r="AU138" t="e">
        <f>'2.5.Трудоемкость'!AJK10+"BYw!'N="</f>
        <v>#VALUE!</v>
      </c>
      <c r="AV138" t="e">
        <f>'2.5.Трудоемкость'!AJL10+"BYw!'N&gt;"</f>
        <v>#VALUE!</v>
      </c>
      <c r="AW138" t="e">
        <f>'2.5.Трудоемкость'!AJM10+"BYw!'N?"</f>
        <v>#VALUE!</v>
      </c>
      <c r="AX138" t="e">
        <f>'2.5.Трудоемкость'!AJN10+"BYw!'N@"</f>
        <v>#VALUE!</v>
      </c>
      <c r="AY138" t="e">
        <f>'2.5.Трудоемкость'!AJO10+"BYw!'NA"</f>
        <v>#VALUE!</v>
      </c>
      <c r="AZ138" t="e">
        <f>'2.5.Трудоемкость'!AJP10+"BYw!'NB"</f>
        <v>#VALUE!</v>
      </c>
      <c r="BA138" t="e">
        <f>'2.5.Трудоемкость'!AJQ10+"BYw!'NC"</f>
        <v>#VALUE!</v>
      </c>
      <c r="BB138" t="e">
        <f>'2.5.Трудоемкость'!AJR10+"BYw!'ND"</f>
        <v>#VALUE!</v>
      </c>
      <c r="BC138" t="e">
        <f>'2.5.Трудоемкость'!AJS10+"BYw!'NE"</f>
        <v>#VALUE!</v>
      </c>
      <c r="BD138" t="e">
        <f>'2.5.Трудоемкость'!AJT10+"BYw!'NF"</f>
        <v>#VALUE!</v>
      </c>
      <c r="BE138" t="e">
        <f>'2.5.Трудоемкость'!AJU10+"BYw!'NG"</f>
        <v>#VALUE!</v>
      </c>
      <c r="BF138" t="e">
        <f>'2.5.Трудоемкость'!AJV10+"BYw!'NH"</f>
        <v>#VALUE!</v>
      </c>
      <c r="BG138" t="e">
        <f>'2.5.Трудоемкость'!AJW10+"BYw!'NI"</f>
        <v>#VALUE!</v>
      </c>
      <c r="BH138" t="e">
        <f>'2.5.Трудоемкость'!AJX10+"BYw!'NJ"</f>
        <v>#VALUE!</v>
      </c>
      <c r="BI138" t="e">
        <f>'2.5.Трудоемкость'!AJY10+"BYw!'NK"</f>
        <v>#VALUE!</v>
      </c>
      <c r="BJ138" t="e">
        <f>'2.5.Трудоемкость'!AJZ10+"BYw!'NL"</f>
        <v>#VALUE!</v>
      </c>
      <c r="BK138" t="e">
        <f>'2.5.Трудоемкость'!AKA10+"BYw!'NM"</f>
        <v>#VALUE!</v>
      </c>
      <c r="BL138" t="e">
        <f>'2.5.Трудоемкость'!AKB10+"BYw!'NN"</f>
        <v>#VALUE!</v>
      </c>
      <c r="BM138" t="e">
        <f>'2.5.Трудоемкость'!AKC10+"BYw!'NO"</f>
        <v>#VALUE!</v>
      </c>
      <c r="BN138" t="e">
        <f>'2.5.Трудоемкость'!AKD10+"BYw!'NP"</f>
        <v>#VALUE!</v>
      </c>
      <c r="BO138" t="e">
        <f>'2.5.Трудоемкость'!AKE10+"BYw!'NQ"</f>
        <v>#VALUE!</v>
      </c>
      <c r="BP138" t="e">
        <f>'2.5.Трудоемкость'!AKF10+"BYw!'NR"</f>
        <v>#VALUE!</v>
      </c>
      <c r="BQ138" t="e">
        <f>'2.5.Трудоемкость'!AKG10+"BYw!'NS"</f>
        <v>#VALUE!</v>
      </c>
      <c r="BR138" t="e">
        <f>'2.5.Трудоемкость'!AKH10+"BYw!'NT"</f>
        <v>#VALUE!</v>
      </c>
      <c r="BS138" t="e">
        <f>'2.5.Трудоемкость'!AKI10+"BYw!'NU"</f>
        <v>#VALUE!</v>
      </c>
      <c r="BT138" t="e">
        <f>'2.5.Трудоемкость'!AKJ10+"BYw!'NV"</f>
        <v>#VALUE!</v>
      </c>
      <c r="BU138" t="e">
        <f>'2.5.Трудоемкость'!AKK10+"BYw!'NW"</f>
        <v>#VALUE!</v>
      </c>
      <c r="BV138" t="e">
        <f>'2.5.Трудоемкость'!AKL10+"BYw!'NX"</f>
        <v>#VALUE!</v>
      </c>
      <c r="BW138" t="e">
        <f>'2.5.Трудоемкость'!AKM10+"BYw!'NY"</f>
        <v>#VALUE!</v>
      </c>
      <c r="BX138" t="e">
        <f>'2.5.Трудоемкость'!AKN10+"BYw!'NZ"</f>
        <v>#VALUE!</v>
      </c>
      <c r="BY138" t="e">
        <f>'2.5.Трудоемкость'!AKO10+"BYw!'N["</f>
        <v>#VALUE!</v>
      </c>
      <c r="BZ138" t="e">
        <f>'2.5.Трудоемкость'!AKP10+"BYw!'N\"</f>
        <v>#VALUE!</v>
      </c>
      <c r="CA138" t="e">
        <f>'2.5.Трудоемкость'!AKQ10+"BYw!'N]"</f>
        <v>#VALUE!</v>
      </c>
      <c r="CB138" t="e">
        <f>'2.5.Трудоемкость'!AKR10+"BYw!'N^"</f>
        <v>#VALUE!</v>
      </c>
      <c r="CC138" t="e">
        <f>'2.5.Трудоемкость'!AKS10+"BYw!'N_"</f>
        <v>#VALUE!</v>
      </c>
      <c r="CD138" t="e">
        <f>'2.5.Трудоемкость'!AKT10+"BYw!'N`"</f>
        <v>#VALUE!</v>
      </c>
      <c r="CE138" t="e">
        <f>'2.5.Трудоемкость'!AKU10+"BYw!'Na"</f>
        <v>#VALUE!</v>
      </c>
      <c r="CF138" t="e">
        <f>'2.5.Трудоемкость'!AKV10+"BYw!'Nb"</f>
        <v>#VALUE!</v>
      </c>
      <c r="CG138" t="e">
        <f>'2.5.Трудоемкость'!AKW10+"BYw!'Nc"</f>
        <v>#VALUE!</v>
      </c>
      <c r="CH138" t="e">
        <f>'2.5.Трудоемкость'!AKX10+"BYw!'Nd"</f>
        <v>#VALUE!</v>
      </c>
      <c r="CI138" t="e">
        <f>'2.5.Трудоемкость'!AKY10+"BYw!'Ne"</f>
        <v>#VALUE!</v>
      </c>
      <c r="CJ138" t="e">
        <f>'2.5.Трудоемкость'!AKZ10+"BYw!'Nf"</f>
        <v>#VALUE!</v>
      </c>
      <c r="CK138" t="e">
        <f>'2.5.Трудоемкость'!ALA10+"BYw!'Ng"</f>
        <v>#VALUE!</v>
      </c>
      <c r="CL138" t="e">
        <f>'2.5.Трудоемкость'!ALB10+"BYw!'Nh"</f>
        <v>#VALUE!</v>
      </c>
      <c r="CM138" t="e">
        <f>'2.5.Трудоемкость'!ALC10+"BYw!'Ni"</f>
        <v>#VALUE!</v>
      </c>
      <c r="CN138" t="e">
        <f>'2.5.Трудоемкость'!ALD10+"BYw!'Nj"</f>
        <v>#VALUE!</v>
      </c>
      <c r="CO138" t="e">
        <f>'2.5.Трудоемкость'!ALE10+"BYw!'Nk"</f>
        <v>#VALUE!</v>
      </c>
      <c r="CP138" t="e">
        <f>'2.5.Трудоемкость'!ALF10+"BYw!'Nl"</f>
        <v>#VALUE!</v>
      </c>
      <c r="CQ138" t="e">
        <f>'2.5.Трудоемкость'!ALG10+"BYw!'Nm"</f>
        <v>#VALUE!</v>
      </c>
      <c r="CR138" t="e">
        <f>'2.5.Трудоемкость'!ALH10+"BYw!'Nn"</f>
        <v>#VALUE!</v>
      </c>
      <c r="CS138" t="e">
        <f>'2.5.Трудоемкость'!ALI10+"BYw!'No"</f>
        <v>#VALUE!</v>
      </c>
      <c r="CT138" t="e">
        <f>'2.5.Трудоемкость'!ALJ10+"BYw!'Np"</f>
        <v>#VALUE!</v>
      </c>
      <c r="CU138" t="e">
        <f>'2.5.Трудоемкость'!ALK10+"BYw!'Nq"</f>
        <v>#VALUE!</v>
      </c>
      <c r="CV138" t="e">
        <f>'2.5.Трудоемкость'!ALL10+"BYw!'Nr"</f>
        <v>#VALUE!</v>
      </c>
      <c r="CW138" t="e">
        <f>'2.5.Трудоемкость'!ALM10+"BYw!'Ns"</f>
        <v>#VALUE!</v>
      </c>
      <c r="CX138" t="e">
        <f>'2.5.Трудоемкость'!ALN10+"BYw!'Nt"</f>
        <v>#VALUE!</v>
      </c>
      <c r="CY138" t="e">
        <f>'2.5.Трудоемкость'!ALO10+"BYw!'Nu"</f>
        <v>#VALUE!</v>
      </c>
      <c r="CZ138" t="e">
        <f>'2.5.Трудоемкость'!ALP10+"BYw!'Nv"</f>
        <v>#VALUE!</v>
      </c>
      <c r="DA138" t="e">
        <f>'2.5.Трудоемкость'!ALQ10+"BYw!'Nw"</f>
        <v>#VALUE!</v>
      </c>
      <c r="DB138" t="e">
        <f>'2.5.Трудоемкость'!ALR10+"BYw!'Nx"</f>
        <v>#VALUE!</v>
      </c>
      <c r="DC138" t="e">
        <f>'2.5.Трудоемкость'!ALS10+"BYw!'Ny"</f>
        <v>#VALUE!</v>
      </c>
      <c r="DD138" t="e">
        <f>'2.5.Трудоемкость'!ALT10+"BYw!'Nz"</f>
        <v>#VALUE!</v>
      </c>
      <c r="DE138" t="e">
        <f>'2.5.Трудоемкость'!ALU10+"BYw!'N{"</f>
        <v>#VALUE!</v>
      </c>
      <c r="DF138" t="e">
        <f>'2.5.Трудоемкость'!ALV10+"BYw!'N|"</f>
        <v>#VALUE!</v>
      </c>
      <c r="DG138" t="e">
        <f>'2.5.Трудоемкость'!ALW10+"BYw!'N}"</f>
        <v>#VALUE!</v>
      </c>
      <c r="DH138" t="e">
        <f>'2.5.Трудоемкость'!ALX10+"BYw!'N~"</f>
        <v>#VALUE!</v>
      </c>
      <c r="DI138" t="e">
        <f>'2.5.Трудоемкость'!ALY10+"BYw!'O#"</f>
        <v>#VALUE!</v>
      </c>
      <c r="DJ138" t="e">
        <f>'2.5.Трудоемкость'!ALZ10+"BYw!'O$"</f>
        <v>#VALUE!</v>
      </c>
      <c r="DK138" t="e">
        <f>'2.5.Трудоемкость'!AMA10+"BYw!'O%"</f>
        <v>#VALUE!</v>
      </c>
      <c r="DL138" t="e">
        <f>'2.5.Трудоемкость'!AMB10+"BYw!'O&amp;"</f>
        <v>#VALUE!</v>
      </c>
      <c r="DM138" t="e">
        <f>'2.5.Трудоемкость'!AMC10+"BYw!'O'"</f>
        <v>#VALUE!</v>
      </c>
      <c r="DN138" t="e">
        <f>'2.5.Трудоемкость'!AMD10+"BYw!'O("</f>
        <v>#VALUE!</v>
      </c>
      <c r="DO138" t="e">
        <f>'2.5.Трудоемкость'!AME10+"BYw!'O)"</f>
        <v>#VALUE!</v>
      </c>
      <c r="DP138" t="e">
        <f>'2.5.Трудоемкость'!AMF10+"BYw!'O."</f>
        <v>#VALUE!</v>
      </c>
      <c r="DQ138" t="e">
        <f>'2.5.Трудоемкость'!AMG10+"BYw!'O/"</f>
        <v>#VALUE!</v>
      </c>
      <c r="DR138" t="e">
        <f>'2.5.Трудоемкость'!AMH10+"BYw!'O0"</f>
        <v>#VALUE!</v>
      </c>
      <c r="DS138" t="e">
        <f>'2.5.Трудоемкость'!AMI10+"BYw!'O1"</f>
        <v>#VALUE!</v>
      </c>
      <c r="DT138" t="e">
        <f>'2.5.Трудоемкость'!AMJ10+"BYw!'O2"</f>
        <v>#VALUE!</v>
      </c>
      <c r="DU138" t="e">
        <f>'2.5.Трудоемкость'!A11+"BYw!'O3"</f>
        <v>#VALUE!</v>
      </c>
      <c r="DV138" t="e">
        <f>'2.5.Трудоемкость'!B11+"BYw!'O4"</f>
        <v>#VALUE!</v>
      </c>
      <c r="DW138" s="119" t="e">
        <f>'2.5.Трудоемкость'!C11+"BYw!'O5"</f>
        <v>#VALUE!</v>
      </c>
      <c r="DX138" s="121" t="e">
        <f>'2.5.Трудоемкость'!D11+"BYw!'O6"</f>
        <v>#VALUE!</v>
      </c>
      <c r="DY138" t="e">
        <f>'2.5.Трудоемкость'!E11+"BYw!'O7"</f>
        <v>#VALUE!</v>
      </c>
      <c r="DZ138" t="e">
        <f>'2.5.Трудоемкость'!F11+"BYw!'O8"</f>
        <v>#VALUE!</v>
      </c>
      <c r="EA138" t="e">
        <f>'2.5.Трудоемкость'!G11+"BYw!'O9"</f>
        <v>#VALUE!</v>
      </c>
      <c r="EB138" t="e">
        <f>'2.5.Трудоемкость'!V11+"BYw!'O:"</f>
        <v>#VALUE!</v>
      </c>
      <c r="EC138" t="e">
        <f>'2.5.Трудоемкость'!A12+"BYw!'O;"</f>
        <v>#VALUE!</v>
      </c>
      <c r="ED138" t="e">
        <f>'2.5.Трудоемкость'!B12+"BYw!'O&lt;"</f>
        <v>#VALUE!</v>
      </c>
      <c r="EE138" s="119" t="e">
        <f>'2.5.Трудоемкость'!C12+"BYw!'O="</f>
        <v>#VALUE!</v>
      </c>
      <c r="EF138" s="121" t="e">
        <f>'2.5.Трудоемкость'!D12+"BYw!'O&gt;"</f>
        <v>#VALUE!</v>
      </c>
      <c r="EG138" t="e">
        <f>'2.5.Трудоемкость'!E12+"BYw!'O?"</f>
        <v>#VALUE!</v>
      </c>
      <c r="EH138" t="e">
        <f>'2.5.Трудоемкость'!F12+"BYw!'O@"</f>
        <v>#VALUE!</v>
      </c>
      <c r="EI138" t="e">
        <f>'2.5.Трудоемкость'!G12+"BYw!'OA"</f>
        <v>#VALUE!</v>
      </c>
      <c r="EJ138" t="e">
        <f>'2.5.Трудоемкость'!H12+"BYw!'OB"</f>
        <v>#VALUE!</v>
      </c>
      <c r="EK138" t="e">
        <f>'2.5.Трудоемкость'!I12+"BYw!'OC"</f>
        <v>#VALUE!</v>
      </c>
      <c r="EL138" t="e">
        <f>'2.5.Трудоемкость'!J12+"BYw!'OD"</f>
        <v>#VALUE!</v>
      </c>
      <c r="EM138" t="e">
        <f>'2.5.Трудоемкость'!K12+"BYw!'OE"</f>
        <v>#VALUE!</v>
      </c>
      <c r="EN138" t="e">
        <f>'2.5.Трудоемкость'!L12+"BYw!'OF"</f>
        <v>#VALUE!</v>
      </c>
      <c r="EO138" t="e">
        <f>'2.5.Трудоемкость'!M12+"BYw!'OG"</f>
        <v>#VALUE!</v>
      </c>
      <c r="EP138" t="e">
        <f>'2.5.Трудоемкость'!N12+"BYw!'OH"</f>
        <v>#VALUE!</v>
      </c>
      <c r="EQ138" t="e">
        <f>'2.5.Трудоемкость'!O12+"BYw!'OI"</f>
        <v>#VALUE!</v>
      </c>
      <c r="ER138" t="e">
        <f>'2.5.Трудоемкость'!P12+"BYw!'OJ"</f>
        <v>#VALUE!</v>
      </c>
      <c r="ES138" t="e">
        <f>'2.5.Трудоемкость'!Q12+"BYw!'OK"</f>
        <v>#VALUE!</v>
      </c>
      <c r="ET138" t="e">
        <f>'2.5.Трудоемкость'!R12+"BYw!'OL"</f>
        <v>#VALUE!</v>
      </c>
      <c r="EU138" t="e">
        <f>'2.5.Трудоемкость'!S12+"BYw!'OM"</f>
        <v>#VALUE!</v>
      </c>
      <c r="EV138" t="e">
        <f>'2.5.Трудоемкость'!T12+"BYw!'ON"</f>
        <v>#VALUE!</v>
      </c>
      <c r="EW138" t="e">
        <f>'2.5.Трудоемкость'!U12+"BYw!'OO"</f>
        <v>#VALUE!</v>
      </c>
      <c r="EX138" t="e">
        <f>'2.5.Трудоемкость'!V12+"BYw!'OP"</f>
        <v>#VALUE!</v>
      </c>
      <c r="EY138" t="e">
        <f>'2.5.Трудоемкость'!X12+"BYw!'OQ"</f>
        <v>#VALUE!</v>
      </c>
      <c r="EZ138" t="e">
        <f>'2.5.Трудоемкость'!Y12+"BYw!'OR"</f>
        <v>#VALUE!</v>
      </c>
      <c r="FA138" t="e">
        <f>'2.5.Трудоемкость'!Z12+"BYw!'OS"</f>
        <v>#VALUE!</v>
      </c>
      <c r="FB138" t="e">
        <f>'2.5.Трудоемкость'!AA12+"BYw!'OT"</f>
        <v>#VALUE!</v>
      </c>
      <c r="FC138" t="e">
        <f>'2.5.Трудоемкость'!AB12+"BYw!'OU"</f>
        <v>#VALUE!</v>
      </c>
      <c r="FD138" t="e">
        <f>'2.5.Трудоемкость'!AC12+"BYw!'OV"</f>
        <v>#VALUE!</v>
      </c>
      <c r="FE138" t="e">
        <f>'2.5.Трудоемкость'!AD12+"BYw!'OW"</f>
        <v>#VALUE!</v>
      </c>
      <c r="FF138" t="e">
        <f>'2.5.Трудоемкость'!AE12+"BYw!'OX"</f>
        <v>#VALUE!</v>
      </c>
      <c r="FG138" t="e">
        <f>'2.5.Трудоемкость'!AF12+"BYw!'OY"</f>
        <v>#VALUE!</v>
      </c>
      <c r="FH138" t="e">
        <f>'2.5.Трудоемкость'!AG12+"BYw!'OZ"</f>
        <v>#VALUE!</v>
      </c>
      <c r="FI138" t="e">
        <f>'2.5.Трудоемкость'!AH12+"BYw!'O["</f>
        <v>#VALUE!</v>
      </c>
      <c r="FJ138" t="e">
        <f>'2.5.Трудоемкость'!AI12+"BYw!'O\"</f>
        <v>#VALUE!</v>
      </c>
      <c r="FK138" t="e">
        <f>'2.5.Трудоемкость'!AJ12+"BYw!'O]"</f>
        <v>#VALUE!</v>
      </c>
      <c r="FL138" t="e">
        <f>'2.5.Трудоемкость'!AK12+"BYw!'O^"</f>
        <v>#VALUE!</v>
      </c>
      <c r="FM138" t="e">
        <f>'2.5.Трудоемкость'!AL12+"BYw!'O_"</f>
        <v>#VALUE!</v>
      </c>
      <c r="FN138" t="e">
        <f>'2.5.Трудоемкость'!AM12+"BYw!'O`"</f>
        <v>#VALUE!</v>
      </c>
      <c r="FO138" t="e">
        <f>'2.5.Трудоемкость'!AN12+"BYw!'Oa"</f>
        <v>#VALUE!</v>
      </c>
      <c r="FP138" t="e">
        <f>'2.5.Трудоемкость'!AO12+"BYw!'Ob"</f>
        <v>#VALUE!</v>
      </c>
      <c r="FQ138" t="e">
        <f>'2.5.Трудоемкость'!AP12+"BYw!'Oc"</f>
        <v>#VALUE!</v>
      </c>
      <c r="FR138" t="e">
        <f>'2.5.Трудоемкость'!AQ12+"BYw!'Od"</f>
        <v>#VALUE!</v>
      </c>
      <c r="FS138" t="e">
        <f>'2.5.Трудоемкость'!AR12+"BYw!'Oe"</f>
        <v>#VALUE!</v>
      </c>
      <c r="FT138" t="e">
        <f>'2.5.Трудоемкость'!AS12+"BYw!'Of"</f>
        <v>#VALUE!</v>
      </c>
      <c r="FU138" t="e">
        <f>'2.5.Трудоемкость'!AT12+"BYw!'Og"</f>
        <v>#VALUE!</v>
      </c>
      <c r="FV138" t="e">
        <f>'2.5.Трудоемкость'!AU12+"BYw!'Oh"</f>
        <v>#VALUE!</v>
      </c>
      <c r="FW138" t="e">
        <f>'2.5.Трудоемкость'!AV12+"BYw!'Oi"</f>
        <v>#VALUE!</v>
      </c>
      <c r="FX138" t="e">
        <f>'2.5.Трудоемкость'!AW12+"BYw!'Oj"</f>
        <v>#VALUE!</v>
      </c>
      <c r="FY138" t="e">
        <f>'2.5.Трудоемкость'!AX12+"BYw!'Ok"</f>
        <v>#VALUE!</v>
      </c>
      <c r="FZ138" t="e">
        <f>'2.5.Трудоемкость'!AY12+"BYw!'Ol"</f>
        <v>#VALUE!</v>
      </c>
      <c r="GA138" t="e">
        <f>'2.5.Трудоемкость'!AZ12+"BYw!'Om"</f>
        <v>#VALUE!</v>
      </c>
      <c r="GB138" t="e">
        <f>'2.5.Трудоемкость'!BA12+"BYw!'On"</f>
        <v>#VALUE!</v>
      </c>
      <c r="GC138" t="e">
        <f>'2.5.Трудоемкость'!BB12+"BYw!'Oo"</f>
        <v>#VALUE!</v>
      </c>
      <c r="GD138" t="e">
        <f>'2.5.Трудоемкость'!BC12+"BYw!'Op"</f>
        <v>#VALUE!</v>
      </c>
      <c r="GE138" t="e">
        <f>'2.5.Трудоемкость'!BD12+"BYw!'Oq"</f>
        <v>#VALUE!</v>
      </c>
      <c r="GF138" t="e">
        <f>'2.5.Трудоемкость'!BE12+"BYw!'Or"</f>
        <v>#VALUE!</v>
      </c>
      <c r="GG138" t="e">
        <f>'2.5.Трудоемкость'!BF12+"BYw!'Os"</f>
        <v>#VALUE!</v>
      </c>
      <c r="GH138" t="e">
        <f>'2.5.Трудоемкость'!BG12+"BYw!'Ot"</f>
        <v>#VALUE!</v>
      </c>
      <c r="GI138" t="e">
        <f>'2.5.Трудоемкость'!BH12+"BYw!'Ou"</f>
        <v>#VALUE!</v>
      </c>
      <c r="GJ138" t="e">
        <f>'2.5.Трудоемкость'!BI12+"BYw!'Ov"</f>
        <v>#VALUE!</v>
      </c>
      <c r="GK138" t="e">
        <f>'2.5.Трудоемкость'!BJ12+"BYw!'Ow"</f>
        <v>#VALUE!</v>
      </c>
      <c r="GL138" t="e">
        <f>'2.5.Трудоемкость'!BK12+"BYw!'Ox"</f>
        <v>#VALUE!</v>
      </c>
      <c r="GM138" t="e">
        <f>'2.5.Трудоемкость'!BL12+"BYw!'Oy"</f>
        <v>#VALUE!</v>
      </c>
      <c r="GN138" t="e">
        <f>'2.5.Трудоемкость'!BM12+"BYw!'Oz"</f>
        <v>#VALUE!</v>
      </c>
      <c r="GO138" t="e">
        <f>'2.5.Трудоемкость'!BN12+"BYw!'O{"</f>
        <v>#VALUE!</v>
      </c>
      <c r="GP138" t="e">
        <f>'2.5.Трудоемкость'!BO12+"BYw!'O|"</f>
        <v>#VALUE!</v>
      </c>
      <c r="GQ138" t="e">
        <f>'2.5.Трудоемкость'!BP12+"BYw!'O}"</f>
        <v>#VALUE!</v>
      </c>
      <c r="GR138" t="e">
        <f>'2.5.Трудоемкость'!BQ12+"BYw!'O~"</f>
        <v>#VALUE!</v>
      </c>
      <c r="GS138" t="e">
        <f>'2.5.Трудоемкость'!BR12+"BYw!'P#"</f>
        <v>#VALUE!</v>
      </c>
      <c r="GT138" t="e">
        <f>'2.5.Трудоемкость'!BS12+"BYw!'P$"</f>
        <v>#VALUE!</v>
      </c>
      <c r="GU138" t="e">
        <f>'2.5.Трудоемкость'!BT12+"BYw!'P%"</f>
        <v>#VALUE!</v>
      </c>
      <c r="GV138" t="e">
        <f>'2.5.Трудоемкость'!BU12+"BYw!'P&amp;"</f>
        <v>#VALUE!</v>
      </c>
      <c r="GW138" t="e">
        <f>'2.5.Трудоемкость'!BV12+"BYw!'P'"</f>
        <v>#VALUE!</v>
      </c>
      <c r="GX138" t="e">
        <f>'2.5.Трудоемкость'!BW12+"BYw!'P("</f>
        <v>#VALUE!</v>
      </c>
      <c r="GY138" t="e">
        <f>'2.5.Трудоемкость'!BX12+"BYw!'P)"</f>
        <v>#VALUE!</v>
      </c>
      <c r="GZ138" t="e">
        <f>'2.5.Трудоемкость'!BY12+"BYw!'P."</f>
        <v>#VALUE!</v>
      </c>
      <c r="HA138" t="e">
        <f>'2.5.Трудоемкость'!BZ12+"BYw!'P/"</f>
        <v>#VALUE!</v>
      </c>
      <c r="HB138" t="e">
        <f>'2.5.Трудоемкость'!CA12+"BYw!'P0"</f>
        <v>#VALUE!</v>
      </c>
      <c r="HC138" t="e">
        <f>'2.5.Трудоемкость'!CB12+"BYw!'P1"</f>
        <v>#VALUE!</v>
      </c>
      <c r="HD138" t="e">
        <f>'2.5.Трудоемкость'!CC12+"BYw!'P2"</f>
        <v>#VALUE!</v>
      </c>
      <c r="HE138" t="e">
        <f>'2.5.Трудоемкость'!CD12+"BYw!'P3"</f>
        <v>#VALUE!</v>
      </c>
      <c r="HF138" t="e">
        <f>'2.5.Трудоемкость'!CE12+"BYw!'P4"</f>
        <v>#VALUE!</v>
      </c>
      <c r="HG138" t="e">
        <f>'2.5.Трудоемкость'!CF12+"BYw!'P5"</f>
        <v>#VALUE!</v>
      </c>
      <c r="HH138" t="e">
        <f>'2.5.Трудоемкость'!CG12+"BYw!'P6"</f>
        <v>#VALUE!</v>
      </c>
      <c r="HI138" t="e">
        <f>'2.5.Трудоемкость'!CH12+"BYw!'P7"</f>
        <v>#VALUE!</v>
      </c>
      <c r="HJ138" t="e">
        <f>'2.5.Трудоемкость'!CI12+"BYw!'P8"</f>
        <v>#VALUE!</v>
      </c>
      <c r="HK138" t="e">
        <f>'2.5.Трудоемкость'!CJ12+"BYw!'P9"</f>
        <v>#VALUE!</v>
      </c>
      <c r="HL138" t="e">
        <f>'2.5.Трудоемкость'!CK12+"BYw!'P:"</f>
        <v>#VALUE!</v>
      </c>
      <c r="HM138" t="e">
        <f>'2.5.Трудоемкость'!CL12+"BYw!'P;"</f>
        <v>#VALUE!</v>
      </c>
      <c r="HN138" t="e">
        <f>'2.5.Трудоемкость'!CM12+"BYw!'P&lt;"</f>
        <v>#VALUE!</v>
      </c>
      <c r="HO138" t="e">
        <f>'2.5.Трудоемкость'!CN12+"BYw!'P="</f>
        <v>#VALUE!</v>
      </c>
      <c r="HP138" t="e">
        <f>'2.5.Трудоемкость'!CO12+"BYw!'P&gt;"</f>
        <v>#VALUE!</v>
      </c>
      <c r="HQ138" t="e">
        <f>'2.5.Трудоемкость'!CP12+"BYw!'P?"</f>
        <v>#VALUE!</v>
      </c>
      <c r="HR138" t="e">
        <f>'2.5.Трудоемкость'!CQ12+"BYw!'P@"</f>
        <v>#VALUE!</v>
      </c>
      <c r="HS138" t="e">
        <f>'2.5.Трудоемкость'!CR12+"BYw!'PA"</f>
        <v>#VALUE!</v>
      </c>
      <c r="HT138" t="e">
        <f>'2.5.Трудоемкость'!CS12+"BYw!'PB"</f>
        <v>#VALUE!</v>
      </c>
      <c r="HU138" t="e">
        <f>'2.5.Трудоемкость'!CT12+"BYw!'PC"</f>
        <v>#VALUE!</v>
      </c>
      <c r="HV138" t="e">
        <f>'2.5.Трудоемкость'!CU12+"BYw!'PD"</f>
        <v>#VALUE!</v>
      </c>
      <c r="HW138" t="e">
        <f>'2.5.Трудоемкость'!CV12+"BYw!'PE"</f>
        <v>#VALUE!</v>
      </c>
      <c r="HX138" t="e">
        <f>'2.5.Трудоемкость'!CW12+"BYw!'PF"</f>
        <v>#VALUE!</v>
      </c>
      <c r="HY138" t="e">
        <f>'2.5.Трудоемкость'!CX12+"BYw!'PG"</f>
        <v>#VALUE!</v>
      </c>
      <c r="HZ138" t="e">
        <f>'2.5.Трудоемкость'!CY12+"BYw!'PH"</f>
        <v>#VALUE!</v>
      </c>
      <c r="IA138" t="e">
        <f>'2.5.Трудоемкость'!CZ12+"BYw!'PI"</f>
        <v>#VALUE!</v>
      </c>
      <c r="IB138" t="e">
        <f>'2.5.Трудоемкость'!DA12+"BYw!'PJ"</f>
        <v>#VALUE!</v>
      </c>
      <c r="IC138" t="e">
        <f>'2.5.Трудоемкость'!DB12+"BYw!'PK"</f>
        <v>#VALUE!</v>
      </c>
      <c r="ID138" t="e">
        <f>'2.5.Трудоемкость'!DC12+"BYw!'PL"</f>
        <v>#VALUE!</v>
      </c>
      <c r="IE138" t="e">
        <f>'2.5.Трудоемкость'!DD12+"BYw!'PM"</f>
        <v>#VALUE!</v>
      </c>
      <c r="IF138" t="e">
        <f>'2.5.Трудоемкость'!DE12+"BYw!'PN"</f>
        <v>#VALUE!</v>
      </c>
      <c r="IG138" t="e">
        <f>'2.5.Трудоемкость'!DF12+"BYw!'PO"</f>
        <v>#VALUE!</v>
      </c>
      <c r="IH138" t="e">
        <f>'2.5.Трудоемкость'!DG12+"BYw!'PP"</f>
        <v>#VALUE!</v>
      </c>
      <c r="II138" t="e">
        <f>'2.5.Трудоемкость'!DH12+"BYw!'PQ"</f>
        <v>#VALUE!</v>
      </c>
      <c r="IJ138" t="e">
        <f>'2.5.Трудоемкость'!DI12+"BYw!'PR"</f>
        <v>#VALUE!</v>
      </c>
      <c r="IK138" t="e">
        <f>'2.5.Трудоемкость'!DJ12+"BYw!'PS"</f>
        <v>#VALUE!</v>
      </c>
      <c r="IL138" t="e">
        <f>'2.5.Трудоемкость'!DK12+"BYw!'PT"</f>
        <v>#VALUE!</v>
      </c>
      <c r="IM138" t="e">
        <f>'2.5.Трудоемкость'!DL12+"BYw!'PU"</f>
        <v>#VALUE!</v>
      </c>
      <c r="IN138" t="e">
        <f>'2.5.Трудоемкость'!DM12+"BYw!'PV"</f>
        <v>#VALUE!</v>
      </c>
      <c r="IO138" t="e">
        <f>'2.5.Трудоемкость'!DN12+"BYw!'PW"</f>
        <v>#VALUE!</v>
      </c>
      <c r="IP138" t="e">
        <f>'2.5.Трудоемкость'!DO12+"BYw!'PX"</f>
        <v>#VALUE!</v>
      </c>
      <c r="IQ138" t="e">
        <f>'2.5.Трудоемкость'!DP12+"BYw!'PY"</f>
        <v>#VALUE!</v>
      </c>
      <c r="IR138" t="e">
        <f>'2.5.Трудоемкость'!DQ12+"BYw!'PZ"</f>
        <v>#VALUE!</v>
      </c>
      <c r="IS138" t="e">
        <f>'2.5.Трудоемкость'!DR12+"BYw!'P["</f>
        <v>#VALUE!</v>
      </c>
      <c r="IT138" t="e">
        <f>'2.5.Трудоемкость'!DS12+"BYw!'P\"</f>
        <v>#VALUE!</v>
      </c>
      <c r="IU138" t="e">
        <f>'2.5.Трудоемкость'!DT12+"BYw!'P]"</f>
        <v>#VALUE!</v>
      </c>
      <c r="IV138" t="e">
        <f>'2.5.Трудоемкость'!DU12+"BYw!'P^"</f>
        <v>#VALUE!</v>
      </c>
    </row>
    <row r="139" spans="6:256" x14ac:dyDescent="0.2">
      <c r="F139" t="e">
        <f>'2.5.Трудоемкость'!DV12+"BYw!'P_"</f>
        <v>#VALUE!</v>
      </c>
      <c r="G139" t="e">
        <f>'2.5.Трудоемкость'!DW12+"BYw!'P`"</f>
        <v>#VALUE!</v>
      </c>
      <c r="H139" t="e">
        <f>'2.5.Трудоемкость'!DX12+"BYw!'Pa"</f>
        <v>#VALUE!</v>
      </c>
      <c r="I139" t="e">
        <f>'2.5.Трудоемкость'!DY12+"BYw!'Pb"</f>
        <v>#VALUE!</v>
      </c>
      <c r="J139" t="e">
        <f>'2.5.Трудоемкость'!DZ12+"BYw!'Pc"</f>
        <v>#VALUE!</v>
      </c>
      <c r="K139" t="e">
        <f>'2.5.Трудоемкость'!EA12+"BYw!'Pd"</f>
        <v>#VALUE!</v>
      </c>
      <c r="L139" t="e">
        <f>'2.5.Трудоемкость'!EB12+"BYw!'Pe"</f>
        <v>#VALUE!</v>
      </c>
      <c r="M139" t="e">
        <f>'2.5.Трудоемкость'!EC12+"BYw!'Pf"</f>
        <v>#VALUE!</v>
      </c>
      <c r="N139" t="e">
        <f>'2.5.Трудоемкость'!ED12+"BYw!'Pg"</f>
        <v>#VALUE!</v>
      </c>
      <c r="O139" t="e">
        <f>'2.5.Трудоемкость'!EE12+"BYw!'Ph"</f>
        <v>#VALUE!</v>
      </c>
      <c r="P139" t="e">
        <f>'2.5.Трудоемкость'!EF12+"BYw!'Pi"</f>
        <v>#VALUE!</v>
      </c>
      <c r="Q139" t="e">
        <f>'2.5.Трудоемкость'!EG12+"BYw!'Pj"</f>
        <v>#VALUE!</v>
      </c>
      <c r="R139" t="e">
        <f>'2.5.Трудоемкость'!EH12+"BYw!'Pk"</f>
        <v>#VALUE!</v>
      </c>
      <c r="S139" t="e">
        <f>'2.5.Трудоемкость'!EI12+"BYw!'Pl"</f>
        <v>#VALUE!</v>
      </c>
      <c r="T139" t="e">
        <f>'2.5.Трудоемкость'!EJ12+"BYw!'Pm"</f>
        <v>#VALUE!</v>
      </c>
      <c r="U139" t="e">
        <f>'2.5.Трудоемкость'!EK12+"BYw!'Pn"</f>
        <v>#VALUE!</v>
      </c>
      <c r="V139" t="e">
        <f>'2.5.Трудоемкость'!EL12+"BYw!'Po"</f>
        <v>#VALUE!</v>
      </c>
      <c r="W139" t="e">
        <f>'2.5.Трудоемкость'!EM12+"BYw!'Pp"</f>
        <v>#VALUE!</v>
      </c>
      <c r="X139" t="e">
        <f>'2.5.Трудоемкость'!EN12+"BYw!'Pq"</f>
        <v>#VALUE!</v>
      </c>
      <c r="Y139" t="e">
        <f>'2.5.Трудоемкость'!EO12+"BYw!'Pr"</f>
        <v>#VALUE!</v>
      </c>
      <c r="Z139" t="e">
        <f>'2.5.Трудоемкость'!EP12+"BYw!'Ps"</f>
        <v>#VALUE!</v>
      </c>
      <c r="AA139" t="e">
        <f>'2.5.Трудоемкость'!EQ12+"BYw!'Pt"</f>
        <v>#VALUE!</v>
      </c>
      <c r="AB139" t="e">
        <f>'2.5.Трудоемкость'!ER12+"BYw!'Pu"</f>
        <v>#VALUE!</v>
      </c>
      <c r="AC139" t="e">
        <f>'2.5.Трудоемкость'!ES12+"BYw!'Pv"</f>
        <v>#VALUE!</v>
      </c>
      <c r="AD139" t="e">
        <f>'2.5.Трудоемкость'!ET12+"BYw!'Pw"</f>
        <v>#VALUE!</v>
      </c>
      <c r="AE139" t="e">
        <f>'2.5.Трудоемкость'!EU12+"BYw!'Px"</f>
        <v>#VALUE!</v>
      </c>
      <c r="AF139" t="e">
        <f>'2.5.Трудоемкость'!EV12+"BYw!'Py"</f>
        <v>#VALUE!</v>
      </c>
      <c r="AG139" t="e">
        <f>'2.5.Трудоемкость'!EW12+"BYw!'Pz"</f>
        <v>#VALUE!</v>
      </c>
      <c r="AH139" t="e">
        <f>'2.5.Трудоемкость'!EX12+"BYw!'P{"</f>
        <v>#VALUE!</v>
      </c>
      <c r="AI139" t="e">
        <f>'2.5.Трудоемкость'!EY12+"BYw!'P|"</f>
        <v>#VALUE!</v>
      </c>
      <c r="AJ139" t="e">
        <f>'2.5.Трудоемкость'!EZ12+"BYw!'P}"</f>
        <v>#VALUE!</v>
      </c>
      <c r="AK139" t="e">
        <f>'2.5.Трудоемкость'!FA12+"BYw!'P~"</f>
        <v>#VALUE!</v>
      </c>
      <c r="AL139" t="e">
        <f>'2.5.Трудоемкость'!FB12+"BYw!'Q#"</f>
        <v>#VALUE!</v>
      </c>
      <c r="AM139" t="e">
        <f>'2.5.Трудоемкость'!FC12+"BYw!'Q$"</f>
        <v>#VALUE!</v>
      </c>
      <c r="AN139" t="e">
        <f>'2.5.Трудоемкость'!FD12+"BYw!'Q%"</f>
        <v>#VALUE!</v>
      </c>
      <c r="AO139" t="e">
        <f>'2.5.Трудоемкость'!FE12+"BYw!'Q&amp;"</f>
        <v>#VALUE!</v>
      </c>
      <c r="AP139" t="e">
        <f>'2.5.Трудоемкость'!FF12+"BYw!'Q'"</f>
        <v>#VALUE!</v>
      </c>
      <c r="AQ139" t="e">
        <f>'2.5.Трудоемкость'!FG12+"BYw!'Q("</f>
        <v>#VALUE!</v>
      </c>
      <c r="AR139" t="e">
        <f>'2.5.Трудоемкость'!FH12+"BYw!'Q)"</f>
        <v>#VALUE!</v>
      </c>
      <c r="AS139" t="e">
        <f>'2.5.Трудоемкость'!FI12+"BYw!'Q."</f>
        <v>#VALUE!</v>
      </c>
      <c r="AT139" t="e">
        <f>'2.5.Трудоемкость'!FJ12+"BYw!'Q/"</f>
        <v>#VALUE!</v>
      </c>
      <c r="AU139" t="e">
        <f>'2.5.Трудоемкость'!FK12+"BYw!'Q0"</f>
        <v>#VALUE!</v>
      </c>
      <c r="AV139" t="e">
        <f>'2.5.Трудоемкость'!FL12+"BYw!'Q1"</f>
        <v>#VALUE!</v>
      </c>
      <c r="AW139" t="e">
        <f>'2.5.Трудоемкость'!FM12+"BYw!'Q2"</f>
        <v>#VALUE!</v>
      </c>
      <c r="AX139" t="e">
        <f>'2.5.Трудоемкость'!FN12+"BYw!'Q3"</f>
        <v>#VALUE!</v>
      </c>
      <c r="AY139" t="e">
        <f>'2.5.Трудоемкость'!FO12+"BYw!'Q4"</f>
        <v>#VALUE!</v>
      </c>
      <c r="AZ139" t="e">
        <f>'2.5.Трудоемкость'!FP12+"BYw!'Q5"</f>
        <v>#VALUE!</v>
      </c>
      <c r="BA139" t="e">
        <f>'2.5.Трудоемкость'!FQ12+"BYw!'Q6"</f>
        <v>#VALUE!</v>
      </c>
      <c r="BB139" t="e">
        <f>'2.5.Трудоемкость'!FR12+"BYw!'Q7"</f>
        <v>#VALUE!</v>
      </c>
      <c r="BC139" t="e">
        <f>'2.5.Трудоемкость'!FS12+"BYw!'Q8"</f>
        <v>#VALUE!</v>
      </c>
      <c r="BD139" t="e">
        <f>'2.5.Трудоемкость'!FT12+"BYw!'Q9"</f>
        <v>#VALUE!</v>
      </c>
      <c r="BE139" t="e">
        <f>'2.5.Трудоемкость'!FU12+"BYw!'Q:"</f>
        <v>#VALUE!</v>
      </c>
      <c r="BF139" t="e">
        <f>'2.5.Трудоемкость'!FV12+"BYw!'Q;"</f>
        <v>#VALUE!</v>
      </c>
      <c r="BG139" t="e">
        <f>'2.5.Трудоемкость'!FW12+"BYw!'Q&lt;"</f>
        <v>#VALUE!</v>
      </c>
      <c r="BH139" t="e">
        <f>'2.5.Трудоемкость'!FX12+"BYw!'Q="</f>
        <v>#VALUE!</v>
      </c>
      <c r="BI139" t="e">
        <f>'2.5.Трудоемкость'!FY12+"BYw!'Q&gt;"</f>
        <v>#VALUE!</v>
      </c>
      <c r="BJ139" t="e">
        <f>'2.5.Трудоемкость'!FZ12+"BYw!'Q?"</f>
        <v>#VALUE!</v>
      </c>
      <c r="BK139" t="e">
        <f>'2.5.Трудоемкость'!GA12+"BYw!'Q@"</f>
        <v>#VALUE!</v>
      </c>
      <c r="BL139" t="e">
        <f>'2.5.Трудоемкость'!GB12+"BYw!'QA"</f>
        <v>#VALUE!</v>
      </c>
      <c r="BM139" t="e">
        <f>'2.5.Трудоемкость'!GC12+"BYw!'QB"</f>
        <v>#VALUE!</v>
      </c>
      <c r="BN139" t="e">
        <f>'2.5.Трудоемкость'!GD12+"BYw!'QC"</f>
        <v>#VALUE!</v>
      </c>
      <c r="BO139" t="e">
        <f>'2.5.Трудоемкость'!GE12+"BYw!'QD"</f>
        <v>#VALUE!</v>
      </c>
      <c r="BP139" t="e">
        <f>'2.5.Трудоемкость'!GF12+"BYw!'QE"</f>
        <v>#VALUE!</v>
      </c>
      <c r="BQ139" t="e">
        <f>'2.5.Трудоемкость'!GG12+"BYw!'QF"</f>
        <v>#VALUE!</v>
      </c>
      <c r="BR139" t="e">
        <f>'2.5.Трудоемкость'!GH12+"BYw!'QG"</f>
        <v>#VALUE!</v>
      </c>
      <c r="BS139" t="e">
        <f>'2.5.Трудоемкость'!GI12+"BYw!'QH"</f>
        <v>#VALUE!</v>
      </c>
      <c r="BT139" t="e">
        <f>'2.5.Трудоемкость'!GJ12+"BYw!'QI"</f>
        <v>#VALUE!</v>
      </c>
      <c r="BU139" t="e">
        <f>'2.5.Трудоемкость'!GK12+"BYw!'QJ"</f>
        <v>#VALUE!</v>
      </c>
      <c r="BV139" t="e">
        <f>'2.5.Трудоемкость'!GL12+"BYw!'QK"</f>
        <v>#VALUE!</v>
      </c>
      <c r="BW139" t="e">
        <f>'2.5.Трудоемкость'!GM12+"BYw!'QL"</f>
        <v>#VALUE!</v>
      </c>
      <c r="BX139" t="e">
        <f>'2.5.Трудоемкость'!GN12+"BYw!'QM"</f>
        <v>#VALUE!</v>
      </c>
      <c r="BY139" t="e">
        <f>'2.5.Трудоемкость'!GO12+"BYw!'QN"</f>
        <v>#VALUE!</v>
      </c>
      <c r="BZ139" t="e">
        <f>'2.5.Трудоемкость'!GP12+"BYw!'QO"</f>
        <v>#VALUE!</v>
      </c>
      <c r="CA139" t="e">
        <f>'2.5.Трудоемкость'!GQ12+"BYw!'QP"</f>
        <v>#VALUE!</v>
      </c>
      <c r="CB139" t="e">
        <f>'2.5.Трудоемкость'!GR12+"BYw!'QQ"</f>
        <v>#VALUE!</v>
      </c>
      <c r="CC139" t="e">
        <f>'2.5.Трудоемкость'!GS12+"BYw!'QR"</f>
        <v>#VALUE!</v>
      </c>
      <c r="CD139" t="e">
        <f>'2.5.Трудоемкость'!GT12+"BYw!'QS"</f>
        <v>#VALUE!</v>
      </c>
      <c r="CE139" t="e">
        <f>'2.5.Трудоемкость'!GU12+"BYw!'QT"</f>
        <v>#VALUE!</v>
      </c>
      <c r="CF139" t="e">
        <f>'2.5.Трудоемкость'!GV12+"BYw!'QU"</f>
        <v>#VALUE!</v>
      </c>
      <c r="CG139" t="e">
        <f>'2.5.Трудоемкость'!GW12+"BYw!'QV"</f>
        <v>#VALUE!</v>
      </c>
      <c r="CH139" t="e">
        <f>'2.5.Трудоемкость'!GX12+"BYw!'QW"</f>
        <v>#VALUE!</v>
      </c>
      <c r="CI139" t="e">
        <f>'2.5.Трудоемкость'!GY12+"BYw!'QX"</f>
        <v>#VALUE!</v>
      </c>
      <c r="CJ139" t="e">
        <f>'2.5.Трудоемкость'!GZ12+"BYw!'QY"</f>
        <v>#VALUE!</v>
      </c>
      <c r="CK139" t="e">
        <f>'2.5.Трудоемкость'!HA12+"BYw!'QZ"</f>
        <v>#VALUE!</v>
      </c>
      <c r="CL139" t="e">
        <f>'2.5.Трудоемкость'!HB12+"BYw!'Q["</f>
        <v>#VALUE!</v>
      </c>
      <c r="CM139" t="e">
        <f>'2.5.Трудоемкость'!HC12+"BYw!'Q\"</f>
        <v>#VALUE!</v>
      </c>
      <c r="CN139" t="e">
        <f>'2.5.Трудоемкость'!HD12+"BYw!'Q]"</f>
        <v>#VALUE!</v>
      </c>
      <c r="CO139" t="e">
        <f>'2.5.Трудоемкость'!HE12+"BYw!'Q^"</f>
        <v>#VALUE!</v>
      </c>
      <c r="CP139" t="e">
        <f>'2.5.Трудоемкость'!HF12+"BYw!'Q_"</f>
        <v>#VALUE!</v>
      </c>
      <c r="CQ139" t="e">
        <f>'2.5.Трудоемкость'!HG12+"BYw!'Q`"</f>
        <v>#VALUE!</v>
      </c>
      <c r="CR139" t="e">
        <f>'2.5.Трудоемкость'!HH12+"BYw!'Qa"</f>
        <v>#VALUE!</v>
      </c>
      <c r="CS139" t="e">
        <f>'2.5.Трудоемкость'!HI12+"BYw!'Qb"</f>
        <v>#VALUE!</v>
      </c>
      <c r="CT139" t="e">
        <f>'2.5.Трудоемкость'!HJ12+"BYw!'Qc"</f>
        <v>#VALUE!</v>
      </c>
      <c r="CU139" t="e">
        <f>'2.5.Трудоемкость'!HK12+"BYw!'Qd"</f>
        <v>#VALUE!</v>
      </c>
      <c r="CV139" t="e">
        <f>'2.5.Трудоемкость'!HL12+"BYw!'Qe"</f>
        <v>#VALUE!</v>
      </c>
      <c r="CW139" t="e">
        <f>'2.5.Трудоемкость'!HM12+"BYw!'Qf"</f>
        <v>#VALUE!</v>
      </c>
      <c r="CX139" t="e">
        <f>'2.5.Трудоемкость'!HN12+"BYw!'Qg"</f>
        <v>#VALUE!</v>
      </c>
      <c r="CY139" t="e">
        <f>'2.5.Трудоемкость'!HO12+"BYw!'Qh"</f>
        <v>#VALUE!</v>
      </c>
      <c r="CZ139" t="e">
        <f>'2.5.Трудоемкость'!HP12+"BYw!'Qi"</f>
        <v>#VALUE!</v>
      </c>
      <c r="DA139" t="e">
        <f>'2.5.Трудоемкость'!HQ12+"BYw!'Qj"</f>
        <v>#VALUE!</v>
      </c>
      <c r="DB139" t="e">
        <f>'2.5.Трудоемкость'!HR12+"BYw!'Qk"</f>
        <v>#VALUE!</v>
      </c>
      <c r="DC139" t="e">
        <f>'2.5.Трудоемкость'!HS12+"BYw!'Ql"</f>
        <v>#VALUE!</v>
      </c>
      <c r="DD139" t="e">
        <f>'2.5.Трудоемкость'!HT12+"BYw!'Qm"</f>
        <v>#VALUE!</v>
      </c>
      <c r="DE139" t="e">
        <f>'2.5.Трудоемкость'!HU12+"BYw!'Qn"</f>
        <v>#VALUE!</v>
      </c>
      <c r="DF139" t="e">
        <f>'2.5.Трудоемкость'!HV12+"BYw!'Qo"</f>
        <v>#VALUE!</v>
      </c>
      <c r="DG139" t="e">
        <f>'2.5.Трудоемкость'!HW12+"BYw!'Qp"</f>
        <v>#VALUE!</v>
      </c>
      <c r="DH139" t="e">
        <f>'2.5.Трудоемкость'!HX12+"BYw!'Qq"</f>
        <v>#VALUE!</v>
      </c>
      <c r="DI139" t="e">
        <f>'2.5.Трудоемкость'!HY12+"BYw!'Qr"</f>
        <v>#VALUE!</v>
      </c>
      <c r="DJ139" t="e">
        <f>'2.5.Трудоемкость'!HZ12+"BYw!'Qs"</f>
        <v>#VALUE!</v>
      </c>
      <c r="DK139" t="e">
        <f>'2.5.Трудоемкость'!IA12+"BYw!'Qt"</f>
        <v>#VALUE!</v>
      </c>
      <c r="DL139" t="e">
        <f>'2.5.Трудоемкость'!IB12+"BYw!'Qu"</f>
        <v>#VALUE!</v>
      </c>
      <c r="DM139" t="e">
        <f>'2.5.Трудоемкость'!IC12+"BYw!'Qv"</f>
        <v>#VALUE!</v>
      </c>
      <c r="DN139" t="e">
        <f>'2.5.Трудоемкость'!ID12+"BYw!'Qw"</f>
        <v>#VALUE!</v>
      </c>
      <c r="DO139" t="e">
        <f>'2.5.Трудоемкость'!IE12+"BYw!'Qx"</f>
        <v>#VALUE!</v>
      </c>
      <c r="DP139" t="e">
        <f>'2.5.Трудоемкость'!IF12+"BYw!'Qy"</f>
        <v>#VALUE!</v>
      </c>
      <c r="DQ139" t="e">
        <f>'2.5.Трудоемкость'!IG12+"BYw!'Qz"</f>
        <v>#VALUE!</v>
      </c>
      <c r="DR139" t="e">
        <f>'2.5.Трудоемкость'!IH12+"BYw!'Q{"</f>
        <v>#VALUE!</v>
      </c>
      <c r="DS139" t="e">
        <f>'2.5.Трудоемкость'!II12+"BYw!'Q|"</f>
        <v>#VALUE!</v>
      </c>
      <c r="DT139" t="e">
        <f>'2.5.Трудоемкость'!IJ12+"BYw!'Q}"</f>
        <v>#VALUE!</v>
      </c>
      <c r="DU139" t="e">
        <f>'2.5.Трудоемкость'!IK12+"BYw!'Q~"</f>
        <v>#VALUE!</v>
      </c>
      <c r="DV139" t="e">
        <f>'2.5.Трудоемкость'!IL12+"BYw!'R#"</f>
        <v>#VALUE!</v>
      </c>
      <c r="DW139" t="e">
        <f>'2.5.Трудоемкость'!IM12+"BYw!'R$"</f>
        <v>#VALUE!</v>
      </c>
      <c r="DX139" t="e">
        <f>'2.5.Трудоемкость'!IN12+"BYw!'R%"</f>
        <v>#VALUE!</v>
      </c>
      <c r="DY139" t="e">
        <f>'2.5.Трудоемкость'!IO12+"BYw!'R&amp;"</f>
        <v>#VALUE!</v>
      </c>
      <c r="DZ139" t="e">
        <f>'2.5.Трудоемкость'!IP12+"BYw!'R'"</f>
        <v>#VALUE!</v>
      </c>
      <c r="EA139" t="e">
        <f>'2.5.Трудоемкость'!IQ12+"BYw!'R("</f>
        <v>#VALUE!</v>
      </c>
      <c r="EB139" t="e">
        <f>'2.5.Трудоемкость'!IR12+"BYw!'R)"</f>
        <v>#VALUE!</v>
      </c>
      <c r="EC139" t="e">
        <f>'2.5.Трудоемкость'!IS12+"BYw!'R."</f>
        <v>#VALUE!</v>
      </c>
      <c r="ED139" t="e">
        <f>'2.5.Трудоемкость'!IT12+"BYw!'R/"</f>
        <v>#VALUE!</v>
      </c>
      <c r="EE139" t="e">
        <f>'2.5.Трудоемкость'!IU12+"BYw!'R0"</f>
        <v>#VALUE!</v>
      </c>
      <c r="EF139" t="e">
        <f>'2.5.Трудоемкость'!IV12+"BYw!'R1"</f>
        <v>#VALUE!</v>
      </c>
      <c r="EG139" t="e">
        <f>'2.5.Трудоемкость'!IW12+"BYw!'R2"</f>
        <v>#VALUE!</v>
      </c>
      <c r="EH139" t="e">
        <f>'2.5.Трудоемкость'!IX12+"BYw!'R3"</f>
        <v>#VALUE!</v>
      </c>
      <c r="EI139" t="e">
        <f>'2.5.Трудоемкость'!IY12+"BYw!'R4"</f>
        <v>#VALUE!</v>
      </c>
      <c r="EJ139" t="e">
        <f>'2.5.Трудоемкость'!IZ12+"BYw!'R5"</f>
        <v>#VALUE!</v>
      </c>
      <c r="EK139" t="e">
        <f>'2.5.Трудоемкость'!JA12+"BYw!'R6"</f>
        <v>#VALUE!</v>
      </c>
      <c r="EL139" t="e">
        <f>'2.5.Трудоемкость'!JB12+"BYw!'R7"</f>
        <v>#VALUE!</v>
      </c>
      <c r="EM139" t="e">
        <f>'2.5.Трудоемкость'!JC12+"BYw!'R8"</f>
        <v>#VALUE!</v>
      </c>
      <c r="EN139" t="e">
        <f>'2.5.Трудоемкость'!JD12+"BYw!'R9"</f>
        <v>#VALUE!</v>
      </c>
      <c r="EO139" t="e">
        <f>'2.5.Трудоемкость'!JE12+"BYw!'R:"</f>
        <v>#VALUE!</v>
      </c>
      <c r="EP139" t="e">
        <f>'2.5.Трудоемкость'!JF12+"BYw!'R;"</f>
        <v>#VALUE!</v>
      </c>
      <c r="EQ139" t="e">
        <f>'2.5.Трудоемкость'!JG12+"BYw!'R&lt;"</f>
        <v>#VALUE!</v>
      </c>
      <c r="ER139" t="e">
        <f>'2.5.Трудоемкость'!JH12+"BYw!'R="</f>
        <v>#VALUE!</v>
      </c>
      <c r="ES139" t="e">
        <f>'2.5.Трудоемкость'!JI12+"BYw!'R&gt;"</f>
        <v>#VALUE!</v>
      </c>
      <c r="ET139" t="e">
        <f>'2.5.Трудоемкость'!JJ12+"BYw!'R?"</f>
        <v>#VALUE!</v>
      </c>
      <c r="EU139" t="e">
        <f>'2.5.Трудоемкость'!JK12+"BYw!'R@"</f>
        <v>#VALUE!</v>
      </c>
      <c r="EV139" t="e">
        <f>'2.5.Трудоемкость'!JL12+"BYw!'RA"</f>
        <v>#VALUE!</v>
      </c>
      <c r="EW139" t="e">
        <f>'2.5.Трудоемкость'!JM12+"BYw!'RB"</f>
        <v>#VALUE!</v>
      </c>
      <c r="EX139" t="e">
        <f>'2.5.Трудоемкость'!JN12+"BYw!'RC"</f>
        <v>#VALUE!</v>
      </c>
      <c r="EY139" t="e">
        <f>'2.5.Трудоемкость'!JO12+"BYw!'RD"</f>
        <v>#VALUE!</v>
      </c>
      <c r="EZ139" t="e">
        <f>'2.5.Трудоемкость'!JP12+"BYw!'RE"</f>
        <v>#VALUE!</v>
      </c>
      <c r="FA139" t="e">
        <f>'2.5.Трудоемкость'!JQ12+"BYw!'RF"</f>
        <v>#VALUE!</v>
      </c>
      <c r="FB139" t="e">
        <f>'2.5.Трудоемкость'!JR12+"BYw!'RG"</f>
        <v>#VALUE!</v>
      </c>
      <c r="FC139" t="e">
        <f>'2.5.Трудоемкость'!JS12+"BYw!'RH"</f>
        <v>#VALUE!</v>
      </c>
      <c r="FD139" t="e">
        <f>'2.5.Трудоемкость'!JT12+"BYw!'RI"</f>
        <v>#VALUE!</v>
      </c>
      <c r="FE139" t="e">
        <f>'2.5.Трудоемкость'!JU12+"BYw!'RJ"</f>
        <v>#VALUE!</v>
      </c>
      <c r="FF139" t="e">
        <f>'2.5.Трудоемкость'!JV12+"BYw!'RK"</f>
        <v>#VALUE!</v>
      </c>
      <c r="FG139" t="e">
        <f>'2.5.Трудоемкость'!JW12+"BYw!'RL"</f>
        <v>#VALUE!</v>
      </c>
      <c r="FH139" t="e">
        <f>'2.5.Трудоемкость'!JX12+"BYw!'RM"</f>
        <v>#VALUE!</v>
      </c>
      <c r="FI139" t="e">
        <f>'2.5.Трудоемкость'!JY12+"BYw!'RN"</f>
        <v>#VALUE!</v>
      </c>
      <c r="FJ139" t="e">
        <f>'2.5.Трудоемкость'!JZ12+"BYw!'RO"</f>
        <v>#VALUE!</v>
      </c>
      <c r="FK139" t="e">
        <f>'2.5.Трудоемкость'!KA12+"BYw!'RP"</f>
        <v>#VALUE!</v>
      </c>
      <c r="FL139" t="e">
        <f>'2.5.Трудоемкость'!KB12+"BYw!'RQ"</f>
        <v>#VALUE!</v>
      </c>
      <c r="FM139" t="e">
        <f>'2.5.Трудоемкость'!KC12+"BYw!'RR"</f>
        <v>#VALUE!</v>
      </c>
      <c r="FN139" t="e">
        <f>'2.5.Трудоемкость'!KD12+"BYw!'RS"</f>
        <v>#VALUE!</v>
      </c>
      <c r="FO139" t="e">
        <f>'2.5.Трудоемкость'!KE12+"BYw!'RT"</f>
        <v>#VALUE!</v>
      </c>
      <c r="FP139" t="e">
        <f>'2.5.Трудоемкость'!KF12+"BYw!'RU"</f>
        <v>#VALUE!</v>
      </c>
      <c r="FQ139" t="e">
        <f>'2.5.Трудоемкость'!KG12+"BYw!'RV"</f>
        <v>#VALUE!</v>
      </c>
      <c r="FR139" t="e">
        <f>'2.5.Трудоемкость'!KH12+"BYw!'RW"</f>
        <v>#VALUE!</v>
      </c>
      <c r="FS139" t="e">
        <f>'2.5.Трудоемкость'!KI12+"BYw!'RX"</f>
        <v>#VALUE!</v>
      </c>
      <c r="FT139" t="e">
        <f>'2.5.Трудоемкость'!KJ12+"BYw!'RY"</f>
        <v>#VALUE!</v>
      </c>
      <c r="FU139" t="e">
        <f>'2.5.Трудоемкость'!KK12+"BYw!'RZ"</f>
        <v>#VALUE!</v>
      </c>
      <c r="FV139" t="e">
        <f>'2.5.Трудоемкость'!KL12+"BYw!'R["</f>
        <v>#VALUE!</v>
      </c>
      <c r="FW139" t="e">
        <f>'2.5.Трудоемкость'!KM12+"BYw!'R\"</f>
        <v>#VALUE!</v>
      </c>
      <c r="FX139" t="e">
        <f>'2.5.Трудоемкость'!KN12+"BYw!'R]"</f>
        <v>#VALUE!</v>
      </c>
      <c r="FY139" t="e">
        <f>'2.5.Трудоемкость'!KO12+"BYw!'R^"</f>
        <v>#VALUE!</v>
      </c>
      <c r="FZ139" t="e">
        <f>'2.5.Трудоемкость'!KP12+"BYw!'R_"</f>
        <v>#VALUE!</v>
      </c>
      <c r="GA139" t="e">
        <f>'2.5.Трудоемкость'!KQ12+"BYw!'R`"</f>
        <v>#VALUE!</v>
      </c>
      <c r="GB139" t="e">
        <f>'2.5.Трудоемкость'!KR12+"BYw!'Ra"</f>
        <v>#VALUE!</v>
      </c>
      <c r="GC139" t="e">
        <f>'2.5.Трудоемкость'!KS12+"BYw!'Rb"</f>
        <v>#VALUE!</v>
      </c>
      <c r="GD139" t="e">
        <f>'2.5.Трудоемкость'!KT12+"BYw!'Rc"</f>
        <v>#VALUE!</v>
      </c>
      <c r="GE139" t="e">
        <f>'2.5.Трудоемкость'!KU12+"BYw!'Rd"</f>
        <v>#VALUE!</v>
      </c>
      <c r="GF139" t="e">
        <f>'2.5.Трудоемкость'!KV12+"BYw!'Re"</f>
        <v>#VALUE!</v>
      </c>
      <c r="GG139" t="e">
        <f>'2.5.Трудоемкость'!KW12+"BYw!'Rf"</f>
        <v>#VALUE!</v>
      </c>
      <c r="GH139" t="e">
        <f>'2.5.Трудоемкость'!KX12+"BYw!'Rg"</f>
        <v>#VALUE!</v>
      </c>
      <c r="GI139" t="e">
        <f>'2.5.Трудоемкость'!KY12+"BYw!'Rh"</f>
        <v>#VALUE!</v>
      </c>
      <c r="GJ139" t="e">
        <f>'2.5.Трудоемкость'!KZ12+"BYw!'Ri"</f>
        <v>#VALUE!</v>
      </c>
      <c r="GK139" t="e">
        <f>'2.5.Трудоемкость'!LA12+"BYw!'Rj"</f>
        <v>#VALUE!</v>
      </c>
      <c r="GL139" t="e">
        <f>'2.5.Трудоемкость'!LB12+"BYw!'Rk"</f>
        <v>#VALUE!</v>
      </c>
      <c r="GM139" t="e">
        <f>'2.5.Трудоемкость'!LC12+"BYw!'Rl"</f>
        <v>#VALUE!</v>
      </c>
      <c r="GN139" t="e">
        <f>'2.5.Трудоемкость'!LD12+"BYw!'Rm"</f>
        <v>#VALUE!</v>
      </c>
      <c r="GO139" t="e">
        <f>'2.5.Трудоемкость'!LE12+"BYw!'Rn"</f>
        <v>#VALUE!</v>
      </c>
      <c r="GP139" t="e">
        <f>'2.5.Трудоемкость'!LF12+"BYw!'Ro"</f>
        <v>#VALUE!</v>
      </c>
      <c r="GQ139" t="e">
        <f>'2.5.Трудоемкость'!LG12+"BYw!'Rp"</f>
        <v>#VALUE!</v>
      </c>
      <c r="GR139" t="e">
        <f>'2.5.Трудоемкость'!LH12+"BYw!'Rq"</f>
        <v>#VALUE!</v>
      </c>
      <c r="GS139" t="e">
        <f>'2.5.Трудоемкость'!LI12+"BYw!'Rr"</f>
        <v>#VALUE!</v>
      </c>
      <c r="GT139" t="e">
        <f>'2.5.Трудоемкость'!LJ12+"BYw!'Rs"</f>
        <v>#VALUE!</v>
      </c>
      <c r="GU139" t="e">
        <f>'2.5.Трудоемкость'!LK12+"BYw!'Rt"</f>
        <v>#VALUE!</v>
      </c>
      <c r="GV139" t="e">
        <f>'2.5.Трудоемкость'!LL12+"BYw!'Ru"</f>
        <v>#VALUE!</v>
      </c>
      <c r="GW139" t="e">
        <f>'2.5.Трудоемкость'!LM12+"BYw!'Rv"</f>
        <v>#VALUE!</v>
      </c>
      <c r="GX139" t="e">
        <f>'2.5.Трудоемкость'!LN12+"BYw!'Rw"</f>
        <v>#VALUE!</v>
      </c>
      <c r="GY139" t="e">
        <f>'2.5.Трудоемкость'!LO12+"BYw!'Rx"</f>
        <v>#VALUE!</v>
      </c>
      <c r="GZ139" t="e">
        <f>'2.5.Трудоемкость'!LP12+"BYw!'Ry"</f>
        <v>#VALUE!</v>
      </c>
      <c r="HA139" t="e">
        <f>'2.5.Трудоемкость'!LQ12+"BYw!'Rz"</f>
        <v>#VALUE!</v>
      </c>
      <c r="HB139" t="e">
        <f>'2.5.Трудоемкость'!LR12+"BYw!'R{"</f>
        <v>#VALUE!</v>
      </c>
      <c r="HC139" t="e">
        <f>'2.5.Трудоемкость'!LS12+"BYw!'R|"</f>
        <v>#VALUE!</v>
      </c>
      <c r="HD139" t="e">
        <f>'2.5.Трудоемкость'!LT12+"BYw!'R}"</f>
        <v>#VALUE!</v>
      </c>
      <c r="HE139" t="e">
        <f>'2.5.Трудоемкость'!LU12+"BYw!'R~"</f>
        <v>#VALUE!</v>
      </c>
      <c r="HF139" t="e">
        <f>'2.5.Трудоемкость'!LV12+"BYw!'S#"</f>
        <v>#VALUE!</v>
      </c>
      <c r="HG139" t="e">
        <f>'2.5.Трудоемкость'!LW12+"BYw!'S$"</f>
        <v>#VALUE!</v>
      </c>
      <c r="HH139" t="e">
        <f>'2.5.Трудоемкость'!LX12+"BYw!'S%"</f>
        <v>#VALUE!</v>
      </c>
      <c r="HI139" t="e">
        <f>'2.5.Трудоемкость'!LY12+"BYw!'S&amp;"</f>
        <v>#VALUE!</v>
      </c>
      <c r="HJ139" t="e">
        <f>'2.5.Трудоемкость'!LZ12+"BYw!'S'"</f>
        <v>#VALUE!</v>
      </c>
      <c r="HK139" t="e">
        <f>'2.5.Трудоемкость'!MA12+"BYw!'S("</f>
        <v>#VALUE!</v>
      </c>
      <c r="HL139" t="e">
        <f>'2.5.Трудоемкость'!MB12+"BYw!'S)"</f>
        <v>#VALUE!</v>
      </c>
      <c r="HM139" t="e">
        <f>'2.5.Трудоемкость'!MC12+"BYw!'S."</f>
        <v>#VALUE!</v>
      </c>
      <c r="HN139" t="e">
        <f>'2.5.Трудоемкость'!MD12+"BYw!'S/"</f>
        <v>#VALUE!</v>
      </c>
      <c r="HO139" t="e">
        <f>'2.5.Трудоемкость'!ME12+"BYw!'S0"</f>
        <v>#VALUE!</v>
      </c>
      <c r="HP139" t="e">
        <f>'2.5.Трудоемкость'!MF12+"BYw!'S1"</f>
        <v>#VALUE!</v>
      </c>
      <c r="HQ139" t="e">
        <f>'2.5.Трудоемкость'!MG12+"BYw!'S2"</f>
        <v>#VALUE!</v>
      </c>
      <c r="HR139" t="e">
        <f>'2.5.Трудоемкость'!MH12+"BYw!'S3"</f>
        <v>#VALUE!</v>
      </c>
      <c r="HS139" t="e">
        <f>'2.5.Трудоемкость'!MI12+"BYw!'S4"</f>
        <v>#VALUE!</v>
      </c>
      <c r="HT139" t="e">
        <f>'2.5.Трудоемкость'!MJ12+"BYw!'S5"</f>
        <v>#VALUE!</v>
      </c>
      <c r="HU139" t="e">
        <f>'2.5.Трудоемкость'!MK12+"BYw!'S6"</f>
        <v>#VALUE!</v>
      </c>
      <c r="HV139" t="e">
        <f>'2.5.Трудоемкость'!ML12+"BYw!'S7"</f>
        <v>#VALUE!</v>
      </c>
      <c r="HW139" t="e">
        <f>'2.5.Трудоемкость'!MM12+"BYw!'S8"</f>
        <v>#VALUE!</v>
      </c>
      <c r="HX139" t="e">
        <f>'2.5.Трудоемкость'!MN12+"BYw!'S9"</f>
        <v>#VALUE!</v>
      </c>
      <c r="HY139" t="e">
        <f>'2.5.Трудоемкость'!MO12+"BYw!'S:"</f>
        <v>#VALUE!</v>
      </c>
      <c r="HZ139" t="e">
        <f>'2.5.Трудоемкость'!MP12+"BYw!'S;"</f>
        <v>#VALUE!</v>
      </c>
      <c r="IA139" t="e">
        <f>'2.5.Трудоемкость'!MQ12+"BYw!'S&lt;"</f>
        <v>#VALUE!</v>
      </c>
      <c r="IB139" t="e">
        <f>'2.5.Трудоемкость'!MR12+"BYw!'S="</f>
        <v>#VALUE!</v>
      </c>
      <c r="IC139" t="e">
        <f>'2.5.Трудоемкость'!MS12+"BYw!'S&gt;"</f>
        <v>#VALUE!</v>
      </c>
      <c r="ID139" t="e">
        <f>'2.5.Трудоемкость'!MT12+"BYw!'S?"</f>
        <v>#VALUE!</v>
      </c>
      <c r="IE139" t="e">
        <f>'2.5.Трудоемкость'!MU12+"BYw!'S@"</f>
        <v>#VALUE!</v>
      </c>
      <c r="IF139" t="e">
        <f>'2.5.Трудоемкость'!MV12+"BYw!'SA"</f>
        <v>#VALUE!</v>
      </c>
      <c r="IG139" t="e">
        <f>'2.5.Трудоемкость'!MW12+"BYw!'SB"</f>
        <v>#VALUE!</v>
      </c>
      <c r="IH139" t="e">
        <f>'2.5.Трудоемкость'!MX12+"BYw!'SC"</f>
        <v>#VALUE!</v>
      </c>
      <c r="II139" t="e">
        <f>'2.5.Трудоемкость'!MY12+"BYw!'SD"</f>
        <v>#VALUE!</v>
      </c>
      <c r="IJ139" t="e">
        <f>'2.5.Трудоемкость'!MZ12+"BYw!'SE"</f>
        <v>#VALUE!</v>
      </c>
      <c r="IK139" t="e">
        <f>'2.5.Трудоемкость'!NA12+"BYw!'SF"</f>
        <v>#VALUE!</v>
      </c>
      <c r="IL139" t="e">
        <f>'2.5.Трудоемкость'!NB12+"BYw!'SG"</f>
        <v>#VALUE!</v>
      </c>
      <c r="IM139" t="e">
        <f>'2.5.Трудоемкость'!NC12+"BYw!'SH"</f>
        <v>#VALUE!</v>
      </c>
      <c r="IN139" t="e">
        <f>'2.5.Трудоемкость'!ND12+"BYw!'SI"</f>
        <v>#VALUE!</v>
      </c>
      <c r="IO139" t="e">
        <f>'2.5.Трудоемкость'!NE12+"BYw!'SJ"</f>
        <v>#VALUE!</v>
      </c>
      <c r="IP139" t="e">
        <f>'2.5.Трудоемкость'!NF12+"BYw!'SK"</f>
        <v>#VALUE!</v>
      </c>
      <c r="IQ139" t="e">
        <f>'2.5.Трудоемкость'!NG12+"BYw!'SL"</f>
        <v>#VALUE!</v>
      </c>
      <c r="IR139" t="e">
        <f>'2.5.Трудоемкость'!NH12+"BYw!'SM"</f>
        <v>#VALUE!</v>
      </c>
      <c r="IS139" t="e">
        <f>'2.5.Трудоемкость'!NI12+"BYw!'SN"</f>
        <v>#VALUE!</v>
      </c>
      <c r="IT139" t="e">
        <f>'2.5.Трудоемкость'!NJ12+"BYw!'SO"</f>
        <v>#VALUE!</v>
      </c>
      <c r="IU139" t="e">
        <f>'2.5.Трудоемкость'!NK12+"BYw!'SP"</f>
        <v>#VALUE!</v>
      </c>
      <c r="IV139" t="e">
        <f>'2.5.Трудоемкость'!NL12+"BYw!'SQ"</f>
        <v>#VALUE!</v>
      </c>
    </row>
    <row r="140" spans="6:256" x14ac:dyDescent="0.2">
      <c r="F140" t="e">
        <f>'2.5.Трудоемкость'!NM12+"BYw!'SR"</f>
        <v>#VALUE!</v>
      </c>
      <c r="G140" t="e">
        <f>'2.5.Трудоемкость'!NN12+"BYw!'SS"</f>
        <v>#VALUE!</v>
      </c>
      <c r="H140" t="e">
        <f>'2.5.Трудоемкость'!NO12+"BYw!'ST"</f>
        <v>#VALUE!</v>
      </c>
      <c r="I140" t="e">
        <f>'2.5.Трудоемкость'!NP12+"BYw!'SU"</f>
        <v>#VALUE!</v>
      </c>
      <c r="J140" t="e">
        <f>'2.5.Трудоемкость'!NQ12+"BYw!'SV"</f>
        <v>#VALUE!</v>
      </c>
      <c r="K140" t="e">
        <f>'2.5.Трудоемкость'!NR12+"BYw!'SW"</f>
        <v>#VALUE!</v>
      </c>
      <c r="L140" t="e">
        <f>'2.5.Трудоемкость'!NS12+"BYw!'SX"</f>
        <v>#VALUE!</v>
      </c>
      <c r="M140" t="e">
        <f>'2.5.Трудоемкость'!NT12+"BYw!'SY"</f>
        <v>#VALUE!</v>
      </c>
      <c r="N140" t="e">
        <f>'2.5.Трудоемкость'!NU12+"BYw!'SZ"</f>
        <v>#VALUE!</v>
      </c>
      <c r="O140" t="e">
        <f>'2.5.Трудоемкость'!NV12+"BYw!'S["</f>
        <v>#VALUE!</v>
      </c>
      <c r="P140" t="e">
        <f>'2.5.Трудоемкость'!NW12+"BYw!'S\"</f>
        <v>#VALUE!</v>
      </c>
      <c r="Q140" t="e">
        <f>'2.5.Трудоемкость'!NX12+"BYw!'S]"</f>
        <v>#VALUE!</v>
      </c>
      <c r="R140" t="e">
        <f>'2.5.Трудоемкость'!NY12+"BYw!'S^"</f>
        <v>#VALUE!</v>
      </c>
      <c r="S140" t="e">
        <f>'2.5.Трудоемкость'!NZ12+"BYw!'S_"</f>
        <v>#VALUE!</v>
      </c>
      <c r="T140" t="e">
        <f>'2.5.Трудоемкость'!OA12+"BYw!'S`"</f>
        <v>#VALUE!</v>
      </c>
      <c r="U140" t="e">
        <f>'2.5.Трудоемкость'!OB12+"BYw!'Sa"</f>
        <v>#VALUE!</v>
      </c>
      <c r="V140" t="e">
        <f>'2.5.Трудоемкость'!OC12+"BYw!'Sb"</f>
        <v>#VALUE!</v>
      </c>
      <c r="W140" t="e">
        <f>'2.5.Трудоемкость'!OD12+"BYw!'Sc"</f>
        <v>#VALUE!</v>
      </c>
      <c r="X140" t="e">
        <f>'2.5.Трудоемкость'!OE12+"BYw!'Sd"</f>
        <v>#VALUE!</v>
      </c>
      <c r="Y140" t="e">
        <f>'2.5.Трудоемкость'!OF12+"BYw!'Se"</f>
        <v>#VALUE!</v>
      </c>
      <c r="Z140" t="e">
        <f>'2.5.Трудоемкость'!OG12+"BYw!'Sf"</f>
        <v>#VALUE!</v>
      </c>
      <c r="AA140" t="e">
        <f>'2.5.Трудоемкость'!OH12+"BYw!'Sg"</f>
        <v>#VALUE!</v>
      </c>
      <c r="AB140" t="e">
        <f>'2.5.Трудоемкость'!OI12+"BYw!'Sh"</f>
        <v>#VALUE!</v>
      </c>
      <c r="AC140" t="e">
        <f>'2.5.Трудоемкость'!OJ12+"BYw!'Si"</f>
        <v>#VALUE!</v>
      </c>
      <c r="AD140" t="e">
        <f>'2.5.Трудоемкость'!OK12+"BYw!'Sj"</f>
        <v>#VALUE!</v>
      </c>
      <c r="AE140" t="e">
        <f>'2.5.Трудоемкость'!OL12+"BYw!'Sk"</f>
        <v>#VALUE!</v>
      </c>
      <c r="AF140" t="e">
        <f>'2.5.Трудоемкость'!OM12+"BYw!'Sl"</f>
        <v>#VALUE!</v>
      </c>
      <c r="AG140" t="e">
        <f>'2.5.Трудоемкость'!ON12+"BYw!'Sm"</f>
        <v>#VALUE!</v>
      </c>
      <c r="AH140" t="e">
        <f>'2.5.Трудоемкость'!OO12+"BYw!'Sn"</f>
        <v>#VALUE!</v>
      </c>
      <c r="AI140" t="e">
        <f>'2.5.Трудоемкость'!OP12+"BYw!'So"</f>
        <v>#VALUE!</v>
      </c>
      <c r="AJ140" t="e">
        <f>'2.5.Трудоемкость'!OQ12+"BYw!'Sp"</f>
        <v>#VALUE!</v>
      </c>
      <c r="AK140" t="e">
        <f>'2.5.Трудоемкость'!OR12+"BYw!'Sq"</f>
        <v>#VALUE!</v>
      </c>
      <c r="AL140" t="e">
        <f>'2.5.Трудоемкость'!OS12+"BYw!'Sr"</f>
        <v>#VALUE!</v>
      </c>
      <c r="AM140" t="e">
        <f>'2.5.Трудоемкость'!OT12+"BYw!'Ss"</f>
        <v>#VALUE!</v>
      </c>
      <c r="AN140" t="e">
        <f>'2.5.Трудоемкость'!OU12+"BYw!'St"</f>
        <v>#VALUE!</v>
      </c>
      <c r="AO140" t="e">
        <f>'2.5.Трудоемкость'!OV12+"BYw!'Su"</f>
        <v>#VALUE!</v>
      </c>
      <c r="AP140" t="e">
        <f>'2.5.Трудоемкость'!OW12+"BYw!'Sv"</f>
        <v>#VALUE!</v>
      </c>
      <c r="AQ140" t="e">
        <f>'2.5.Трудоемкость'!OX12+"BYw!'Sw"</f>
        <v>#VALUE!</v>
      </c>
      <c r="AR140" t="e">
        <f>'2.5.Трудоемкость'!OY12+"BYw!'Sx"</f>
        <v>#VALUE!</v>
      </c>
      <c r="AS140" t="e">
        <f>'2.5.Трудоемкость'!OZ12+"BYw!'Sy"</f>
        <v>#VALUE!</v>
      </c>
      <c r="AT140" t="e">
        <f>'2.5.Трудоемкость'!PA12+"BYw!'Sz"</f>
        <v>#VALUE!</v>
      </c>
      <c r="AU140" t="e">
        <f>'2.5.Трудоемкость'!PB12+"BYw!'S{"</f>
        <v>#VALUE!</v>
      </c>
      <c r="AV140" t="e">
        <f>'2.5.Трудоемкость'!PC12+"BYw!'S|"</f>
        <v>#VALUE!</v>
      </c>
      <c r="AW140" t="e">
        <f>'2.5.Трудоемкость'!PD12+"BYw!'S}"</f>
        <v>#VALUE!</v>
      </c>
      <c r="AX140" t="e">
        <f>'2.5.Трудоемкость'!PE12+"BYw!'S~"</f>
        <v>#VALUE!</v>
      </c>
      <c r="AY140" t="e">
        <f>'2.5.Трудоемкость'!PF12+"BYw!'T#"</f>
        <v>#VALUE!</v>
      </c>
      <c r="AZ140" t="e">
        <f>'2.5.Трудоемкость'!PG12+"BYw!'T$"</f>
        <v>#VALUE!</v>
      </c>
      <c r="BA140" t="e">
        <f>'2.5.Трудоемкость'!PH12+"BYw!'T%"</f>
        <v>#VALUE!</v>
      </c>
      <c r="BB140" t="e">
        <f>'2.5.Трудоемкость'!PI12+"BYw!'T&amp;"</f>
        <v>#VALUE!</v>
      </c>
      <c r="BC140" t="e">
        <f>'2.5.Трудоемкость'!PJ12+"BYw!'T'"</f>
        <v>#VALUE!</v>
      </c>
      <c r="BD140" t="e">
        <f>'2.5.Трудоемкость'!PK12+"BYw!'T("</f>
        <v>#VALUE!</v>
      </c>
      <c r="BE140" t="e">
        <f>'2.5.Трудоемкость'!PL12+"BYw!'T)"</f>
        <v>#VALUE!</v>
      </c>
      <c r="BF140" t="e">
        <f>'2.5.Трудоемкость'!PM12+"BYw!'T."</f>
        <v>#VALUE!</v>
      </c>
      <c r="BG140" t="e">
        <f>'2.5.Трудоемкость'!PN12+"BYw!'T/"</f>
        <v>#VALUE!</v>
      </c>
      <c r="BH140" t="e">
        <f>'2.5.Трудоемкость'!PO12+"BYw!'T0"</f>
        <v>#VALUE!</v>
      </c>
      <c r="BI140" t="e">
        <f>'2.5.Трудоемкость'!PP12+"BYw!'T1"</f>
        <v>#VALUE!</v>
      </c>
      <c r="BJ140" t="e">
        <f>'2.5.Трудоемкость'!PQ12+"BYw!'T2"</f>
        <v>#VALUE!</v>
      </c>
      <c r="BK140" t="e">
        <f>'2.5.Трудоемкость'!PR12+"BYw!'T3"</f>
        <v>#VALUE!</v>
      </c>
      <c r="BL140" t="e">
        <f>'2.5.Трудоемкость'!PS12+"BYw!'T4"</f>
        <v>#VALUE!</v>
      </c>
      <c r="BM140" t="e">
        <f>'2.5.Трудоемкость'!PT12+"BYw!'T5"</f>
        <v>#VALUE!</v>
      </c>
      <c r="BN140" t="e">
        <f>'2.5.Трудоемкость'!PU12+"BYw!'T6"</f>
        <v>#VALUE!</v>
      </c>
      <c r="BO140" t="e">
        <f>'2.5.Трудоемкость'!PV12+"BYw!'T7"</f>
        <v>#VALUE!</v>
      </c>
      <c r="BP140" t="e">
        <f>'2.5.Трудоемкость'!PW12+"BYw!'T8"</f>
        <v>#VALUE!</v>
      </c>
      <c r="BQ140" t="e">
        <f>'2.5.Трудоемкость'!PX12+"BYw!'T9"</f>
        <v>#VALUE!</v>
      </c>
      <c r="BR140" t="e">
        <f>'2.5.Трудоемкость'!PY12+"BYw!'T:"</f>
        <v>#VALUE!</v>
      </c>
      <c r="BS140" t="e">
        <f>'2.5.Трудоемкость'!PZ12+"BYw!'T;"</f>
        <v>#VALUE!</v>
      </c>
      <c r="BT140" t="e">
        <f>'2.5.Трудоемкость'!QA12+"BYw!'T&lt;"</f>
        <v>#VALUE!</v>
      </c>
      <c r="BU140" t="e">
        <f>'2.5.Трудоемкость'!QB12+"BYw!'T="</f>
        <v>#VALUE!</v>
      </c>
      <c r="BV140" t="e">
        <f>'2.5.Трудоемкость'!QC12+"BYw!'T&gt;"</f>
        <v>#VALUE!</v>
      </c>
      <c r="BW140" t="e">
        <f>'2.5.Трудоемкость'!QD12+"BYw!'T?"</f>
        <v>#VALUE!</v>
      </c>
      <c r="BX140" t="e">
        <f>'2.5.Трудоемкость'!QE12+"BYw!'T@"</f>
        <v>#VALUE!</v>
      </c>
      <c r="BY140" t="e">
        <f>'2.5.Трудоемкость'!QF12+"BYw!'TA"</f>
        <v>#VALUE!</v>
      </c>
      <c r="BZ140" t="e">
        <f>'2.5.Трудоемкость'!QG12+"BYw!'TB"</f>
        <v>#VALUE!</v>
      </c>
      <c r="CA140" t="e">
        <f>'2.5.Трудоемкость'!QH12+"BYw!'TC"</f>
        <v>#VALUE!</v>
      </c>
      <c r="CB140" t="e">
        <f>'2.5.Трудоемкость'!QI12+"BYw!'TD"</f>
        <v>#VALUE!</v>
      </c>
      <c r="CC140" t="e">
        <f>'2.5.Трудоемкость'!QJ12+"BYw!'TE"</f>
        <v>#VALUE!</v>
      </c>
      <c r="CD140" t="e">
        <f>'2.5.Трудоемкость'!QK12+"BYw!'TF"</f>
        <v>#VALUE!</v>
      </c>
      <c r="CE140" t="e">
        <f>'2.5.Трудоемкость'!QL12+"BYw!'TG"</f>
        <v>#VALUE!</v>
      </c>
      <c r="CF140" t="e">
        <f>'2.5.Трудоемкость'!QM12+"BYw!'TH"</f>
        <v>#VALUE!</v>
      </c>
      <c r="CG140" t="e">
        <f>'2.5.Трудоемкость'!QN12+"BYw!'TI"</f>
        <v>#VALUE!</v>
      </c>
      <c r="CH140" t="e">
        <f>'2.5.Трудоемкость'!QO12+"BYw!'TJ"</f>
        <v>#VALUE!</v>
      </c>
      <c r="CI140" t="e">
        <f>'2.5.Трудоемкость'!QP12+"BYw!'TK"</f>
        <v>#VALUE!</v>
      </c>
      <c r="CJ140" t="e">
        <f>'2.5.Трудоемкость'!QQ12+"BYw!'TL"</f>
        <v>#VALUE!</v>
      </c>
      <c r="CK140" t="e">
        <f>'2.5.Трудоемкость'!QR12+"BYw!'TM"</f>
        <v>#VALUE!</v>
      </c>
      <c r="CL140" t="e">
        <f>'2.5.Трудоемкость'!QS12+"BYw!'TN"</f>
        <v>#VALUE!</v>
      </c>
      <c r="CM140" t="e">
        <f>'2.5.Трудоемкость'!QT12+"BYw!'TO"</f>
        <v>#VALUE!</v>
      </c>
      <c r="CN140" t="e">
        <f>'2.5.Трудоемкость'!QU12+"BYw!'TP"</f>
        <v>#VALUE!</v>
      </c>
      <c r="CO140" t="e">
        <f>'2.5.Трудоемкость'!QV12+"BYw!'TQ"</f>
        <v>#VALUE!</v>
      </c>
      <c r="CP140" t="e">
        <f>'2.5.Трудоемкость'!QW12+"BYw!'TR"</f>
        <v>#VALUE!</v>
      </c>
      <c r="CQ140" t="e">
        <f>'2.5.Трудоемкость'!QX12+"BYw!'TS"</f>
        <v>#VALUE!</v>
      </c>
      <c r="CR140" t="e">
        <f>'2.5.Трудоемкость'!QY12+"BYw!'TT"</f>
        <v>#VALUE!</v>
      </c>
      <c r="CS140" t="e">
        <f>'2.5.Трудоемкость'!QZ12+"BYw!'TU"</f>
        <v>#VALUE!</v>
      </c>
      <c r="CT140" t="e">
        <f>'2.5.Трудоемкость'!RA12+"BYw!'TV"</f>
        <v>#VALUE!</v>
      </c>
      <c r="CU140" t="e">
        <f>'2.5.Трудоемкость'!RB12+"BYw!'TW"</f>
        <v>#VALUE!</v>
      </c>
      <c r="CV140" t="e">
        <f>'2.5.Трудоемкость'!RC12+"BYw!'TX"</f>
        <v>#VALUE!</v>
      </c>
      <c r="CW140" t="e">
        <f>'2.5.Трудоемкость'!RD12+"BYw!'TY"</f>
        <v>#VALUE!</v>
      </c>
      <c r="CX140" t="e">
        <f>'2.5.Трудоемкость'!RE12+"BYw!'TZ"</f>
        <v>#VALUE!</v>
      </c>
      <c r="CY140" t="e">
        <f>'2.5.Трудоемкость'!RF12+"BYw!'T["</f>
        <v>#VALUE!</v>
      </c>
      <c r="CZ140" t="e">
        <f>'2.5.Трудоемкость'!RG12+"BYw!'T\"</f>
        <v>#VALUE!</v>
      </c>
      <c r="DA140" t="e">
        <f>'2.5.Трудоемкость'!RH12+"BYw!'T]"</f>
        <v>#VALUE!</v>
      </c>
      <c r="DB140" t="e">
        <f>'2.5.Трудоемкость'!RI12+"BYw!'T^"</f>
        <v>#VALUE!</v>
      </c>
      <c r="DC140" t="e">
        <f>'2.5.Трудоемкость'!RJ12+"BYw!'T_"</f>
        <v>#VALUE!</v>
      </c>
      <c r="DD140" t="e">
        <f>'2.5.Трудоемкость'!RK12+"BYw!'T`"</f>
        <v>#VALUE!</v>
      </c>
      <c r="DE140" t="e">
        <f>'2.5.Трудоемкость'!RL12+"BYw!'Ta"</f>
        <v>#VALUE!</v>
      </c>
      <c r="DF140" t="e">
        <f>'2.5.Трудоемкость'!RM12+"BYw!'Tb"</f>
        <v>#VALUE!</v>
      </c>
      <c r="DG140" t="e">
        <f>'2.5.Трудоемкость'!RN12+"BYw!'Tc"</f>
        <v>#VALUE!</v>
      </c>
      <c r="DH140" t="e">
        <f>'2.5.Трудоемкость'!RO12+"BYw!'Td"</f>
        <v>#VALUE!</v>
      </c>
      <c r="DI140" t="e">
        <f>'2.5.Трудоемкость'!RP12+"BYw!'Te"</f>
        <v>#VALUE!</v>
      </c>
      <c r="DJ140" t="e">
        <f>'2.5.Трудоемкость'!RQ12+"BYw!'Tf"</f>
        <v>#VALUE!</v>
      </c>
      <c r="DK140" t="e">
        <f>'2.5.Трудоемкость'!RR12+"BYw!'Tg"</f>
        <v>#VALUE!</v>
      </c>
      <c r="DL140" t="e">
        <f>'2.5.Трудоемкость'!RS12+"BYw!'Th"</f>
        <v>#VALUE!</v>
      </c>
      <c r="DM140" t="e">
        <f>'2.5.Трудоемкость'!RT12+"BYw!'Ti"</f>
        <v>#VALUE!</v>
      </c>
      <c r="DN140" t="e">
        <f>'2.5.Трудоемкость'!RU12+"BYw!'Tj"</f>
        <v>#VALUE!</v>
      </c>
      <c r="DO140" t="e">
        <f>'2.5.Трудоемкость'!RV12+"BYw!'Tk"</f>
        <v>#VALUE!</v>
      </c>
      <c r="DP140" t="e">
        <f>'2.5.Трудоемкость'!RW12+"BYw!'Tl"</f>
        <v>#VALUE!</v>
      </c>
      <c r="DQ140" t="e">
        <f>'2.5.Трудоемкость'!RX12+"BYw!'Tm"</f>
        <v>#VALUE!</v>
      </c>
      <c r="DR140" t="e">
        <f>'2.5.Трудоемкость'!RY12+"BYw!'Tn"</f>
        <v>#VALUE!</v>
      </c>
      <c r="DS140" t="e">
        <f>'2.5.Трудоемкость'!RZ12+"BYw!'To"</f>
        <v>#VALUE!</v>
      </c>
      <c r="DT140" t="e">
        <f>'2.5.Трудоемкость'!SA12+"BYw!'Tp"</f>
        <v>#VALUE!</v>
      </c>
      <c r="DU140" t="e">
        <f>'2.5.Трудоемкость'!SB12+"BYw!'Tq"</f>
        <v>#VALUE!</v>
      </c>
      <c r="DV140" t="e">
        <f>'2.5.Трудоемкость'!SC12+"BYw!'Tr"</f>
        <v>#VALUE!</v>
      </c>
      <c r="DW140" t="e">
        <f>'2.5.Трудоемкость'!SD12+"BYw!'Ts"</f>
        <v>#VALUE!</v>
      </c>
      <c r="DX140" t="e">
        <f>'2.5.Трудоемкость'!SE12+"BYw!'Tt"</f>
        <v>#VALUE!</v>
      </c>
      <c r="DY140" t="e">
        <f>'2.5.Трудоемкость'!SF12+"BYw!'Tu"</f>
        <v>#VALUE!</v>
      </c>
      <c r="DZ140" t="e">
        <f>'2.5.Трудоемкость'!SG12+"BYw!'Tv"</f>
        <v>#VALUE!</v>
      </c>
      <c r="EA140" t="e">
        <f>'2.5.Трудоемкость'!SH12+"BYw!'Tw"</f>
        <v>#VALUE!</v>
      </c>
      <c r="EB140" t="e">
        <f>'2.5.Трудоемкость'!SI12+"BYw!'Tx"</f>
        <v>#VALUE!</v>
      </c>
      <c r="EC140" t="e">
        <f>'2.5.Трудоемкость'!SJ12+"BYw!'Ty"</f>
        <v>#VALUE!</v>
      </c>
      <c r="ED140" t="e">
        <f>'2.5.Трудоемкость'!SK12+"BYw!'Tz"</f>
        <v>#VALUE!</v>
      </c>
      <c r="EE140" t="e">
        <f>'2.5.Трудоемкость'!SL12+"BYw!'T{"</f>
        <v>#VALUE!</v>
      </c>
      <c r="EF140" t="e">
        <f>'2.5.Трудоемкость'!SM12+"BYw!'T|"</f>
        <v>#VALUE!</v>
      </c>
      <c r="EG140" t="e">
        <f>'2.5.Трудоемкость'!SN12+"BYw!'T}"</f>
        <v>#VALUE!</v>
      </c>
      <c r="EH140" t="e">
        <f>'2.5.Трудоемкость'!SO12+"BYw!'T~"</f>
        <v>#VALUE!</v>
      </c>
      <c r="EI140" t="e">
        <f>'2.5.Трудоемкость'!SP12+"BYw!'U#"</f>
        <v>#VALUE!</v>
      </c>
      <c r="EJ140" t="e">
        <f>'2.5.Трудоемкость'!SQ12+"BYw!'U$"</f>
        <v>#VALUE!</v>
      </c>
      <c r="EK140" t="e">
        <f>'2.5.Трудоемкость'!SR12+"BYw!'U%"</f>
        <v>#VALUE!</v>
      </c>
      <c r="EL140" t="e">
        <f>'2.5.Трудоемкость'!SS12+"BYw!'U&amp;"</f>
        <v>#VALUE!</v>
      </c>
      <c r="EM140" t="e">
        <f>'2.5.Трудоемкость'!ST12+"BYw!'U'"</f>
        <v>#VALUE!</v>
      </c>
      <c r="EN140" t="e">
        <f>'2.5.Трудоемкость'!SU12+"BYw!'U("</f>
        <v>#VALUE!</v>
      </c>
      <c r="EO140" t="e">
        <f>'2.5.Трудоемкость'!SV12+"BYw!'U)"</f>
        <v>#VALUE!</v>
      </c>
      <c r="EP140" t="e">
        <f>'2.5.Трудоемкость'!SW12+"BYw!'U."</f>
        <v>#VALUE!</v>
      </c>
      <c r="EQ140" t="e">
        <f>'2.5.Трудоемкость'!SX12+"BYw!'U/"</f>
        <v>#VALUE!</v>
      </c>
      <c r="ER140" t="e">
        <f>'2.5.Трудоемкость'!SY12+"BYw!'U0"</f>
        <v>#VALUE!</v>
      </c>
      <c r="ES140" t="e">
        <f>'2.5.Трудоемкость'!SZ12+"BYw!'U1"</f>
        <v>#VALUE!</v>
      </c>
      <c r="ET140" t="e">
        <f>'2.5.Трудоемкость'!TA12+"BYw!'U2"</f>
        <v>#VALUE!</v>
      </c>
      <c r="EU140" t="e">
        <f>'2.5.Трудоемкость'!TB12+"BYw!'U3"</f>
        <v>#VALUE!</v>
      </c>
      <c r="EV140" t="e">
        <f>'2.5.Трудоемкость'!TC12+"BYw!'U4"</f>
        <v>#VALUE!</v>
      </c>
      <c r="EW140" t="e">
        <f>'2.5.Трудоемкость'!TD12+"BYw!'U5"</f>
        <v>#VALUE!</v>
      </c>
      <c r="EX140" t="e">
        <f>'2.5.Трудоемкость'!TE12+"BYw!'U6"</f>
        <v>#VALUE!</v>
      </c>
      <c r="EY140" t="e">
        <f>'2.5.Трудоемкость'!TF12+"BYw!'U7"</f>
        <v>#VALUE!</v>
      </c>
      <c r="EZ140" t="e">
        <f>'2.5.Трудоемкость'!TG12+"BYw!'U8"</f>
        <v>#VALUE!</v>
      </c>
      <c r="FA140" t="e">
        <f>'2.5.Трудоемкость'!TH12+"BYw!'U9"</f>
        <v>#VALUE!</v>
      </c>
      <c r="FB140" t="e">
        <f>'2.5.Трудоемкость'!TI12+"BYw!'U:"</f>
        <v>#VALUE!</v>
      </c>
      <c r="FC140" t="e">
        <f>'2.5.Трудоемкость'!TJ12+"BYw!'U;"</f>
        <v>#VALUE!</v>
      </c>
      <c r="FD140" t="e">
        <f>'2.5.Трудоемкость'!TK12+"BYw!'U&lt;"</f>
        <v>#VALUE!</v>
      </c>
      <c r="FE140" t="e">
        <f>'2.5.Трудоемкость'!TL12+"BYw!'U="</f>
        <v>#VALUE!</v>
      </c>
      <c r="FF140" t="e">
        <f>'2.5.Трудоемкость'!TM12+"BYw!'U&gt;"</f>
        <v>#VALUE!</v>
      </c>
      <c r="FG140" t="e">
        <f>'2.5.Трудоемкость'!TN12+"BYw!'U?"</f>
        <v>#VALUE!</v>
      </c>
      <c r="FH140" t="e">
        <f>'2.5.Трудоемкость'!TO12+"BYw!'U@"</f>
        <v>#VALUE!</v>
      </c>
      <c r="FI140" t="e">
        <f>'2.5.Трудоемкость'!TP12+"BYw!'UA"</f>
        <v>#VALUE!</v>
      </c>
      <c r="FJ140" t="e">
        <f>'2.5.Трудоемкость'!TQ12+"BYw!'UB"</f>
        <v>#VALUE!</v>
      </c>
      <c r="FK140" t="e">
        <f>'2.5.Трудоемкость'!TR12+"BYw!'UC"</f>
        <v>#VALUE!</v>
      </c>
      <c r="FL140" t="e">
        <f>'2.5.Трудоемкость'!TS12+"BYw!'UD"</f>
        <v>#VALUE!</v>
      </c>
      <c r="FM140" t="e">
        <f>'2.5.Трудоемкость'!TT12+"BYw!'UE"</f>
        <v>#VALUE!</v>
      </c>
      <c r="FN140" t="e">
        <f>'2.5.Трудоемкость'!TU12+"BYw!'UF"</f>
        <v>#VALUE!</v>
      </c>
      <c r="FO140" t="e">
        <f>'2.5.Трудоемкость'!TV12+"BYw!'UG"</f>
        <v>#VALUE!</v>
      </c>
      <c r="FP140" t="e">
        <f>'2.5.Трудоемкость'!TW12+"BYw!'UH"</f>
        <v>#VALUE!</v>
      </c>
      <c r="FQ140" t="e">
        <f>'2.5.Трудоемкость'!TX12+"BYw!'UI"</f>
        <v>#VALUE!</v>
      </c>
      <c r="FR140" t="e">
        <f>'2.5.Трудоемкость'!TY12+"BYw!'UJ"</f>
        <v>#VALUE!</v>
      </c>
      <c r="FS140" t="e">
        <f>'2.5.Трудоемкость'!TZ12+"BYw!'UK"</f>
        <v>#VALUE!</v>
      </c>
      <c r="FT140" t="e">
        <f>'2.5.Трудоемкость'!UA12+"BYw!'UL"</f>
        <v>#VALUE!</v>
      </c>
      <c r="FU140" t="e">
        <f>'2.5.Трудоемкость'!UB12+"BYw!'UM"</f>
        <v>#VALUE!</v>
      </c>
      <c r="FV140" t="e">
        <f>'2.5.Трудоемкость'!UC12+"BYw!'UN"</f>
        <v>#VALUE!</v>
      </c>
      <c r="FW140" t="e">
        <f>'2.5.Трудоемкость'!UD12+"BYw!'UO"</f>
        <v>#VALUE!</v>
      </c>
      <c r="FX140" t="e">
        <f>'2.5.Трудоемкость'!UE12+"BYw!'UP"</f>
        <v>#VALUE!</v>
      </c>
      <c r="FY140" t="e">
        <f>'2.5.Трудоемкость'!UF12+"BYw!'UQ"</f>
        <v>#VALUE!</v>
      </c>
      <c r="FZ140" t="e">
        <f>'2.5.Трудоемкость'!UG12+"BYw!'UR"</f>
        <v>#VALUE!</v>
      </c>
      <c r="GA140" t="e">
        <f>'2.5.Трудоемкость'!UH12+"BYw!'US"</f>
        <v>#VALUE!</v>
      </c>
      <c r="GB140" t="e">
        <f>'2.5.Трудоемкость'!UI12+"BYw!'UT"</f>
        <v>#VALUE!</v>
      </c>
      <c r="GC140" t="e">
        <f>'2.5.Трудоемкость'!UJ12+"BYw!'UU"</f>
        <v>#VALUE!</v>
      </c>
      <c r="GD140" t="e">
        <f>'2.5.Трудоемкость'!UK12+"BYw!'UV"</f>
        <v>#VALUE!</v>
      </c>
      <c r="GE140" t="e">
        <f>'2.5.Трудоемкость'!UL12+"BYw!'UW"</f>
        <v>#VALUE!</v>
      </c>
      <c r="GF140" t="e">
        <f>'2.5.Трудоемкость'!UM12+"BYw!'UX"</f>
        <v>#VALUE!</v>
      </c>
      <c r="GG140" t="e">
        <f>'2.5.Трудоемкость'!UN12+"BYw!'UY"</f>
        <v>#VALUE!</v>
      </c>
      <c r="GH140" t="e">
        <f>'2.5.Трудоемкость'!UO12+"BYw!'UZ"</f>
        <v>#VALUE!</v>
      </c>
      <c r="GI140" t="e">
        <f>'2.5.Трудоемкость'!UP12+"BYw!'U["</f>
        <v>#VALUE!</v>
      </c>
      <c r="GJ140" t="e">
        <f>'2.5.Трудоемкость'!UQ12+"BYw!'U\"</f>
        <v>#VALUE!</v>
      </c>
      <c r="GK140" t="e">
        <f>'2.5.Трудоемкость'!UR12+"BYw!'U]"</f>
        <v>#VALUE!</v>
      </c>
      <c r="GL140" t="e">
        <f>'2.5.Трудоемкость'!US12+"BYw!'U^"</f>
        <v>#VALUE!</v>
      </c>
      <c r="GM140" t="e">
        <f>'2.5.Трудоемкость'!UT12+"BYw!'U_"</f>
        <v>#VALUE!</v>
      </c>
      <c r="GN140" t="e">
        <f>'2.5.Трудоемкость'!UU12+"BYw!'U`"</f>
        <v>#VALUE!</v>
      </c>
      <c r="GO140" t="e">
        <f>'2.5.Трудоемкость'!UV12+"BYw!'Ua"</f>
        <v>#VALUE!</v>
      </c>
      <c r="GP140" t="e">
        <f>'2.5.Трудоемкость'!UW12+"BYw!'Ub"</f>
        <v>#VALUE!</v>
      </c>
      <c r="GQ140" t="e">
        <f>'2.5.Трудоемкость'!UX12+"BYw!'Uc"</f>
        <v>#VALUE!</v>
      </c>
      <c r="GR140" t="e">
        <f>'2.5.Трудоемкость'!UY12+"BYw!'Ud"</f>
        <v>#VALUE!</v>
      </c>
      <c r="GS140" t="e">
        <f>'2.5.Трудоемкость'!UZ12+"BYw!'Ue"</f>
        <v>#VALUE!</v>
      </c>
      <c r="GT140" t="e">
        <f>'2.5.Трудоемкость'!VA12+"BYw!'Uf"</f>
        <v>#VALUE!</v>
      </c>
      <c r="GU140" t="e">
        <f>'2.5.Трудоемкость'!VB12+"BYw!'Ug"</f>
        <v>#VALUE!</v>
      </c>
      <c r="GV140" t="e">
        <f>'2.5.Трудоемкость'!VC12+"BYw!'Uh"</f>
        <v>#VALUE!</v>
      </c>
      <c r="GW140" t="e">
        <f>'2.5.Трудоемкость'!VD12+"BYw!'Ui"</f>
        <v>#VALUE!</v>
      </c>
      <c r="GX140" t="e">
        <f>'2.5.Трудоемкость'!VE12+"BYw!'Uj"</f>
        <v>#VALUE!</v>
      </c>
      <c r="GY140" t="e">
        <f>'2.5.Трудоемкость'!VF12+"BYw!'Uk"</f>
        <v>#VALUE!</v>
      </c>
      <c r="GZ140" t="e">
        <f>'2.5.Трудоемкость'!VG12+"BYw!'Ul"</f>
        <v>#VALUE!</v>
      </c>
      <c r="HA140" t="e">
        <f>'2.5.Трудоемкость'!VH12+"BYw!'Um"</f>
        <v>#VALUE!</v>
      </c>
      <c r="HB140" t="e">
        <f>'2.5.Трудоемкость'!VI12+"BYw!'Un"</f>
        <v>#VALUE!</v>
      </c>
      <c r="HC140" t="e">
        <f>'2.5.Трудоемкость'!VJ12+"BYw!'Uo"</f>
        <v>#VALUE!</v>
      </c>
      <c r="HD140" t="e">
        <f>'2.5.Трудоемкость'!VK12+"BYw!'Up"</f>
        <v>#VALUE!</v>
      </c>
      <c r="HE140" t="e">
        <f>'2.5.Трудоемкость'!VL12+"BYw!'Uq"</f>
        <v>#VALUE!</v>
      </c>
      <c r="HF140" t="e">
        <f>'2.5.Трудоемкость'!VM12+"BYw!'Ur"</f>
        <v>#VALUE!</v>
      </c>
      <c r="HG140" t="e">
        <f>'2.5.Трудоемкость'!VN12+"BYw!'Us"</f>
        <v>#VALUE!</v>
      </c>
      <c r="HH140" t="e">
        <f>'2.5.Трудоемкость'!VO12+"BYw!'Ut"</f>
        <v>#VALUE!</v>
      </c>
      <c r="HI140" t="e">
        <f>'2.5.Трудоемкость'!VP12+"BYw!'Uu"</f>
        <v>#VALUE!</v>
      </c>
      <c r="HJ140" t="e">
        <f>'2.5.Трудоемкость'!VQ12+"BYw!'Uv"</f>
        <v>#VALUE!</v>
      </c>
      <c r="HK140" t="e">
        <f>'2.5.Трудоемкость'!VR12+"BYw!'Uw"</f>
        <v>#VALUE!</v>
      </c>
      <c r="HL140" t="e">
        <f>'2.5.Трудоемкость'!VS12+"BYw!'Ux"</f>
        <v>#VALUE!</v>
      </c>
      <c r="HM140" t="e">
        <f>'2.5.Трудоемкость'!VT12+"BYw!'Uy"</f>
        <v>#VALUE!</v>
      </c>
      <c r="HN140" t="e">
        <f>'2.5.Трудоемкость'!VU12+"BYw!'Uz"</f>
        <v>#VALUE!</v>
      </c>
      <c r="HO140" t="e">
        <f>'2.5.Трудоемкость'!VV12+"BYw!'U{"</f>
        <v>#VALUE!</v>
      </c>
      <c r="HP140" t="e">
        <f>'2.5.Трудоемкость'!VW12+"BYw!'U|"</f>
        <v>#VALUE!</v>
      </c>
      <c r="HQ140" t="e">
        <f>'2.5.Трудоемкость'!VX12+"BYw!'U}"</f>
        <v>#VALUE!</v>
      </c>
      <c r="HR140" t="e">
        <f>'2.5.Трудоемкость'!VY12+"BYw!'U~"</f>
        <v>#VALUE!</v>
      </c>
      <c r="HS140" t="e">
        <f>'2.5.Трудоемкость'!VZ12+"BYw!'V#"</f>
        <v>#VALUE!</v>
      </c>
      <c r="HT140" t="e">
        <f>'2.5.Трудоемкость'!WA12+"BYw!'V$"</f>
        <v>#VALUE!</v>
      </c>
      <c r="HU140" t="e">
        <f>'2.5.Трудоемкость'!WB12+"BYw!'V%"</f>
        <v>#VALUE!</v>
      </c>
      <c r="HV140" t="e">
        <f>'2.5.Трудоемкость'!WC12+"BYw!'V&amp;"</f>
        <v>#VALUE!</v>
      </c>
      <c r="HW140" t="e">
        <f>'2.5.Трудоемкость'!WD12+"BYw!'V'"</f>
        <v>#VALUE!</v>
      </c>
      <c r="HX140" t="e">
        <f>'2.5.Трудоемкость'!WE12+"BYw!'V("</f>
        <v>#VALUE!</v>
      </c>
      <c r="HY140" t="e">
        <f>'2.5.Трудоемкость'!WF12+"BYw!'V)"</f>
        <v>#VALUE!</v>
      </c>
      <c r="HZ140" t="e">
        <f>'2.5.Трудоемкость'!WG12+"BYw!'V."</f>
        <v>#VALUE!</v>
      </c>
      <c r="IA140" t="e">
        <f>'2.5.Трудоемкость'!WH12+"BYw!'V/"</f>
        <v>#VALUE!</v>
      </c>
      <c r="IB140" t="e">
        <f>'2.5.Трудоемкость'!WI12+"BYw!'V0"</f>
        <v>#VALUE!</v>
      </c>
      <c r="IC140" t="e">
        <f>'2.5.Трудоемкость'!WJ12+"BYw!'V1"</f>
        <v>#VALUE!</v>
      </c>
      <c r="ID140" t="e">
        <f>'2.5.Трудоемкость'!WK12+"BYw!'V2"</f>
        <v>#VALUE!</v>
      </c>
      <c r="IE140" t="e">
        <f>'2.5.Трудоемкость'!WL12+"BYw!'V3"</f>
        <v>#VALUE!</v>
      </c>
      <c r="IF140" t="e">
        <f>'2.5.Трудоемкость'!WM12+"BYw!'V4"</f>
        <v>#VALUE!</v>
      </c>
      <c r="IG140" t="e">
        <f>'2.5.Трудоемкость'!WN12+"BYw!'V5"</f>
        <v>#VALUE!</v>
      </c>
      <c r="IH140" t="e">
        <f>'2.5.Трудоемкость'!WO12+"BYw!'V6"</f>
        <v>#VALUE!</v>
      </c>
      <c r="II140" t="e">
        <f>'2.5.Трудоемкость'!WP12+"BYw!'V7"</f>
        <v>#VALUE!</v>
      </c>
      <c r="IJ140" t="e">
        <f>'2.5.Трудоемкость'!WQ12+"BYw!'V8"</f>
        <v>#VALUE!</v>
      </c>
      <c r="IK140" t="e">
        <f>'2.5.Трудоемкость'!WR12+"BYw!'V9"</f>
        <v>#VALUE!</v>
      </c>
      <c r="IL140" t="e">
        <f>'2.5.Трудоемкость'!WS12+"BYw!'V:"</f>
        <v>#VALUE!</v>
      </c>
      <c r="IM140" t="e">
        <f>'2.5.Трудоемкость'!WT12+"BYw!'V;"</f>
        <v>#VALUE!</v>
      </c>
      <c r="IN140" t="e">
        <f>'2.5.Трудоемкость'!WU12+"BYw!'V&lt;"</f>
        <v>#VALUE!</v>
      </c>
      <c r="IO140" t="e">
        <f>'2.5.Трудоемкость'!WV12+"BYw!'V="</f>
        <v>#VALUE!</v>
      </c>
      <c r="IP140" t="e">
        <f>'2.5.Трудоемкость'!WW12+"BYw!'V&gt;"</f>
        <v>#VALUE!</v>
      </c>
      <c r="IQ140" t="e">
        <f>'2.5.Трудоемкость'!WX12+"BYw!'V?"</f>
        <v>#VALUE!</v>
      </c>
      <c r="IR140" t="e">
        <f>'2.5.Трудоемкость'!WY12+"BYw!'V@"</f>
        <v>#VALUE!</v>
      </c>
      <c r="IS140" t="e">
        <f>'2.5.Трудоемкость'!WZ12+"BYw!'VA"</f>
        <v>#VALUE!</v>
      </c>
      <c r="IT140" t="e">
        <f>'2.5.Трудоемкость'!XA12+"BYw!'VB"</f>
        <v>#VALUE!</v>
      </c>
      <c r="IU140" t="e">
        <f>'2.5.Трудоемкость'!XB12+"BYw!'VC"</f>
        <v>#VALUE!</v>
      </c>
      <c r="IV140" t="e">
        <f>'2.5.Трудоемкость'!XC12+"BYw!'VD"</f>
        <v>#VALUE!</v>
      </c>
    </row>
    <row r="141" spans="6:256" x14ac:dyDescent="0.2">
      <c r="F141" t="e">
        <f>'2.5.Трудоемкость'!XD12+"BYw!'VE"</f>
        <v>#VALUE!</v>
      </c>
      <c r="G141" t="e">
        <f>'2.5.Трудоемкость'!XE12+"BYw!'VF"</f>
        <v>#VALUE!</v>
      </c>
      <c r="H141" t="e">
        <f>'2.5.Трудоемкость'!XF12+"BYw!'VG"</f>
        <v>#VALUE!</v>
      </c>
      <c r="I141" t="e">
        <f>'2.5.Трудоемкость'!XG12+"BYw!'VH"</f>
        <v>#VALUE!</v>
      </c>
      <c r="J141" t="e">
        <f>'2.5.Трудоемкость'!XH12+"BYw!'VI"</f>
        <v>#VALUE!</v>
      </c>
      <c r="K141" t="e">
        <f>'2.5.Трудоемкость'!XI12+"BYw!'VJ"</f>
        <v>#VALUE!</v>
      </c>
      <c r="L141" t="e">
        <f>'2.5.Трудоемкость'!XJ12+"BYw!'VK"</f>
        <v>#VALUE!</v>
      </c>
      <c r="M141" t="e">
        <f>'2.5.Трудоемкость'!XK12+"BYw!'VL"</f>
        <v>#VALUE!</v>
      </c>
      <c r="N141" t="e">
        <f>'2.5.Трудоемкость'!XL12+"BYw!'VM"</f>
        <v>#VALUE!</v>
      </c>
      <c r="O141" t="e">
        <f>'2.5.Трудоемкость'!XM12+"BYw!'VN"</f>
        <v>#VALUE!</v>
      </c>
      <c r="P141" t="e">
        <f>'2.5.Трудоемкость'!XN12+"BYw!'VO"</f>
        <v>#VALUE!</v>
      </c>
      <c r="Q141" t="e">
        <f>'2.5.Трудоемкость'!XO12+"BYw!'VP"</f>
        <v>#VALUE!</v>
      </c>
      <c r="R141" t="e">
        <f>'2.5.Трудоемкость'!XP12+"BYw!'VQ"</f>
        <v>#VALUE!</v>
      </c>
      <c r="S141" t="e">
        <f>'2.5.Трудоемкость'!XQ12+"BYw!'VR"</f>
        <v>#VALUE!</v>
      </c>
      <c r="T141" t="e">
        <f>'2.5.Трудоемкость'!XR12+"BYw!'VS"</f>
        <v>#VALUE!</v>
      </c>
      <c r="U141" t="e">
        <f>'2.5.Трудоемкость'!XS12+"BYw!'VT"</f>
        <v>#VALUE!</v>
      </c>
      <c r="V141" t="e">
        <f>'2.5.Трудоемкость'!XT12+"BYw!'VU"</f>
        <v>#VALUE!</v>
      </c>
      <c r="W141" t="e">
        <f>'2.5.Трудоемкость'!XU12+"BYw!'VV"</f>
        <v>#VALUE!</v>
      </c>
      <c r="X141" t="e">
        <f>'2.5.Трудоемкость'!XV12+"BYw!'VW"</f>
        <v>#VALUE!</v>
      </c>
      <c r="Y141" t="e">
        <f>'2.5.Трудоемкость'!XW12+"BYw!'VX"</f>
        <v>#VALUE!</v>
      </c>
      <c r="Z141" t="e">
        <f>'2.5.Трудоемкость'!XX12+"BYw!'VY"</f>
        <v>#VALUE!</v>
      </c>
      <c r="AA141" t="e">
        <f>'2.5.Трудоемкость'!XY12+"BYw!'VZ"</f>
        <v>#VALUE!</v>
      </c>
      <c r="AB141" t="e">
        <f>'2.5.Трудоемкость'!XZ12+"BYw!'V["</f>
        <v>#VALUE!</v>
      </c>
      <c r="AC141" t="e">
        <f>'2.5.Трудоемкость'!YA12+"BYw!'V\"</f>
        <v>#VALUE!</v>
      </c>
      <c r="AD141" t="e">
        <f>'2.5.Трудоемкость'!YB12+"BYw!'V]"</f>
        <v>#VALUE!</v>
      </c>
      <c r="AE141" t="e">
        <f>'2.5.Трудоемкость'!YC12+"BYw!'V^"</f>
        <v>#VALUE!</v>
      </c>
      <c r="AF141" t="e">
        <f>'2.5.Трудоемкость'!YD12+"BYw!'V_"</f>
        <v>#VALUE!</v>
      </c>
      <c r="AG141" t="e">
        <f>'2.5.Трудоемкость'!YE12+"BYw!'V`"</f>
        <v>#VALUE!</v>
      </c>
      <c r="AH141" t="e">
        <f>'2.5.Трудоемкость'!YF12+"BYw!'Va"</f>
        <v>#VALUE!</v>
      </c>
      <c r="AI141" t="e">
        <f>'2.5.Трудоемкость'!YG12+"BYw!'Vb"</f>
        <v>#VALUE!</v>
      </c>
      <c r="AJ141" t="e">
        <f>'2.5.Трудоемкость'!YH12+"BYw!'Vc"</f>
        <v>#VALUE!</v>
      </c>
      <c r="AK141" t="e">
        <f>'2.5.Трудоемкость'!YI12+"BYw!'Vd"</f>
        <v>#VALUE!</v>
      </c>
      <c r="AL141" t="e">
        <f>'2.5.Трудоемкость'!YJ12+"BYw!'Ve"</f>
        <v>#VALUE!</v>
      </c>
      <c r="AM141" t="e">
        <f>'2.5.Трудоемкость'!YK12+"BYw!'Vf"</f>
        <v>#VALUE!</v>
      </c>
      <c r="AN141" t="e">
        <f>'2.5.Трудоемкость'!YL12+"BYw!'Vg"</f>
        <v>#VALUE!</v>
      </c>
      <c r="AO141" t="e">
        <f>'2.5.Трудоемкость'!YM12+"BYw!'Vh"</f>
        <v>#VALUE!</v>
      </c>
      <c r="AP141" t="e">
        <f>'2.5.Трудоемкость'!YN12+"BYw!'Vi"</f>
        <v>#VALUE!</v>
      </c>
      <c r="AQ141" t="e">
        <f>'2.5.Трудоемкость'!YO12+"BYw!'Vj"</f>
        <v>#VALUE!</v>
      </c>
      <c r="AR141" t="e">
        <f>'2.5.Трудоемкость'!YP12+"BYw!'Vk"</f>
        <v>#VALUE!</v>
      </c>
      <c r="AS141" t="e">
        <f>'2.5.Трудоемкость'!YQ12+"BYw!'Vl"</f>
        <v>#VALUE!</v>
      </c>
      <c r="AT141" t="e">
        <f>'2.5.Трудоемкость'!YR12+"BYw!'Vm"</f>
        <v>#VALUE!</v>
      </c>
      <c r="AU141" t="e">
        <f>'2.5.Трудоемкость'!YS12+"BYw!'Vn"</f>
        <v>#VALUE!</v>
      </c>
      <c r="AV141" t="e">
        <f>'2.5.Трудоемкость'!YT12+"BYw!'Vo"</f>
        <v>#VALUE!</v>
      </c>
      <c r="AW141" t="e">
        <f>'2.5.Трудоемкость'!YU12+"BYw!'Vp"</f>
        <v>#VALUE!</v>
      </c>
      <c r="AX141" t="e">
        <f>'2.5.Трудоемкость'!YV12+"BYw!'Vq"</f>
        <v>#VALUE!</v>
      </c>
      <c r="AY141" t="e">
        <f>'2.5.Трудоемкость'!YW12+"BYw!'Vr"</f>
        <v>#VALUE!</v>
      </c>
      <c r="AZ141" t="e">
        <f>'2.5.Трудоемкость'!YX12+"BYw!'Vs"</f>
        <v>#VALUE!</v>
      </c>
      <c r="BA141" t="e">
        <f>'2.5.Трудоемкость'!YY12+"BYw!'Vt"</f>
        <v>#VALUE!</v>
      </c>
      <c r="BB141" t="e">
        <f>'2.5.Трудоемкость'!YZ12+"BYw!'Vu"</f>
        <v>#VALUE!</v>
      </c>
      <c r="BC141" t="e">
        <f>'2.5.Трудоемкость'!ZA12+"BYw!'Vv"</f>
        <v>#VALUE!</v>
      </c>
      <c r="BD141" t="e">
        <f>'2.5.Трудоемкость'!ZB12+"BYw!'Vw"</f>
        <v>#VALUE!</v>
      </c>
      <c r="BE141" t="e">
        <f>'2.5.Трудоемкость'!ZC12+"BYw!'Vx"</f>
        <v>#VALUE!</v>
      </c>
      <c r="BF141" t="e">
        <f>'2.5.Трудоемкость'!ZD12+"BYw!'Vy"</f>
        <v>#VALUE!</v>
      </c>
      <c r="BG141" t="e">
        <f>'2.5.Трудоемкость'!ZE12+"BYw!'Vz"</f>
        <v>#VALUE!</v>
      </c>
      <c r="BH141" t="e">
        <f>'2.5.Трудоемкость'!ZF12+"BYw!'V{"</f>
        <v>#VALUE!</v>
      </c>
      <c r="BI141" t="e">
        <f>'2.5.Трудоемкость'!ZG12+"BYw!'V|"</f>
        <v>#VALUE!</v>
      </c>
      <c r="BJ141" t="e">
        <f>'2.5.Трудоемкость'!ZH12+"BYw!'V}"</f>
        <v>#VALUE!</v>
      </c>
      <c r="BK141" t="e">
        <f>'2.5.Трудоемкость'!ZI12+"BYw!'V~"</f>
        <v>#VALUE!</v>
      </c>
      <c r="BL141" t="e">
        <f>'2.5.Трудоемкость'!ZJ12+"BYw!'W#"</f>
        <v>#VALUE!</v>
      </c>
      <c r="BM141" t="e">
        <f>'2.5.Трудоемкость'!ZK12+"BYw!'W$"</f>
        <v>#VALUE!</v>
      </c>
      <c r="BN141" t="e">
        <f>'2.5.Трудоемкость'!ZL12+"BYw!'W%"</f>
        <v>#VALUE!</v>
      </c>
      <c r="BO141" t="e">
        <f>'2.5.Трудоемкость'!ZM12+"BYw!'W&amp;"</f>
        <v>#VALUE!</v>
      </c>
      <c r="BP141" t="e">
        <f>'2.5.Трудоемкость'!ZN12+"BYw!'W'"</f>
        <v>#VALUE!</v>
      </c>
      <c r="BQ141" t="e">
        <f>'2.5.Трудоемкость'!ZO12+"BYw!'W("</f>
        <v>#VALUE!</v>
      </c>
      <c r="BR141" t="e">
        <f>'2.5.Трудоемкость'!ZP12+"BYw!'W)"</f>
        <v>#VALUE!</v>
      </c>
      <c r="BS141" t="e">
        <f>'2.5.Трудоемкость'!ZQ12+"BYw!'W."</f>
        <v>#VALUE!</v>
      </c>
      <c r="BT141" t="e">
        <f>'2.5.Трудоемкость'!ZR12+"BYw!'W/"</f>
        <v>#VALUE!</v>
      </c>
      <c r="BU141" t="e">
        <f>'2.5.Трудоемкость'!ZS12+"BYw!'W0"</f>
        <v>#VALUE!</v>
      </c>
      <c r="BV141" t="e">
        <f>'2.5.Трудоемкость'!ZT12+"BYw!'W1"</f>
        <v>#VALUE!</v>
      </c>
      <c r="BW141" t="e">
        <f>'2.5.Трудоемкость'!ZU12+"BYw!'W2"</f>
        <v>#VALUE!</v>
      </c>
      <c r="BX141" t="e">
        <f>'2.5.Трудоемкость'!ZV12+"BYw!'W3"</f>
        <v>#VALUE!</v>
      </c>
      <c r="BY141" t="e">
        <f>'2.5.Трудоемкость'!ZW12+"BYw!'W4"</f>
        <v>#VALUE!</v>
      </c>
      <c r="BZ141" t="e">
        <f>'2.5.Трудоемкость'!ZX12+"BYw!'W5"</f>
        <v>#VALUE!</v>
      </c>
      <c r="CA141" t="e">
        <f>'2.5.Трудоемкость'!ZY12+"BYw!'W6"</f>
        <v>#VALUE!</v>
      </c>
      <c r="CB141" t="e">
        <f>'2.5.Трудоемкость'!ZZ12+"BYw!'W7"</f>
        <v>#VALUE!</v>
      </c>
      <c r="CC141" t="e">
        <f>'2.5.Трудоемкость'!AAA12+"BYw!'W8"</f>
        <v>#VALUE!</v>
      </c>
      <c r="CD141" t="e">
        <f>'2.5.Трудоемкость'!AAB12+"BYw!'W9"</f>
        <v>#VALUE!</v>
      </c>
      <c r="CE141" t="e">
        <f>'2.5.Трудоемкость'!AAC12+"BYw!'W:"</f>
        <v>#VALUE!</v>
      </c>
      <c r="CF141" t="e">
        <f>'2.5.Трудоемкость'!AAD12+"BYw!'W;"</f>
        <v>#VALUE!</v>
      </c>
      <c r="CG141" t="e">
        <f>'2.5.Трудоемкость'!AAE12+"BYw!'W&lt;"</f>
        <v>#VALUE!</v>
      </c>
      <c r="CH141" t="e">
        <f>'2.5.Трудоемкость'!AAF12+"BYw!'W="</f>
        <v>#VALUE!</v>
      </c>
      <c r="CI141" t="e">
        <f>'2.5.Трудоемкость'!AAG12+"BYw!'W&gt;"</f>
        <v>#VALUE!</v>
      </c>
      <c r="CJ141" t="e">
        <f>'2.5.Трудоемкость'!AAH12+"BYw!'W?"</f>
        <v>#VALUE!</v>
      </c>
      <c r="CK141" t="e">
        <f>'2.5.Трудоемкость'!AAI12+"BYw!'W@"</f>
        <v>#VALUE!</v>
      </c>
      <c r="CL141" t="e">
        <f>'2.5.Трудоемкость'!AAJ12+"BYw!'WA"</f>
        <v>#VALUE!</v>
      </c>
      <c r="CM141" t="e">
        <f>'2.5.Трудоемкость'!AAK12+"BYw!'WB"</f>
        <v>#VALUE!</v>
      </c>
      <c r="CN141" t="e">
        <f>'2.5.Трудоемкость'!AAL12+"BYw!'WC"</f>
        <v>#VALUE!</v>
      </c>
      <c r="CO141" t="e">
        <f>'2.5.Трудоемкость'!AAM12+"BYw!'WD"</f>
        <v>#VALUE!</v>
      </c>
      <c r="CP141" t="e">
        <f>'2.5.Трудоемкость'!AAN12+"BYw!'WE"</f>
        <v>#VALUE!</v>
      </c>
      <c r="CQ141" t="e">
        <f>'2.5.Трудоемкость'!AAO12+"BYw!'WF"</f>
        <v>#VALUE!</v>
      </c>
      <c r="CR141" t="e">
        <f>'2.5.Трудоемкость'!AAP12+"BYw!'WG"</f>
        <v>#VALUE!</v>
      </c>
      <c r="CS141" t="e">
        <f>'2.5.Трудоемкость'!AAQ12+"BYw!'WH"</f>
        <v>#VALUE!</v>
      </c>
      <c r="CT141" t="e">
        <f>'2.5.Трудоемкость'!AAR12+"BYw!'WI"</f>
        <v>#VALUE!</v>
      </c>
      <c r="CU141" t="e">
        <f>'2.5.Трудоемкость'!AAS12+"BYw!'WJ"</f>
        <v>#VALUE!</v>
      </c>
      <c r="CV141" t="e">
        <f>'2.5.Трудоемкость'!AAT12+"BYw!'WK"</f>
        <v>#VALUE!</v>
      </c>
      <c r="CW141" t="e">
        <f>'2.5.Трудоемкость'!AAU12+"BYw!'WL"</f>
        <v>#VALUE!</v>
      </c>
      <c r="CX141" t="e">
        <f>'2.5.Трудоемкость'!AAV12+"BYw!'WM"</f>
        <v>#VALUE!</v>
      </c>
      <c r="CY141" t="e">
        <f>'2.5.Трудоемкость'!AAW12+"BYw!'WN"</f>
        <v>#VALUE!</v>
      </c>
      <c r="CZ141" t="e">
        <f>'2.5.Трудоемкость'!AAX12+"BYw!'WO"</f>
        <v>#VALUE!</v>
      </c>
      <c r="DA141" t="e">
        <f>'2.5.Трудоемкость'!AAY12+"BYw!'WP"</f>
        <v>#VALUE!</v>
      </c>
      <c r="DB141" t="e">
        <f>'2.5.Трудоемкость'!AAZ12+"BYw!'WQ"</f>
        <v>#VALUE!</v>
      </c>
      <c r="DC141" t="e">
        <f>'2.5.Трудоемкость'!ABA12+"BYw!'WR"</f>
        <v>#VALUE!</v>
      </c>
      <c r="DD141" t="e">
        <f>'2.5.Трудоемкость'!ABB12+"BYw!'WS"</f>
        <v>#VALUE!</v>
      </c>
      <c r="DE141" t="e">
        <f>'2.5.Трудоемкость'!ABC12+"BYw!'WT"</f>
        <v>#VALUE!</v>
      </c>
      <c r="DF141" t="e">
        <f>'2.5.Трудоемкость'!ABD12+"BYw!'WU"</f>
        <v>#VALUE!</v>
      </c>
      <c r="DG141" t="e">
        <f>'2.5.Трудоемкость'!ABE12+"BYw!'WV"</f>
        <v>#VALUE!</v>
      </c>
      <c r="DH141" t="e">
        <f>'2.5.Трудоемкость'!ABF12+"BYw!'WW"</f>
        <v>#VALUE!</v>
      </c>
      <c r="DI141" t="e">
        <f>'2.5.Трудоемкость'!ABG12+"BYw!'WX"</f>
        <v>#VALUE!</v>
      </c>
      <c r="DJ141" t="e">
        <f>'2.5.Трудоемкость'!ABH12+"BYw!'WY"</f>
        <v>#VALUE!</v>
      </c>
      <c r="DK141" t="e">
        <f>'2.5.Трудоемкость'!ABI12+"BYw!'WZ"</f>
        <v>#VALUE!</v>
      </c>
      <c r="DL141" t="e">
        <f>'2.5.Трудоемкость'!ABJ12+"BYw!'W["</f>
        <v>#VALUE!</v>
      </c>
      <c r="DM141" t="e">
        <f>'2.5.Трудоемкость'!ABK12+"BYw!'W\"</f>
        <v>#VALUE!</v>
      </c>
      <c r="DN141" t="e">
        <f>'2.5.Трудоемкость'!ABL12+"BYw!'W]"</f>
        <v>#VALUE!</v>
      </c>
      <c r="DO141" t="e">
        <f>'2.5.Трудоемкость'!ABM12+"BYw!'W^"</f>
        <v>#VALUE!</v>
      </c>
      <c r="DP141" t="e">
        <f>'2.5.Трудоемкость'!ABN12+"BYw!'W_"</f>
        <v>#VALUE!</v>
      </c>
      <c r="DQ141" t="e">
        <f>'2.5.Трудоемкость'!ABO12+"BYw!'W`"</f>
        <v>#VALUE!</v>
      </c>
      <c r="DR141" t="e">
        <f>'2.5.Трудоемкость'!ABP12+"BYw!'Wa"</f>
        <v>#VALUE!</v>
      </c>
      <c r="DS141" t="e">
        <f>'2.5.Трудоемкость'!ABQ12+"BYw!'Wb"</f>
        <v>#VALUE!</v>
      </c>
      <c r="DT141" t="e">
        <f>'2.5.Трудоемкость'!ABR12+"BYw!'Wc"</f>
        <v>#VALUE!</v>
      </c>
      <c r="DU141" t="e">
        <f>'2.5.Трудоемкость'!ABS12+"BYw!'Wd"</f>
        <v>#VALUE!</v>
      </c>
      <c r="DV141" t="e">
        <f>'2.5.Трудоемкость'!ABT12+"BYw!'We"</f>
        <v>#VALUE!</v>
      </c>
      <c r="DW141" t="e">
        <f>'2.5.Трудоемкость'!ABU12+"BYw!'Wf"</f>
        <v>#VALUE!</v>
      </c>
      <c r="DX141" t="e">
        <f>'2.5.Трудоемкость'!ABV12+"BYw!'Wg"</f>
        <v>#VALUE!</v>
      </c>
      <c r="DY141" t="e">
        <f>'2.5.Трудоемкость'!ABW12+"BYw!'Wh"</f>
        <v>#VALUE!</v>
      </c>
      <c r="DZ141" t="e">
        <f>'2.5.Трудоемкость'!ABX12+"BYw!'Wi"</f>
        <v>#VALUE!</v>
      </c>
      <c r="EA141" t="e">
        <f>'2.5.Трудоемкость'!ABY12+"BYw!'Wj"</f>
        <v>#VALUE!</v>
      </c>
      <c r="EB141" t="e">
        <f>'2.5.Трудоемкость'!ABZ12+"BYw!'Wk"</f>
        <v>#VALUE!</v>
      </c>
      <c r="EC141" t="e">
        <f>'2.5.Трудоемкость'!ACA12+"BYw!'Wl"</f>
        <v>#VALUE!</v>
      </c>
      <c r="ED141" t="e">
        <f>'2.5.Трудоемкость'!ACB12+"BYw!'Wm"</f>
        <v>#VALUE!</v>
      </c>
      <c r="EE141" t="e">
        <f>'2.5.Трудоемкость'!ACC12+"BYw!'Wn"</f>
        <v>#VALUE!</v>
      </c>
      <c r="EF141" t="e">
        <f>'2.5.Трудоемкость'!ACD12+"BYw!'Wo"</f>
        <v>#VALUE!</v>
      </c>
      <c r="EG141" t="e">
        <f>'2.5.Трудоемкость'!ACE12+"BYw!'Wp"</f>
        <v>#VALUE!</v>
      </c>
      <c r="EH141" t="e">
        <f>'2.5.Трудоемкость'!ACF12+"BYw!'Wq"</f>
        <v>#VALUE!</v>
      </c>
      <c r="EI141" t="e">
        <f>'2.5.Трудоемкость'!ACG12+"BYw!'Wr"</f>
        <v>#VALUE!</v>
      </c>
      <c r="EJ141" t="e">
        <f>'2.5.Трудоемкость'!ACH12+"BYw!'Ws"</f>
        <v>#VALUE!</v>
      </c>
      <c r="EK141" t="e">
        <f>'2.5.Трудоемкость'!ACI12+"BYw!'Wt"</f>
        <v>#VALUE!</v>
      </c>
      <c r="EL141" t="e">
        <f>'2.5.Трудоемкость'!ACJ12+"BYw!'Wu"</f>
        <v>#VALUE!</v>
      </c>
      <c r="EM141" t="e">
        <f>'2.5.Трудоемкость'!ACK12+"BYw!'Wv"</f>
        <v>#VALUE!</v>
      </c>
      <c r="EN141" t="e">
        <f>'2.5.Трудоемкость'!ACL12+"BYw!'Ww"</f>
        <v>#VALUE!</v>
      </c>
      <c r="EO141" t="e">
        <f>'2.5.Трудоемкость'!ACM12+"BYw!'Wx"</f>
        <v>#VALUE!</v>
      </c>
      <c r="EP141" t="e">
        <f>'2.5.Трудоемкость'!ACN12+"BYw!'Wy"</f>
        <v>#VALUE!</v>
      </c>
      <c r="EQ141" t="e">
        <f>'2.5.Трудоемкость'!ACO12+"BYw!'Wz"</f>
        <v>#VALUE!</v>
      </c>
      <c r="ER141" t="e">
        <f>'2.5.Трудоемкость'!ACP12+"BYw!'W{"</f>
        <v>#VALUE!</v>
      </c>
      <c r="ES141" t="e">
        <f>'2.5.Трудоемкость'!ACQ12+"BYw!'W|"</f>
        <v>#VALUE!</v>
      </c>
      <c r="ET141" t="e">
        <f>'2.5.Трудоемкость'!ACR12+"BYw!'W}"</f>
        <v>#VALUE!</v>
      </c>
      <c r="EU141" t="e">
        <f>'2.5.Трудоемкость'!ACS12+"BYw!'W~"</f>
        <v>#VALUE!</v>
      </c>
      <c r="EV141" t="e">
        <f>'2.5.Трудоемкость'!ACT12+"BYw!'X#"</f>
        <v>#VALUE!</v>
      </c>
      <c r="EW141" t="e">
        <f>'2.5.Трудоемкость'!ACU12+"BYw!'X$"</f>
        <v>#VALUE!</v>
      </c>
      <c r="EX141" t="e">
        <f>'2.5.Трудоемкость'!ACV12+"BYw!'X%"</f>
        <v>#VALUE!</v>
      </c>
      <c r="EY141" t="e">
        <f>'2.5.Трудоемкость'!ACW12+"BYw!'X&amp;"</f>
        <v>#VALUE!</v>
      </c>
      <c r="EZ141" t="e">
        <f>'2.5.Трудоемкость'!ACX12+"BYw!'X'"</f>
        <v>#VALUE!</v>
      </c>
      <c r="FA141" t="e">
        <f>'2.5.Трудоемкость'!ACY12+"BYw!'X("</f>
        <v>#VALUE!</v>
      </c>
      <c r="FB141" t="e">
        <f>'2.5.Трудоемкость'!ACZ12+"BYw!'X)"</f>
        <v>#VALUE!</v>
      </c>
      <c r="FC141" t="e">
        <f>'2.5.Трудоемкость'!ADA12+"BYw!'X."</f>
        <v>#VALUE!</v>
      </c>
      <c r="FD141" t="e">
        <f>'2.5.Трудоемкость'!ADB12+"BYw!'X/"</f>
        <v>#VALUE!</v>
      </c>
      <c r="FE141" t="e">
        <f>'2.5.Трудоемкость'!ADC12+"BYw!'X0"</f>
        <v>#VALUE!</v>
      </c>
      <c r="FF141" t="e">
        <f>'2.5.Трудоемкость'!ADD12+"BYw!'X1"</f>
        <v>#VALUE!</v>
      </c>
      <c r="FG141" t="e">
        <f>'2.5.Трудоемкость'!ADE12+"BYw!'X2"</f>
        <v>#VALUE!</v>
      </c>
      <c r="FH141" t="e">
        <f>'2.5.Трудоемкость'!ADF12+"BYw!'X3"</f>
        <v>#VALUE!</v>
      </c>
      <c r="FI141" t="e">
        <f>'2.5.Трудоемкость'!ADG12+"BYw!'X4"</f>
        <v>#VALUE!</v>
      </c>
      <c r="FJ141" t="e">
        <f>'2.5.Трудоемкость'!ADH12+"BYw!'X5"</f>
        <v>#VALUE!</v>
      </c>
      <c r="FK141" t="e">
        <f>'2.5.Трудоемкость'!ADI12+"BYw!'X6"</f>
        <v>#VALUE!</v>
      </c>
      <c r="FL141" t="e">
        <f>'2.5.Трудоемкость'!ADJ12+"BYw!'X7"</f>
        <v>#VALUE!</v>
      </c>
      <c r="FM141" t="e">
        <f>'2.5.Трудоемкость'!ADK12+"BYw!'X8"</f>
        <v>#VALUE!</v>
      </c>
      <c r="FN141" t="e">
        <f>'2.5.Трудоемкость'!ADL12+"BYw!'X9"</f>
        <v>#VALUE!</v>
      </c>
      <c r="FO141" t="e">
        <f>'2.5.Трудоемкость'!ADM12+"BYw!'X:"</f>
        <v>#VALUE!</v>
      </c>
      <c r="FP141" t="e">
        <f>'2.5.Трудоемкость'!ADN12+"BYw!'X;"</f>
        <v>#VALUE!</v>
      </c>
      <c r="FQ141" t="e">
        <f>'2.5.Трудоемкость'!ADO12+"BYw!'X&lt;"</f>
        <v>#VALUE!</v>
      </c>
      <c r="FR141" t="e">
        <f>'2.5.Трудоемкость'!ADP12+"BYw!'X="</f>
        <v>#VALUE!</v>
      </c>
      <c r="FS141" t="e">
        <f>'2.5.Трудоемкость'!ADQ12+"BYw!'X&gt;"</f>
        <v>#VALUE!</v>
      </c>
      <c r="FT141" t="e">
        <f>'2.5.Трудоемкость'!ADR12+"BYw!'X?"</f>
        <v>#VALUE!</v>
      </c>
      <c r="FU141" t="e">
        <f>'2.5.Трудоемкость'!ADS12+"BYw!'X@"</f>
        <v>#VALUE!</v>
      </c>
      <c r="FV141" t="e">
        <f>'2.5.Трудоемкость'!ADT12+"BYw!'XA"</f>
        <v>#VALUE!</v>
      </c>
      <c r="FW141" t="e">
        <f>'2.5.Трудоемкость'!ADU12+"BYw!'XB"</f>
        <v>#VALUE!</v>
      </c>
      <c r="FX141" t="e">
        <f>'2.5.Трудоемкость'!ADV12+"BYw!'XC"</f>
        <v>#VALUE!</v>
      </c>
      <c r="FY141" t="e">
        <f>'2.5.Трудоемкость'!ADW12+"BYw!'XD"</f>
        <v>#VALUE!</v>
      </c>
      <c r="FZ141" t="e">
        <f>'2.5.Трудоемкость'!ADX12+"BYw!'XE"</f>
        <v>#VALUE!</v>
      </c>
      <c r="GA141" t="e">
        <f>'2.5.Трудоемкость'!ADY12+"BYw!'XF"</f>
        <v>#VALUE!</v>
      </c>
      <c r="GB141" t="e">
        <f>'2.5.Трудоемкость'!ADZ12+"BYw!'XG"</f>
        <v>#VALUE!</v>
      </c>
      <c r="GC141" t="e">
        <f>'2.5.Трудоемкость'!AEA12+"BYw!'XH"</f>
        <v>#VALUE!</v>
      </c>
      <c r="GD141" t="e">
        <f>'2.5.Трудоемкость'!AEB12+"BYw!'XI"</f>
        <v>#VALUE!</v>
      </c>
      <c r="GE141" t="e">
        <f>'2.5.Трудоемкость'!AEC12+"BYw!'XJ"</f>
        <v>#VALUE!</v>
      </c>
      <c r="GF141" t="e">
        <f>'2.5.Трудоемкость'!AED12+"BYw!'XK"</f>
        <v>#VALUE!</v>
      </c>
      <c r="GG141" t="e">
        <f>'2.5.Трудоемкость'!AEE12+"BYw!'XL"</f>
        <v>#VALUE!</v>
      </c>
      <c r="GH141" t="e">
        <f>'2.5.Трудоемкость'!AEF12+"BYw!'XM"</f>
        <v>#VALUE!</v>
      </c>
      <c r="GI141" t="e">
        <f>'2.5.Трудоемкость'!AEG12+"BYw!'XN"</f>
        <v>#VALUE!</v>
      </c>
      <c r="GJ141" t="e">
        <f>'2.5.Трудоемкость'!AEH12+"BYw!'XO"</f>
        <v>#VALUE!</v>
      </c>
      <c r="GK141" t="e">
        <f>'2.5.Трудоемкость'!AEI12+"BYw!'XP"</f>
        <v>#VALUE!</v>
      </c>
      <c r="GL141" t="e">
        <f>'2.5.Трудоемкость'!AEJ12+"BYw!'XQ"</f>
        <v>#VALUE!</v>
      </c>
      <c r="GM141" t="e">
        <f>'2.5.Трудоемкость'!AEK12+"BYw!'XR"</f>
        <v>#VALUE!</v>
      </c>
      <c r="GN141" t="e">
        <f>'2.5.Трудоемкость'!AEL12+"BYw!'XS"</f>
        <v>#VALUE!</v>
      </c>
      <c r="GO141" t="e">
        <f>'2.5.Трудоемкость'!AEM12+"BYw!'XT"</f>
        <v>#VALUE!</v>
      </c>
      <c r="GP141" t="e">
        <f>'2.5.Трудоемкость'!AEN12+"BYw!'XU"</f>
        <v>#VALUE!</v>
      </c>
      <c r="GQ141" t="e">
        <f>'2.5.Трудоемкость'!AEO12+"BYw!'XV"</f>
        <v>#VALUE!</v>
      </c>
      <c r="GR141" t="e">
        <f>'2.5.Трудоемкость'!AEP12+"BYw!'XW"</f>
        <v>#VALUE!</v>
      </c>
      <c r="GS141" t="e">
        <f>'2.5.Трудоемкость'!AEQ12+"BYw!'XX"</f>
        <v>#VALUE!</v>
      </c>
      <c r="GT141" t="e">
        <f>'2.5.Трудоемкость'!AER12+"BYw!'XY"</f>
        <v>#VALUE!</v>
      </c>
      <c r="GU141" t="e">
        <f>'2.5.Трудоемкость'!AES12+"BYw!'XZ"</f>
        <v>#VALUE!</v>
      </c>
      <c r="GV141" t="e">
        <f>'2.5.Трудоемкость'!AET12+"BYw!'X["</f>
        <v>#VALUE!</v>
      </c>
      <c r="GW141" t="e">
        <f>'2.5.Трудоемкость'!AEU12+"BYw!'X\"</f>
        <v>#VALUE!</v>
      </c>
      <c r="GX141" t="e">
        <f>'2.5.Трудоемкость'!AEV12+"BYw!'X]"</f>
        <v>#VALUE!</v>
      </c>
      <c r="GY141" t="e">
        <f>'2.5.Трудоемкость'!AEW12+"BYw!'X^"</f>
        <v>#VALUE!</v>
      </c>
      <c r="GZ141" t="e">
        <f>'2.5.Трудоемкость'!AEX12+"BYw!'X_"</f>
        <v>#VALUE!</v>
      </c>
      <c r="HA141" t="e">
        <f>'2.5.Трудоемкость'!AEY12+"BYw!'X`"</f>
        <v>#VALUE!</v>
      </c>
      <c r="HB141" t="e">
        <f>'2.5.Трудоемкость'!AEZ12+"BYw!'Xa"</f>
        <v>#VALUE!</v>
      </c>
      <c r="HC141" t="e">
        <f>'2.5.Трудоемкость'!AFA12+"BYw!'Xb"</f>
        <v>#VALUE!</v>
      </c>
      <c r="HD141" t="e">
        <f>'2.5.Трудоемкость'!AFB12+"BYw!'Xc"</f>
        <v>#VALUE!</v>
      </c>
      <c r="HE141" t="e">
        <f>'2.5.Трудоемкость'!AFC12+"BYw!'Xd"</f>
        <v>#VALUE!</v>
      </c>
      <c r="HF141" t="e">
        <f>'2.5.Трудоемкость'!AFD12+"BYw!'Xe"</f>
        <v>#VALUE!</v>
      </c>
      <c r="HG141" t="e">
        <f>'2.5.Трудоемкость'!AFE12+"BYw!'Xf"</f>
        <v>#VALUE!</v>
      </c>
      <c r="HH141" t="e">
        <f>'2.5.Трудоемкость'!AFF12+"BYw!'Xg"</f>
        <v>#VALUE!</v>
      </c>
      <c r="HI141" t="e">
        <f>'2.5.Трудоемкость'!AFG12+"BYw!'Xh"</f>
        <v>#VALUE!</v>
      </c>
      <c r="HJ141" t="e">
        <f>'2.5.Трудоемкость'!AFH12+"BYw!'Xi"</f>
        <v>#VALUE!</v>
      </c>
      <c r="HK141" t="e">
        <f>'2.5.Трудоемкость'!AFI12+"BYw!'Xj"</f>
        <v>#VALUE!</v>
      </c>
      <c r="HL141" t="e">
        <f>'2.5.Трудоемкость'!AFJ12+"BYw!'Xk"</f>
        <v>#VALUE!</v>
      </c>
      <c r="HM141" t="e">
        <f>'2.5.Трудоемкость'!AFK12+"BYw!'Xl"</f>
        <v>#VALUE!</v>
      </c>
      <c r="HN141" t="e">
        <f>'2.5.Трудоемкость'!AFL12+"BYw!'Xm"</f>
        <v>#VALUE!</v>
      </c>
      <c r="HO141" t="e">
        <f>'2.5.Трудоемкость'!AFM12+"BYw!'Xn"</f>
        <v>#VALUE!</v>
      </c>
      <c r="HP141" t="e">
        <f>'2.5.Трудоемкость'!AFN12+"BYw!'Xo"</f>
        <v>#VALUE!</v>
      </c>
      <c r="HQ141" t="e">
        <f>'2.5.Трудоемкость'!AFO12+"BYw!'Xp"</f>
        <v>#VALUE!</v>
      </c>
      <c r="HR141" t="e">
        <f>'2.5.Трудоемкость'!AFP12+"BYw!'Xq"</f>
        <v>#VALUE!</v>
      </c>
      <c r="HS141" t="e">
        <f>'2.5.Трудоемкость'!AFQ12+"BYw!'Xr"</f>
        <v>#VALUE!</v>
      </c>
      <c r="HT141" t="e">
        <f>'2.5.Трудоемкость'!AFR12+"BYw!'Xs"</f>
        <v>#VALUE!</v>
      </c>
      <c r="HU141" t="e">
        <f>'2.5.Трудоемкость'!AFS12+"BYw!'Xt"</f>
        <v>#VALUE!</v>
      </c>
      <c r="HV141" t="e">
        <f>'2.5.Трудоемкость'!AFT12+"BYw!'Xu"</f>
        <v>#VALUE!</v>
      </c>
      <c r="HW141" t="e">
        <f>'2.5.Трудоемкость'!AFU12+"BYw!'Xv"</f>
        <v>#VALUE!</v>
      </c>
      <c r="HX141" t="e">
        <f>'2.5.Трудоемкость'!AFV12+"BYw!'Xw"</f>
        <v>#VALUE!</v>
      </c>
      <c r="HY141" t="e">
        <f>'2.5.Трудоемкость'!AFW12+"BYw!'Xx"</f>
        <v>#VALUE!</v>
      </c>
      <c r="HZ141" t="e">
        <f>'2.5.Трудоемкость'!AFX12+"BYw!'Xy"</f>
        <v>#VALUE!</v>
      </c>
      <c r="IA141" t="e">
        <f>'2.5.Трудоемкость'!AFY12+"BYw!'Xz"</f>
        <v>#VALUE!</v>
      </c>
      <c r="IB141" t="e">
        <f>'2.5.Трудоемкость'!AFZ12+"BYw!'X{"</f>
        <v>#VALUE!</v>
      </c>
      <c r="IC141" t="e">
        <f>'2.5.Трудоемкость'!AGA12+"BYw!'X|"</f>
        <v>#VALUE!</v>
      </c>
      <c r="ID141" t="e">
        <f>'2.5.Трудоемкость'!AGB12+"BYw!'X}"</f>
        <v>#VALUE!</v>
      </c>
      <c r="IE141" t="e">
        <f>'2.5.Трудоемкость'!AGC12+"BYw!'X~"</f>
        <v>#VALUE!</v>
      </c>
      <c r="IF141" t="e">
        <f>'2.5.Трудоемкость'!AGD12+"BYw!'Y#"</f>
        <v>#VALUE!</v>
      </c>
      <c r="IG141" t="e">
        <f>'2.5.Трудоемкость'!AGE12+"BYw!'Y$"</f>
        <v>#VALUE!</v>
      </c>
      <c r="IH141" t="e">
        <f>'2.5.Трудоемкость'!AGF12+"BYw!'Y%"</f>
        <v>#VALUE!</v>
      </c>
      <c r="II141" t="e">
        <f>'2.5.Трудоемкость'!AGG12+"BYw!'Y&amp;"</f>
        <v>#VALUE!</v>
      </c>
      <c r="IJ141" t="e">
        <f>'2.5.Трудоемкость'!AGH12+"BYw!'Y'"</f>
        <v>#VALUE!</v>
      </c>
      <c r="IK141" t="e">
        <f>'2.5.Трудоемкость'!AGI12+"BYw!'Y("</f>
        <v>#VALUE!</v>
      </c>
      <c r="IL141" t="e">
        <f>'2.5.Трудоемкость'!AGJ12+"BYw!'Y)"</f>
        <v>#VALUE!</v>
      </c>
      <c r="IM141" t="e">
        <f>'2.5.Трудоемкость'!AGK12+"BYw!'Y."</f>
        <v>#VALUE!</v>
      </c>
      <c r="IN141" t="e">
        <f>'2.5.Трудоемкость'!AGL12+"BYw!'Y/"</f>
        <v>#VALUE!</v>
      </c>
      <c r="IO141" t="e">
        <f>'2.5.Трудоемкость'!AGM12+"BYw!'Y0"</f>
        <v>#VALUE!</v>
      </c>
      <c r="IP141" t="e">
        <f>'2.5.Трудоемкость'!AGN12+"BYw!'Y1"</f>
        <v>#VALUE!</v>
      </c>
      <c r="IQ141" t="e">
        <f>'2.5.Трудоемкость'!AGO12+"BYw!'Y2"</f>
        <v>#VALUE!</v>
      </c>
      <c r="IR141" t="e">
        <f>'2.5.Трудоемкость'!AGP12+"BYw!'Y3"</f>
        <v>#VALUE!</v>
      </c>
      <c r="IS141" t="e">
        <f>'2.5.Трудоемкость'!AGQ12+"BYw!'Y4"</f>
        <v>#VALUE!</v>
      </c>
      <c r="IT141" t="e">
        <f>'2.5.Трудоемкость'!AGR12+"BYw!'Y5"</f>
        <v>#VALUE!</v>
      </c>
      <c r="IU141" t="e">
        <f>'2.5.Трудоемкость'!AGS12+"BYw!'Y6"</f>
        <v>#VALUE!</v>
      </c>
      <c r="IV141" t="e">
        <f>'2.5.Трудоемкость'!AGT12+"BYw!'Y7"</f>
        <v>#VALUE!</v>
      </c>
    </row>
    <row r="142" spans="6:256" x14ac:dyDescent="0.2">
      <c r="F142" t="e">
        <f>'2.5.Трудоемкость'!AGU12+"BYw!'Y8"</f>
        <v>#VALUE!</v>
      </c>
      <c r="G142" t="e">
        <f>'2.5.Трудоемкость'!AGV12+"BYw!'Y9"</f>
        <v>#VALUE!</v>
      </c>
      <c r="H142" t="e">
        <f>'2.5.Трудоемкость'!AGW12+"BYw!'Y:"</f>
        <v>#VALUE!</v>
      </c>
      <c r="I142" t="e">
        <f>'2.5.Трудоемкость'!AGX12+"BYw!'Y;"</f>
        <v>#VALUE!</v>
      </c>
      <c r="J142" t="e">
        <f>'2.5.Трудоемкость'!AGY12+"BYw!'Y&lt;"</f>
        <v>#VALUE!</v>
      </c>
      <c r="K142" t="e">
        <f>'2.5.Трудоемкость'!AGZ12+"BYw!'Y="</f>
        <v>#VALUE!</v>
      </c>
      <c r="L142" t="e">
        <f>'2.5.Трудоемкость'!AHA12+"BYw!'Y&gt;"</f>
        <v>#VALUE!</v>
      </c>
      <c r="M142" t="e">
        <f>'2.5.Трудоемкость'!AHB12+"BYw!'Y?"</f>
        <v>#VALUE!</v>
      </c>
      <c r="N142" t="e">
        <f>'2.5.Трудоемкость'!AHC12+"BYw!'Y@"</f>
        <v>#VALUE!</v>
      </c>
      <c r="O142" t="e">
        <f>'2.5.Трудоемкость'!AHD12+"BYw!'YA"</f>
        <v>#VALUE!</v>
      </c>
      <c r="P142" t="e">
        <f>'2.5.Трудоемкость'!AHE12+"BYw!'YB"</f>
        <v>#VALUE!</v>
      </c>
      <c r="Q142" t="e">
        <f>'2.5.Трудоемкость'!AHF12+"BYw!'YC"</f>
        <v>#VALUE!</v>
      </c>
      <c r="R142" t="e">
        <f>'2.5.Трудоемкость'!AHG12+"BYw!'YD"</f>
        <v>#VALUE!</v>
      </c>
      <c r="S142" t="e">
        <f>'2.5.Трудоемкость'!AHH12+"BYw!'YE"</f>
        <v>#VALUE!</v>
      </c>
      <c r="T142" t="e">
        <f>'2.5.Трудоемкость'!AHI12+"BYw!'YF"</f>
        <v>#VALUE!</v>
      </c>
      <c r="U142" t="e">
        <f>'2.5.Трудоемкость'!AHJ12+"BYw!'YG"</f>
        <v>#VALUE!</v>
      </c>
      <c r="V142" t="e">
        <f>'2.5.Трудоемкость'!AHK12+"BYw!'YH"</f>
        <v>#VALUE!</v>
      </c>
      <c r="W142" t="e">
        <f>'2.5.Трудоемкость'!AHL12+"BYw!'YI"</f>
        <v>#VALUE!</v>
      </c>
      <c r="X142" t="e">
        <f>'2.5.Трудоемкость'!AHM12+"BYw!'YJ"</f>
        <v>#VALUE!</v>
      </c>
      <c r="Y142" t="e">
        <f>'2.5.Трудоемкость'!AHN12+"BYw!'YK"</f>
        <v>#VALUE!</v>
      </c>
      <c r="Z142" t="e">
        <f>'2.5.Трудоемкость'!AHO12+"BYw!'YL"</f>
        <v>#VALUE!</v>
      </c>
      <c r="AA142" t="e">
        <f>'2.5.Трудоемкость'!AHP12+"BYw!'YM"</f>
        <v>#VALUE!</v>
      </c>
      <c r="AB142" t="e">
        <f>'2.5.Трудоемкость'!AHQ12+"BYw!'YN"</f>
        <v>#VALUE!</v>
      </c>
      <c r="AC142" t="e">
        <f>'2.5.Трудоемкость'!AHR12+"BYw!'YO"</f>
        <v>#VALUE!</v>
      </c>
      <c r="AD142" t="e">
        <f>'2.5.Трудоемкость'!AHS12+"BYw!'YP"</f>
        <v>#VALUE!</v>
      </c>
      <c r="AE142" t="e">
        <f>'2.5.Трудоемкость'!AHT12+"BYw!'YQ"</f>
        <v>#VALUE!</v>
      </c>
      <c r="AF142" t="e">
        <f>'2.5.Трудоемкость'!AHU12+"BYw!'YR"</f>
        <v>#VALUE!</v>
      </c>
      <c r="AG142" t="e">
        <f>'2.5.Трудоемкость'!AHV12+"BYw!'YS"</f>
        <v>#VALUE!</v>
      </c>
      <c r="AH142" t="e">
        <f>'2.5.Трудоемкость'!AHW12+"BYw!'YT"</f>
        <v>#VALUE!</v>
      </c>
      <c r="AI142" t="e">
        <f>'2.5.Трудоемкость'!AHX12+"BYw!'YU"</f>
        <v>#VALUE!</v>
      </c>
      <c r="AJ142" t="e">
        <f>'2.5.Трудоемкость'!AHY12+"BYw!'YV"</f>
        <v>#VALUE!</v>
      </c>
      <c r="AK142" t="e">
        <f>'2.5.Трудоемкость'!AHZ12+"BYw!'YW"</f>
        <v>#VALUE!</v>
      </c>
      <c r="AL142" t="e">
        <f>'2.5.Трудоемкость'!AIA12+"BYw!'YX"</f>
        <v>#VALUE!</v>
      </c>
      <c r="AM142" t="e">
        <f>'2.5.Трудоемкость'!AIB12+"BYw!'YY"</f>
        <v>#VALUE!</v>
      </c>
      <c r="AN142" t="e">
        <f>'2.5.Трудоемкость'!AIC12+"BYw!'YZ"</f>
        <v>#VALUE!</v>
      </c>
      <c r="AO142" t="e">
        <f>'2.5.Трудоемкость'!AID12+"BYw!'Y["</f>
        <v>#VALUE!</v>
      </c>
      <c r="AP142" t="e">
        <f>'2.5.Трудоемкость'!AIE12+"BYw!'Y\"</f>
        <v>#VALUE!</v>
      </c>
      <c r="AQ142" t="e">
        <f>'2.5.Трудоемкость'!AIF12+"BYw!'Y]"</f>
        <v>#VALUE!</v>
      </c>
      <c r="AR142" t="e">
        <f>'2.5.Трудоемкость'!AIG12+"BYw!'Y^"</f>
        <v>#VALUE!</v>
      </c>
      <c r="AS142" t="e">
        <f>'2.5.Трудоемкость'!AIH12+"BYw!'Y_"</f>
        <v>#VALUE!</v>
      </c>
      <c r="AT142" t="e">
        <f>'2.5.Трудоемкость'!AII12+"BYw!'Y`"</f>
        <v>#VALUE!</v>
      </c>
      <c r="AU142" t="e">
        <f>'2.5.Трудоемкость'!AIJ12+"BYw!'Ya"</f>
        <v>#VALUE!</v>
      </c>
      <c r="AV142" t="e">
        <f>'2.5.Трудоемкость'!AIK12+"BYw!'Yb"</f>
        <v>#VALUE!</v>
      </c>
      <c r="AW142" t="e">
        <f>'2.5.Трудоемкость'!AIL12+"BYw!'Yc"</f>
        <v>#VALUE!</v>
      </c>
      <c r="AX142" t="e">
        <f>'2.5.Трудоемкость'!AIM12+"BYw!'Yd"</f>
        <v>#VALUE!</v>
      </c>
      <c r="AY142" t="e">
        <f>'2.5.Трудоемкость'!AIN12+"BYw!'Ye"</f>
        <v>#VALUE!</v>
      </c>
      <c r="AZ142" t="e">
        <f>'2.5.Трудоемкость'!AIO12+"BYw!'Yf"</f>
        <v>#VALUE!</v>
      </c>
      <c r="BA142" t="e">
        <f>'2.5.Трудоемкость'!AIP12+"BYw!'Yg"</f>
        <v>#VALUE!</v>
      </c>
      <c r="BB142" t="e">
        <f>'2.5.Трудоемкость'!AIQ12+"BYw!'Yh"</f>
        <v>#VALUE!</v>
      </c>
      <c r="BC142" t="e">
        <f>'2.5.Трудоемкость'!AIR12+"BYw!'Yi"</f>
        <v>#VALUE!</v>
      </c>
      <c r="BD142" t="e">
        <f>'2.5.Трудоемкость'!AIS12+"BYw!'Yj"</f>
        <v>#VALUE!</v>
      </c>
      <c r="BE142" t="e">
        <f>'2.5.Трудоемкость'!AIT12+"BYw!'Yk"</f>
        <v>#VALUE!</v>
      </c>
      <c r="BF142" t="e">
        <f>'2.5.Трудоемкость'!AIU12+"BYw!'Yl"</f>
        <v>#VALUE!</v>
      </c>
      <c r="BG142" t="e">
        <f>'2.5.Трудоемкость'!AIV12+"BYw!'Ym"</f>
        <v>#VALUE!</v>
      </c>
      <c r="BH142" t="e">
        <f>'2.5.Трудоемкость'!AIW12+"BYw!'Yn"</f>
        <v>#VALUE!</v>
      </c>
      <c r="BI142" t="e">
        <f>'2.5.Трудоемкость'!AIX12+"BYw!'Yo"</f>
        <v>#VALUE!</v>
      </c>
      <c r="BJ142" t="e">
        <f>'2.5.Трудоемкость'!AIY12+"BYw!'Yp"</f>
        <v>#VALUE!</v>
      </c>
      <c r="BK142" t="e">
        <f>'2.5.Трудоемкость'!AIZ12+"BYw!'Yq"</f>
        <v>#VALUE!</v>
      </c>
      <c r="BL142" t="e">
        <f>'2.5.Трудоемкость'!AJA12+"BYw!'Yr"</f>
        <v>#VALUE!</v>
      </c>
      <c r="BM142" t="e">
        <f>'2.5.Трудоемкость'!AJB12+"BYw!'Ys"</f>
        <v>#VALUE!</v>
      </c>
      <c r="BN142" t="e">
        <f>'2.5.Трудоемкость'!AJC12+"BYw!'Yt"</f>
        <v>#VALUE!</v>
      </c>
      <c r="BO142" t="e">
        <f>'2.5.Трудоемкость'!AJD12+"BYw!'Yu"</f>
        <v>#VALUE!</v>
      </c>
      <c r="BP142" t="e">
        <f>'2.5.Трудоемкость'!AJE12+"BYw!'Yv"</f>
        <v>#VALUE!</v>
      </c>
      <c r="BQ142" t="e">
        <f>'2.5.Трудоемкость'!AJF12+"BYw!'Yw"</f>
        <v>#VALUE!</v>
      </c>
      <c r="BR142" t="e">
        <f>'2.5.Трудоемкость'!AJG12+"BYw!'Yx"</f>
        <v>#VALUE!</v>
      </c>
      <c r="BS142" t="e">
        <f>'2.5.Трудоемкость'!AJH12+"BYw!'Yy"</f>
        <v>#VALUE!</v>
      </c>
      <c r="BT142" t="e">
        <f>'2.5.Трудоемкость'!AJI12+"BYw!'Yz"</f>
        <v>#VALUE!</v>
      </c>
      <c r="BU142" t="e">
        <f>'2.5.Трудоемкость'!AJJ12+"BYw!'Y{"</f>
        <v>#VALUE!</v>
      </c>
      <c r="BV142" t="e">
        <f>'2.5.Трудоемкость'!AJK12+"BYw!'Y|"</f>
        <v>#VALUE!</v>
      </c>
      <c r="BW142" t="e">
        <f>'2.5.Трудоемкость'!AJL12+"BYw!'Y}"</f>
        <v>#VALUE!</v>
      </c>
      <c r="BX142" t="e">
        <f>'2.5.Трудоемкость'!AJM12+"BYw!'Y~"</f>
        <v>#VALUE!</v>
      </c>
      <c r="BY142" t="e">
        <f>'2.5.Трудоемкость'!AJN12+"BYw!'Z#"</f>
        <v>#VALUE!</v>
      </c>
      <c r="BZ142" t="e">
        <f>'2.5.Трудоемкость'!AJO12+"BYw!'Z$"</f>
        <v>#VALUE!</v>
      </c>
      <c r="CA142" t="e">
        <f>'2.5.Трудоемкость'!AJP12+"BYw!'Z%"</f>
        <v>#VALUE!</v>
      </c>
      <c r="CB142" t="e">
        <f>'2.5.Трудоемкость'!AJQ12+"BYw!'Z&amp;"</f>
        <v>#VALUE!</v>
      </c>
      <c r="CC142" t="e">
        <f>'2.5.Трудоемкость'!AJR12+"BYw!'Z'"</f>
        <v>#VALUE!</v>
      </c>
      <c r="CD142" t="e">
        <f>'2.5.Трудоемкость'!AJS12+"BYw!'Z("</f>
        <v>#VALUE!</v>
      </c>
      <c r="CE142" t="e">
        <f>'2.5.Трудоемкость'!AJT12+"BYw!'Z)"</f>
        <v>#VALUE!</v>
      </c>
      <c r="CF142" t="e">
        <f>'2.5.Трудоемкость'!AJU12+"BYw!'Z."</f>
        <v>#VALUE!</v>
      </c>
      <c r="CG142" t="e">
        <f>'2.5.Трудоемкость'!AJV12+"BYw!'Z/"</f>
        <v>#VALUE!</v>
      </c>
      <c r="CH142" t="e">
        <f>'2.5.Трудоемкость'!AJW12+"BYw!'Z0"</f>
        <v>#VALUE!</v>
      </c>
      <c r="CI142" t="e">
        <f>'2.5.Трудоемкость'!AJX12+"BYw!'Z1"</f>
        <v>#VALUE!</v>
      </c>
      <c r="CJ142" t="e">
        <f>'2.5.Трудоемкость'!AJY12+"BYw!'Z2"</f>
        <v>#VALUE!</v>
      </c>
      <c r="CK142" t="e">
        <f>'2.5.Трудоемкость'!AJZ12+"BYw!'Z3"</f>
        <v>#VALUE!</v>
      </c>
      <c r="CL142" t="e">
        <f>'2.5.Трудоемкость'!AKA12+"BYw!'Z4"</f>
        <v>#VALUE!</v>
      </c>
      <c r="CM142" t="e">
        <f>'2.5.Трудоемкость'!AKB12+"BYw!'Z5"</f>
        <v>#VALUE!</v>
      </c>
      <c r="CN142" t="e">
        <f>'2.5.Трудоемкость'!AKC12+"BYw!'Z6"</f>
        <v>#VALUE!</v>
      </c>
      <c r="CO142" t="e">
        <f>'2.5.Трудоемкость'!AKD12+"BYw!'Z7"</f>
        <v>#VALUE!</v>
      </c>
      <c r="CP142" t="e">
        <f>'2.5.Трудоемкость'!AKE12+"BYw!'Z8"</f>
        <v>#VALUE!</v>
      </c>
      <c r="CQ142" t="e">
        <f>'2.5.Трудоемкость'!AKF12+"BYw!'Z9"</f>
        <v>#VALUE!</v>
      </c>
      <c r="CR142" t="e">
        <f>'2.5.Трудоемкость'!AKG12+"BYw!'Z:"</f>
        <v>#VALUE!</v>
      </c>
      <c r="CS142" t="e">
        <f>'2.5.Трудоемкость'!AKH12+"BYw!'Z;"</f>
        <v>#VALUE!</v>
      </c>
      <c r="CT142" t="e">
        <f>'2.5.Трудоемкость'!AKI12+"BYw!'Z&lt;"</f>
        <v>#VALUE!</v>
      </c>
      <c r="CU142" t="e">
        <f>'2.5.Трудоемкость'!AKJ12+"BYw!'Z="</f>
        <v>#VALUE!</v>
      </c>
      <c r="CV142" t="e">
        <f>'2.5.Трудоемкость'!AKK12+"BYw!'Z&gt;"</f>
        <v>#VALUE!</v>
      </c>
      <c r="CW142" t="e">
        <f>'2.5.Трудоемкость'!AKL12+"BYw!'Z?"</f>
        <v>#VALUE!</v>
      </c>
      <c r="CX142" t="e">
        <f>'2.5.Трудоемкость'!AKM12+"BYw!'Z@"</f>
        <v>#VALUE!</v>
      </c>
      <c r="CY142" t="e">
        <f>'2.5.Трудоемкость'!AKN12+"BYw!'ZA"</f>
        <v>#VALUE!</v>
      </c>
      <c r="CZ142" t="e">
        <f>'2.5.Трудоемкость'!AKO12+"BYw!'ZB"</f>
        <v>#VALUE!</v>
      </c>
      <c r="DA142" t="e">
        <f>'2.5.Трудоемкость'!AKP12+"BYw!'ZC"</f>
        <v>#VALUE!</v>
      </c>
      <c r="DB142" t="e">
        <f>'2.5.Трудоемкость'!AKQ12+"BYw!'ZD"</f>
        <v>#VALUE!</v>
      </c>
      <c r="DC142" t="e">
        <f>'2.5.Трудоемкость'!AKR12+"BYw!'ZE"</f>
        <v>#VALUE!</v>
      </c>
      <c r="DD142" t="e">
        <f>'2.5.Трудоемкость'!AKS12+"BYw!'ZF"</f>
        <v>#VALUE!</v>
      </c>
      <c r="DE142" t="e">
        <f>'2.5.Трудоемкость'!AKT12+"BYw!'ZG"</f>
        <v>#VALUE!</v>
      </c>
      <c r="DF142" t="e">
        <f>'2.5.Трудоемкость'!AKU12+"BYw!'ZH"</f>
        <v>#VALUE!</v>
      </c>
      <c r="DG142" t="e">
        <f>'2.5.Трудоемкость'!AKV12+"BYw!'ZI"</f>
        <v>#VALUE!</v>
      </c>
      <c r="DH142" t="e">
        <f>'2.5.Трудоемкость'!AKW12+"BYw!'ZJ"</f>
        <v>#VALUE!</v>
      </c>
      <c r="DI142" t="e">
        <f>'2.5.Трудоемкость'!AKX12+"BYw!'ZK"</f>
        <v>#VALUE!</v>
      </c>
      <c r="DJ142" t="e">
        <f>'2.5.Трудоемкость'!AKY12+"BYw!'ZL"</f>
        <v>#VALUE!</v>
      </c>
      <c r="DK142" t="e">
        <f>'2.5.Трудоемкость'!AKZ12+"BYw!'ZM"</f>
        <v>#VALUE!</v>
      </c>
      <c r="DL142" t="e">
        <f>'2.5.Трудоемкость'!ALA12+"BYw!'ZN"</f>
        <v>#VALUE!</v>
      </c>
      <c r="DM142" t="e">
        <f>'2.5.Трудоемкость'!ALB12+"BYw!'ZO"</f>
        <v>#VALUE!</v>
      </c>
      <c r="DN142" t="e">
        <f>'2.5.Трудоемкость'!ALC12+"BYw!'ZP"</f>
        <v>#VALUE!</v>
      </c>
      <c r="DO142" t="e">
        <f>'2.5.Трудоемкость'!ALD12+"BYw!'ZQ"</f>
        <v>#VALUE!</v>
      </c>
      <c r="DP142" t="e">
        <f>'2.5.Трудоемкость'!ALE12+"BYw!'ZR"</f>
        <v>#VALUE!</v>
      </c>
      <c r="DQ142" t="e">
        <f>'2.5.Трудоемкость'!ALF12+"BYw!'ZS"</f>
        <v>#VALUE!</v>
      </c>
      <c r="DR142" t="e">
        <f>'2.5.Трудоемкость'!ALG12+"BYw!'ZT"</f>
        <v>#VALUE!</v>
      </c>
      <c r="DS142" t="e">
        <f>'2.5.Трудоемкость'!ALH12+"BYw!'ZU"</f>
        <v>#VALUE!</v>
      </c>
      <c r="DT142" t="e">
        <f>'2.5.Трудоемкость'!ALI12+"BYw!'ZV"</f>
        <v>#VALUE!</v>
      </c>
      <c r="DU142" t="e">
        <f>'2.5.Трудоемкость'!ALJ12+"BYw!'ZW"</f>
        <v>#VALUE!</v>
      </c>
      <c r="DV142" t="e">
        <f>'2.5.Трудоемкость'!ALK12+"BYw!'ZX"</f>
        <v>#VALUE!</v>
      </c>
      <c r="DW142" t="e">
        <f>'2.5.Трудоемкость'!ALL12+"BYw!'ZY"</f>
        <v>#VALUE!</v>
      </c>
      <c r="DX142" t="e">
        <f>'2.5.Трудоемкость'!ALM12+"BYw!'ZZ"</f>
        <v>#VALUE!</v>
      </c>
      <c r="DY142" t="e">
        <f>'2.5.Трудоемкость'!ALN12+"BYw!'Z["</f>
        <v>#VALUE!</v>
      </c>
      <c r="DZ142" t="e">
        <f>'2.5.Трудоемкость'!ALO12+"BYw!'Z\"</f>
        <v>#VALUE!</v>
      </c>
      <c r="EA142" t="e">
        <f>'2.5.Трудоемкость'!ALP12+"BYw!'Z]"</f>
        <v>#VALUE!</v>
      </c>
      <c r="EB142" t="e">
        <f>'2.5.Трудоемкость'!ALQ12+"BYw!'Z^"</f>
        <v>#VALUE!</v>
      </c>
      <c r="EC142" t="e">
        <f>'2.5.Трудоемкость'!ALR12+"BYw!'Z_"</f>
        <v>#VALUE!</v>
      </c>
      <c r="ED142" t="e">
        <f>'2.5.Трудоемкость'!ALS12+"BYw!'Z`"</f>
        <v>#VALUE!</v>
      </c>
      <c r="EE142" t="e">
        <f>'2.5.Трудоемкость'!ALT12+"BYw!'Za"</f>
        <v>#VALUE!</v>
      </c>
      <c r="EF142" t="e">
        <f>'2.5.Трудоемкость'!ALU12+"BYw!'Zb"</f>
        <v>#VALUE!</v>
      </c>
      <c r="EG142" t="e">
        <f>'2.5.Трудоемкость'!ALV12+"BYw!'Zc"</f>
        <v>#VALUE!</v>
      </c>
      <c r="EH142" t="e">
        <f>'2.5.Трудоемкость'!ALW12+"BYw!'Zd"</f>
        <v>#VALUE!</v>
      </c>
      <c r="EI142" t="e">
        <f>'2.5.Трудоемкость'!ALX12+"BYw!'Ze"</f>
        <v>#VALUE!</v>
      </c>
      <c r="EJ142" t="e">
        <f>'2.5.Трудоемкость'!ALY12+"BYw!'Zf"</f>
        <v>#VALUE!</v>
      </c>
      <c r="EK142" t="e">
        <f>'2.5.Трудоемкость'!ALZ12+"BYw!'Zg"</f>
        <v>#VALUE!</v>
      </c>
      <c r="EL142" t="e">
        <f>'2.5.Трудоемкость'!AMA12+"BYw!'Zh"</f>
        <v>#VALUE!</v>
      </c>
      <c r="EM142" t="e">
        <f>'2.5.Трудоемкость'!AMB12+"BYw!'Zi"</f>
        <v>#VALUE!</v>
      </c>
      <c r="EN142" t="e">
        <f>'2.5.Трудоемкость'!AMC12+"BYw!'Zj"</f>
        <v>#VALUE!</v>
      </c>
      <c r="EO142" t="e">
        <f>'2.5.Трудоемкость'!AMD12+"BYw!'Zk"</f>
        <v>#VALUE!</v>
      </c>
      <c r="EP142" t="e">
        <f>'2.5.Трудоемкость'!AME12+"BYw!'Zl"</f>
        <v>#VALUE!</v>
      </c>
      <c r="EQ142" t="e">
        <f>'2.5.Трудоемкость'!AMF12+"BYw!'Zm"</f>
        <v>#VALUE!</v>
      </c>
      <c r="ER142" t="e">
        <f>'2.5.Трудоемкость'!AMG12+"BYw!'Zn"</f>
        <v>#VALUE!</v>
      </c>
      <c r="ES142" t="e">
        <f>'2.5.Трудоемкость'!AMH12+"BYw!'Zo"</f>
        <v>#VALUE!</v>
      </c>
      <c r="ET142" t="e">
        <f>'2.5.Трудоемкость'!AMI12+"BYw!'Zp"</f>
        <v>#VALUE!</v>
      </c>
      <c r="EU142" t="e">
        <f>'2.5.Трудоемкость'!AMJ12+"BYw!'Zq"</f>
        <v>#VALUE!</v>
      </c>
      <c r="EV142" t="e">
        <f>'2.5.Трудоемкость'!A13+"BYw!'Zr"</f>
        <v>#VALUE!</v>
      </c>
      <c r="EW142" t="e">
        <f>'2.5.Трудоемкость'!B13+"BYw!'Zs"</f>
        <v>#VALUE!</v>
      </c>
      <c r="EX142" s="119" t="e">
        <f>'2.5.Трудоемкость'!C13+"BYw!'Zt"</f>
        <v>#VALUE!</v>
      </c>
      <c r="EY142" s="122" t="e">
        <f>'2.5.Трудоемкость'!D13+"BYw!'Zu"</f>
        <v>#VALUE!</v>
      </c>
      <c r="EZ142" t="e">
        <f>'2.5.Трудоемкость'!E13+"BYw!'Zv"</f>
        <v>#VALUE!</v>
      </c>
      <c r="FA142" t="e">
        <f>'2.5.Трудоемкость'!F13+"BYw!'Zw"</f>
        <v>#VALUE!</v>
      </c>
      <c r="FB142" t="e">
        <f>'2.5.Трудоемкость'!G13+"BYw!'Zx"</f>
        <v>#VALUE!</v>
      </c>
      <c r="FC142" t="e">
        <f>'2.5.Трудоемкость'!H13+"BYw!'Zy"</f>
        <v>#VALUE!</v>
      </c>
      <c r="FD142" t="e">
        <f>'2.5.Трудоемкость'!I13+"BYw!'Zz"</f>
        <v>#VALUE!</v>
      </c>
      <c r="FE142" t="e">
        <f>'2.5.Трудоемкость'!J13+"BYw!'Z{"</f>
        <v>#VALUE!</v>
      </c>
      <c r="FF142" t="e">
        <f>'2.5.Трудоемкость'!K13+"BYw!'Z|"</f>
        <v>#VALUE!</v>
      </c>
      <c r="FG142" t="e">
        <f>'2.5.Трудоемкость'!L13+"BYw!'Z}"</f>
        <v>#VALUE!</v>
      </c>
      <c r="FH142" t="e">
        <f>'2.5.Трудоемкость'!M13+"BYw!'Z~"</f>
        <v>#VALUE!</v>
      </c>
      <c r="FI142" t="e">
        <f>'2.5.Трудоемкость'!N13+"BYw!'[#"</f>
        <v>#VALUE!</v>
      </c>
      <c r="FJ142" t="e">
        <f>'2.5.Трудоемкость'!O13+"BYw!'[$"</f>
        <v>#VALUE!</v>
      </c>
      <c r="FK142" t="e">
        <f>'2.5.Трудоемкость'!P13+"BYw!'[%"</f>
        <v>#VALUE!</v>
      </c>
      <c r="FL142" t="e">
        <f>'2.5.Трудоемкость'!Q13+"BYw!'[&amp;"</f>
        <v>#VALUE!</v>
      </c>
      <c r="FM142" t="e">
        <f>'2.5.Трудоемкость'!R13+"BYw!'['"</f>
        <v>#VALUE!</v>
      </c>
      <c r="FN142" t="e">
        <f>'2.5.Трудоемкость'!S13+"BYw!'[("</f>
        <v>#VALUE!</v>
      </c>
      <c r="FO142" t="e">
        <f>'2.5.Трудоемкость'!T13+"BYw!'[)"</f>
        <v>#VALUE!</v>
      </c>
      <c r="FP142" t="e">
        <f>'2.5.Трудоемкость'!U13+"BYw!'[."</f>
        <v>#VALUE!</v>
      </c>
      <c r="FQ142" t="e">
        <f>'2.5.Трудоемкость'!V13+"BYw!'[/"</f>
        <v>#VALUE!</v>
      </c>
      <c r="FR142" t="e">
        <f>'2.5.Трудоемкость'!X13+"BYw!'[0"</f>
        <v>#VALUE!</v>
      </c>
      <c r="FS142" t="e">
        <f>'2.5.Трудоемкость'!Y13+"BYw!'[1"</f>
        <v>#VALUE!</v>
      </c>
      <c r="FT142" t="e">
        <f>'2.5.Трудоемкость'!Z13+"BYw!'[2"</f>
        <v>#VALUE!</v>
      </c>
      <c r="FU142" t="e">
        <f>'2.5.Трудоемкость'!AA13+"BYw!'[3"</f>
        <v>#VALUE!</v>
      </c>
      <c r="FV142" t="e">
        <f>'2.5.Трудоемкость'!AB13+"BYw!'[4"</f>
        <v>#VALUE!</v>
      </c>
      <c r="FW142" t="e">
        <f>'2.5.Трудоемкость'!AC13+"BYw!'[5"</f>
        <v>#VALUE!</v>
      </c>
      <c r="FX142" t="e">
        <f>'2.5.Трудоемкость'!AD13+"BYw!'[6"</f>
        <v>#VALUE!</v>
      </c>
      <c r="FY142" t="e">
        <f>'2.5.Трудоемкость'!AE13+"BYw!'[7"</f>
        <v>#VALUE!</v>
      </c>
      <c r="FZ142" t="e">
        <f>'2.5.Трудоемкость'!AF13+"BYw!'[8"</f>
        <v>#VALUE!</v>
      </c>
      <c r="GA142" t="e">
        <f>'2.5.Трудоемкость'!AG13+"BYw!'[9"</f>
        <v>#VALUE!</v>
      </c>
      <c r="GB142" t="e">
        <f>'2.5.Трудоемкость'!AH13+"BYw!'[:"</f>
        <v>#VALUE!</v>
      </c>
      <c r="GC142" t="e">
        <f>'2.5.Трудоемкость'!AI13+"BYw!'[;"</f>
        <v>#VALUE!</v>
      </c>
      <c r="GD142" t="e">
        <f>'2.5.Трудоемкость'!AJ13+"BYw!'[&lt;"</f>
        <v>#VALUE!</v>
      </c>
      <c r="GE142" t="e">
        <f>'2.5.Трудоемкость'!AK13+"BYw!'[="</f>
        <v>#VALUE!</v>
      </c>
      <c r="GF142" t="e">
        <f>'2.5.Трудоемкость'!AL13+"BYw!'[&gt;"</f>
        <v>#VALUE!</v>
      </c>
      <c r="GG142" t="e">
        <f>'2.5.Трудоемкость'!AM13+"BYw!'[?"</f>
        <v>#VALUE!</v>
      </c>
      <c r="GH142" t="e">
        <f>'2.5.Трудоемкость'!AN13+"BYw!'[@"</f>
        <v>#VALUE!</v>
      </c>
      <c r="GI142" t="e">
        <f>'2.5.Трудоемкость'!AO13+"BYw!'[A"</f>
        <v>#VALUE!</v>
      </c>
      <c r="GJ142" t="e">
        <f>'2.5.Трудоемкость'!AP13+"BYw!'[B"</f>
        <v>#VALUE!</v>
      </c>
      <c r="GK142" t="e">
        <f>'2.5.Трудоемкость'!AQ13+"BYw!'[C"</f>
        <v>#VALUE!</v>
      </c>
      <c r="GL142" t="e">
        <f>'2.5.Трудоемкость'!AR13+"BYw!'[D"</f>
        <v>#VALUE!</v>
      </c>
      <c r="GM142" t="e">
        <f>'2.5.Трудоемкость'!AS13+"BYw!'[E"</f>
        <v>#VALUE!</v>
      </c>
      <c r="GN142" t="e">
        <f>'2.5.Трудоемкость'!AT13+"BYw!'[F"</f>
        <v>#VALUE!</v>
      </c>
      <c r="GO142" t="e">
        <f>'2.5.Трудоемкость'!AU13+"BYw!'[G"</f>
        <v>#VALUE!</v>
      </c>
      <c r="GP142" t="e">
        <f>'2.5.Трудоемкость'!AV13+"BYw!'[H"</f>
        <v>#VALUE!</v>
      </c>
      <c r="GQ142" t="e">
        <f>'2.5.Трудоемкость'!AW13+"BYw!'[I"</f>
        <v>#VALUE!</v>
      </c>
      <c r="GR142" t="e">
        <f>'2.5.Трудоемкость'!AX13+"BYw!'[J"</f>
        <v>#VALUE!</v>
      </c>
      <c r="GS142" t="e">
        <f>'2.5.Трудоемкость'!AY13+"BYw!'[K"</f>
        <v>#VALUE!</v>
      </c>
      <c r="GT142" t="e">
        <f>'2.5.Трудоемкость'!AZ13+"BYw!'[L"</f>
        <v>#VALUE!</v>
      </c>
      <c r="GU142" t="e">
        <f>'2.5.Трудоемкость'!BA13+"BYw!'[M"</f>
        <v>#VALUE!</v>
      </c>
      <c r="GV142" t="e">
        <f>'2.5.Трудоемкость'!BB13+"BYw!'[N"</f>
        <v>#VALUE!</v>
      </c>
      <c r="GW142" t="e">
        <f>'2.5.Трудоемкость'!BC13+"BYw!'[O"</f>
        <v>#VALUE!</v>
      </c>
      <c r="GX142" t="e">
        <f>'2.5.Трудоемкость'!BD13+"BYw!'[P"</f>
        <v>#VALUE!</v>
      </c>
      <c r="GY142" t="e">
        <f>'2.5.Трудоемкость'!BE13+"BYw!'[Q"</f>
        <v>#VALUE!</v>
      </c>
      <c r="GZ142" t="e">
        <f>'2.5.Трудоемкость'!BF13+"BYw!'[R"</f>
        <v>#VALUE!</v>
      </c>
      <c r="HA142" t="e">
        <f>'2.5.Трудоемкость'!BG13+"BYw!'[S"</f>
        <v>#VALUE!</v>
      </c>
      <c r="HB142" t="e">
        <f>'2.5.Трудоемкость'!BH13+"BYw!'[T"</f>
        <v>#VALUE!</v>
      </c>
      <c r="HC142" t="e">
        <f>'2.5.Трудоемкость'!BI13+"BYw!'[U"</f>
        <v>#VALUE!</v>
      </c>
      <c r="HD142" t="e">
        <f>'2.5.Трудоемкость'!BJ13+"BYw!'[V"</f>
        <v>#VALUE!</v>
      </c>
      <c r="HE142" t="e">
        <f>'2.5.Трудоемкость'!BK13+"BYw!'[W"</f>
        <v>#VALUE!</v>
      </c>
      <c r="HF142" t="e">
        <f>'2.5.Трудоемкость'!BL13+"BYw!'[X"</f>
        <v>#VALUE!</v>
      </c>
      <c r="HG142" t="e">
        <f>'2.5.Трудоемкость'!BM13+"BYw!'[Y"</f>
        <v>#VALUE!</v>
      </c>
      <c r="HH142" t="e">
        <f>'2.5.Трудоемкость'!BN13+"BYw!'[Z"</f>
        <v>#VALUE!</v>
      </c>
      <c r="HI142" t="e">
        <f>'2.5.Трудоемкость'!BO13+"BYw!'[["</f>
        <v>#VALUE!</v>
      </c>
      <c r="HJ142" t="e">
        <f>'2.5.Трудоемкость'!BP13+"BYw!'[\"</f>
        <v>#VALUE!</v>
      </c>
      <c r="HK142" t="e">
        <f>'2.5.Трудоемкость'!BQ13+"BYw!'[]"</f>
        <v>#VALUE!</v>
      </c>
      <c r="HL142" t="e">
        <f>'2.5.Трудоемкость'!BR13+"BYw!'[^"</f>
        <v>#VALUE!</v>
      </c>
      <c r="HM142" t="e">
        <f>'2.5.Трудоемкость'!BS13+"BYw!'[_"</f>
        <v>#VALUE!</v>
      </c>
      <c r="HN142" t="e">
        <f>'2.5.Трудоемкость'!BT13+"BYw!'[`"</f>
        <v>#VALUE!</v>
      </c>
      <c r="HO142" t="e">
        <f>'2.5.Трудоемкость'!BU13+"BYw!'[a"</f>
        <v>#VALUE!</v>
      </c>
      <c r="HP142" t="e">
        <f>'2.5.Трудоемкость'!BV13+"BYw!'[b"</f>
        <v>#VALUE!</v>
      </c>
      <c r="HQ142" t="e">
        <f>'2.5.Трудоемкость'!BW13+"BYw!'[c"</f>
        <v>#VALUE!</v>
      </c>
      <c r="HR142" t="e">
        <f>'2.5.Трудоемкость'!BX13+"BYw!'[d"</f>
        <v>#VALUE!</v>
      </c>
      <c r="HS142" t="e">
        <f>'2.5.Трудоемкость'!BY13+"BYw!'[e"</f>
        <v>#VALUE!</v>
      </c>
      <c r="HT142" t="e">
        <f>'2.5.Трудоемкость'!BZ13+"BYw!'[f"</f>
        <v>#VALUE!</v>
      </c>
      <c r="HU142" t="e">
        <f>'2.5.Трудоемкость'!CA13+"BYw!'[g"</f>
        <v>#VALUE!</v>
      </c>
      <c r="HV142" t="e">
        <f>'2.5.Трудоемкость'!CB13+"BYw!'[h"</f>
        <v>#VALUE!</v>
      </c>
      <c r="HW142" t="e">
        <f>'2.5.Трудоемкость'!CC13+"BYw!'[i"</f>
        <v>#VALUE!</v>
      </c>
      <c r="HX142" t="e">
        <f>'2.5.Трудоемкость'!CD13+"BYw!'[j"</f>
        <v>#VALUE!</v>
      </c>
      <c r="HY142" t="e">
        <f>'2.5.Трудоемкость'!CE13+"BYw!'[k"</f>
        <v>#VALUE!</v>
      </c>
      <c r="HZ142" t="e">
        <f>'2.5.Трудоемкость'!CF13+"BYw!'[l"</f>
        <v>#VALUE!</v>
      </c>
      <c r="IA142" t="e">
        <f>'2.5.Трудоемкость'!CG13+"BYw!'[m"</f>
        <v>#VALUE!</v>
      </c>
      <c r="IB142" t="e">
        <f>'2.5.Трудоемкость'!CH13+"BYw!'[n"</f>
        <v>#VALUE!</v>
      </c>
      <c r="IC142" t="e">
        <f>'2.5.Трудоемкость'!CI13+"BYw!'[o"</f>
        <v>#VALUE!</v>
      </c>
      <c r="ID142" t="e">
        <f>'2.5.Трудоемкость'!CJ13+"BYw!'[p"</f>
        <v>#VALUE!</v>
      </c>
      <c r="IE142" t="e">
        <f>'2.5.Трудоемкость'!CK13+"BYw!'[q"</f>
        <v>#VALUE!</v>
      </c>
      <c r="IF142" t="e">
        <f>'2.5.Трудоемкость'!CL13+"BYw!'[r"</f>
        <v>#VALUE!</v>
      </c>
      <c r="IG142" t="e">
        <f>'2.5.Трудоемкость'!CM13+"BYw!'[s"</f>
        <v>#VALUE!</v>
      </c>
      <c r="IH142" t="e">
        <f>'2.5.Трудоемкость'!CN13+"BYw!'[t"</f>
        <v>#VALUE!</v>
      </c>
      <c r="II142" t="e">
        <f>'2.5.Трудоемкость'!CO13+"BYw!'[u"</f>
        <v>#VALUE!</v>
      </c>
      <c r="IJ142" t="e">
        <f>'2.5.Трудоемкость'!CP13+"BYw!'[v"</f>
        <v>#VALUE!</v>
      </c>
      <c r="IK142" t="e">
        <f>'2.5.Трудоемкость'!CQ13+"BYw!'[w"</f>
        <v>#VALUE!</v>
      </c>
      <c r="IL142" t="e">
        <f>'2.5.Трудоемкость'!CR13+"BYw!'[x"</f>
        <v>#VALUE!</v>
      </c>
      <c r="IM142" t="e">
        <f>'2.5.Трудоемкость'!CS13+"BYw!'[y"</f>
        <v>#VALUE!</v>
      </c>
      <c r="IN142" t="e">
        <f>'2.5.Трудоемкость'!CT13+"BYw!'[z"</f>
        <v>#VALUE!</v>
      </c>
      <c r="IO142" t="e">
        <f>'2.5.Трудоемкость'!CU13+"BYw!'[{"</f>
        <v>#VALUE!</v>
      </c>
      <c r="IP142" t="e">
        <f>'2.5.Трудоемкость'!CV13+"BYw!'[|"</f>
        <v>#VALUE!</v>
      </c>
      <c r="IQ142" t="e">
        <f>'2.5.Трудоемкость'!CW13+"BYw!'[}"</f>
        <v>#VALUE!</v>
      </c>
      <c r="IR142" t="e">
        <f>'2.5.Трудоемкость'!CX13+"BYw!'[~"</f>
        <v>#VALUE!</v>
      </c>
      <c r="IS142" t="e">
        <f>'2.5.Трудоемкость'!CY13+"BYw!'\#"</f>
        <v>#VALUE!</v>
      </c>
      <c r="IT142" t="e">
        <f>'2.5.Трудоемкость'!CZ13+"BYw!'\$"</f>
        <v>#VALUE!</v>
      </c>
      <c r="IU142" t="e">
        <f>'2.5.Трудоемкость'!DA13+"BYw!'\%"</f>
        <v>#VALUE!</v>
      </c>
      <c r="IV142" t="e">
        <f>'2.5.Трудоемкость'!DB13+"BYw!'\&amp;"</f>
        <v>#VALUE!</v>
      </c>
    </row>
    <row r="143" spans="6:256" x14ac:dyDescent="0.2">
      <c r="F143" t="e">
        <f>'2.5.Трудоемкость'!DC13+"BYw!'\'"</f>
        <v>#VALUE!</v>
      </c>
      <c r="G143" t="e">
        <f>'2.5.Трудоемкость'!DD13+"BYw!'\("</f>
        <v>#VALUE!</v>
      </c>
      <c r="H143" t="e">
        <f>'2.5.Трудоемкость'!DE13+"BYw!'\)"</f>
        <v>#VALUE!</v>
      </c>
      <c r="I143" t="e">
        <f>'2.5.Трудоемкость'!DF13+"BYw!'\."</f>
        <v>#VALUE!</v>
      </c>
      <c r="J143" t="e">
        <f>'2.5.Трудоемкость'!DG13+"BYw!'\/"</f>
        <v>#VALUE!</v>
      </c>
      <c r="K143" t="e">
        <f>'2.5.Трудоемкость'!DH13+"BYw!'\0"</f>
        <v>#VALUE!</v>
      </c>
      <c r="L143" t="e">
        <f>'2.5.Трудоемкость'!DI13+"BYw!'\1"</f>
        <v>#VALUE!</v>
      </c>
      <c r="M143" t="e">
        <f>'2.5.Трудоемкость'!DJ13+"BYw!'\2"</f>
        <v>#VALUE!</v>
      </c>
      <c r="N143" t="e">
        <f>'2.5.Трудоемкость'!DK13+"BYw!'\3"</f>
        <v>#VALUE!</v>
      </c>
      <c r="O143" t="e">
        <f>'2.5.Трудоемкость'!DL13+"BYw!'\4"</f>
        <v>#VALUE!</v>
      </c>
      <c r="P143" t="e">
        <f>'2.5.Трудоемкость'!DM13+"BYw!'\5"</f>
        <v>#VALUE!</v>
      </c>
      <c r="Q143" t="e">
        <f>'2.5.Трудоемкость'!DN13+"BYw!'\6"</f>
        <v>#VALUE!</v>
      </c>
      <c r="R143" t="e">
        <f>'2.5.Трудоемкость'!DO13+"BYw!'\7"</f>
        <v>#VALUE!</v>
      </c>
      <c r="S143" t="e">
        <f>'2.5.Трудоемкость'!DP13+"BYw!'\8"</f>
        <v>#VALUE!</v>
      </c>
      <c r="T143" t="e">
        <f>'2.5.Трудоемкость'!DQ13+"BYw!'\9"</f>
        <v>#VALUE!</v>
      </c>
      <c r="U143" t="e">
        <f>'2.5.Трудоемкость'!DR13+"BYw!'\:"</f>
        <v>#VALUE!</v>
      </c>
      <c r="V143" t="e">
        <f>'2.5.Трудоемкость'!DS13+"BYw!'\;"</f>
        <v>#VALUE!</v>
      </c>
      <c r="W143" t="e">
        <f>'2.5.Трудоемкость'!DT13+"BYw!'\&lt;"</f>
        <v>#VALUE!</v>
      </c>
      <c r="X143" t="e">
        <f>'2.5.Трудоемкость'!DU13+"BYw!'\="</f>
        <v>#VALUE!</v>
      </c>
      <c r="Y143" t="e">
        <f>'2.5.Трудоемкость'!DV13+"BYw!'\&gt;"</f>
        <v>#VALUE!</v>
      </c>
      <c r="Z143" t="e">
        <f>'2.5.Трудоемкость'!DW13+"BYw!'\?"</f>
        <v>#VALUE!</v>
      </c>
      <c r="AA143" t="e">
        <f>'2.5.Трудоемкость'!DX13+"BYw!'\@"</f>
        <v>#VALUE!</v>
      </c>
      <c r="AB143" t="e">
        <f>'2.5.Трудоемкость'!DY13+"BYw!'\A"</f>
        <v>#VALUE!</v>
      </c>
      <c r="AC143" t="e">
        <f>'2.5.Трудоемкость'!DZ13+"BYw!'\B"</f>
        <v>#VALUE!</v>
      </c>
      <c r="AD143" t="e">
        <f>'2.5.Трудоемкость'!EA13+"BYw!'\C"</f>
        <v>#VALUE!</v>
      </c>
      <c r="AE143" t="e">
        <f>'2.5.Трудоемкость'!EB13+"BYw!'\D"</f>
        <v>#VALUE!</v>
      </c>
      <c r="AF143" t="e">
        <f>'2.5.Трудоемкость'!EC13+"BYw!'\E"</f>
        <v>#VALUE!</v>
      </c>
      <c r="AG143" t="e">
        <f>'2.5.Трудоемкость'!ED13+"BYw!'\F"</f>
        <v>#VALUE!</v>
      </c>
      <c r="AH143" t="e">
        <f>'2.5.Трудоемкость'!EE13+"BYw!'\G"</f>
        <v>#VALUE!</v>
      </c>
      <c r="AI143" t="e">
        <f>'2.5.Трудоемкость'!EF13+"BYw!'\H"</f>
        <v>#VALUE!</v>
      </c>
      <c r="AJ143" t="e">
        <f>'2.5.Трудоемкость'!EG13+"BYw!'\I"</f>
        <v>#VALUE!</v>
      </c>
      <c r="AK143" t="e">
        <f>'2.5.Трудоемкость'!EH13+"BYw!'\J"</f>
        <v>#VALUE!</v>
      </c>
      <c r="AL143" t="e">
        <f>'2.5.Трудоемкость'!EI13+"BYw!'\K"</f>
        <v>#VALUE!</v>
      </c>
      <c r="AM143" t="e">
        <f>'2.5.Трудоемкость'!EJ13+"BYw!'\L"</f>
        <v>#VALUE!</v>
      </c>
      <c r="AN143" t="e">
        <f>'2.5.Трудоемкость'!EK13+"BYw!'\M"</f>
        <v>#VALUE!</v>
      </c>
      <c r="AO143" t="e">
        <f>'2.5.Трудоемкость'!EL13+"BYw!'\N"</f>
        <v>#VALUE!</v>
      </c>
      <c r="AP143" t="e">
        <f>'2.5.Трудоемкость'!EM13+"BYw!'\O"</f>
        <v>#VALUE!</v>
      </c>
      <c r="AQ143" t="e">
        <f>'2.5.Трудоемкость'!EN13+"BYw!'\P"</f>
        <v>#VALUE!</v>
      </c>
      <c r="AR143" t="e">
        <f>'2.5.Трудоемкость'!EO13+"BYw!'\Q"</f>
        <v>#VALUE!</v>
      </c>
      <c r="AS143" t="e">
        <f>'2.5.Трудоемкость'!EP13+"BYw!'\R"</f>
        <v>#VALUE!</v>
      </c>
      <c r="AT143" t="e">
        <f>'2.5.Трудоемкость'!EQ13+"BYw!'\S"</f>
        <v>#VALUE!</v>
      </c>
      <c r="AU143" t="e">
        <f>'2.5.Трудоемкость'!ER13+"BYw!'\T"</f>
        <v>#VALUE!</v>
      </c>
      <c r="AV143" t="e">
        <f>'2.5.Трудоемкость'!ES13+"BYw!'\U"</f>
        <v>#VALUE!</v>
      </c>
      <c r="AW143" t="e">
        <f>'2.5.Трудоемкость'!ET13+"BYw!'\V"</f>
        <v>#VALUE!</v>
      </c>
      <c r="AX143" t="e">
        <f>'2.5.Трудоемкость'!EU13+"BYw!'\W"</f>
        <v>#VALUE!</v>
      </c>
      <c r="AY143" t="e">
        <f>'2.5.Трудоемкость'!EV13+"BYw!'\X"</f>
        <v>#VALUE!</v>
      </c>
      <c r="AZ143" t="e">
        <f>'2.5.Трудоемкость'!EW13+"BYw!'\Y"</f>
        <v>#VALUE!</v>
      </c>
      <c r="BA143" t="e">
        <f>'2.5.Трудоемкость'!EX13+"BYw!'\Z"</f>
        <v>#VALUE!</v>
      </c>
      <c r="BB143" t="e">
        <f>'2.5.Трудоемкость'!EY13+"BYw!'\["</f>
        <v>#VALUE!</v>
      </c>
      <c r="BC143" t="e">
        <f>'2.5.Трудоемкость'!EZ13+"BYw!'\\"</f>
        <v>#VALUE!</v>
      </c>
      <c r="BD143" t="e">
        <f>'2.5.Трудоемкость'!FA13+"BYw!'\]"</f>
        <v>#VALUE!</v>
      </c>
      <c r="BE143" t="e">
        <f>'2.5.Трудоемкость'!FB13+"BYw!'\^"</f>
        <v>#VALUE!</v>
      </c>
      <c r="BF143" t="e">
        <f>'2.5.Трудоемкость'!FC13+"BYw!'\_"</f>
        <v>#VALUE!</v>
      </c>
      <c r="BG143" t="e">
        <f>'2.5.Трудоемкость'!FD13+"BYw!'\`"</f>
        <v>#VALUE!</v>
      </c>
      <c r="BH143" t="e">
        <f>'2.5.Трудоемкость'!FE13+"BYw!'\a"</f>
        <v>#VALUE!</v>
      </c>
      <c r="BI143" t="e">
        <f>'2.5.Трудоемкость'!FF13+"BYw!'\b"</f>
        <v>#VALUE!</v>
      </c>
      <c r="BJ143" t="e">
        <f>'2.5.Трудоемкость'!FG13+"BYw!'\c"</f>
        <v>#VALUE!</v>
      </c>
      <c r="BK143" t="e">
        <f>'2.5.Трудоемкость'!FH13+"BYw!'\d"</f>
        <v>#VALUE!</v>
      </c>
      <c r="BL143" t="e">
        <f>'2.5.Трудоемкость'!FI13+"BYw!'\e"</f>
        <v>#VALUE!</v>
      </c>
      <c r="BM143" t="e">
        <f>'2.5.Трудоемкость'!FJ13+"BYw!'\f"</f>
        <v>#VALUE!</v>
      </c>
      <c r="BN143" t="e">
        <f>'2.5.Трудоемкость'!FK13+"BYw!'\g"</f>
        <v>#VALUE!</v>
      </c>
      <c r="BO143" t="e">
        <f>'2.5.Трудоемкость'!FL13+"BYw!'\h"</f>
        <v>#VALUE!</v>
      </c>
      <c r="BP143" t="e">
        <f>'2.5.Трудоемкость'!FM13+"BYw!'\i"</f>
        <v>#VALUE!</v>
      </c>
      <c r="BQ143" t="e">
        <f>'2.5.Трудоемкость'!FN13+"BYw!'\j"</f>
        <v>#VALUE!</v>
      </c>
      <c r="BR143" t="e">
        <f>'2.5.Трудоемкость'!FO13+"BYw!'\k"</f>
        <v>#VALUE!</v>
      </c>
      <c r="BS143" t="e">
        <f>'2.5.Трудоемкость'!FP13+"BYw!'\l"</f>
        <v>#VALUE!</v>
      </c>
      <c r="BT143" t="e">
        <f>'2.5.Трудоемкость'!FQ13+"BYw!'\m"</f>
        <v>#VALUE!</v>
      </c>
      <c r="BU143" t="e">
        <f>'2.5.Трудоемкость'!FR13+"BYw!'\n"</f>
        <v>#VALUE!</v>
      </c>
      <c r="BV143" t="e">
        <f>'2.5.Трудоемкость'!FS13+"BYw!'\o"</f>
        <v>#VALUE!</v>
      </c>
      <c r="BW143" t="e">
        <f>'2.5.Трудоемкость'!FT13+"BYw!'\p"</f>
        <v>#VALUE!</v>
      </c>
      <c r="BX143" t="e">
        <f>'2.5.Трудоемкость'!FU13+"BYw!'\q"</f>
        <v>#VALUE!</v>
      </c>
      <c r="BY143" t="e">
        <f>'2.5.Трудоемкость'!FV13+"BYw!'\r"</f>
        <v>#VALUE!</v>
      </c>
      <c r="BZ143" t="e">
        <f>'2.5.Трудоемкость'!FW13+"BYw!'\s"</f>
        <v>#VALUE!</v>
      </c>
      <c r="CA143" t="e">
        <f>'2.5.Трудоемкость'!FX13+"BYw!'\t"</f>
        <v>#VALUE!</v>
      </c>
      <c r="CB143" t="e">
        <f>'2.5.Трудоемкость'!FY13+"BYw!'\u"</f>
        <v>#VALUE!</v>
      </c>
      <c r="CC143" t="e">
        <f>'2.5.Трудоемкость'!FZ13+"BYw!'\v"</f>
        <v>#VALUE!</v>
      </c>
      <c r="CD143" t="e">
        <f>'2.5.Трудоемкость'!GA13+"BYw!'\w"</f>
        <v>#VALUE!</v>
      </c>
      <c r="CE143" t="e">
        <f>'2.5.Трудоемкость'!GB13+"BYw!'\x"</f>
        <v>#VALUE!</v>
      </c>
      <c r="CF143" t="e">
        <f>'2.5.Трудоемкость'!GC13+"BYw!'\y"</f>
        <v>#VALUE!</v>
      </c>
      <c r="CG143" t="e">
        <f>'2.5.Трудоемкость'!GD13+"BYw!'\z"</f>
        <v>#VALUE!</v>
      </c>
      <c r="CH143" t="e">
        <f>'2.5.Трудоемкость'!GE13+"BYw!'\{"</f>
        <v>#VALUE!</v>
      </c>
      <c r="CI143" t="e">
        <f>'2.5.Трудоемкость'!GF13+"BYw!'\|"</f>
        <v>#VALUE!</v>
      </c>
      <c r="CJ143" t="e">
        <f>'2.5.Трудоемкость'!GG13+"BYw!'\}"</f>
        <v>#VALUE!</v>
      </c>
      <c r="CK143" t="e">
        <f>'2.5.Трудоемкость'!GH13+"BYw!'\~"</f>
        <v>#VALUE!</v>
      </c>
      <c r="CL143" t="e">
        <f>'2.5.Трудоемкость'!GI13+"BYw!']#"</f>
        <v>#VALUE!</v>
      </c>
      <c r="CM143" t="e">
        <f>'2.5.Трудоемкость'!GJ13+"BYw!']$"</f>
        <v>#VALUE!</v>
      </c>
      <c r="CN143" t="e">
        <f>'2.5.Трудоемкость'!GK13+"BYw!']%"</f>
        <v>#VALUE!</v>
      </c>
      <c r="CO143" t="e">
        <f>'2.5.Трудоемкость'!GL13+"BYw!']&amp;"</f>
        <v>#VALUE!</v>
      </c>
      <c r="CP143" t="e">
        <f>'2.5.Трудоемкость'!GM13+"BYw!']'"</f>
        <v>#VALUE!</v>
      </c>
      <c r="CQ143" t="e">
        <f>'2.5.Трудоемкость'!GN13+"BYw!']("</f>
        <v>#VALUE!</v>
      </c>
      <c r="CR143" t="e">
        <f>'2.5.Трудоемкость'!GO13+"BYw!'])"</f>
        <v>#VALUE!</v>
      </c>
      <c r="CS143" t="e">
        <f>'2.5.Трудоемкость'!GP13+"BYw!']."</f>
        <v>#VALUE!</v>
      </c>
      <c r="CT143" t="e">
        <f>'2.5.Трудоемкость'!GQ13+"BYw!']/"</f>
        <v>#VALUE!</v>
      </c>
      <c r="CU143" t="e">
        <f>'2.5.Трудоемкость'!GR13+"BYw!']0"</f>
        <v>#VALUE!</v>
      </c>
      <c r="CV143" t="e">
        <f>'2.5.Трудоемкость'!GS13+"BYw!']1"</f>
        <v>#VALUE!</v>
      </c>
      <c r="CW143" t="e">
        <f>'2.5.Трудоемкость'!GT13+"BYw!']2"</f>
        <v>#VALUE!</v>
      </c>
      <c r="CX143" t="e">
        <f>'2.5.Трудоемкость'!GU13+"BYw!']3"</f>
        <v>#VALUE!</v>
      </c>
      <c r="CY143" t="e">
        <f>'2.5.Трудоемкость'!GV13+"BYw!']4"</f>
        <v>#VALUE!</v>
      </c>
      <c r="CZ143" t="e">
        <f>'2.5.Трудоемкость'!GW13+"BYw!']5"</f>
        <v>#VALUE!</v>
      </c>
      <c r="DA143" t="e">
        <f>'2.5.Трудоемкость'!GX13+"BYw!']6"</f>
        <v>#VALUE!</v>
      </c>
      <c r="DB143" t="e">
        <f>'2.5.Трудоемкость'!GY13+"BYw!']7"</f>
        <v>#VALUE!</v>
      </c>
      <c r="DC143" t="e">
        <f>'2.5.Трудоемкость'!GZ13+"BYw!']8"</f>
        <v>#VALUE!</v>
      </c>
      <c r="DD143" t="e">
        <f>'2.5.Трудоемкость'!HA13+"BYw!']9"</f>
        <v>#VALUE!</v>
      </c>
      <c r="DE143" t="e">
        <f>'2.5.Трудоемкость'!HB13+"BYw!']:"</f>
        <v>#VALUE!</v>
      </c>
      <c r="DF143" t="e">
        <f>'2.5.Трудоемкость'!HC13+"BYw!'];"</f>
        <v>#VALUE!</v>
      </c>
      <c r="DG143" t="e">
        <f>'2.5.Трудоемкость'!HD13+"BYw!']&lt;"</f>
        <v>#VALUE!</v>
      </c>
      <c r="DH143" t="e">
        <f>'2.5.Трудоемкость'!HE13+"BYw!']="</f>
        <v>#VALUE!</v>
      </c>
      <c r="DI143" t="e">
        <f>'2.5.Трудоемкость'!HF13+"BYw!']&gt;"</f>
        <v>#VALUE!</v>
      </c>
      <c r="DJ143" t="e">
        <f>'2.5.Трудоемкость'!HG13+"BYw!']?"</f>
        <v>#VALUE!</v>
      </c>
      <c r="DK143" t="e">
        <f>'2.5.Трудоемкость'!HH13+"BYw!']@"</f>
        <v>#VALUE!</v>
      </c>
      <c r="DL143" t="e">
        <f>'2.5.Трудоемкость'!HI13+"BYw!']A"</f>
        <v>#VALUE!</v>
      </c>
      <c r="DM143" t="e">
        <f>'2.5.Трудоемкость'!HJ13+"BYw!']B"</f>
        <v>#VALUE!</v>
      </c>
      <c r="DN143" t="e">
        <f>'2.5.Трудоемкость'!HK13+"BYw!']C"</f>
        <v>#VALUE!</v>
      </c>
      <c r="DO143" t="e">
        <f>'2.5.Трудоемкость'!HL13+"BYw!']D"</f>
        <v>#VALUE!</v>
      </c>
      <c r="DP143" t="e">
        <f>'2.5.Трудоемкость'!HM13+"BYw!']E"</f>
        <v>#VALUE!</v>
      </c>
      <c r="DQ143" t="e">
        <f>'2.5.Трудоемкость'!HN13+"BYw!']F"</f>
        <v>#VALUE!</v>
      </c>
      <c r="DR143" t="e">
        <f>'2.5.Трудоемкость'!HO13+"BYw!']G"</f>
        <v>#VALUE!</v>
      </c>
      <c r="DS143" t="e">
        <f>'2.5.Трудоемкость'!HP13+"BYw!']H"</f>
        <v>#VALUE!</v>
      </c>
      <c r="DT143" t="e">
        <f>'2.5.Трудоемкость'!HQ13+"BYw!']I"</f>
        <v>#VALUE!</v>
      </c>
      <c r="DU143" t="e">
        <f>'2.5.Трудоемкость'!HR13+"BYw!']J"</f>
        <v>#VALUE!</v>
      </c>
      <c r="DV143" t="e">
        <f>'2.5.Трудоемкость'!HS13+"BYw!']K"</f>
        <v>#VALUE!</v>
      </c>
      <c r="DW143" t="e">
        <f>'2.5.Трудоемкость'!HT13+"BYw!']L"</f>
        <v>#VALUE!</v>
      </c>
      <c r="DX143" t="e">
        <f>'2.5.Трудоемкость'!HU13+"BYw!']M"</f>
        <v>#VALUE!</v>
      </c>
      <c r="DY143" t="e">
        <f>'2.5.Трудоемкость'!HV13+"BYw!']N"</f>
        <v>#VALUE!</v>
      </c>
      <c r="DZ143" t="e">
        <f>'2.5.Трудоемкость'!HW13+"BYw!']O"</f>
        <v>#VALUE!</v>
      </c>
      <c r="EA143" t="e">
        <f>'2.5.Трудоемкость'!HX13+"BYw!']P"</f>
        <v>#VALUE!</v>
      </c>
      <c r="EB143" t="e">
        <f>'2.5.Трудоемкость'!HY13+"BYw!']Q"</f>
        <v>#VALUE!</v>
      </c>
      <c r="EC143" t="e">
        <f>'2.5.Трудоемкость'!HZ13+"BYw!']R"</f>
        <v>#VALUE!</v>
      </c>
      <c r="ED143" t="e">
        <f>'2.5.Трудоемкость'!IA13+"BYw!']S"</f>
        <v>#VALUE!</v>
      </c>
      <c r="EE143" t="e">
        <f>'2.5.Трудоемкость'!IB13+"BYw!']T"</f>
        <v>#VALUE!</v>
      </c>
      <c r="EF143" t="e">
        <f>'2.5.Трудоемкость'!IC13+"BYw!']U"</f>
        <v>#VALUE!</v>
      </c>
      <c r="EG143" t="e">
        <f>'2.5.Трудоемкость'!ID13+"BYw!']V"</f>
        <v>#VALUE!</v>
      </c>
      <c r="EH143" t="e">
        <f>'2.5.Трудоемкость'!IE13+"BYw!']W"</f>
        <v>#VALUE!</v>
      </c>
      <c r="EI143" t="e">
        <f>'2.5.Трудоемкость'!IF13+"BYw!']X"</f>
        <v>#VALUE!</v>
      </c>
      <c r="EJ143" t="e">
        <f>'2.5.Трудоемкость'!IG13+"BYw!']Y"</f>
        <v>#VALUE!</v>
      </c>
      <c r="EK143" t="e">
        <f>'2.5.Трудоемкость'!IH13+"BYw!']Z"</f>
        <v>#VALUE!</v>
      </c>
      <c r="EL143" t="e">
        <f>'2.5.Трудоемкость'!II13+"BYw!']["</f>
        <v>#VALUE!</v>
      </c>
      <c r="EM143" t="e">
        <f>'2.5.Трудоемкость'!IJ13+"BYw!']\"</f>
        <v>#VALUE!</v>
      </c>
      <c r="EN143" t="e">
        <f>'2.5.Трудоемкость'!IK13+"BYw!']]"</f>
        <v>#VALUE!</v>
      </c>
      <c r="EO143" t="e">
        <f>'2.5.Трудоемкость'!IL13+"BYw!']^"</f>
        <v>#VALUE!</v>
      </c>
      <c r="EP143" t="e">
        <f>'2.5.Трудоемкость'!IM13+"BYw!']_"</f>
        <v>#VALUE!</v>
      </c>
      <c r="EQ143" t="e">
        <f>'2.5.Трудоемкость'!IN13+"BYw!']`"</f>
        <v>#VALUE!</v>
      </c>
      <c r="ER143" t="e">
        <f>'2.5.Трудоемкость'!IO13+"BYw!']a"</f>
        <v>#VALUE!</v>
      </c>
      <c r="ES143" t="e">
        <f>'2.5.Трудоемкость'!IP13+"BYw!']b"</f>
        <v>#VALUE!</v>
      </c>
      <c r="ET143" t="e">
        <f>'2.5.Трудоемкость'!IQ13+"BYw!']c"</f>
        <v>#VALUE!</v>
      </c>
      <c r="EU143" t="e">
        <f>'2.5.Трудоемкость'!IR13+"BYw!']d"</f>
        <v>#VALUE!</v>
      </c>
      <c r="EV143" t="e">
        <f>'2.5.Трудоемкость'!IS13+"BYw!']e"</f>
        <v>#VALUE!</v>
      </c>
      <c r="EW143" t="e">
        <f>'2.5.Трудоемкость'!IT13+"BYw!']f"</f>
        <v>#VALUE!</v>
      </c>
      <c r="EX143" t="e">
        <f>'2.5.Трудоемкость'!IU13+"BYw!']g"</f>
        <v>#VALUE!</v>
      </c>
      <c r="EY143" t="e">
        <f>'2.5.Трудоемкость'!IV13+"BYw!']h"</f>
        <v>#VALUE!</v>
      </c>
      <c r="EZ143" t="e">
        <f>'2.5.Трудоемкость'!IW13+"BYw!']i"</f>
        <v>#VALUE!</v>
      </c>
      <c r="FA143" t="e">
        <f>'2.5.Трудоемкость'!IX13+"BYw!']j"</f>
        <v>#VALUE!</v>
      </c>
      <c r="FB143" t="e">
        <f>'2.5.Трудоемкость'!IY13+"BYw!']k"</f>
        <v>#VALUE!</v>
      </c>
      <c r="FC143" t="e">
        <f>'2.5.Трудоемкость'!IZ13+"BYw!']l"</f>
        <v>#VALUE!</v>
      </c>
      <c r="FD143" t="e">
        <f>'2.5.Трудоемкость'!JA13+"BYw!']m"</f>
        <v>#VALUE!</v>
      </c>
      <c r="FE143" t="e">
        <f>'2.5.Трудоемкость'!JB13+"BYw!']n"</f>
        <v>#VALUE!</v>
      </c>
      <c r="FF143" t="e">
        <f>'2.5.Трудоемкость'!JC13+"BYw!']o"</f>
        <v>#VALUE!</v>
      </c>
      <c r="FG143" t="e">
        <f>'2.5.Трудоемкость'!JD13+"BYw!']p"</f>
        <v>#VALUE!</v>
      </c>
      <c r="FH143" t="e">
        <f>'2.5.Трудоемкость'!JE13+"BYw!']q"</f>
        <v>#VALUE!</v>
      </c>
      <c r="FI143" t="e">
        <f>'2.5.Трудоемкость'!JF13+"BYw!']r"</f>
        <v>#VALUE!</v>
      </c>
      <c r="FJ143" t="e">
        <f>'2.5.Трудоемкость'!JG13+"BYw!']s"</f>
        <v>#VALUE!</v>
      </c>
      <c r="FK143" t="e">
        <f>'2.5.Трудоемкость'!JH13+"BYw!']t"</f>
        <v>#VALUE!</v>
      </c>
      <c r="FL143" t="e">
        <f>'2.5.Трудоемкость'!JI13+"BYw!']u"</f>
        <v>#VALUE!</v>
      </c>
      <c r="FM143" t="e">
        <f>'2.5.Трудоемкость'!JJ13+"BYw!']v"</f>
        <v>#VALUE!</v>
      </c>
      <c r="FN143" t="e">
        <f>'2.5.Трудоемкость'!JK13+"BYw!']w"</f>
        <v>#VALUE!</v>
      </c>
      <c r="FO143" t="e">
        <f>'2.5.Трудоемкость'!JL13+"BYw!']x"</f>
        <v>#VALUE!</v>
      </c>
      <c r="FP143" t="e">
        <f>'2.5.Трудоемкость'!JM13+"BYw!']y"</f>
        <v>#VALUE!</v>
      </c>
      <c r="FQ143" t="e">
        <f>'2.5.Трудоемкость'!JN13+"BYw!']z"</f>
        <v>#VALUE!</v>
      </c>
      <c r="FR143" t="e">
        <f>'2.5.Трудоемкость'!JO13+"BYw!']{"</f>
        <v>#VALUE!</v>
      </c>
      <c r="FS143" t="e">
        <f>'2.5.Трудоемкость'!JP13+"BYw!']|"</f>
        <v>#VALUE!</v>
      </c>
      <c r="FT143" t="e">
        <f>'2.5.Трудоемкость'!JQ13+"BYw!']}"</f>
        <v>#VALUE!</v>
      </c>
      <c r="FU143" t="e">
        <f>'2.5.Трудоемкость'!JR13+"BYw!']~"</f>
        <v>#VALUE!</v>
      </c>
      <c r="FV143" t="e">
        <f>'2.5.Трудоемкость'!JS13+"BYw!'^#"</f>
        <v>#VALUE!</v>
      </c>
      <c r="FW143" t="e">
        <f>'2.5.Трудоемкость'!JT13+"BYw!'^$"</f>
        <v>#VALUE!</v>
      </c>
      <c r="FX143" t="e">
        <f>'2.5.Трудоемкость'!JU13+"BYw!'^%"</f>
        <v>#VALUE!</v>
      </c>
      <c r="FY143" t="e">
        <f>'2.5.Трудоемкость'!JV13+"BYw!'^&amp;"</f>
        <v>#VALUE!</v>
      </c>
      <c r="FZ143" t="e">
        <f>'2.5.Трудоемкость'!JW13+"BYw!'^'"</f>
        <v>#VALUE!</v>
      </c>
      <c r="GA143" t="e">
        <f>'2.5.Трудоемкость'!JX13+"BYw!'^("</f>
        <v>#VALUE!</v>
      </c>
      <c r="GB143" t="e">
        <f>'2.5.Трудоемкость'!JY13+"BYw!'^)"</f>
        <v>#VALUE!</v>
      </c>
      <c r="GC143" t="e">
        <f>'2.5.Трудоемкость'!JZ13+"BYw!'^."</f>
        <v>#VALUE!</v>
      </c>
      <c r="GD143" t="e">
        <f>'2.5.Трудоемкость'!KA13+"BYw!'^/"</f>
        <v>#VALUE!</v>
      </c>
      <c r="GE143" t="e">
        <f>'2.5.Трудоемкость'!KB13+"BYw!'^0"</f>
        <v>#VALUE!</v>
      </c>
      <c r="GF143" t="e">
        <f>'2.5.Трудоемкость'!KC13+"BYw!'^1"</f>
        <v>#VALUE!</v>
      </c>
      <c r="GG143" t="e">
        <f>'2.5.Трудоемкость'!KD13+"BYw!'^2"</f>
        <v>#VALUE!</v>
      </c>
      <c r="GH143" t="e">
        <f>'2.5.Трудоемкость'!KE13+"BYw!'^3"</f>
        <v>#VALUE!</v>
      </c>
      <c r="GI143" t="e">
        <f>'2.5.Трудоемкость'!KF13+"BYw!'^4"</f>
        <v>#VALUE!</v>
      </c>
      <c r="GJ143" t="e">
        <f>'2.5.Трудоемкость'!KG13+"BYw!'^5"</f>
        <v>#VALUE!</v>
      </c>
      <c r="GK143" t="e">
        <f>'2.5.Трудоемкость'!KH13+"BYw!'^6"</f>
        <v>#VALUE!</v>
      </c>
      <c r="GL143" t="e">
        <f>'2.5.Трудоемкость'!KI13+"BYw!'^7"</f>
        <v>#VALUE!</v>
      </c>
      <c r="GM143" t="e">
        <f>'2.5.Трудоемкость'!KJ13+"BYw!'^8"</f>
        <v>#VALUE!</v>
      </c>
      <c r="GN143" t="e">
        <f>'2.5.Трудоемкость'!KK13+"BYw!'^9"</f>
        <v>#VALUE!</v>
      </c>
      <c r="GO143" t="e">
        <f>'2.5.Трудоемкость'!KL13+"BYw!'^:"</f>
        <v>#VALUE!</v>
      </c>
      <c r="GP143" t="e">
        <f>'2.5.Трудоемкость'!KM13+"BYw!'^;"</f>
        <v>#VALUE!</v>
      </c>
      <c r="GQ143" t="e">
        <f>'2.5.Трудоемкость'!KN13+"BYw!'^&lt;"</f>
        <v>#VALUE!</v>
      </c>
      <c r="GR143" t="e">
        <f>'2.5.Трудоемкость'!KO13+"BYw!'^="</f>
        <v>#VALUE!</v>
      </c>
      <c r="GS143" t="e">
        <f>'2.5.Трудоемкость'!KP13+"BYw!'^&gt;"</f>
        <v>#VALUE!</v>
      </c>
      <c r="GT143" t="e">
        <f>'2.5.Трудоемкость'!KQ13+"BYw!'^?"</f>
        <v>#VALUE!</v>
      </c>
      <c r="GU143" t="e">
        <f>'2.5.Трудоемкость'!KR13+"BYw!'^@"</f>
        <v>#VALUE!</v>
      </c>
      <c r="GV143" t="e">
        <f>'2.5.Трудоемкость'!KS13+"BYw!'^A"</f>
        <v>#VALUE!</v>
      </c>
      <c r="GW143" t="e">
        <f>'2.5.Трудоемкость'!KT13+"BYw!'^B"</f>
        <v>#VALUE!</v>
      </c>
      <c r="GX143" t="e">
        <f>'2.5.Трудоемкость'!KU13+"BYw!'^C"</f>
        <v>#VALUE!</v>
      </c>
      <c r="GY143" t="e">
        <f>'2.5.Трудоемкость'!KV13+"BYw!'^D"</f>
        <v>#VALUE!</v>
      </c>
      <c r="GZ143" t="e">
        <f>'2.5.Трудоемкость'!KW13+"BYw!'^E"</f>
        <v>#VALUE!</v>
      </c>
      <c r="HA143" t="e">
        <f>'2.5.Трудоемкость'!KX13+"BYw!'^F"</f>
        <v>#VALUE!</v>
      </c>
      <c r="HB143" t="e">
        <f>'2.5.Трудоемкость'!KY13+"BYw!'^G"</f>
        <v>#VALUE!</v>
      </c>
      <c r="HC143" t="e">
        <f>'2.5.Трудоемкость'!KZ13+"BYw!'^H"</f>
        <v>#VALUE!</v>
      </c>
      <c r="HD143" t="e">
        <f>'2.5.Трудоемкость'!LA13+"BYw!'^I"</f>
        <v>#VALUE!</v>
      </c>
      <c r="HE143" t="e">
        <f>'2.5.Трудоемкость'!LB13+"BYw!'^J"</f>
        <v>#VALUE!</v>
      </c>
      <c r="HF143" t="e">
        <f>'2.5.Трудоемкость'!LC13+"BYw!'^K"</f>
        <v>#VALUE!</v>
      </c>
      <c r="HG143" t="e">
        <f>'2.5.Трудоемкость'!LD13+"BYw!'^L"</f>
        <v>#VALUE!</v>
      </c>
      <c r="HH143" t="e">
        <f>'2.5.Трудоемкость'!LE13+"BYw!'^M"</f>
        <v>#VALUE!</v>
      </c>
      <c r="HI143" t="e">
        <f>'2.5.Трудоемкость'!LF13+"BYw!'^N"</f>
        <v>#VALUE!</v>
      </c>
      <c r="HJ143" t="e">
        <f>'2.5.Трудоемкость'!LG13+"BYw!'^O"</f>
        <v>#VALUE!</v>
      </c>
      <c r="HK143" t="e">
        <f>'2.5.Трудоемкость'!LH13+"BYw!'^P"</f>
        <v>#VALUE!</v>
      </c>
      <c r="HL143" t="e">
        <f>'2.5.Трудоемкость'!LI13+"BYw!'^Q"</f>
        <v>#VALUE!</v>
      </c>
      <c r="HM143" t="e">
        <f>'2.5.Трудоемкость'!LJ13+"BYw!'^R"</f>
        <v>#VALUE!</v>
      </c>
      <c r="HN143" t="e">
        <f>'2.5.Трудоемкость'!LK13+"BYw!'^S"</f>
        <v>#VALUE!</v>
      </c>
      <c r="HO143" t="e">
        <f>'2.5.Трудоемкость'!LL13+"BYw!'^T"</f>
        <v>#VALUE!</v>
      </c>
      <c r="HP143" t="e">
        <f>'2.5.Трудоемкость'!LM13+"BYw!'^U"</f>
        <v>#VALUE!</v>
      </c>
      <c r="HQ143" t="e">
        <f>'2.5.Трудоемкость'!LN13+"BYw!'^V"</f>
        <v>#VALUE!</v>
      </c>
      <c r="HR143" t="e">
        <f>'2.5.Трудоемкость'!LO13+"BYw!'^W"</f>
        <v>#VALUE!</v>
      </c>
      <c r="HS143" t="e">
        <f>'2.5.Трудоемкость'!LP13+"BYw!'^X"</f>
        <v>#VALUE!</v>
      </c>
      <c r="HT143" t="e">
        <f>'2.5.Трудоемкость'!LQ13+"BYw!'^Y"</f>
        <v>#VALUE!</v>
      </c>
      <c r="HU143" t="e">
        <f>'2.5.Трудоемкость'!LR13+"BYw!'^Z"</f>
        <v>#VALUE!</v>
      </c>
      <c r="HV143" t="e">
        <f>'2.5.Трудоемкость'!LS13+"BYw!'^["</f>
        <v>#VALUE!</v>
      </c>
      <c r="HW143" t="e">
        <f>'2.5.Трудоемкость'!LT13+"BYw!'^\"</f>
        <v>#VALUE!</v>
      </c>
      <c r="HX143" t="e">
        <f>'2.5.Трудоемкость'!LU13+"BYw!'^]"</f>
        <v>#VALUE!</v>
      </c>
      <c r="HY143" t="e">
        <f>'2.5.Трудоемкость'!LV13+"BYw!'^^"</f>
        <v>#VALUE!</v>
      </c>
      <c r="HZ143" t="e">
        <f>'2.5.Трудоемкость'!LW13+"BYw!'^_"</f>
        <v>#VALUE!</v>
      </c>
      <c r="IA143" t="e">
        <f>'2.5.Трудоемкость'!LX13+"BYw!'^`"</f>
        <v>#VALUE!</v>
      </c>
      <c r="IB143" t="e">
        <f>'2.5.Трудоемкость'!LY13+"BYw!'^a"</f>
        <v>#VALUE!</v>
      </c>
      <c r="IC143" t="e">
        <f>'2.5.Трудоемкость'!LZ13+"BYw!'^b"</f>
        <v>#VALUE!</v>
      </c>
      <c r="ID143" t="e">
        <f>'2.5.Трудоемкость'!MA13+"BYw!'^c"</f>
        <v>#VALUE!</v>
      </c>
      <c r="IE143" t="e">
        <f>'2.5.Трудоемкость'!MB13+"BYw!'^d"</f>
        <v>#VALUE!</v>
      </c>
      <c r="IF143" t="e">
        <f>'2.5.Трудоемкость'!MC13+"BYw!'^e"</f>
        <v>#VALUE!</v>
      </c>
      <c r="IG143" t="e">
        <f>'2.5.Трудоемкость'!MD13+"BYw!'^f"</f>
        <v>#VALUE!</v>
      </c>
      <c r="IH143" t="e">
        <f>'2.5.Трудоемкость'!ME13+"BYw!'^g"</f>
        <v>#VALUE!</v>
      </c>
      <c r="II143" t="e">
        <f>'2.5.Трудоемкость'!MF13+"BYw!'^h"</f>
        <v>#VALUE!</v>
      </c>
      <c r="IJ143" t="e">
        <f>'2.5.Трудоемкость'!MG13+"BYw!'^i"</f>
        <v>#VALUE!</v>
      </c>
      <c r="IK143" t="e">
        <f>'2.5.Трудоемкость'!MH13+"BYw!'^j"</f>
        <v>#VALUE!</v>
      </c>
      <c r="IL143" t="e">
        <f>'2.5.Трудоемкость'!MI13+"BYw!'^k"</f>
        <v>#VALUE!</v>
      </c>
      <c r="IM143" t="e">
        <f>'2.5.Трудоемкость'!MJ13+"BYw!'^l"</f>
        <v>#VALUE!</v>
      </c>
      <c r="IN143" t="e">
        <f>'2.5.Трудоемкость'!MK13+"BYw!'^m"</f>
        <v>#VALUE!</v>
      </c>
      <c r="IO143" t="e">
        <f>'2.5.Трудоемкость'!ML13+"BYw!'^n"</f>
        <v>#VALUE!</v>
      </c>
      <c r="IP143" t="e">
        <f>'2.5.Трудоемкость'!MM13+"BYw!'^o"</f>
        <v>#VALUE!</v>
      </c>
      <c r="IQ143" t="e">
        <f>'2.5.Трудоемкость'!MN13+"BYw!'^p"</f>
        <v>#VALUE!</v>
      </c>
      <c r="IR143" t="e">
        <f>'2.5.Трудоемкость'!MO13+"BYw!'^q"</f>
        <v>#VALUE!</v>
      </c>
      <c r="IS143" t="e">
        <f>'2.5.Трудоемкость'!MP13+"BYw!'^r"</f>
        <v>#VALUE!</v>
      </c>
      <c r="IT143" t="e">
        <f>'2.5.Трудоемкость'!MQ13+"BYw!'^s"</f>
        <v>#VALUE!</v>
      </c>
      <c r="IU143" t="e">
        <f>'2.5.Трудоемкость'!MR13+"BYw!'^t"</f>
        <v>#VALUE!</v>
      </c>
      <c r="IV143" t="e">
        <f>'2.5.Трудоемкость'!MS13+"BYw!'^u"</f>
        <v>#VALUE!</v>
      </c>
    </row>
    <row r="144" spans="6:256" x14ac:dyDescent="0.2">
      <c r="F144" t="e">
        <f>'2.5.Трудоемкость'!MT13+"BYw!'^v"</f>
        <v>#VALUE!</v>
      </c>
      <c r="G144" t="e">
        <f>'2.5.Трудоемкость'!MU13+"BYw!'^w"</f>
        <v>#VALUE!</v>
      </c>
      <c r="H144" t="e">
        <f>'2.5.Трудоемкость'!MV13+"BYw!'^x"</f>
        <v>#VALUE!</v>
      </c>
      <c r="I144" t="e">
        <f>'2.5.Трудоемкость'!MW13+"BYw!'^y"</f>
        <v>#VALUE!</v>
      </c>
      <c r="J144" t="e">
        <f>'2.5.Трудоемкость'!MX13+"BYw!'^z"</f>
        <v>#VALUE!</v>
      </c>
      <c r="K144" t="e">
        <f>'2.5.Трудоемкость'!MY13+"BYw!'^{"</f>
        <v>#VALUE!</v>
      </c>
      <c r="L144" t="e">
        <f>'2.5.Трудоемкость'!MZ13+"BYw!'^|"</f>
        <v>#VALUE!</v>
      </c>
      <c r="M144" t="e">
        <f>'2.5.Трудоемкость'!NA13+"BYw!'^}"</f>
        <v>#VALUE!</v>
      </c>
      <c r="N144" t="e">
        <f>'2.5.Трудоемкость'!NB13+"BYw!'^~"</f>
        <v>#VALUE!</v>
      </c>
      <c r="O144" t="e">
        <f>'2.5.Трудоемкость'!NC13+"BYw!'_#"</f>
        <v>#VALUE!</v>
      </c>
      <c r="P144" t="e">
        <f>'2.5.Трудоемкость'!ND13+"BYw!'_$"</f>
        <v>#VALUE!</v>
      </c>
      <c r="Q144" t="e">
        <f>'2.5.Трудоемкость'!NE13+"BYw!'_%"</f>
        <v>#VALUE!</v>
      </c>
      <c r="R144" t="e">
        <f>'2.5.Трудоемкость'!NF13+"BYw!'_&amp;"</f>
        <v>#VALUE!</v>
      </c>
      <c r="S144" t="e">
        <f>'2.5.Трудоемкость'!NG13+"BYw!'_'"</f>
        <v>#VALUE!</v>
      </c>
      <c r="T144" t="e">
        <f>'2.5.Трудоемкость'!NH13+"BYw!'_("</f>
        <v>#VALUE!</v>
      </c>
      <c r="U144" t="e">
        <f>'2.5.Трудоемкость'!NI13+"BYw!'_)"</f>
        <v>#VALUE!</v>
      </c>
      <c r="V144" t="e">
        <f>'2.5.Трудоемкость'!NJ13+"BYw!'_."</f>
        <v>#VALUE!</v>
      </c>
      <c r="W144" t="e">
        <f>'2.5.Трудоемкость'!NK13+"BYw!'_/"</f>
        <v>#VALUE!</v>
      </c>
      <c r="X144" t="e">
        <f>'2.5.Трудоемкость'!NL13+"BYw!'_0"</f>
        <v>#VALUE!</v>
      </c>
      <c r="Y144" t="e">
        <f>'2.5.Трудоемкость'!NM13+"BYw!'_1"</f>
        <v>#VALUE!</v>
      </c>
      <c r="Z144" t="e">
        <f>'2.5.Трудоемкость'!NN13+"BYw!'_2"</f>
        <v>#VALUE!</v>
      </c>
      <c r="AA144" t="e">
        <f>'2.5.Трудоемкость'!NO13+"BYw!'_3"</f>
        <v>#VALUE!</v>
      </c>
      <c r="AB144" t="e">
        <f>'2.5.Трудоемкость'!NP13+"BYw!'_4"</f>
        <v>#VALUE!</v>
      </c>
      <c r="AC144" t="e">
        <f>'2.5.Трудоемкость'!NQ13+"BYw!'_5"</f>
        <v>#VALUE!</v>
      </c>
      <c r="AD144" t="e">
        <f>'2.5.Трудоемкость'!NR13+"BYw!'_6"</f>
        <v>#VALUE!</v>
      </c>
      <c r="AE144" t="e">
        <f>'2.5.Трудоемкость'!NS13+"BYw!'_7"</f>
        <v>#VALUE!</v>
      </c>
      <c r="AF144" t="e">
        <f>'2.5.Трудоемкость'!NT13+"BYw!'_8"</f>
        <v>#VALUE!</v>
      </c>
      <c r="AG144" t="e">
        <f>'2.5.Трудоемкость'!NU13+"BYw!'_9"</f>
        <v>#VALUE!</v>
      </c>
      <c r="AH144" t="e">
        <f>'2.5.Трудоемкость'!NV13+"BYw!'_:"</f>
        <v>#VALUE!</v>
      </c>
      <c r="AI144" t="e">
        <f>'2.5.Трудоемкость'!NW13+"BYw!'_;"</f>
        <v>#VALUE!</v>
      </c>
      <c r="AJ144" t="e">
        <f>'2.5.Трудоемкость'!NX13+"BYw!'_&lt;"</f>
        <v>#VALUE!</v>
      </c>
      <c r="AK144" t="e">
        <f>'2.5.Трудоемкость'!NY13+"BYw!'_="</f>
        <v>#VALUE!</v>
      </c>
      <c r="AL144" t="e">
        <f>'2.5.Трудоемкость'!NZ13+"BYw!'_&gt;"</f>
        <v>#VALUE!</v>
      </c>
      <c r="AM144" t="e">
        <f>'2.5.Трудоемкость'!OA13+"BYw!'_?"</f>
        <v>#VALUE!</v>
      </c>
      <c r="AN144" t="e">
        <f>'2.5.Трудоемкость'!OB13+"BYw!'_@"</f>
        <v>#VALUE!</v>
      </c>
      <c r="AO144" t="e">
        <f>'2.5.Трудоемкость'!OC13+"BYw!'_A"</f>
        <v>#VALUE!</v>
      </c>
      <c r="AP144" t="e">
        <f>'2.5.Трудоемкость'!OD13+"BYw!'_B"</f>
        <v>#VALUE!</v>
      </c>
      <c r="AQ144" t="e">
        <f>'2.5.Трудоемкость'!OE13+"BYw!'_C"</f>
        <v>#VALUE!</v>
      </c>
      <c r="AR144" t="e">
        <f>'2.5.Трудоемкость'!OF13+"BYw!'_D"</f>
        <v>#VALUE!</v>
      </c>
      <c r="AS144" t="e">
        <f>'2.5.Трудоемкость'!OG13+"BYw!'_E"</f>
        <v>#VALUE!</v>
      </c>
      <c r="AT144" t="e">
        <f>'2.5.Трудоемкость'!OH13+"BYw!'_F"</f>
        <v>#VALUE!</v>
      </c>
      <c r="AU144" t="e">
        <f>'2.5.Трудоемкость'!OI13+"BYw!'_G"</f>
        <v>#VALUE!</v>
      </c>
      <c r="AV144" t="e">
        <f>'2.5.Трудоемкость'!OJ13+"BYw!'_H"</f>
        <v>#VALUE!</v>
      </c>
      <c r="AW144" t="e">
        <f>'2.5.Трудоемкость'!OK13+"BYw!'_I"</f>
        <v>#VALUE!</v>
      </c>
      <c r="AX144" t="e">
        <f>'2.5.Трудоемкость'!OL13+"BYw!'_J"</f>
        <v>#VALUE!</v>
      </c>
      <c r="AY144" t="e">
        <f>'2.5.Трудоемкость'!OM13+"BYw!'_K"</f>
        <v>#VALUE!</v>
      </c>
      <c r="AZ144" t="e">
        <f>'2.5.Трудоемкость'!ON13+"BYw!'_L"</f>
        <v>#VALUE!</v>
      </c>
      <c r="BA144" t="e">
        <f>'2.5.Трудоемкость'!OO13+"BYw!'_M"</f>
        <v>#VALUE!</v>
      </c>
      <c r="BB144" t="e">
        <f>'2.5.Трудоемкость'!OP13+"BYw!'_N"</f>
        <v>#VALUE!</v>
      </c>
      <c r="BC144" t="e">
        <f>'2.5.Трудоемкость'!OQ13+"BYw!'_O"</f>
        <v>#VALUE!</v>
      </c>
      <c r="BD144" t="e">
        <f>'2.5.Трудоемкость'!OR13+"BYw!'_P"</f>
        <v>#VALUE!</v>
      </c>
      <c r="BE144" t="e">
        <f>'2.5.Трудоемкость'!OS13+"BYw!'_Q"</f>
        <v>#VALUE!</v>
      </c>
      <c r="BF144" t="e">
        <f>'2.5.Трудоемкость'!OT13+"BYw!'_R"</f>
        <v>#VALUE!</v>
      </c>
      <c r="BG144" t="e">
        <f>'2.5.Трудоемкость'!OU13+"BYw!'_S"</f>
        <v>#VALUE!</v>
      </c>
      <c r="BH144" t="e">
        <f>'2.5.Трудоемкость'!OV13+"BYw!'_T"</f>
        <v>#VALUE!</v>
      </c>
      <c r="BI144" t="e">
        <f>'2.5.Трудоемкость'!OW13+"BYw!'_U"</f>
        <v>#VALUE!</v>
      </c>
      <c r="BJ144" t="e">
        <f>'2.5.Трудоемкость'!OX13+"BYw!'_V"</f>
        <v>#VALUE!</v>
      </c>
      <c r="BK144" t="e">
        <f>'2.5.Трудоемкость'!OY13+"BYw!'_W"</f>
        <v>#VALUE!</v>
      </c>
      <c r="BL144" t="e">
        <f>'2.5.Трудоемкость'!OZ13+"BYw!'_X"</f>
        <v>#VALUE!</v>
      </c>
      <c r="BM144" t="e">
        <f>'2.5.Трудоемкость'!PA13+"BYw!'_Y"</f>
        <v>#VALUE!</v>
      </c>
      <c r="BN144" t="e">
        <f>'2.5.Трудоемкость'!PB13+"BYw!'_Z"</f>
        <v>#VALUE!</v>
      </c>
      <c r="BO144" t="e">
        <f>'2.5.Трудоемкость'!PC13+"BYw!'_["</f>
        <v>#VALUE!</v>
      </c>
      <c r="BP144" t="e">
        <f>'2.5.Трудоемкость'!PD13+"BYw!'_\"</f>
        <v>#VALUE!</v>
      </c>
      <c r="BQ144" t="e">
        <f>'2.5.Трудоемкость'!PE13+"BYw!'_]"</f>
        <v>#VALUE!</v>
      </c>
      <c r="BR144" t="e">
        <f>'2.5.Трудоемкость'!PF13+"BYw!'_^"</f>
        <v>#VALUE!</v>
      </c>
      <c r="BS144" t="e">
        <f>'2.5.Трудоемкость'!PG13+"BYw!'__"</f>
        <v>#VALUE!</v>
      </c>
      <c r="BT144" t="e">
        <f>'2.5.Трудоемкость'!PH13+"BYw!'_`"</f>
        <v>#VALUE!</v>
      </c>
      <c r="BU144" t="e">
        <f>'2.5.Трудоемкость'!PI13+"BYw!'_a"</f>
        <v>#VALUE!</v>
      </c>
      <c r="BV144" t="e">
        <f>'2.5.Трудоемкость'!PJ13+"BYw!'_b"</f>
        <v>#VALUE!</v>
      </c>
      <c r="BW144" t="e">
        <f>'2.5.Трудоемкость'!PK13+"BYw!'_c"</f>
        <v>#VALUE!</v>
      </c>
      <c r="BX144" t="e">
        <f>'2.5.Трудоемкость'!PL13+"BYw!'_d"</f>
        <v>#VALUE!</v>
      </c>
      <c r="BY144" t="e">
        <f>'2.5.Трудоемкость'!PM13+"BYw!'_e"</f>
        <v>#VALUE!</v>
      </c>
      <c r="BZ144" t="e">
        <f>'2.5.Трудоемкость'!PN13+"BYw!'_f"</f>
        <v>#VALUE!</v>
      </c>
      <c r="CA144" t="e">
        <f>'2.5.Трудоемкость'!PO13+"BYw!'_g"</f>
        <v>#VALUE!</v>
      </c>
      <c r="CB144" t="e">
        <f>'2.5.Трудоемкость'!PP13+"BYw!'_h"</f>
        <v>#VALUE!</v>
      </c>
      <c r="CC144" t="e">
        <f>'2.5.Трудоемкость'!PQ13+"BYw!'_i"</f>
        <v>#VALUE!</v>
      </c>
      <c r="CD144" t="e">
        <f>'2.5.Трудоемкость'!PR13+"BYw!'_j"</f>
        <v>#VALUE!</v>
      </c>
      <c r="CE144" t="e">
        <f>'2.5.Трудоемкость'!PS13+"BYw!'_k"</f>
        <v>#VALUE!</v>
      </c>
      <c r="CF144" t="e">
        <f>'2.5.Трудоемкость'!PT13+"BYw!'_l"</f>
        <v>#VALUE!</v>
      </c>
      <c r="CG144" t="e">
        <f>'2.5.Трудоемкость'!PU13+"BYw!'_m"</f>
        <v>#VALUE!</v>
      </c>
      <c r="CH144" t="e">
        <f>'2.5.Трудоемкость'!PV13+"BYw!'_n"</f>
        <v>#VALUE!</v>
      </c>
      <c r="CI144" t="e">
        <f>'2.5.Трудоемкость'!PW13+"BYw!'_o"</f>
        <v>#VALUE!</v>
      </c>
      <c r="CJ144" t="e">
        <f>'2.5.Трудоемкость'!PX13+"BYw!'_p"</f>
        <v>#VALUE!</v>
      </c>
      <c r="CK144" t="e">
        <f>'2.5.Трудоемкость'!PY13+"BYw!'_q"</f>
        <v>#VALUE!</v>
      </c>
      <c r="CL144" t="e">
        <f>'2.5.Трудоемкость'!PZ13+"BYw!'_r"</f>
        <v>#VALUE!</v>
      </c>
      <c r="CM144" t="e">
        <f>'2.5.Трудоемкость'!QA13+"BYw!'_s"</f>
        <v>#VALUE!</v>
      </c>
      <c r="CN144" t="e">
        <f>'2.5.Трудоемкость'!QB13+"BYw!'_t"</f>
        <v>#VALUE!</v>
      </c>
      <c r="CO144" t="e">
        <f>'2.5.Трудоемкость'!QC13+"BYw!'_u"</f>
        <v>#VALUE!</v>
      </c>
      <c r="CP144" t="e">
        <f>'2.5.Трудоемкость'!QD13+"BYw!'_v"</f>
        <v>#VALUE!</v>
      </c>
      <c r="CQ144" t="e">
        <f>'2.5.Трудоемкость'!QE13+"BYw!'_w"</f>
        <v>#VALUE!</v>
      </c>
      <c r="CR144" t="e">
        <f>'2.5.Трудоемкость'!QF13+"BYw!'_x"</f>
        <v>#VALUE!</v>
      </c>
      <c r="CS144" t="e">
        <f>'2.5.Трудоемкость'!QG13+"BYw!'_y"</f>
        <v>#VALUE!</v>
      </c>
      <c r="CT144" t="e">
        <f>'2.5.Трудоемкость'!QH13+"BYw!'_z"</f>
        <v>#VALUE!</v>
      </c>
      <c r="CU144" t="e">
        <f>'2.5.Трудоемкость'!QI13+"BYw!'_{"</f>
        <v>#VALUE!</v>
      </c>
      <c r="CV144" t="e">
        <f>'2.5.Трудоемкость'!QJ13+"BYw!'_|"</f>
        <v>#VALUE!</v>
      </c>
      <c r="CW144" t="e">
        <f>'2.5.Трудоемкость'!QK13+"BYw!'_}"</f>
        <v>#VALUE!</v>
      </c>
      <c r="CX144" t="e">
        <f>'2.5.Трудоемкость'!QL13+"BYw!'_~"</f>
        <v>#VALUE!</v>
      </c>
      <c r="CY144" t="e">
        <f>'2.5.Трудоемкость'!QM13+"BYw!'`#"</f>
        <v>#VALUE!</v>
      </c>
      <c r="CZ144" t="e">
        <f>'2.5.Трудоемкость'!QN13+"BYw!'`$"</f>
        <v>#VALUE!</v>
      </c>
      <c r="DA144" t="e">
        <f>'2.5.Трудоемкость'!QO13+"BYw!'`%"</f>
        <v>#VALUE!</v>
      </c>
      <c r="DB144" t="e">
        <f>'2.5.Трудоемкость'!QP13+"BYw!'`&amp;"</f>
        <v>#VALUE!</v>
      </c>
      <c r="DC144" t="e">
        <f>'2.5.Трудоемкость'!QQ13+"BYw!'`'"</f>
        <v>#VALUE!</v>
      </c>
      <c r="DD144" t="e">
        <f>'2.5.Трудоемкость'!QR13+"BYw!'`("</f>
        <v>#VALUE!</v>
      </c>
      <c r="DE144" t="e">
        <f>'2.5.Трудоемкость'!QS13+"BYw!'`)"</f>
        <v>#VALUE!</v>
      </c>
      <c r="DF144" t="e">
        <f>'2.5.Трудоемкость'!QT13+"BYw!'`."</f>
        <v>#VALUE!</v>
      </c>
      <c r="DG144" t="e">
        <f>'2.5.Трудоемкость'!QU13+"BYw!'`/"</f>
        <v>#VALUE!</v>
      </c>
      <c r="DH144" t="e">
        <f>'2.5.Трудоемкость'!QV13+"BYw!'`0"</f>
        <v>#VALUE!</v>
      </c>
      <c r="DI144" t="e">
        <f>'2.5.Трудоемкость'!QW13+"BYw!'`1"</f>
        <v>#VALUE!</v>
      </c>
      <c r="DJ144" t="e">
        <f>'2.5.Трудоемкость'!QX13+"BYw!'`2"</f>
        <v>#VALUE!</v>
      </c>
      <c r="DK144" t="e">
        <f>'2.5.Трудоемкость'!QY13+"BYw!'`3"</f>
        <v>#VALUE!</v>
      </c>
      <c r="DL144" t="e">
        <f>'2.5.Трудоемкость'!QZ13+"BYw!'`4"</f>
        <v>#VALUE!</v>
      </c>
      <c r="DM144" t="e">
        <f>'2.5.Трудоемкость'!RA13+"BYw!'`5"</f>
        <v>#VALUE!</v>
      </c>
      <c r="DN144" t="e">
        <f>'2.5.Трудоемкость'!RB13+"BYw!'`6"</f>
        <v>#VALUE!</v>
      </c>
      <c r="DO144" t="e">
        <f>'2.5.Трудоемкость'!RC13+"BYw!'`7"</f>
        <v>#VALUE!</v>
      </c>
      <c r="DP144" t="e">
        <f>'2.5.Трудоемкость'!RD13+"BYw!'`8"</f>
        <v>#VALUE!</v>
      </c>
      <c r="DQ144" t="e">
        <f>'2.5.Трудоемкость'!RE13+"BYw!'`9"</f>
        <v>#VALUE!</v>
      </c>
      <c r="DR144" t="e">
        <f>'2.5.Трудоемкость'!RF13+"BYw!'`:"</f>
        <v>#VALUE!</v>
      </c>
      <c r="DS144" t="e">
        <f>'2.5.Трудоемкость'!RG13+"BYw!'`;"</f>
        <v>#VALUE!</v>
      </c>
      <c r="DT144" t="e">
        <f>'2.5.Трудоемкость'!RH13+"BYw!'`&lt;"</f>
        <v>#VALUE!</v>
      </c>
      <c r="DU144" t="e">
        <f>'2.5.Трудоемкость'!RI13+"BYw!'`="</f>
        <v>#VALUE!</v>
      </c>
      <c r="DV144" t="e">
        <f>'2.5.Трудоемкость'!RJ13+"BYw!'`&gt;"</f>
        <v>#VALUE!</v>
      </c>
      <c r="DW144" t="e">
        <f>'2.5.Трудоемкость'!RK13+"BYw!'`?"</f>
        <v>#VALUE!</v>
      </c>
      <c r="DX144" t="e">
        <f>'2.5.Трудоемкость'!RL13+"BYw!'`@"</f>
        <v>#VALUE!</v>
      </c>
      <c r="DY144" t="e">
        <f>'2.5.Трудоемкость'!RM13+"BYw!'`A"</f>
        <v>#VALUE!</v>
      </c>
      <c r="DZ144" t="e">
        <f>'2.5.Трудоемкость'!RN13+"BYw!'`B"</f>
        <v>#VALUE!</v>
      </c>
      <c r="EA144" t="e">
        <f>'2.5.Трудоемкость'!RO13+"BYw!'`C"</f>
        <v>#VALUE!</v>
      </c>
      <c r="EB144" t="e">
        <f>'2.5.Трудоемкость'!RP13+"BYw!'`D"</f>
        <v>#VALUE!</v>
      </c>
      <c r="EC144" t="e">
        <f>'2.5.Трудоемкость'!RQ13+"BYw!'`E"</f>
        <v>#VALUE!</v>
      </c>
      <c r="ED144" t="e">
        <f>'2.5.Трудоемкость'!RR13+"BYw!'`F"</f>
        <v>#VALUE!</v>
      </c>
      <c r="EE144" t="e">
        <f>'2.5.Трудоемкость'!RS13+"BYw!'`G"</f>
        <v>#VALUE!</v>
      </c>
      <c r="EF144" t="e">
        <f>'2.5.Трудоемкость'!RT13+"BYw!'`H"</f>
        <v>#VALUE!</v>
      </c>
      <c r="EG144" t="e">
        <f>'2.5.Трудоемкость'!RU13+"BYw!'`I"</f>
        <v>#VALUE!</v>
      </c>
      <c r="EH144" t="e">
        <f>'2.5.Трудоемкость'!RV13+"BYw!'`J"</f>
        <v>#VALUE!</v>
      </c>
      <c r="EI144" t="e">
        <f>'2.5.Трудоемкость'!RW13+"BYw!'`K"</f>
        <v>#VALUE!</v>
      </c>
      <c r="EJ144" t="e">
        <f>'2.5.Трудоемкость'!RX13+"BYw!'`L"</f>
        <v>#VALUE!</v>
      </c>
      <c r="EK144" t="e">
        <f>'2.5.Трудоемкость'!RY13+"BYw!'`M"</f>
        <v>#VALUE!</v>
      </c>
      <c r="EL144" t="e">
        <f>'2.5.Трудоемкость'!RZ13+"BYw!'`N"</f>
        <v>#VALUE!</v>
      </c>
      <c r="EM144" t="e">
        <f>'2.5.Трудоемкость'!SA13+"BYw!'`O"</f>
        <v>#VALUE!</v>
      </c>
      <c r="EN144" t="e">
        <f>'2.5.Трудоемкость'!SB13+"BYw!'`P"</f>
        <v>#VALUE!</v>
      </c>
      <c r="EO144" t="e">
        <f>'2.5.Трудоемкость'!SC13+"BYw!'`Q"</f>
        <v>#VALUE!</v>
      </c>
      <c r="EP144" t="e">
        <f>'2.5.Трудоемкость'!SD13+"BYw!'`R"</f>
        <v>#VALUE!</v>
      </c>
      <c r="EQ144" t="e">
        <f>'2.5.Трудоемкость'!SE13+"BYw!'`S"</f>
        <v>#VALUE!</v>
      </c>
      <c r="ER144" t="e">
        <f>'2.5.Трудоемкость'!SF13+"BYw!'`T"</f>
        <v>#VALUE!</v>
      </c>
      <c r="ES144" t="e">
        <f>'2.5.Трудоемкость'!SG13+"BYw!'`U"</f>
        <v>#VALUE!</v>
      </c>
      <c r="ET144" t="e">
        <f>'2.5.Трудоемкость'!SH13+"BYw!'`V"</f>
        <v>#VALUE!</v>
      </c>
      <c r="EU144" t="e">
        <f>'2.5.Трудоемкость'!SI13+"BYw!'`W"</f>
        <v>#VALUE!</v>
      </c>
      <c r="EV144" t="e">
        <f>'2.5.Трудоемкость'!SJ13+"BYw!'`X"</f>
        <v>#VALUE!</v>
      </c>
      <c r="EW144" t="e">
        <f>'2.5.Трудоемкость'!SK13+"BYw!'`Y"</f>
        <v>#VALUE!</v>
      </c>
      <c r="EX144" t="e">
        <f>'2.5.Трудоемкость'!SL13+"BYw!'`Z"</f>
        <v>#VALUE!</v>
      </c>
      <c r="EY144" t="e">
        <f>'2.5.Трудоемкость'!SM13+"BYw!'`["</f>
        <v>#VALUE!</v>
      </c>
      <c r="EZ144" t="e">
        <f>'2.5.Трудоемкость'!SN13+"BYw!'`\"</f>
        <v>#VALUE!</v>
      </c>
      <c r="FA144" t="e">
        <f>'2.5.Трудоемкость'!SO13+"BYw!'`]"</f>
        <v>#VALUE!</v>
      </c>
      <c r="FB144" t="e">
        <f>'2.5.Трудоемкость'!SP13+"BYw!'`^"</f>
        <v>#VALUE!</v>
      </c>
      <c r="FC144" t="e">
        <f>'2.5.Трудоемкость'!SQ13+"BYw!'`_"</f>
        <v>#VALUE!</v>
      </c>
      <c r="FD144" t="e">
        <f>'2.5.Трудоемкость'!SR13+"BYw!'``"</f>
        <v>#VALUE!</v>
      </c>
      <c r="FE144" t="e">
        <f>'2.5.Трудоемкость'!SS13+"BYw!'`a"</f>
        <v>#VALUE!</v>
      </c>
      <c r="FF144" t="e">
        <f>'2.5.Трудоемкость'!ST13+"BYw!'`b"</f>
        <v>#VALUE!</v>
      </c>
      <c r="FG144" t="e">
        <f>'2.5.Трудоемкость'!SU13+"BYw!'`c"</f>
        <v>#VALUE!</v>
      </c>
      <c r="FH144" t="e">
        <f>'2.5.Трудоемкость'!SV13+"BYw!'`d"</f>
        <v>#VALUE!</v>
      </c>
      <c r="FI144" t="e">
        <f>'2.5.Трудоемкость'!SW13+"BYw!'`e"</f>
        <v>#VALUE!</v>
      </c>
      <c r="FJ144" t="e">
        <f>'2.5.Трудоемкость'!SX13+"BYw!'`f"</f>
        <v>#VALUE!</v>
      </c>
      <c r="FK144" t="e">
        <f>'2.5.Трудоемкость'!SY13+"BYw!'`g"</f>
        <v>#VALUE!</v>
      </c>
      <c r="FL144" t="e">
        <f>'2.5.Трудоемкость'!SZ13+"BYw!'`h"</f>
        <v>#VALUE!</v>
      </c>
      <c r="FM144" t="e">
        <f>'2.5.Трудоемкость'!TA13+"BYw!'`i"</f>
        <v>#VALUE!</v>
      </c>
      <c r="FN144" t="e">
        <f>'2.5.Трудоемкость'!TB13+"BYw!'`j"</f>
        <v>#VALUE!</v>
      </c>
      <c r="FO144" t="e">
        <f>'2.5.Трудоемкость'!TC13+"BYw!'`k"</f>
        <v>#VALUE!</v>
      </c>
      <c r="FP144" t="e">
        <f>'2.5.Трудоемкость'!TD13+"BYw!'`l"</f>
        <v>#VALUE!</v>
      </c>
      <c r="FQ144" t="e">
        <f>'2.5.Трудоемкость'!TE13+"BYw!'`m"</f>
        <v>#VALUE!</v>
      </c>
      <c r="FR144" t="e">
        <f>'2.5.Трудоемкость'!TF13+"BYw!'`n"</f>
        <v>#VALUE!</v>
      </c>
      <c r="FS144" t="e">
        <f>'2.5.Трудоемкость'!TG13+"BYw!'`o"</f>
        <v>#VALUE!</v>
      </c>
      <c r="FT144" t="e">
        <f>'2.5.Трудоемкость'!TH13+"BYw!'`p"</f>
        <v>#VALUE!</v>
      </c>
      <c r="FU144" t="e">
        <f>'2.5.Трудоемкость'!TI13+"BYw!'`q"</f>
        <v>#VALUE!</v>
      </c>
      <c r="FV144" t="e">
        <f>'2.5.Трудоемкость'!TJ13+"BYw!'`r"</f>
        <v>#VALUE!</v>
      </c>
      <c r="FW144" t="e">
        <f>'2.5.Трудоемкость'!TK13+"BYw!'`s"</f>
        <v>#VALUE!</v>
      </c>
      <c r="FX144" t="e">
        <f>'2.5.Трудоемкость'!TL13+"BYw!'`t"</f>
        <v>#VALUE!</v>
      </c>
      <c r="FY144" t="e">
        <f>'2.5.Трудоемкость'!TM13+"BYw!'`u"</f>
        <v>#VALUE!</v>
      </c>
      <c r="FZ144" t="e">
        <f>'2.5.Трудоемкость'!TN13+"BYw!'`v"</f>
        <v>#VALUE!</v>
      </c>
      <c r="GA144" t="e">
        <f>'2.5.Трудоемкость'!TO13+"BYw!'`w"</f>
        <v>#VALUE!</v>
      </c>
      <c r="GB144" t="e">
        <f>'2.5.Трудоемкость'!TP13+"BYw!'`x"</f>
        <v>#VALUE!</v>
      </c>
      <c r="GC144" t="e">
        <f>'2.5.Трудоемкость'!TQ13+"BYw!'`y"</f>
        <v>#VALUE!</v>
      </c>
      <c r="GD144" t="e">
        <f>'2.5.Трудоемкость'!TR13+"BYw!'`z"</f>
        <v>#VALUE!</v>
      </c>
      <c r="GE144" t="e">
        <f>'2.5.Трудоемкость'!TS13+"BYw!'`{"</f>
        <v>#VALUE!</v>
      </c>
      <c r="GF144" t="e">
        <f>'2.5.Трудоемкость'!TT13+"BYw!'`|"</f>
        <v>#VALUE!</v>
      </c>
      <c r="GG144" t="e">
        <f>'2.5.Трудоемкость'!TU13+"BYw!'`}"</f>
        <v>#VALUE!</v>
      </c>
      <c r="GH144" t="e">
        <f>'2.5.Трудоемкость'!TV13+"BYw!'`~"</f>
        <v>#VALUE!</v>
      </c>
      <c r="GI144" t="e">
        <f>'2.5.Трудоемкость'!TW13+"BYw!'a#"</f>
        <v>#VALUE!</v>
      </c>
      <c r="GJ144" t="e">
        <f>'2.5.Трудоемкость'!TX13+"BYw!'a$"</f>
        <v>#VALUE!</v>
      </c>
      <c r="GK144" t="e">
        <f>'2.5.Трудоемкость'!TY13+"BYw!'a%"</f>
        <v>#VALUE!</v>
      </c>
      <c r="GL144" t="e">
        <f>'2.5.Трудоемкость'!TZ13+"BYw!'a&amp;"</f>
        <v>#VALUE!</v>
      </c>
      <c r="GM144" t="e">
        <f>'2.5.Трудоемкость'!UA13+"BYw!'a'"</f>
        <v>#VALUE!</v>
      </c>
      <c r="GN144" t="e">
        <f>'2.5.Трудоемкость'!UB13+"BYw!'a("</f>
        <v>#VALUE!</v>
      </c>
      <c r="GO144" t="e">
        <f>'2.5.Трудоемкость'!UC13+"BYw!'a)"</f>
        <v>#VALUE!</v>
      </c>
      <c r="GP144" t="e">
        <f>'2.5.Трудоемкость'!UD13+"BYw!'a."</f>
        <v>#VALUE!</v>
      </c>
      <c r="GQ144" t="e">
        <f>'2.5.Трудоемкость'!UE13+"BYw!'a/"</f>
        <v>#VALUE!</v>
      </c>
      <c r="GR144" t="e">
        <f>'2.5.Трудоемкость'!UF13+"BYw!'a0"</f>
        <v>#VALUE!</v>
      </c>
      <c r="GS144" t="e">
        <f>'2.5.Трудоемкость'!UG13+"BYw!'a1"</f>
        <v>#VALUE!</v>
      </c>
      <c r="GT144" t="e">
        <f>'2.5.Трудоемкость'!UH13+"BYw!'a2"</f>
        <v>#VALUE!</v>
      </c>
      <c r="GU144" t="e">
        <f>'2.5.Трудоемкость'!UI13+"BYw!'a3"</f>
        <v>#VALUE!</v>
      </c>
      <c r="GV144" t="e">
        <f>'2.5.Трудоемкость'!UJ13+"BYw!'a4"</f>
        <v>#VALUE!</v>
      </c>
      <c r="GW144" t="e">
        <f>'2.5.Трудоемкость'!UK13+"BYw!'a5"</f>
        <v>#VALUE!</v>
      </c>
      <c r="GX144" t="e">
        <f>'2.5.Трудоемкость'!UL13+"BYw!'a6"</f>
        <v>#VALUE!</v>
      </c>
      <c r="GY144" t="e">
        <f>'2.5.Трудоемкость'!UM13+"BYw!'a7"</f>
        <v>#VALUE!</v>
      </c>
      <c r="GZ144" t="e">
        <f>'2.5.Трудоемкость'!UN13+"BYw!'a8"</f>
        <v>#VALUE!</v>
      </c>
      <c r="HA144" t="e">
        <f>'2.5.Трудоемкость'!UO13+"BYw!'a9"</f>
        <v>#VALUE!</v>
      </c>
      <c r="HB144" t="e">
        <f>'2.5.Трудоемкость'!UP13+"BYw!'a:"</f>
        <v>#VALUE!</v>
      </c>
      <c r="HC144" t="e">
        <f>'2.5.Трудоемкость'!UQ13+"BYw!'a;"</f>
        <v>#VALUE!</v>
      </c>
      <c r="HD144" t="e">
        <f>'2.5.Трудоемкость'!UR13+"BYw!'a&lt;"</f>
        <v>#VALUE!</v>
      </c>
      <c r="HE144" t="e">
        <f>'2.5.Трудоемкость'!US13+"BYw!'a="</f>
        <v>#VALUE!</v>
      </c>
      <c r="HF144" t="e">
        <f>'2.5.Трудоемкость'!UT13+"BYw!'a&gt;"</f>
        <v>#VALUE!</v>
      </c>
      <c r="HG144" t="e">
        <f>'2.5.Трудоемкость'!UU13+"BYw!'a?"</f>
        <v>#VALUE!</v>
      </c>
      <c r="HH144" t="e">
        <f>'2.5.Трудоемкость'!UV13+"BYw!'a@"</f>
        <v>#VALUE!</v>
      </c>
      <c r="HI144" t="e">
        <f>'2.5.Трудоемкость'!UW13+"BYw!'aA"</f>
        <v>#VALUE!</v>
      </c>
      <c r="HJ144" t="e">
        <f>'2.5.Трудоемкость'!UX13+"BYw!'aB"</f>
        <v>#VALUE!</v>
      </c>
      <c r="HK144" t="e">
        <f>'2.5.Трудоемкость'!UY13+"BYw!'aC"</f>
        <v>#VALUE!</v>
      </c>
      <c r="HL144" t="e">
        <f>'2.5.Трудоемкость'!UZ13+"BYw!'aD"</f>
        <v>#VALUE!</v>
      </c>
      <c r="HM144" t="e">
        <f>'2.5.Трудоемкость'!VA13+"BYw!'aE"</f>
        <v>#VALUE!</v>
      </c>
      <c r="HN144" t="e">
        <f>'2.5.Трудоемкость'!VB13+"BYw!'aF"</f>
        <v>#VALUE!</v>
      </c>
      <c r="HO144" t="e">
        <f>'2.5.Трудоемкость'!VC13+"BYw!'aG"</f>
        <v>#VALUE!</v>
      </c>
      <c r="HP144" t="e">
        <f>'2.5.Трудоемкость'!VD13+"BYw!'aH"</f>
        <v>#VALUE!</v>
      </c>
      <c r="HQ144" t="e">
        <f>'2.5.Трудоемкость'!VE13+"BYw!'aI"</f>
        <v>#VALUE!</v>
      </c>
      <c r="HR144" t="e">
        <f>'2.5.Трудоемкость'!VF13+"BYw!'aJ"</f>
        <v>#VALUE!</v>
      </c>
      <c r="HS144" t="e">
        <f>'2.5.Трудоемкость'!VG13+"BYw!'aK"</f>
        <v>#VALUE!</v>
      </c>
      <c r="HT144" t="e">
        <f>'2.5.Трудоемкость'!VH13+"BYw!'aL"</f>
        <v>#VALUE!</v>
      </c>
      <c r="HU144" t="e">
        <f>'2.5.Трудоемкость'!VI13+"BYw!'aM"</f>
        <v>#VALUE!</v>
      </c>
      <c r="HV144" t="e">
        <f>'2.5.Трудоемкость'!VJ13+"BYw!'aN"</f>
        <v>#VALUE!</v>
      </c>
      <c r="HW144" t="e">
        <f>'2.5.Трудоемкость'!VK13+"BYw!'aO"</f>
        <v>#VALUE!</v>
      </c>
      <c r="HX144" t="e">
        <f>'2.5.Трудоемкость'!VL13+"BYw!'aP"</f>
        <v>#VALUE!</v>
      </c>
      <c r="HY144" t="e">
        <f>'2.5.Трудоемкость'!VM13+"BYw!'aQ"</f>
        <v>#VALUE!</v>
      </c>
      <c r="HZ144" t="e">
        <f>'2.5.Трудоемкость'!VN13+"BYw!'aR"</f>
        <v>#VALUE!</v>
      </c>
      <c r="IA144" t="e">
        <f>'2.5.Трудоемкость'!VO13+"BYw!'aS"</f>
        <v>#VALUE!</v>
      </c>
      <c r="IB144" t="e">
        <f>'2.5.Трудоемкость'!VP13+"BYw!'aT"</f>
        <v>#VALUE!</v>
      </c>
      <c r="IC144" t="e">
        <f>'2.5.Трудоемкость'!VQ13+"BYw!'aU"</f>
        <v>#VALUE!</v>
      </c>
      <c r="ID144" t="e">
        <f>'2.5.Трудоемкость'!VR13+"BYw!'aV"</f>
        <v>#VALUE!</v>
      </c>
      <c r="IE144" t="e">
        <f>'2.5.Трудоемкость'!VS13+"BYw!'aW"</f>
        <v>#VALUE!</v>
      </c>
      <c r="IF144" t="e">
        <f>'2.5.Трудоемкость'!VT13+"BYw!'aX"</f>
        <v>#VALUE!</v>
      </c>
      <c r="IG144" t="e">
        <f>'2.5.Трудоемкость'!VU13+"BYw!'aY"</f>
        <v>#VALUE!</v>
      </c>
      <c r="IH144" t="e">
        <f>'2.5.Трудоемкость'!VV13+"BYw!'aZ"</f>
        <v>#VALUE!</v>
      </c>
      <c r="II144" t="e">
        <f>'2.5.Трудоемкость'!VW13+"BYw!'a["</f>
        <v>#VALUE!</v>
      </c>
      <c r="IJ144" t="e">
        <f>'2.5.Трудоемкость'!VX13+"BYw!'a\"</f>
        <v>#VALUE!</v>
      </c>
      <c r="IK144" t="e">
        <f>'2.5.Трудоемкость'!VY13+"BYw!'a]"</f>
        <v>#VALUE!</v>
      </c>
      <c r="IL144" t="e">
        <f>'2.5.Трудоемкость'!VZ13+"BYw!'a^"</f>
        <v>#VALUE!</v>
      </c>
      <c r="IM144" t="e">
        <f>'2.5.Трудоемкость'!WA13+"BYw!'a_"</f>
        <v>#VALUE!</v>
      </c>
      <c r="IN144" t="e">
        <f>'2.5.Трудоемкость'!WB13+"BYw!'a`"</f>
        <v>#VALUE!</v>
      </c>
      <c r="IO144" t="e">
        <f>'2.5.Трудоемкость'!WC13+"BYw!'aa"</f>
        <v>#VALUE!</v>
      </c>
      <c r="IP144" t="e">
        <f>'2.5.Трудоемкость'!WD13+"BYw!'ab"</f>
        <v>#VALUE!</v>
      </c>
      <c r="IQ144" t="e">
        <f>'2.5.Трудоемкость'!WE13+"BYw!'ac"</f>
        <v>#VALUE!</v>
      </c>
      <c r="IR144" t="e">
        <f>'2.5.Трудоемкость'!WF13+"BYw!'ad"</f>
        <v>#VALUE!</v>
      </c>
      <c r="IS144" t="e">
        <f>'2.5.Трудоемкость'!WG13+"BYw!'ae"</f>
        <v>#VALUE!</v>
      </c>
      <c r="IT144" t="e">
        <f>'2.5.Трудоемкость'!WH13+"BYw!'af"</f>
        <v>#VALUE!</v>
      </c>
      <c r="IU144" t="e">
        <f>'2.5.Трудоемкость'!WI13+"BYw!'ag"</f>
        <v>#VALUE!</v>
      </c>
      <c r="IV144" t="e">
        <f>'2.5.Трудоемкость'!WJ13+"BYw!'ah"</f>
        <v>#VALUE!</v>
      </c>
    </row>
    <row r="145" spans="6:256" x14ac:dyDescent="0.2">
      <c r="F145" t="e">
        <f>'2.5.Трудоемкость'!WK13+"BYw!'ai"</f>
        <v>#VALUE!</v>
      </c>
      <c r="G145" t="e">
        <f>'2.5.Трудоемкость'!WL13+"BYw!'aj"</f>
        <v>#VALUE!</v>
      </c>
      <c r="H145" t="e">
        <f>'2.5.Трудоемкость'!WM13+"BYw!'ak"</f>
        <v>#VALUE!</v>
      </c>
      <c r="I145" t="e">
        <f>'2.5.Трудоемкость'!WN13+"BYw!'al"</f>
        <v>#VALUE!</v>
      </c>
      <c r="J145" t="e">
        <f>'2.5.Трудоемкость'!WO13+"BYw!'am"</f>
        <v>#VALUE!</v>
      </c>
      <c r="K145" t="e">
        <f>'2.5.Трудоемкость'!WP13+"BYw!'an"</f>
        <v>#VALUE!</v>
      </c>
      <c r="L145" t="e">
        <f>'2.5.Трудоемкость'!WQ13+"BYw!'ao"</f>
        <v>#VALUE!</v>
      </c>
      <c r="M145" t="e">
        <f>'2.5.Трудоемкость'!WR13+"BYw!'ap"</f>
        <v>#VALUE!</v>
      </c>
      <c r="N145" t="e">
        <f>'2.5.Трудоемкость'!WS13+"BYw!'aq"</f>
        <v>#VALUE!</v>
      </c>
      <c r="O145" t="e">
        <f>'2.5.Трудоемкость'!WT13+"BYw!'ar"</f>
        <v>#VALUE!</v>
      </c>
      <c r="P145" t="e">
        <f>'2.5.Трудоемкость'!WU13+"BYw!'as"</f>
        <v>#VALUE!</v>
      </c>
      <c r="Q145" t="e">
        <f>'2.5.Трудоемкость'!WV13+"BYw!'at"</f>
        <v>#VALUE!</v>
      </c>
      <c r="R145" t="e">
        <f>'2.5.Трудоемкость'!WW13+"BYw!'au"</f>
        <v>#VALUE!</v>
      </c>
      <c r="S145" t="e">
        <f>'2.5.Трудоемкость'!WX13+"BYw!'av"</f>
        <v>#VALUE!</v>
      </c>
      <c r="T145" t="e">
        <f>'2.5.Трудоемкость'!WY13+"BYw!'aw"</f>
        <v>#VALUE!</v>
      </c>
      <c r="U145" t="e">
        <f>'2.5.Трудоемкость'!WZ13+"BYw!'ax"</f>
        <v>#VALUE!</v>
      </c>
      <c r="V145" t="e">
        <f>'2.5.Трудоемкость'!XA13+"BYw!'ay"</f>
        <v>#VALUE!</v>
      </c>
      <c r="W145" t="e">
        <f>'2.5.Трудоемкость'!XB13+"BYw!'az"</f>
        <v>#VALUE!</v>
      </c>
      <c r="X145" t="e">
        <f>'2.5.Трудоемкость'!XC13+"BYw!'a{"</f>
        <v>#VALUE!</v>
      </c>
      <c r="Y145" t="e">
        <f>'2.5.Трудоемкость'!XD13+"BYw!'a|"</f>
        <v>#VALUE!</v>
      </c>
      <c r="Z145" t="e">
        <f>'2.5.Трудоемкость'!XE13+"BYw!'a}"</f>
        <v>#VALUE!</v>
      </c>
      <c r="AA145" t="e">
        <f>'2.5.Трудоемкость'!XF13+"BYw!'a~"</f>
        <v>#VALUE!</v>
      </c>
      <c r="AB145" t="e">
        <f>'2.5.Трудоемкость'!XG13+"BYw!'b#"</f>
        <v>#VALUE!</v>
      </c>
      <c r="AC145" t="e">
        <f>'2.5.Трудоемкость'!XH13+"BYw!'b$"</f>
        <v>#VALUE!</v>
      </c>
      <c r="AD145" t="e">
        <f>'2.5.Трудоемкость'!XI13+"BYw!'b%"</f>
        <v>#VALUE!</v>
      </c>
      <c r="AE145" t="e">
        <f>'2.5.Трудоемкость'!XJ13+"BYw!'b&amp;"</f>
        <v>#VALUE!</v>
      </c>
      <c r="AF145" t="e">
        <f>'2.5.Трудоемкость'!XK13+"BYw!'b'"</f>
        <v>#VALUE!</v>
      </c>
      <c r="AG145" t="e">
        <f>'2.5.Трудоемкость'!XL13+"BYw!'b("</f>
        <v>#VALUE!</v>
      </c>
      <c r="AH145" t="e">
        <f>'2.5.Трудоемкость'!XM13+"BYw!'b)"</f>
        <v>#VALUE!</v>
      </c>
      <c r="AI145" t="e">
        <f>'2.5.Трудоемкость'!XN13+"BYw!'b."</f>
        <v>#VALUE!</v>
      </c>
      <c r="AJ145" t="e">
        <f>'2.5.Трудоемкость'!XO13+"BYw!'b/"</f>
        <v>#VALUE!</v>
      </c>
      <c r="AK145" t="e">
        <f>'2.5.Трудоемкость'!XP13+"BYw!'b0"</f>
        <v>#VALUE!</v>
      </c>
      <c r="AL145" t="e">
        <f>'2.5.Трудоемкость'!XQ13+"BYw!'b1"</f>
        <v>#VALUE!</v>
      </c>
      <c r="AM145" t="e">
        <f>'2.5.Трудоемкость'!XR13+"BYw!'b2"</f>
        <v>#VALUE!</v>
      </c>
      <c r="AN145" t="e">
        <f>'2.5.Трудоемкость'!XS13+"BYw!'b3"</f>
        <v>#VALUE!</v>
      </c>
      <c r="AO145" t="e">
        <f>'2.5.Трудоемкость'!XT13+"BYw!'b4"</f>
        <v>#VALUE!</v>
      </c>
      <c r="AP145" t="e">
        <f>'2.5.Трудоемкость'!XU13+"BYw!'b5"</f>
        <v>#VALUE!</v>
      </c>
      <c r="AQ145" t="e">
        <f>'2.5.Трудоемкость'!XV13+"BYw!'b6"</f>
        <v>#VALUE!</v>
      </c>
      <c r="AR145" t="e">
        <f>'2.5.Трудоемкость'!XW13+"BYw!'b7"</f>
        <v>#VALUE!</v>
      </c>
      <c r="AS145" t="e">
        <f>'2.5.Трудоемкость'!XX13+"BYw!'b8"</f>
        <v>#VALUE!</v>
      </c>
      <c r="AT145" t="e">
        <f>'2.5.Трудоемкость'!XY13+"BYw!'b9"</f>
        <v>#VALUE!</v>
      </c>
      <c r="AU145" t="e">
        <f>'2.5.Трудоемкость'!XZ13+"BYw!'b:"</f>
        <v>#VALUE!</v>
      </c>
      <c r="AV145" t="e">
        <f>'2.5.Трудоемкость'!YA13+"BYw!'b;"</f>
        <v>#VALUE!</v>
      </c>
      <c r="AW145" t="e">
        <f>'2.5.Трудоемкость'!YB13+"BYw!'b&lt;"</f>
        <v>#VALUE!</v>
      </c>
      <c r="AX145" t="e">
        <f>'2.5.Трудоемкость'!YC13+"BYw!'b="</f>
        <v>#VALUE!</v>
      </c>
      <c r="AY145" t="e">
        <f>'2.5.Трудоемкость'!YD13+"BYw!'b&gt;"</f>
        <v>#VALUE!</v>
      </c>
      <c r="AZ145" t="e">
        <f>'2.5.Трудоемкость'!YE13+"BYw!'b?"</f>
        <v>#VALUE!</v>
      </c>
      <c r="BA145" t="e">
        <f>'2.5.Трудоемкость'!YF13+"BYw!'b@"</f>
        <v>#VALUE!</v>
      </c>
      <c r="BB145" t="e">
        <f>'2.5.Трудоемкость'!YG13+"BYw!'bA"</f>
        <v>#VALUE!</v>
      </c>
      <c r="BC145" t="e">
        <f>'2.5.Трудоемкость'!YH13+"BYw!'bB"</f>
        <v>#VALUE!</v>
      </c>
      <c r="BD145" t="e">
        <f>'2.5.Трудоемкость'!YI13+"BYw!'bC"</f>
        <v>#VALUE!</v>
      </c>
      <c r="BE145" t="e">
        <f>'2.5.Трудоемкость'!YJ13+"BYw!'bD"</f>
        <v>#VALUE!</v>
      </c>
      <c r="BF145" t="e">
        <f>'2.5.Трудоемкость'!YK13+"BYw!'bE"</f>
        <v>#VALUE!</v>
      </c>
      <c r="BG145" t="e">
        <f>'2.5.Трудоемкость'!YL13+"BYw!'bF"</f>
        <v>#VALUE!</v>
      </c>
      <c r="BH145" t="e">
        <f>'2.5.Трудоемкость'!YM13+"BYw!'bG"</f>
        <v>#VALUE!</v>
      </c>
      <c r="BI145" t="e">
        <f>'2.5.Трудоемкость'!YN13+"BYw!'bH"</f>
        <v>#VALUE!</v>
      </c>
      <c r="BJ145" t="e">
        <f>'2.5.Трудоемкость'!YO13+"BYw!'bI"</f>
        <v>#VALUE!</v>
      </c>
      <c r="BK145" t="e">
        <f>'2.5.Трудоемкость'!YP13+"BYw!'bJ"</f>
        <v>#VALUE!</v>
      </c>
      <c r="BL145" t="e">
        <f>'2.5.Трудоемкость'!YQ13+"BYw!'bK"</f>
        <v>#VALUE!</v>
      </c>
      <c r="BM145" t="e">
        <f>'2.5.Трудоемкость'!YR13+"BYw!'bL"</f>
        <v>#VALUE!</v>
      </c>
      <c r="BN145" t="e">
        <f>'2.5.Трудоемкость'!YS13+"BYw!'bM"</f>
        <v>#VALUE!</v>
      </c>
      <c r="BO145" t="e">
        <f>'2.5.Трудоемкость'!YT13+"BYw!'bN"</f>
        <v>#VALUE!</v>
      </c>
      <c r="BP145" t="e">
        <f>'2.5.Трудоемкость'!YU13+"BYw!'bO"</f>
        <v>#VALUE!</v>
      </c>
      <c r="BQ145" t="e">
        <f>'2.5.Трудоемкость'!YV13+"BYw!'bP"</f>
        <v>#VALUE!</v>
      </c>
      <c r="BR145" t="e">
        <f>'2.5.Трудоемкость'!YW13+"BYw!'bQ"</f>
        <v>#VALUE!</v>
      </c>
      <c r="BS145" t="e">
        <f>'2.5.Трудоемкость'!YX13+"BYw!'bR"</f>
        <v>#VALUE!</v>
      </c>
      <c r="BT145" t="e">
        <f>'2.5.Трудоемкость'!YY13+"BYw!'bS"</f>
        <v>#VALUE!</v>
      </c>
      <c r="BU145" t="e">
        <f>'2.5.Трудоемкость'!YZ13+"BYw!'bT"</f>
        <v>#VALUE!</v>
      </c>
      <c r="BV145" t="e">
        <f>'2.5.Трудоемкость'!ZA13+"BYw!'bU"</f>
        <v>#VALUE!</v>
      </c>
      <c r="BW145" t="e">
        <f>'2.5.Трудоемкость'!ZB13+"BYw!'bV"</f>
        <v>#VALUE!</v>
      </c>
      <c r="BX145" t="e">
        <f>'2.5.Трудоемкость'!ZC13+"BYw!'bW"</f>
        <v>#VALUE!</v>
      </c>
      <c r="BY145" t="e">
        <f>'2.5.Трудоемкость'!ZD13+"BYw!'bX"</f>
        <v>#VALUE!</v>
      </c>
      <c r="BZ145" t="e">
        <f>'2.5.Трудоемкость'!ZE13+"BYw!'bY"</f>
        <v>#VALUE!</v>
      </c>
      <c r="CA145" t="e">
        <f>'2.5.Трудоемкость'!ZF13+"BYw!'bZ"</f>
        <v>#VALUE!</v>
      </c>
      <c r="CB145" t="e">
        <f>'2.5.Трудоемкость'!ZG13+"BYw!'b["</f>
        <v>#VALUE!</v>
      </c>
      <c r="CC145" t="e">
        <f>'2.5.Трудоемкость'!ZH13+"BYw!'b\"</f>
        <v>#VALUE!</v>
      </c>
      <c r="CD145" t="e">
        <f>'2.5.Трудоемкость'!ZI13+"BYw!'b]"</f>
        <v>#VALUE!</v>
      </c>
      <c r="CE145" t="e">
        <f>'2.5.Трудоемкость'!ZJ13+"BYw!'b^"</f>
        <v>#VALUE!</v>
      </c>
      <c r="CF145" t="e">
        <f>'2.5.Трудоемкость'!ZK13+"BYw!'b_"</f>
        <v>#VALUE!</v>
      </c>
      <c r="CG145" t="e">
        <f>'2.5.Трудоемкость'!ZL13+"BYw!'b`"</f>
        <v>#VALUE!</v>
      </c>
      <c r="CH145" t="e">
        <f>'2.5.Трудоемкость'!ZM13+"BYw!'ba"</f>
        <v>#VALUE!</v>
      </c>
      <c r="CI145" t="e">
        <f>'2.5.Трудоемкость'!ZN13+"BYw!'bb"</f>
        <v>#VALUE!</v>
      </c>
      <c r="CJ145" t="e">
        <f>'2.5.Трудоемкость'!ZO13+"BYw!'bc"</f>
        <v>#VALUE!</v>
      </c>
      <c r="CK145" t="e">
        <f>'2.5.Трудоемкость'!ZP13+"BYw!'bd"</f>
        <v>#VALUE!</v>
      </c>
      <c r="CL145" t="e">
        <f>'2.5.Трудоемкость'!ZQ13+"BYw!'be"</f>
        <v>#VALUE!</v>
      </c>
      <c r="CM145" t="e">
        <f>'2.5.Трудоемкость'!ZR13+"BYw!'bf"</f>
        <v>#VALUE!</v>
      </c>
      <c r="CN145" t="e">
        <f>'2.5.Трудоемкость'!ZS13+"BYw!'bg"</f>
        <v>#VALUE!</v>
      </c>
      <c r="CO145" t="e">
        <f>'2.5.Трудоемкость'!ZT13+"BYw!'bh"</f>
        <v>#VALUE!</v>
      </c>
      <c r="CP145" t="e">
        <f>'2.5.Трудоемкость'!ZU13+"BYw!'bi"</f>
        <v>#VALUE!</v>
      </c>
      <c r="CQ145" t="e">
        <f>'2.5.Трудоемкость'!ZV13+"BYw!'bj"</f>
        <v>#VALUE!</v>
      </c>
      <c r="CR145" t="e">
        <f>'2.5.Трудоемкость'!ZW13+"BYw!'bk"</f>
        <v>#VALUE!</v>
      </c>
      <c r="CS145" t="e">
        <f>'2.5.Трудоемкость'!ZX13+"BYw!'bl"</f>
        <v>#VALUE!</v>
      </c>
      <c r="CT145" t="e">
        <f>'2.5.Трудоемкость'!ZY13+"BYw!'bm"</f>
        <v>#VALUE!</v>
      </c>
      <c r="CU145" t="e">
        <f>'2.5.Трудоемкость'!ZZ13+"BYw!'bn"</f>
        <v>#VALUE!</v>
      </c>
      <c r="CV145" t="e">
        <f>'2.5.Трудоемкость'!AAA13+"BYw!'bo"</f>
        <v>#VALUE!</v>
      </c>
      <c r="CW145" t="e">
        <f>'2.5.Трудоемкость'!AAB13+"BYw!'bp"</f>
        <v>#VALUE!</v>
      </c>
      <c r="CX145" t="e">
        <f>'2.5.Трудоемкость'!AAC13+"BYw!'bq"</f>
        <v>#VALUE!</v>
      </c>
      <c r="CY145" t="e">
        <f>'2.5.Трудоемкость'!AAD13+"BYw!'br"</f>
        <v>#VALUE!</v>
      </c>
      <c r="CZ145" t="e">
        <f>'2.5.Трудоемкость'!AAE13+"BYw!'bs"</f>
        <v>#VALUE!</v>
      </c>
      <c r="DA145" t="e">
        <f>'2.5.Трудоемкость'!AAF13+"BYw!'bt"</f>
        <v>#VALUE!</v>
      </c>
      <c r="DB145" t="e">
        <f>'2.5.Трудоемкость'!AAG13+"BYw!'bu"</f>
        <v>#VALUE!</v>
      </c>
      <c r="DC145" t="e">
        <f>'2.5.Трудоемкость'!AAH13+"BYw!'bv"</f>
        <v>#VALUE!</v>
      </c>
      <c r="DD145" t="e">
        <f>'2.5.Трудоемкость'!AAI13+"BYw!'bw"</f>
        <v>#VALUE!</v>
      </c>
      <c r="DE145" t="e">
        <f>'2.5.Трудоемкость'!AAJ13+"BYw!'bx"</f>
        <v>#VALUE!</v>
      </c>
      <c r="DF145" t="e">
        <f>'2.5.Трудоемкость'!AAK13+"BYw!'by"</f>
        <v>#VALUE!</v>
      </c>
      <c r="DG145" t="e">
        <f>'2.5.Трудоемкость'!AAL13+"BYw!'bz"</f>
        <v>#VALUE!</v>
      </c>
      <c r="DH145" t="e">
        <f>'2.5.Трудоемкость'!AAM13+"BYw!'b{"</f>
        <v>#VALUE!</v>
      </c>
      <c r="DI145" t="e">
        <f>'2.5.Трудоемкость'!AAN13+"BYw!'b|"</f>
        <v>#VALUE!</v>
      </c>
      <c r="DJ145" t="e">
        <f>'2.5.Трудоемкость'!AAO13+"BYw!'b}"</f>
        <v>#VALUE!</v>
      </c>
      <c r="DK145" t="e">
        <f>'2.5.Трудоемкость'!AAP13+"BYw!'b~"</f>
        <v>#VALUE!</v>
      </c>
      <c r="DL145" t="e">
        <f>'2.5.Трудоемкость'!AAQ13+"BYw!'c#"</f>
        <v>#VALUE!</v>
      </c>
      <c r="DM145" t="e">
        <f>'2.5.Трудоемкость'!AAR13+"BYw!'c$"</f>
        <v>#VALUE!</v>
      </c>
      <c r="DN145" t="e">
        <f>'2.5.Трудоемкость'!AAS13+"BYw!'c%"</f>
        <v>#VALUE!</v>
      </c>
      <c r="DO145" t="e">
        <f>'2.5.Трудоемкость'!AAT13+"BYw!'c&amp;"</f>
        <v>#VALUE!</v>
      </c>
      <c r="DP145" t="e">
        <f>'2.5.Трудоемкость'!AAU13+"BYw!'c'"</f>
        <v>#VALUE!</v>
      </c>
      <c r="DQ145" t="e">
        <f>'2.5.Трудоемкость'!AAV13+"BYw!'c("</f>
        <v>#VALUE!</v>
      </c>
      <c r="DR145" t="e">
        <f>'2.5.Трудоемкость'!AAW13+"BYw!'c)"</f>
        <v>#VALUE!</v>
      </c>
      <c r="DS145" t="e">
        <f>'2.5.Трудоемкость'!AAX13+"BYw!'c."</f>
        <v>#VALUE!</v>
      </c>
      <c r="DT145" t="e">
        <f>'2.5.Трудоемкость'!AAY13+"BYw!'c/"</f>
        <v>#VALUE!</v>
      </c>
      <c r="DU145" t="e">
        <f>'2.5.Трудоемкость'!AAZ13+"BYw!'c0"</f>
        <v>#VALUE!</v>
      </c>
      <c r="DV145" t="e">
        <f>'2.5.Трудоемкость'!ABA13+"BYw!'c1"</f>
        <v>#VALUE!</v>
      </c>
      <c r="DW145" t="e">
        <f>'2.5.Трудоемкость'!ABB13+"BYw!'c2"</f>
        <v>#VALUE!</v>
      </c>
      <c r="DX145" t="e">
        <f>'2.5.Трудоемкость'!ABC13+"BYw!'c3"</f>
        <v>#VALUE!</v>
      </c>
      <c r="DY145" t="e">
        <f>'2.5.Трудоемкость'!ABD13+"BYw!'c4"</f>
        <v>#VALUE!</v>
      </c>
      <c r="DZ145" t="e">
        <f>'2.5.Трудоемкость'!ABE13+"BYw!'c5"</f>
        <v>#VALUE!</v>
      </c>
      <c r="EA145" t="e">
        <f>'2.5.Трудоемкость'!ABF13+"BYw!'c6"</f>
        <v>#VALUE!</v>
      </c>
      <c r="EB145" t="e">
        <f>'2.5.Трудоемкость'!ABG13+"BYw!'c7"</f>
        <v>#VALUE!</v>
      </c>
      <c r="EC145" t="e">
        <f>'2.5.Трудоемкость'!ABH13+"BYw!'c8"</f>
        <v>#VALUE!</v>
      </c>
      <c r="ED145" t="e">
        <f>'2.5.Трудоемкость'!ABI13+"BYw!'c9"</f>
        <v>#VALUE!</v>
      </c>
      <c r="EE145" t="e">
        <f>'2.5.Трудоемкость'!ABJ13+"BYw!'c:"</f>
        <v>#VALUE!</v>
      </c>
      <c r="EF145" t="e">
        <f>'2.5.Трудоемкость'!ABK13+"BYw!'c;"</f>
        <v>#VALUE!</v>
      </c>
      <c r="EG145" t="e">
        <f>'2.5.Трудоемкость'!ABL13+"BYw!'c&lt;"</f>
        <v>#VALUE!</v>
      </c>
      <c r="EH145" t="e">
        <f>'2.5.Трудоемкость'!ABM13+"BYw!'c="</f>
        <v>#VALUE!</v>
      </c>
      <c r="EI145" t="e">
        <f>'2.5.Трудоемкость'!ABN13+"BYw!'c&gt;"</f>
        <v>#VALUE!</v>
      </c>
      <c r="EJ145" t="e">
        <f>'2.5.Трудоемкость'!ABO13+"BYw!'c?"</f>
        <v>#VALUE!</v>
      </c>
      <c r="EK145" t="e">
        <f>'2.5.Трудоемкость'!ABP13+"BYw!'c@"</f>
        <v>#VALUE!</v>
      </c>
      <c r="EL145" t="e">
        <f>'2.5.Трудоемкость'!ABQ13+"BYw!'cA"</f>
        <v>#VALUE!</v>
      </c>
      <c r="EM145" t="e">
        <f>'2.5.Трудоемкость'!ABR13+"BYw!'cB"</f>
        <v>#VALUE!</v>
      </c>
      <c r="EN145" t="e">
        <f>'2.5.Трудоемкость'!ABS13+"BYw!'cC"</f>
        <v>#VALUE!</v>
      </c>
      <c r="EO145" t="e">
        <f>'2.5.Трудоемкость'!ABT13+"BYw!'cD"</f>
        <v>#VALUE!</v>
      </c>
      <c r="EP145" t="e">
        <f>'2.5.Трудоемкость'!ABU13+"BYw!'cE"</f>
        <v>#VALUE!</v>
      </c>
      <c r="EQ145" t="e">
        <f>'2.5.Трудоемкость'!ABV13+"BYw!'cF"</f>
        <v>#VALUE!</v>
      </c>
      <c r="ER145" t="e">
        <f>'2.5.Трудоемкость'!ABW13+"BYw!'cG"</f>
        <v>#VALUE!</v>
      </c>
      <c r="ES145" t="e">
        <f>'2.5.Трудоемкость'!ABX13+"BYw!'cH"</f>
        <v>#VALUE!</v>
      </c>
      <c r="ET145" t="e">
        <f>'2.5.Трудоемкость'!ABY13+"BYw!'cI"</f>
        <v>#VALUE!</v>
      </c>
      <c r="EU145" t="e">
        <f>'2.5.Трудоемкость'!ABZ13+"BYw!'cJ"</f>
        <v>#VALUE!</v>
      </c>
      <c r="EV145" t="e">
        <f>'2.5.Трудоемкость'!ACA13+"BYw!'cK"</f>
        <v>#VALUE!</v>
      </c>
      <c r="EW145" t="e">
        <f>'2.5.Трудоемкость'!ACB13+"BYw!'cL"</f>
        <v>#VALUE!</v>
      </c>
      <c r="EX145" t="e">
        <f>'2.5.Трудоемкость'!ACC13+"BYw!'cM"</f>
        <v>#VALUE!</v>
      </c>
      <c r="EY145" t="e">
        <f>'2.5.Трудоемкость'!ACD13+"BYw!'cN"</f>
        <v>#VALUE!</v>
      </c>
      <c r="EZ145" t="e">
        <f>'2.5.Трудоемкость'!ACE13+"BYw!'cO"</f>
        <v>#VALUE!</v>
      </c>
      <c r="FA145" t="e">
        <f>'2.5.Трудоемкость'!ACF13+"BYw!'cP"</f>
        <v>#VALUE!</v>
      </c>
      <c r="FB145" t="e">
        <f>'2.5.Трудоемкость'!ACG13+"BYw!'cQ"</f>
        <v>#VALUE!</v>
      </c>
      <c r="FC145" t="e">
        <f>'2.5.Трудоемкость'!ACH13+"BYw!'cR"</f>
        <v>#VALUE!</v>
      </c>
      <c r="FD145" t="e">
        <f>'2.5.Трудоемкость'!ACI13+"BYw!'cS"</f>
        <v>#VALUE!</v>
      </c>
      <c r="FE145" t="e">
        <f>'2.5.Трудоемкость'!ACJ13+"BYw!'cT"</f>
        <v>#VALUE!</v>
      </c>
      <c r="FF145" t="e">
        <f>'2.5.Трудоемкость'!ACK13+"BYw!'cU"</f>
        <v>#VALUE!</v>
      </c>
      <c r="FG145" t="e">
        <f>'2.5.Трудоемкость'!ACL13+"BYw!'cV"</f>
        <v>#VALUE!</v>
      </c>
      <c r="FH145" t="e">
        <f>'2.5.Трудоемкость'!ACM13+"BYw!'cW"</f>
        <v>#VALUE!</v>
      </c>
      <c r="FI145" t="e">
        <f>'2.5.Трудоемкость'!ACN13+"BYw!'cX"</f>
        <v>#VALUE!</v>
      </c>
      <c r="FJ145" t="e">
        <f>'2.5.Трудоемкость'!ACO13+"BYw!'cY"</f>
        <v>#VALUE!</v>
      </c>
      <c r="FK145" t="e">
        <f>'2.5.Трудоемкость'!ACP13+"BYw!'cZ"</f>
        <v>#VALUE!</v>
      </c>
      <c r="FL145" t="e">
        <f>'2.5.Трудоемкость'!ACQ13+"BYw!'c["</f>
        <v>#VALUE!</v>
      </c>
      <c r="FM145" t="e">
        <f>'2.5.Трудоемкость'!ACR13+"BYw!'c\"</f>
        <v>#VALUE!</v>
      </c>
      <c r="FN145" t="e">
        <f>'2.5.Трудоемкость'!ACS13+"BYw!'c]"</f>
        <v>#VALUE!</v>
      </c>
      <c r="FO145" t="e">
        <f>'2.5.Трудоемкость'!ACT13+"BYw!'c^"</f>
        <v>#VALUE!</v>
      </c>
      <c r="FP145" t="e">
        <f>'2.5.Трудоемкость'!ACU13+"BYw!'c_"</f>
        <v>#VALUE!</v>
      </c>
      <c r="FQ145" t="e">
        <f>'2.5.Трудоемкость'!ACV13+"BYw!'c`"</f>
        <v>#VALUE!</v>
      </c>
      <c r="FR145" t="e">
        <f>'2.5.Трудоемкость'!ACW13+"BYw!'ca"</f>
        <v>#VALUE!</v>
      </c>
      <c r="FS145" t="e">
        <f>'2.5.Трудоемкость'!ACX13+"BYw!'cb"</f>
        <v>#VALUE!</v>
      </c>
      <c r="FT145" t="e">
        <f>'2.5.Трудоемкость'!ACY13+"BYw!'cc"</f>
        <v>#VALUE!</v>
      </c>
      <c r="FU145" t="e">
        <f>'2.5.Трудоемкость'!ACZ13+"BYw!'cd"</f>
        <v>#VALUE!</v>
      </c>
      <c r="FV145" t="e">
        <f>'2.5.Трудоемкость'!ADA13+"BYw!'ce"</f>
        <v>#VALUE!</v>
      </c>
      <c r="FW145" t="e">
        <f>'2.5.Трудоемкость'!ADB13+"BYw!'cf"</f>
        <v>#VALUE!</v>
      </c>
      <c r="FX145" t="e">
        <f>'2.5.Трудоемкость'!ADC13+"BYw!'cg"</f>
        <v>#VALUE!</v>
      </c>
      <c r="FY145" t="e">
        <f>'2.5.Трудоемкость'!ADD13+"BYw!'ch"</f>
        <v>#VALUE!</v>
      </c>
      <c r="FZ145" t="e">
        <f>'2.5.Трудоемкость'!ADE13+"BYw!'ci"</f>
        <v>#VALUE!</v>
      </c>
      <c r="GA145" t="e">
        <f>'2.5.Трудоемкость'!ADF13+"BYw!'cj"</f>
        <v>#VALUE!</v>
      </c>
      <c r="GB145" t="e">
        <f>'2.5.Трудоемкость'!ADG13+"BYw!'ck"</f>
        <v>#VALUE!</v>
      </c>
      <c r="GC145" t="e">
        <f>'2.5.Трудоемкость'!ADH13+"BYw!'cl"</f>
        <v>#VALUE!</v>
      </c>
      <c r="GD145" t="e">
        <f>'2.5.Трудоемкость'!ADI13+"BYw!'cm"</f>
        <v>#VALUE!</v>
      </c>
      <c r="GE145" t="e">
        <f>'2.5.Трудоемкость'!ADJ13+"BYw!'cn"</f>
        <v>#VALUE!</v>
      </c>
      <c r="GF145" t="e">
        <f>'2.5.Трудоемкость'!ADK13+"BYw!'co"</f>
        <v>#VALUE!</v>
      </c>
      <c r="GG145" t="e">
        <f>'2.5.Трудоемкость'!ADL13+"BYw!'cp"</f>
        <v>#VALUE!</v>
      </c>
      <c r="GH145" t="e">
        <f>'2.5.Трудоемкость'!ADM13+"BYw!'cq"</f>
        <v>#VALUE!</v>
      </c>
      <c r="GI145" t="e">
        <f>'2.5.Трудоемкость'!ADN13+"BYw!'cr"</f>
        <v>#VALUE!</v>
      </c>
      <c r="GJ145" t="e">
        <f>'2.5.Трудоемкость'!ADO13+"BYw!'cs"</f>
        <v>#VALUE!</v>
      </c>
      <c r="GK145" t="e">
        <f>'2.5.Трудоемкость'!ADP13+"BYw!'ct"</f>
        <v>#VALUE!</v>
      </c>
      <c r="GL145" t="e">
        <f>'2.5.Трудоемкость'!ADQ13+"BYw!'cu"</f>
        <v>#VALUE!</v>
      </c>
      <c r="GM145" t="e">
        <f>'2.5.Трудоемкость'!ADR13+"BYw!'cv"</f>
        <v>#VALUE!</v>
      </c>
      <c r="GN145" t="e">
        <f>'2.5.Трудоемкость'!ADS13+"BYw!'cw"</f>
        <v>#VALUE!</v>
      </c>
      <c r="GO145" t="e">
        <f>'2.5.Трудоемкость'!ADT13+"BYw!'cx"</f>
        <v>#VALUE!</v>
      </c>
      <c r="GP145" t="e">
        <f>'2.5.Трудоемкость'!ADU13+"BYw!'cy"</f>
        <v>#VALUE!</v>
      </c>
      <c r="GQ145" t="e">
        <f>'2.5.Трудоемкость'!ADV13+"BYw!'cz"</f>
        <v>#VALUE!</v>
      </c>
      <c r="GR145" t="e">
        <f>'2.5.Трудоемкость'!ADW13+"BYw!'c{"</f>
        <v>#VALUE!</v>
      </c>
      <c r="GS145" t="e">
        <f>'2.5.Трудоемкость'!ADX13+"BYw!'c|"</f>
        <v>#VALUE!</v>
      </c>
      <c r="GT145" t="e">
        <f>'2.5.Трудоемкость'!ADY13+"BYw!'c}"</f>
        <v>#VALUE!</v>
      </c>
      <c r="GU145" t="e">
        <f>'2.5.Трудоемкость'!ADZ13+"BYw!'c~"</f>
        <v>#VALUE!</v>
      </c>
      <c r="GV145" t="e">
        <f>'2.5.Трудоемкость'!AEA13+"BYw!'d#"</f>
        <v>#VALUE!</v>
      </c>
      <c r="GW145" t="e">
        <f>'2.5.Трудоемкость'!AEB13+"BYw!'d$"</f>
        <v>#VALUE!</v>
      </c>
      <c r="GX145" t="e">
        <f>'2.5.Трудоемкость'!AEC13+"BYw!'d%"</f>
        <v>#VALUE!</v>
      </c>
      <c r="GY145" t="e">
        <f>'2.5.Трудоемкость'!AED13+"BYw!'d&amp;"</f>
        <v>#VALUE!</v>
      </c>
      <c r="GZ145" t="e">
        <f>'2.5.Трудоемкость'!AEE13+"BYw!'d'"</f>
        <v>#VALUE!</v>
      </c>
      <c r="HA145" t="e">
        <f>'2.5.Трудоемкость'!AEF13+"BYw!'d("</f>
        <v>#VALUE!</v>
      </c>
      <c r="HB145" t="e">
        <f>'2.5.Трудоемкость'!AEG13+"BYw!'d)"</f>
        <v>#VALUE!</v>
      </c>
      <c r="HC145" t="e">
        <f>'2.5.Трудоемкость'!AEH13+"BYw!'d."</f>
        <v>#VALUE!</v>
      </c>
      <c r="HD145" t="e">
        <f>'2.5.Трудоемкость'!AEI13+"BYw!'d/"</f>
        <v>#VALUE!</v>
      </c>
      <c r="HE145" t="e">
        <f>'2.5.Трудоемкость'!AEJ13+"BYw!'d0"</f>
        <v>#VALUE!</v>
      </c>
      <c r="HF145" t="e">
        <f>'2.5.Трудоемкость'!AEK13+"BYw!'d1"</f>
        <v>#VALUE!</v>
      </c>
      <c r="HG145" t="e">
        <f>'2.5.Трудоемкость'!AEL13+"BYw!'d2"</f>
        <v>#VALUE!</v>
      </c>
      <c r="HH145" t="e">
        <f>'2.5.Трудоемкость'!AEM13+"BYw!'d3"</f>
        <v>#VALUE!</v>
      </c>
      <c r="HI145" t="e">
        <f>'2.5.Трудоемкость'!AEN13+"BYw!'d4"</f>
        <v>#VALUE!</v>
      </c>
      <c r="HJ145" t="e">
        <f>'2.5.Трудоемкость'!AEO13+"BYw!'d5"</f>
        <v>#VALUE!</v>
      </c>
      <c r="HK145" t="e">
        <f>'2.5.Трудоемкость'!AEP13+"BYw!'d6"</f>
        <v>#VALUE!</v>
      </c>
      <c r="HL145" t="e">
        <f>'2.5.Трудоемкость'!AEQ13+"BYw!'d7"</f>
        <v>#VALUE!</v>
      </c>
      <c r="HM145" t="e">
        <f>'2.5.Трудоемкость'!AER13+"BYw!'d8"</f>
        <v>#VALUE!</v>
      </c>
      <c r="HN145" t="e">
        <f>'2.5.Трудоемкость'!AES13+"BYw!'d9"</f>
        <v>#VALUE!</v>
      </c>
      <c r="HO145" t="e">
        <f>'2.5.Трудоемкость'!AET13+"BYw!'d:"</f>
        <v>#VALUE!</v>
      </c>
      <c r="HP145" t="e">
        <f>'2.5.Трудоемкость'!AEU13+"BYw!'d;"</f>
        <v>#VALUE!</v>
      </c>
      <c r="HQ145" t="e">
        <f>'2.5.Трудоемкость'!AEV13+"BYw!'d&lt;"</f>
        <v>#VALUE!</v>
      </c>
      <c r="HR145" t="e">
        <f>'2.5.Трудоемкость'!AEW13+"BYw!'d="</f>
        <v>#VALUE!</v>
      </c>
      <c r="HS145" t="e">
        <f>'2.5.Трудоемкость'!AEX13+"BYw!'d&gt;"</f>
        <v>#VALUE!</v>
      </c>
      <c r="HT145" t="e">
        <f>'2.5.Трудоемкость'!AEY13+"BYw!'d?"</f>
        <v>#VALUE!</v>
      </c>
      <c r="HU145" t="e">
        <f>'2.5.Трудоемкость'!AEZ13+"BYw!'d@"</f>
        <v>#VALUE!</v>
      </c>
      <c r="HV145" t="e">
        <f>'2.5.Трудоемкость'!AFA13+"BYw!'dA"</f>
        <v>#VALUE!</v>
      </c>
      <c r="HW145" t="e">
        <f>'2.5.Трудоемкость'!AFB13+"BYw!'dB"</f>
        <v>#VALUE!</v>
      </c>
      <c r="HX145" t="e">
        <f>'2.5.Трудоемкость'!AFC13+"BYw!'dC"</f>
        <v>#VALUE!</v>
      </c>
      <c r="HY145" t="e">
        <f>'2.5.Трудоемкость'!AFD13+"BYw!'dD"</f>
        <v>#VALUE!</v>
      </c>
      <c r="HZ145" t="e">
        <f>'2.5.Трудоемкость'!AFE13+"BYw!'dE"</f>
        <v>#VALUE!</v>
      </c>
      <c r="IA145" t="e">
        <f>'2.5.Трудоемкость'!AFF13+"BYw!'dF"</f>
        <v>#VALUE!</v>
      </c>
      <c r="IB145" t="e">
        <f>'2.5.Трудоемкость'!AFG13+"BYw!'dG"</f>
        <v>#VALUE!</v>
      </c>
      <c r="IC145" t="e">
        <f>'2.5.Трудоемкость'!AFH13+"BYw!'dH"</f>
        <v>#VALUE!</v>
      </c>
      <c r="ID145" t="e">
        <f>'2.5.Трудоемкость'!AFI13+"BYw!'dI"</f>
        <v>#VALUE!</v>
      </c>
      <c r="IE145" t="e">
        <f>'2.5.Трудоемкость'!AFJ13+"BYw!'dJ"</f>
        <v>#VALUE!</v>
      </c>
      <c r="IF145" t="e">
        <f>'2.5.Трудоемкость'!AFK13+"BYw!'dK"</f>
        <v>#VALUE!</v>
      </c>
      <c r="IG145" t="e">
        <f>'2.5.Трудоемкость'!AFL13+"BYw!'dL"</f>
        <v>#VALUE!</v>
      </c>
      <c r="IH145" t="e">
        <f>'2.5.Трудоемкость'!AFM13+"BYw!'dM"</f>
        <v>#VALUE!</v>
      </c>
      <c r="II145" t="e">
        <f>'2.5.Трудоемкость'!AFN13+"BYw!'dN"</f>
        <v>#VALUE!</v>
      </c>
      <c r="IJ145" t="e">
        <f>'2.5.Трудоемкость'!AFO13+"BYw!'dO"</f>
        <v>#VALUE!</v>
      </c>
      <c r="IK145" t="e">
        <f>'2.5.Трудоемкость'!AFP13+"BYw!'dP"</f>
        <v>#VALUE!</v>
      </c>
      <c r="IL145" t="e">
        <f>'2.5.Трудоемкость'!AFQ13+"BYw!'dQ"</f>
        <v>#VALUE!</v>
      </c>
      <c r="IM145" t="e">
        <f>'2.5.Трудоемкость'!AFR13+"BYw!'dR"</f>
        <v>#VALUE!</v>
      </c>
      <c r="IN145" t="e">
        <f>'2.5.Трудоемкость'!AFS13+"BYw!'dS"</f>
        <v>#VALUE!</v>
      </c>
      <c r="IO145" t="e">
        <f>'2.5.Трудоемкость'!AFT13+"BYw!'dT"</f>
        <v>#VALUE!</v>
      </c>
      <c r="IP145" t="e">
        <f>'2.5.Трудоемкость'!AFU13+"BYw!'dU"</f>
        <v>#VALUE!</v>
      </c>
      <c r="IQ145" t="e">
        <f>'2.5.Трудоемкость'!AFV13+"BYw!'dV"</f>
        <v>#VALUE!</v>
      </c>
      <c r="IR145" t="e">
        <f>'2.5.Трудоемкость'!AFW13+"BYw!'dW"</f>
        <v>#VALUE!</v>
      </c>
      <c r="IS145" t="e">
        <f>'2.5.Трудоемкость'!AFX13+"BYw!'dX"</f>
        <v>#VALUE!</v>
      </c>
      <c r="IT145" t="e">
        <f>'2.5.Трудоемкость'!AFY13+"BYw!'dY"</f>
        <v>#VALUE!</v>
      </c>
      <c r="IU145" t="e">
        <f>'2.5.Трудоемкость'!AFZ13+"BYw!'dZ"</f>
        <v>#VALUE!</v>
      </c>
      <c r="IV145" t="e">
        <f>'2.5.Трудоемкость'!AGA13+"BYw!'d["</f>
        <v>#VALUE!</v>
      </c>
    </row>
    <row r="146" spans="6:256" x14ac:dyDescent="0.2">
      <c r="F146" t="e">
        <f>'2.5.Трудоемкость'!AGB13+"BYw!'d\"</f>
        <v>#VALUE!</v>
      </c>
      <c r="G146" t="e">
        <f>'2.5.Трудоемкость'!AGC13+"BYw!'d]"</f>
        <v>#VALUE!</v>
      </c>
      <c r="H146" t="e">
        <f>'2.5.Трудоемкость'!AGD13+"BYw!'d^"</f>
        <v>#VALUE!</v>
      </c>
      <c r="I146" t="e">
        <f>'2.5.Трудоемкость'!AGE13+"BYw!'d_"</f>
        <v>#VALUE!</v>
      </c>
      <c r="J146" t="e">
        <f>'2.5.Трудоемкость'!AGF13+"BYw!'d`"</f>
        <v>#VALUE!</v>
      </c>
      <c r="K146" t="e">
        <f>'2.5.Трудоемкость'!AGG13+"BYw!'da"</f>
        <v>#VALUE!</v>
      </c>
      <c r="L146" t="e">
        <f>'2.5.Трудоемкость'!AGH13+"BYw!'db"</f>
        <v>#VALUE!</v>
      </c>
      <c r="M146" t="e">
        <f>'2.5.Трудоемкость'!AGI13+"BYw!'dc"</f>
        <v>#VALUE!</v>
      </c>
      <c r="N146" t="e">
        <f>'2.5.Трудоемкость'!AGJ13+"BYw!'dd"</f>
        <v>#VALUE!</v>
      </c>
      <c r="O146" t="e">
        <f>'2.5.Трудоемкость'!AGK13+"BYw!'de"</f>
        <v>#VALUE!</v>
      </c>
      <c r="P146" t="e">
        <f>'2.5.Трудоемкость'!AGL13+"BYw!'df"</f>
        <v>#VALUE!</v>
      </c>
      <c r="Q146" t="e">
        <f>'2.5.Трудоемкость'!AGM13+"BYw!'dg"</f>
        <v>#VALUE!</v>
      </c>
      <c r="R146" t="e">
        <f>'2.5.Трудоемкость'!AGN13+"BYw!'dh"</f>
        <v>#VALUE!</v>
      </c>
      <c r="S146" t="e">
        <f>'2.5.Трудоемкость'!AGO13+"BYw!'di"</f>
        <v>#VALUE!</v>
      </c>
      <c r="T146" t="e">
        <f>'2.5.Трудоемкость'!AGP13+"BYw!'dj"</f>
        <v>#VALUE!</v>
      </c>
      <c r="U146" t="e">
        <f>'2.5.Трудоемкость'!AGQ13+"BYw!'dk"</f>
        <v>#VALUE!</v>
      </c>
      <c r="V146" t="e">
        <f>'2.5.Трудоемкость'!AGR13+"BYw!'dl"</f>
        <v>#VALUE!</v>
      </c>
      <c r="W146" t="e">
        <f>'2.5.Трудоемкость'!AGS13+"BYw!'dm"</f>
        <v>#VALUE!</v>
      </c>
      <c r="X146" t="e">
        <f>'2.5.Трудоемкость'!AGT13+"BYw!'dn"</f>
        <v>#VALUE!</v>
      </c>
      <c r="Y146" t="e">
        <f>'2.5.Трудоемкость'!AGU13+"BYw!'do"</f>
        <v>#VALUE!</v>
      </c>
      <c r="Z146" t="e">
        <f>'2.5.Трудоемкость'!AGV13+"BYw!'dp"</f>
        <v>#VALUE!</v>
      </c>
      <c r="AA146" t="e">
        <f>'2.5.Трудоемкость'!AGW13+"BYw!'dq"</f>
        <v>#VALUE!</v>
      </c>
      <c r="AB146" t="e">
        <f>'2.5.Трудоемкость'!AGX13+"BYw!'dr"</f>
        <v>#VALUE!</v>
      </c>
      <c r="AC146" t="e">
        <f>'2.5.Трудоемкость'!AGY13+"BYw!'ds"</f>
        <v>#VALUE!</v>
      </c>
      <c r="AD146" t="e">
        <f>'2.5.Трудоемкость'!AGZ13+"BYw!'dt"</f>
        <v>#VALUE!</v>
      </c>
      <c r="AE146" t="e">
        <f>'2.5.Трудоемкость'!AHA13+"BYw!'du"</f>
        <v>#VALUE!</v>
      </c>
      <c r="AF146" t="e">
        <f>'2.5.Трудоемкость'!AHB13+"BYw!'dv"</f>
        <v>#VALUE!</v>
      </c>
      <c r="AG146" t="e">
        <f>'2.5.Трудоемкость'!AHC13+"BYw!'dw"</f>
        <v>#VALUE!</v>
      </c>
      <c r="AH146" t="e">
        <f>'2.5.Трудоемкость'!AHD13+"BYw!'dx"</f>
        <v>#VALUE!</v>
      </c>
      <c r="AI146" t="e">
        <f>'2.5.Трудоемкость'!AHE13+"BYw!'dy"</f>
        <v>#VALUE!</v>
      </c>
      <c r="AJ146" t="e">
        <f>'2.5.Трудоемкость'!AHF13+"BYw!'dz"</f>
        <v>#VALUE!</v>
      </c>
      <c r="AK146" t="e">
        <f>'2.5.Трудоемкость'!AHG13+"BYw!'d{"</f>
        <v>#VALUE!</v>
      </c>
      <c r="AL146" t="e">
        <f>'2.5.Трудоемкость'!AHH13+"BYw!'d|"</f>
        <v>#VALUE!</v>
      </c>
      <c r="AM146" t="e">
        <f>'2.5.Трудоемкость'!AHI13+"BYw!'d}"</f>
        <v>#VALUE!</v>
      </c>
      <c r="AN146" t="e">
        <f>'2.5.Трудоемкость'!AHJ13+"BYw!'d~"</f>
        <v>#VALUE!</v>
      </c>
      <c r="AO146" t="e">
        <f>'2.5.Трудоемкость'!AHK13+"BYw!'e#"</f>
        <v>#VALUE!</v>
      </c>
      <c r="AP146" t="e">
        <f>'2.5.Трудоемкость'!AHL13+"BYw!'e$"</f>
        <v>#VALUE!</v>
      </c>
      <c r="AQ146" t="e">
        <f>'2.5.Трудоемкость'!AHM13+"BYw!'e%"</f>
        <v>#VALUE!</v>
      </c>
      <c r="AR146" t="e">
        <f>'2.5.Трудоемкость'!AHN13+"BYw!'e&amp;"</f>
        <v>#VALUE!</v>
      </c>
      <c r="AS146" t="e">
        <f>'2.5.Трудоемкость'!AHO13+"BYw!'e'"</f>
        <v>#VALUE!</v>
      </c>
      <c r="AT146" t="e">
        <f>'2.5.Трудоемкость'!AHP13+"BYw!'e("</f>
        <v>#VALUE!</v>
      </c>
      <c r="AU146" t="e">
        <f>'2.5.Трудоемкость'!AHQ13+"BYw!'e)"</f>
        <v>#VALUE!</v>
      </c>
      <c r="AV146" t="e">
        <f>'2.5.Трудоемкость'!AHR13+"BYw!'e."</f>
        <v>#VALUE!</v>
      </c>
      <c r="AW146" t="e">
        <f>'2.5.Трудоемкость'!AHS13+"BYw!'e/"</f>
        <v>#VALUE!</v>
      </c>
      <c r="AX146" t="e">
        <f>'2.5.Трудоемкость'!AHT13+"BYw!'e0"</f>
        <v>#VALUE!</v>
      </c>
      <c r="AY146" t="e">
        <f>'2.5.Трудоемкость'!AHU13+"BYw!'e1"</f>
        <v>#VALUE!</v>
      </c>
      <c r="AZ146" t="e">
        <f>'2.5.Трудоемкость'!AHV13+"BYw!'e2"</f>
        <v>#VALUE!</v>
      </c>
      <c r="BA146" t="e">
        <f>'2.5.Трудоемкость'!AHW13+"BYw!'e3"</f>
        <v>#VALUE!</v>
      </c>
      <c r="BB146" t="e">
        <f>'2.5.Трудоемкость'!AHX13+"BYw!'e4"</f>
        <v>#VALUE!</v>
      </c>
      <c r="BC146" t="e">
        <f>'2.5.Трудоемкость'!AHY13+"BYw!'e5"</f>
        <v>#VALUE!</v>
      </c>
      <c r="BD146" t="e">
        <f>'2.5.Трудоемкость'!AHZ13+"BYw!'e6"</f>
        <v>#VALUE!</v>
      </c>
      <c r="BE146" t="e">
        <f>'2.5.Трудоемкость'!AIA13+"BYw!'e7"</f>
        <v>#VALUE!</v>
      </c>
      <c r="BF146" t="e">
        <f>'2.5.Трудоемкость'!AIB13+"BYw!'e8"</f>
        <v>#VALUE!</v>
      </c>
      <c r="BG146" t="e">
        <f>'2.5.Трудоемкость'!AIC13+"BYw!'e9"</f>
        <v>#VALUE!</v>
      </c>
      <c r="BH146" t="e">
        <f>'2.5.Трудоемкость'!AID13+"BYw!'e:"</f>
        <v>#VALUE!</v>
      </c>
      <c r="BI146" t="e">
        <f>'2.5.Трудоемкость'!AIE13+"BYw!'e;"</f>
        <v>#VALUE!</v>
      </c>
      <c r="BJ146" t="e">
        <f>'2.5.Трудоемкость'!AIF13+"BYw!'e&lt;"</f>
        <v>#VALUE!</v>
      </c>
      <c r="BK146" t="e">
        <f>'2.5.Трудоемкость'!AIG13+"BYw!'e="</f>
        <v>#VALUE!</v>
      </c>
      <c r="BL146" t="e">
        <f>'2.5.Трудоемкость'!AIH13+"BYw!'e&gt;"</f>
        <v>#VALUE!</v>
      </c>
      <c r="BM146" t="e">
        <f>'2.5.Трудоемкость'!AII13+"BYw!'e?"</f>
        <v>#VALUE!</v>
      </c>
      <c r="BN146" t="e">
        <f>'2.5.Трудоемкость'!AIJ13+"BYw!'e@"</f>
        <v>#VALUE!</v>
      </c>
      <c r="BO146" t="e">
        <f>'2.5.Трудоемкость'!AIK13+"BYw!'eA"</f>
        <v>#VALUE!</v>
      </c>
      <c r="BP146" t="e">
        <f>'2.5.Трудоемкость'!AIL13+"BYw!'eB"</f>
        <v>#VALUE!</v>
      </c>
      <c r="BQ146" t="e">
        <f>'2.5.Трудоемкость'!AIM13+"BYw!'eC"</f>
        <v>#VALUE!</v>
      </c>
      <c r="BR146" t="e">
        <f>'2.5.Трудоемкость'!AIN13+"BYw!'eD"</f>
        <v>#VALUE!</v>
      </c>
      <c r="BS146" t="e">
        <f>'2.5.Трудоемкость'!AIO13+"BYw!'eE"</f>
        <v>#VALUE!</v>
      </c>
      <c r="BT146" t="e">
        <f>'2.5.Трудоемкость'!AIP13+"BYw!'eF"</f>
        <v>#VALUE!</v>
      </c>
      <c r="BU146" t="e">
        <f>'2.5.Трудоемкость'!AIQ13+"BYw!'eG"</f>
        <v>#VALUE!</v>
      </c>
      <c r="BV146" t="e">
        <f>'2.5.Трудоемкость'!AIR13+"BYw!'eH"</f>
        <v>#VALUE!</v>
      </c>
      <c r="BW146" t="e">
        <f>'2.5.Трудоемкость'!AIS13+"BYw!'eI"</f>
        <v>#VALUE!</v>
      </c>
      <c r="BX146" t="e">
        <f>'2.5.Трудоемкость'!AIT13+"BYw!'eJ"</f>
        <v>#VALUE!</v>
      </c>
      <c r="BY146" t="e">
        <f>'2.5.Трудоемкость'!AIU13+"BYw!'eK"</f>
        <v>#VALUE!</v>
      </c>
      <c r="BZ146" t="e">
        <f>'2.5.Трудоемкость'!AIV13+"BYw!'eL"</f>
        <v>#VALUE!</v>
      </c>
      <c r="CA146" t="e">
        <f>'2.5.Трудоемкость'!AIW13+"BYw!'eM"</f>
        <v>#VALUE!</v>
      </c>
      <c r="CB146" t="e">
        <f>'2.5.Трудоемкость'!AIX13+"BYw!'eN"</f>
        <v>#VALUE!</v>
      </c>
      <c r="CC146" t="e">
        <f>'2.5.Трудоемкость'!AIY13+"BYw!'eO"</f>
        <v>#VALUE!</v>
      </c>
      <c r="CD146" t="e">
        <f>'2.5.Трудоемкость'!AIZ13+"BYw!'eP"</f>
        <v>#VALUE!</v>
      </c>
      <c r="CE146" t="e">
        <f>'2.5.Трудоемкость'!AJA13+"BYw!'eQ"</f>
        <v>#VALUE!</v>
      </c>
      <c r="CF146" t="e">
        <f>'2.5.Трудоемкость'!AJB13+"BYw!'eR"</f>
        <v>#VALUE!</v>
      </c>
      <c r="CG146" t="e">
        <f>'2.5.Трудоемкость'!AJC13+"BYw!'eS"</f>
        <v>#VALUE!</v>
      </c>
      <c r="CH146" t="e">
        <f>'2.5.Трудоемкость'!AJD13+"BYw!'eT"</f>
        <v>#VALUE!</v>
      </c>
      <c r="CI146" t="e">
        <f>'2.5.Трудоемкость'!AJE13+"BYw!'eU"</f>
        <v>#VALUE!</v>
      </c>
      <c r="CJ146" t="e">
        <f>'2.5.Трудоемкость'!AJF13+"BYw!'eV"</f>
        <v>#VALUE!</v>
      </c>
      <c r="CK146" t="e">
        <f>'2.5.Трудоемкость'!AJG13+"BYw!'eW"</f>
        <v>#VALUE!</v>
      </c>
      <c r="CL146" t="e">
        <f>'2.5.Трудоемкость'!AJH13+"BYw!'eX"</f>
        <v>#VALUE!</v>
      </c>
      <c r="CM146" t="e">
        <f>'2.5.Трудоемкость'!AJI13+"BYw!'eY"</f>
        <v>#VALUE!</v>
      </c>
      <c r="CN146" t="e">
        <f>'2.5.Трудоемкость'!AJJ13+"BYw!'eZ"</f>
        <v>#VALUE!</v>
      </c>
      <c r="CO146" t="e">
        <f>'2.5.Трудоемкость'!AJK13+"BYw!'e["</f>
        <v>#VALUE!</v>
      </c>
      <c r="CP146" t="e">
        <f>'2.5.Трудоемкость'!AJL13+"BYw!'e\"</f>
        <v>#VALUE!</v>
      </c>
      <c r="CQ146" t="e">
        <f>'2.5.Трудоемкость'!AJM13+"BYw!'e]"</f>
        <v>#VALUE!</v>
      </c>
      <c r="CR146" t="e">
        <f>'2.5.Трудоемкость'!AJN13+"BYw!'e^"</f>
        <v>#VALUE!</v>
      </c>
      <c r="CS146" t="e">
        <f>'2.5.Трудоемкость'!AJO13+"BYw!'e_"</f>
        <v>#VALUE!</v>
      </c>
      <c r="CT146" t="e">
        <f>'2.5.Трудоемкость'!AJP13+"BYw!'e`"</f>
        <v>#VALUE!</v>
      </c>
      <c r="CU146" t="e">
        <f>'2.5.Трудоемкость'!AJQ13+"BYw!'ea"</f>
        <v>#VALUE!</v>
      </c>
      <c r="CV146" t="e">
        <f>'2.5.Трудоемкость'!AJR13+"BYw!'eb"</f>
        <v>#VALUE!</v>
      </c>
      <c r="CW146" t="e">
        <f>'2.5.Трудоемкость'!AJS13+"BYw!'ec"</f>
        <v>#VALUE!</v>
      </c>
      <c r="CX146" t="e">
        <f>'2.5.Трудоемкость'!AJT13+"BYw!'ed"</f>
        <v>#VALUE!</v>
      </c>
      <c r="CY146" t="e">
        <f>'2.5.Трудоемкость'!AJU13+"BYw!'ee"</f>
        <v>#VALUE!</v>
      </c>
      <c r="CZ146" t="e">
        <f>'2.5.Трудоемкость'!AJV13+"BYw!'ef"</f>
        <v>#VALUE!</v>
      </c>
      <c r="DA146" t="e">
        <f>'2.5.Трудоемкость'!AJW13+"BYw!'eg"</f>
        <v>#VALUE!</v>
      </c>
      <c r="DB146" t="e">
        <f>'2.5.Трудоемкость'!AJX13+"BYw!'eh"</f>
        <v>#VALUE!</v>
      </c>
      <c r="DC146" t="e">
        <f>'2.5.Трудоемкость'!AJY13+"BYw!'ei"</f>
        <v>#VALUE!</v>
      </c>
      <c r="DD146" t="e">
        <f>'2.5.Трудоемкость'!AJZ13+"BYw!'ej"</f>
        <v>#VALUE!</v>
      </c>
      <c r="DE146" t="e">
        <f>'2.5.Трудоемкость'!AKA13+"BYw!'ek"</f>
        <v>#VALUE!</v>
      </c>
      <c r="DF146" t="e">
        <f>'2.5.Трудоемкость'!AKB13+"BYw!'el"</f>
        <v>#VALUE!</v>
      </c>
      <c r="DG146" t="e">
        <f>'2.5.Трудоемкость'!AKC13+"BYw!'em"</f>
        <v>#VALUE!</v>
      </c>
      <c r="DH146" t="e">
        <f>'2.5.Трудоемкость'!AKD13+"BYw!'en"</f>
        <v>#VALUE!</v>
      </c>
      <c r="DI146" t="e">
        <f>'2.5.Трудоемкость'!AKE13+"BYw!'eo"</f>
        <v>#VALUE!</v>
      </c>
      <c r="DJ146" t="e">
        <f>'2.5.Трудоемкость'!AKF13+"BYw!'ep"</f>
        <v>#VALUE!</v>
      </c>
      <c r="DK146" t="e">
        <f>'2.5.Трудоемкость'!AKG13+"BYw!'eq"</f>
        <v>#VALUE!</v>
      </c>
      <c r="DL146" t="e">
        <f>'2.5.Трудоемкость'!AKH13+"BYw!'er"</f>
        <v>#VALUE!</v>
      </c>
      <c r="DM146" t="e">
        <f>'2.5.Трудоемкость'!AKI13+"BYw!'es"</f>
        <v>#VALUE!</v>
      </c>
      <c r="DN146" t="e">
        <f>'2.5.Трудоемкость'!AKJ13+"BYw!'et"</f>
        <v>#VALUE!</v>
      </c>
      <c r="DO146" t="e">
        <f>'2.5.Трудоемкость'!AKK13+"BYw!'eu"</f>
        <v>#VALUE!</v>
      </c>
      <c r="DP146" t="e">
        <f>'2.5.Трудоемкость'!AKL13+"BYw!'ev"</f>
        <v>#VALUE!</v>
      </c>
      <c r="DQ146" t="e">
        <f>'2.5.Трудоемкость'!AKM13+"BYw!'ew"</f>
        <v>#VALUE!</v>
      </c>
      <c r="DR146" t="e">
        <f>'2.5.Трудоемкость'!AKN13+"BYw!'ex"</f>
        <v>#VALUE!</v>
      </c>
      <c r="DS146" t="e">
        <f>'2.5.Трудоемкость'!AKO13+"BYw!'ey"</f>
        <v>#VALUE!</v>
      </c>
      <c r="DT146" t="e">
        <f>'2.5.Трудоемкость'!AKP13+"BYw!'ez"</f>
        <v>#VALUE!</v>
      </c>
      <c r="DU146" t="e">
        <f>'2.5.Трудоемкость'!AKQ13+"BYw!'e{"</f>
        <v>#VALUE!</v>
      </c>
      <c r="DV146" t="e">
        <f>'2.5.Трудоемкость'!AKR13+"BYw!'e|"</f>
        <v>#VALUE!</v>
      </c>
      <c r="DW146" t="e">
        <f>'2.5.Трудоемкость'!AKS13+"BYw!'e}"</f>
        <v>#VALUE!</v>
      </c>
      <c r="DX146" t="e">
        <f>'2.5.Трудоемкость'!AKT13+"BYw!'e~"</f>
        <v>#VALUE!</v>
      </c>
      <c r="DY146" t="e">
        <f>'2.5.Трудоемкость'!AKU13+"BYw!'f#"</f>
        <v>#VALUE!</v>
      </c>
      <c r="DZ146" t="e">
        <f>'2.5.Трудоемкость'!AKV13+"BYw!'f$"</f>
        <v>#VALUE!</v>
      </c>
      <c r="EA146" t="e">
        <f>'2.5.Трудоемкость'!AKW13+"BYw!'f%"</f>
        <v>#VALUE!</v>
      </c>
      <c r="EB146" t="e">
        <f>'2.5.Трудоемкость'!AKX13+"BYw!'f&amp;"</f>
        <v>#VALUE!</v>
      </c>
      <c r="EC146" t="e">
        <f>'2.5.Трудоемкость'!AKY13+"BYw!'f'"</f>
        <v>#VALUE!</v>
      </c>
      <c r="ED146" t="e">
        <f>'2.5.Трудоемкость'!AKZ13+"BYw!'f("</f>
        <v>#VALUE!</v>
      </c>
      <c r="EE146" t="e">
        <f>'2.5.Трудоемкость'!ALA13+"BYw!'f)"</f>
        <v>#VALUE!</v>
      </c>
      <c r="EF146" t="e">
        <f>'2.5.Трудоемкость'!ALB13+"BYw!'f."</f>
        <v>#VALUE!</v>
      </c>
      <c r="EG146" t="e">
        <f>'2.5.Трудоемкость'!ALC13+"BYw!'f/"</f>
        <v>#VALUE!</v>
      </c>
      <c r="EH146" t="e">
        <f>'2.5.Трудоемкость'!ALD13+"BYw!'f0"</f>
        <v>#VALUE!</v>
      </c>
      <c r="EI146" t="e">
        <f>'2.5.Трудоемкость'!ALE13+"BYw!'f1"</f>
        <v>#VALUE!</v>
      </c>
      <c r="EJ146" t="e">
        <f>'2.5.Трудоемкость'!ALF13+"BYw!'f2"</f>
        <v>#VALUE!</v>
      </c>
      <c r="EK146" t="e">
        <f>'2.5.Трудоемкость'!ALG13+"BYw!'f3"</f>
        <v>#VALUE!</v>
      </c>
      <c r="EL146" t="e">
        <f>'2.5.Трудоемкость'!ALH13+"BYw!'f4"</f>
        <v>#VALUE!</v>
      </c>
      <c r="EM146" t="e">
        <f>'2.5.Трудоемкость'!ALI13+"BYw!'f5"</f>
        <v>#VALUE!</v>
      </c>
      <c r="EN146" t="e">
        <f>'2.5.Трудоемкость'!ALJ13+"BYw!'f6"</f>
        <v>#VALUE!</v>
      </c>
      <c r="EO146" t="e">
        <f>'2.5.Трудоемкость'!ALK13+"BYw!'f7"</f>
        <v>#VALUE!</v>
      </c>
      <c r="EP146" t="e">
        <f>'2.5.Трудоемкость'!ALL13+"BYw!'f8"</f>
        <v>#VALUE!</v>
      </c>
      <c r="EQ146" t="e">
        <f>'2.5.Трудоемкость'!ALM13+"BYw!'f9"</f>
        <v>#VALUE!</v>
      </c>
      <c r="ER146" t="e">
        <f>'2.5.Трудоемкость'!ALN13+"BYw!'f:"</f>
        <v>#VALUE!</v>
      </c>
      <c r="ES146" t="e">
        <f>'2.5.Трудоемкость'!ALO13+"BYw!'f;"</f>
        <v>#VALUE!</v>
      </c>
      <c r="ET146" t="e">
        <f>'2.5.Трудоемкость'!ALP13+"BYw!'f&lt;"</f>
        <v>#VALUE!</v>
      </c>
      <c r="EU146" t="e">
        <f>'2.5.Трудоемкость'!ALQ13+"BYw!'f="</f>
        <v>#VALUE!</v>
      </c>
      <c r="EV146" t="e">
        <f>'2.5.Трудоемкость'!ALR13+"BYw!'f&gt;"</f>
        <v>#VALUE!</v>
      </c>
      <c r="EW146" t="e">
        <f>'2.5.Трудоемкость'!ALS13+"BYw!'f?"</f>
        <v>#VALUE!</v>
      </c>
      <c r="EX146" t="e">
        <f>'2.5.Трудоемкость'!ALT13+"BYw!'f@"</f>
        <v>#VALUE!</v>
      </c>
      <c r="EY146" t="e">
        <f>'2.5.Трудоемкость'!ALU13+"BYw!'fA"</f>
        <v>#VALUE!</v>
      </c>
      <c r="EZ146" t="e">
        <f>'2.5.Трудоемкость'!ALV13+"BYw!'fB"</f>
        <v>#VALUE!</v>
      </c>
      <c r="FA146" t="e">
        <f>'2.5.Трудоемкость'!ALW13+"BYw!'fC"</f>
        <v>#VALUE!</v>
      </c>
      <c r="FB146" t="e">
        <f>'2.5.Трудоемкость'!ALX13+"BYw!'fD"</f>
        <v>#VALUE!</v>
      </c>
      <c r="FC146" t="e">
        <f>'2.5.Трудоемкость'!ALY13+"BYw!'fE"</f>
        <v>#VALUE!</v>
      </c>
      <c r="FD146" t="e">
        <f>'2.5.Трудоемкость'!ALZ13+"BYw!'fF"</f>
        <v>#VALUE!</v>
      </c>
      <c r="FE146" t="e">
        <f>'2.5.Трудоемкость'!AMA13+"BYw!'fG"</f>
        <v>#VALUE!</v>
      </c>
      <c r="FF146" t="e">
        <f>'2.5.Трудоемкость'!AMB13+"BYw!'fH"</f>
        <v>#VALUE!</v>
      </c>
      <c r="FG146" t="e">
        <f>'2.5.Трудоемкость'!AMC13+"BYw!'fI"</f>
        <v>#VALUE!</v>
      </c>
      <c r="FH146" t="e">
        <f>'2.5.Трудоемкость'!AMD13+"BYw!'fJ"</f>
        <v>#VALUE!</v>
      </c>
      <c r="FI146" t="e">
        <f>'2.5.Трудоемкость'!AME13+"BYw!'fK"</f>
        <v>#VALUE!</v>
      </c>
      <c r="FJ146" t="e">
        <f>'2.5.Трудоемкость'!AMF13+"BYw!'fL"</f>
        <v>#VALUE!</v>
      </c>
      <c r="FK146" t="e">
        <f>'2.5.Трудоемкость'!AMG13+"BYw!'fM"</f>
        <v>#VALUE!</v>
      </c>
      <c r="FL146" t="e">
        <f>'2.5.Трудоемкость'!AMH13+"BYw!'fN"</f>
        <v>#VALUE!</v>
      </c>
      <c r="FM146" t="e">
        <f>'2.5.Трудоемкость'!AMI13+"BYw!'fO"</f>
        <v>#VALUE!</v>
      </c>
      <c r="FN146" t="e">
        <f>'2.5.Трудоемкость'!AMJ13+"BYw!'fP"</f>
        <v>#VALUE!</v>
      </c>
      <c r="FO146" t="e">
        <f>'2.5.Трудоемкость'!A14+"BYw!'fQ"</f>
        <v>#VALUE!</v>
      </c>
      <c r="FP146" t="e">
        <f>'2.5.Трудоемкость'!B14+"BYw!'fR"</f>
        <v>#VALUE!</v>
      </c>
      <c r="FQ146" t="e">
        <f>'2.5.Трудоемкость'!C14+"BYw!'fS"</f>
        <v>#VALUE!</v>
      </c>
      <c r="FR146" t="e">
        <f>'2.5.Трудоемкость'!D14+"BYw!'fT"</f>
        <v>#VALUE!</v>
      </c>
      <c r="FS146" t="e">
        <f>'2.5.Трудоемкость'!E14+"BYw!'fU"</f>
        <v>#VALUE!</v>
      </c>
      <c r="FT146" t="e">
        <f>'2.5.Трудоемкость'!F14+"BYw!'fV"</f>
        <v>#VALUE!</v>
      </c>
      <c r="FU146" t="e">
        <f>'2.5.Трудоемкость'!G14+"BYw!'fW"</f>
        <v>#VALUE!</v>
      </c>
      <c r="FV146" t="e">
        <f>'2.5.Трудоемкость'!H14+"BYw!'fX"</f>
        <v>#VALUE!</v>
      </c>
      <c r="FW146" t="e">
        <f>'2.5.Трудоемкость'!I14+"BYw!'fY"</f>
        <v>#VALUE!</v>
      </c>
      <c r="FX146" t="e">
        <f>'2.5.Трудоемкость'!J14+"BYw!'fZ"</f>
        <v>#VALUE!</v>
      </c>
      <c r="FY146" t="e">
        <f>'2.5.Трудоемкость'!K14+"BYw!'f["</f>
        <v>#VALUE!</v>
      </c>
      <c r="FZ146" t="e">
        <f>'2.5.Трудоемкость'!L14+"BYw!'f\"</f>
        <v>#VALUE!</v>
      </c>
      <c r="GA146" t="e">
        <f>'2.5.Трудоемкость'!M14+"BYw!'f]"</f>
        <v>#VALUE!</v>
      </c>
      <c r="GB146" t="e">
        <f>'2.5.Трудоемкость'!N14+"BYw!'f^"</f>
        <v>#VALUE!</v>
      </c>
      <c r="GC146" t="e">
        <f>'2.5.Трудоемкость'!O14+"BYw!'f_"</f>
        <v>#VALUE!</v>
      </c>
      <c r="GD146" t="e">
        <f>'2.5.Трудоемкость'!P14+"BYw!'f`"</f>
        <v>#VALUE!</v>
      </c>
      <c r="GE146" t="e">
        <f>'2.5.Трудоемкость'!Q14+"BYw!'fa"</f>
        <v>#VALUE!</v>
      </c>
      <c r="GF146" t="e">
        <f>'2.5.Трудоемкость'!R14+"BYw!'fb"</f>
        <v>#VALUE!</v>
      </c>
      <c r="GG146" t="e">
        <f>'2.5.Трудоемкость'!S14+"BYw!'fc"</f>
        <v>#VALUE!</v>
      </c>
      <c r="GH146" t="e">
        <f>'2.5.Трудоемкость'!T14+"BYw!'fd"</f>
        <v>#VALUE!</v>
      </c>
      <c r="GI146" t="e">
        <f>'2.5.Трудоемкость'!U14+"BYw!'fe"</f>
        <v>#VALUE!</v>
      </c>
      <c r="GJ146" t="e">
        <f>'2.5.Трудоемкость'!V14+"BYw!'ff"</f>
        <v>#VALUE!</v>
      </c>
      <c r="GK146" t="e">
        <f>'2.5.Трудоемкость'!X14+"BYw!'fg"</f>
        <v>#VALUE!</v>
      </c>
      <c r="GL146" t="e">
        <f>'2.5.Трудоемкость'!Y14+"BYw!'fh"</f>
        <v>#VALUE!</v>
      </c>
      <c r="GM146" t="e">
        <f>'2.5.Трудоемкость'!Z14+"BYw!'fi"</f>
        <v>#VALUE!</v>
      </c>
      <c r="GN146" t="e">
        <f>'2.5.Трудоемкость'!AA14+"BYw!'fj"</f>
        <v>#VALUE!</v>
      </c>
      <c r="GO146" t="e">
        <f>'2.5.Трудоемкость'!AB14+"BYw!'fk"</f>
        <v>#VALUE!</v>
      </c>
      <c r="GP146" t="e">
        <f>'2.5.Трудоемкость'!AC14+"BYw!'fl"</f>
        <v>#VALUE!</v>
      </c>
      <c r="GQ146" t="e">
        <f>'2.5.Трудоемкость'!AD14+"BYw!'fm"</f>
        <v>#VALUE!</v>
      </c>
      <c r="GR146" t="e">
        <f>'2.5.Трудоемкость'!AE14+"BYw!'fn"</f>
        <v>#VALUE!</v>
      </c>
      <c r="GS146" t="e">
        <f>'2.5.Трудоемкость'!AF14+"BYw!'fo"</f>
        <v>#VALUE!</v>
      </c>
      <c r="GT146" t="e">
        <f>'2.5.Трудоемкость'!AG14+"BYw!'fp"</f>
        <v>#VALUE!</v>
      </c>
      <c r="GU146" t="e">
        <f>'2.5.Трудоемкость'!AH14+"BYw!'fq"</f>
        <v>#VALUE!</v>
      </c>
      <c r="GV146" t="e">
        <f>'2.5.Трудоемкость'!AI14+"BYw!'fr"</f>
        <v>#VALUE!</v>
      </c>
      <c r="GW146" t="e">
        <f>'2.5.Трудоемкость'!AJ14+"BYw!'fs"</f>
        <v>#VALUE!</v>
      </c>
      <c r="GX146" t="e">
        <f>'2.5.Трудоемкость'!AK14+"BYw!'ft"</f>
        <v>#VALUE!</v>
      </c>
      <c r="GY146" t="e">
        <f>'2.5.Трудоемкость'!AL14+"BYw!'fu"</f>
        <v>#VALUE!</v>
      </c>
      <c r="GZ146" t="e">
        <f>'2.5.Трудоемкость'!AM14+"BYw!'fv"</f>
        <v>#VALUE!</v>
      </c>
      <c r="HA146" t="e">
        <f>'2.5.Трудоемкость'!AN14+"BYw!'fw"</f>
        <v>#VALUE!</v>
      </c>
      <c r="HB146" t="e">
        <f>'2.5.Трудоемкость'!AO14+"BYw!'fx"</f>
        <v>#VALUE!</v>
      </c>
      <c r="HC146" t="e">
        <f>'2.5.Трудоемкость'!AP14+"BYw!'fy"</f>
        <v>#VALUE!</v>
      </c>
      <c r="HD146" t="e">
        <f>'2.5.Трудоемкость'!AQ14+"BYw!'fz"</f>
        <v>#VALUE!</v>
      </c>
      <c r="HE146" t="e">
        <f>'2.5.Трудоемкость'!AR14+"BYw!'f{"</f>
        <v>#VALUE!</v>
      </c>
      <c r="HF146" t="e">
        <f>'2.5.Трудоемкость'!AS14+"BYw!'f|"</f>
        <v>#VALUE!</v>
      </c>
      <c r="HG146" t="e">
        <f>'2.5.Трудоемкость'!AT14+"BYw!'f}"</f>
        <v>#VALUE!</v>
      </c>
      <c r="HH146" t="e">
        <f>'2.5.Трудоемкость'!AU14+"BYw!'f~"</f>
        <v>#VALUE!</v>
      </c>
      <c r="HI146" t="e">
        <f>'2.5.Трудоемкость'!AV14+"BYw!'g#"</f>
        <v>#VALUE!</v>
      </c>
      <c r="HJ146" t="e">
        <f>'2.5.Трудоемкость'!AW14+"BYw!'g$"</f>
        <v>#VALUE!</v>
      </c>
      <c r="HK146" t="e">
        <f>'2.5.Трудоемкость'!AX14+"BYw!'g%"</f>
        <v>#VALUE!</v>
      </c>
      <c r="HL146" t="e">
        <f>'2.5.Трудоемкость'!AY14+"BYw!'g&amp;"</f>
        <v>#VALUE!</v>
      </c>
      <c r="HM146" t="e">
        <f>'2.5.Трудоемкость'!AZ14+"BYw!'g'"</f>
        <v>#VALUE!</v>
      </c>
      <c r="HN146" t="e">
        <f>'2.5.Трудоемкость'!BA14+"BYw!'g("</f>
        <v>#VALUE!</v>
      </c>
      <c r="HO146" t="e">
        <f>'2.5.Трудоемкость'!BB14+"BYw!'g)"</f>
        <v>#VALUE!</v>
      </c>
      <c r="HP146" t="e">
        <f>'2.5.Трудоемкость'!BC14+"BYw!'g."</f>
        <v>#VALUE!</v>
      </c>
      <c r="HQ146" t="e">
        <f>'2.5.Трудоемкость'!BD14+"BYw!'g/"</f>
        <v>#VALUE!</v>
      </c>
      <c r="HR146" t="e">
        <f>'2.5.Трудоемкость'!BE14+"BYw!'g0"</f>
        <v>#VALUE!</v>
      </c>
      <c r="HS146" t="e">
        <f>'2.5.Трудоемкость'!BF14+"BYw!'g1"</f>
        <v>#VALUE!</v>
      </c>
      <c r="HT146" t="e">
        <f>'2.5.Трудоемкость'!BG14+"BYw!'g2"</f>
        <v>#VALUE!</v>
      </c>
      <c r="HU146" t="e">
        <f>'2.5.Трудоемкость'!BH14+"BYw!'g3"</f>
        <v>#VALUE!</v>
      </c>
      <c r="HV146" t="e">
        <f>'2.5.Трудоемкость'!BI14+"BYw!'g4"</f>
        <v>#VALUE!</v>
      </c>
      <c r="HW146" t="e">
        <f>'2.5.Трудоемкость'!BJ14+"BYw!'g5"</f>
        <v>#VALUE!</v>
      </c>
      <c r="HX146" t="e">
        <f>'2.5.Трудоемкость'!BK14+"BYw!'g6"</f>
        <v>#VALUE!</v>
      </c>
      <c r="HY146" t="e">
        <f>'2.5.Трудоемкость'!BL14+"BYw!'g7"</f>
        <v>#VALUE!</v>
      </c>
      <c r="HZ146" t="e">
        <f>'2.5.Трудоемкость'!BM14+"BYw!'g8"</f>
        <v>#VALUE!</v>
      </c>
      <c r="IA146" t="e">
        <f>'2.5.Трудоемкость'!BN14+"BYw!'g9"</f>
        <v>#VALUE!</v>
      </c>
      <c r="IB146" t="e">
        <f>'2.5.Трудоемкость'!BO14+"BYw!'g:"</f>
        <v>#VALUE!</v>
      </c>
      <c r="IC146" t="e">
        <f>'2.5.Трудоемкость'!BP14+"BYw!'g;"</f>
        <v>#VALUE!</v>
      </c>
      <c r="ID146" t="e">
        <f>'2.5.Трудоемкость'!BQ14+"BYw!'g&lt;"</f>
        <v>#VALUE!</v>
      </c>
      <c r="IE146" t="e">
        <f>'2.5.Трудоемкость'!BR14+"BYw!'g="</f>
        <v>#VALUE!</v>
      </c>
      <c r="IF146" t="e">
        <f>'2.5.Трудоемкость'!BS14+"BYw!'g&gt;"</f>
        <v>#VALUE!</v>
      </c>
      <c r="IG146" t="e">
        <f>'2.5.Трудоемкость'!BT14+"BYw!'g?"</f>
        <v>#VALUE!</v>
      </c>
      <c r="IH146" t="e">
        <f>'2.5.Трудоемкость'!BU14+"BYw!'g@"</f>
        <v>#VALUE!</v>
      </c>
      <c r="II146" t="e">
        <f>'2.5.Трудоемкость'!BV14+"BYw!'gA"</f>
        <v>#VALUE!</v>
      </c>
      <c r="IJ146" t="e">
        <f>'2.5.Трудоемкость'!BW14+"BYw!'gB"</f>
        <v>#VALUE!</v>
      </c>
      <c r="IK146" t="e">
        <f>'2.5.Трудоемкость'!BX14+"BYw!'gC"</f>
        <v>#VALUE!</v>
      </c>
      <c r="IL146" t="e">
        <f>'2.5.Трудоемкость'!BY14+"BYw!'gD"</f>
        <v>#VALUE!</v>
      </c>
      <c r="IM146" t="e">
        <f>'2.5.Трудоемкость'!BZ14+"BYw!'gE"</f>
        <v>#VALUE!</v>
      </c>
      <c r="IN146" t="e">
        <f>'2.5.Трудоемкость'!CA14+"BYw!'gF"</f>
        <v>#VALUE!</v>
      </c>
      <c r="IO146" t="e">
        <f>'2.5.Трудоемкость'!CB14+"BYw!'gG"</f>
        <v>#VALUE!</v>
      </c>
      <c r="IP146" t="e">
        <f>'2.5.Трудоемкость'!CC14+"BYw!'gH"</f>
        <v>#VALUE!</v>
      </c>
      <c r="IQ146" t="e">
        <f>'2.5.Трудоемкость'!CD14+"BYw!'gI"</f>
        <v>#VALUE!</v>
      </c>
      <c r="IR146" t="e">
        <f>'2.5.Трудоемкость'!CE14+"BYw!'gJ"</f>
        <v>#VALUE!</v>
      </c>
      <c r="IS146" t="e">
        <f>'2.5.Трудоемкость'!CF14+"BYw!'gK"</f>
        <v>#VALUE!</v>
      </c>
      <c r="IT146" t="e">
        <f>'2.5.Трудоемкость'!CG14+"BYw!'gL"</f>
        <v>#VALUE!</v>
      </c>
      <c r="IU146" t="e">
        <f>'2.5.Трудоемкость'!CH14+"BYw!'gM"</f>
        <v>#VALUE!</v>
      </c>
      <c r="IV146" t="e">
        <f>'2.5.Трудоемкость'!CI14+"BYw!'gN"</f>
        <v>#VALUE!</v>
      </c>
    </row>
    <row r="147" spans="6:256" x14ac:dyDescent="0.2">
      <c r="F147" t="e">
        <f>'2.5.Трудоемкость'!CJ14+"BYw!'gO"</f>
        <v>#VALUE!</v>
      </c>
      <c r="G147" t="e">
        <f>'2.5.Трудоемкость'!CK14+"BYw!'gP"</f>
        <v>#VALUE!</v>
      </c>
      <c r="H147" t="e">
        <f>'2.5.Трудоемкость'!CL14+"BYw!'gQ"</f>
        <v>#VALUE!</v>
      </c>
      <c r="I147" t="e">
        <f>'2.5.Трудоемкость'!CM14+"BYw!'gR"</f>
        <v>#VALUE!</v>
      </c>
      <c r="J147" t="e">
        <f>'2.5.Трудоемкость'!CN14+"BYw!'gS"</f>
        <v>#VALUE!</v>
      </c>
      <c r="K147" t="e">
        <f>'2.5.Трудоемкость'!CO14+"BYw!'gT"</f>
        <v>#VALUE!</v>
      </c>
      <c r="L147" t="e">
        <f>'2.5.Трудоемкость'!CP14+"BYw!'gU"</f>
        <v>#VALUE!</v>
      </c>
      <c r="M147" t="e">
        <f>'2.5.Трудоемкость'!CQ14+"BYw!'gV"</f>
        <v>#VALUE!</v>
      </c>
      <c r="N147" t="e">
        <f>'2.5.Трудоемкость'!CR14+"BYw!'gW"</f>
        <v>#VALUE!</v>
      </c>
      <c r="O147" t="e">
        <f>'2.5.Трудоемкость'!CS14+"BYw!'gX"</f>
        <v>#VALUE!</v>
      </c>
      <c r="P147" t="e">
        <f>'2.5.Трудоемкость'!CT14+"BYw!'gY"</f>
        <v>#VALUE!</v>
      </c>
      <c r="Q147" t="e">
        <f>'2.5.Трудоемкость'!CU14+"BYw!'gZ"</f>
        <v>#VALUE!</v>
      </c>
      <c r="R147" t="e">
        <f>'2.5.Трудоемкость'!CV14+"BYw!'g["</f>
        <v>#VALUE!</v>
      </c>
      <c r="S147" t="e">
        <f>'2.5.Трудоемкость'!CW14+"BYw!'g\"</f>
        <v>#VALUE!</v>
      </c>
      <c r="T147" t="e">
        <f>'2.5.Трудоемкость'!CX14+"BYw!'g]"</f>
        <v>#VALUE!</v>
      </c>
      <c r="U147" t="e">
        <f>'2.5.Трудоемкость'!CY14+"BYw!'g^"</f>
        <v>#VALUE!</v>
      </c>
      <c r="V147" t="e">
        <f>'2.5.Трудоемкость'!CZ14+"BYw!'g_"</f>
        <v>#VALUE!</v>
      </c>
      <c r="W147" t="e">
        <f>'2.5.Трудоемкость'!DA14+"BYw!'g`"</f>
        <v>#VALUE!</v>
      </c>
      <c r="X147" t="e">
        <f>'2.5.Трудоемкость'!DB14+"BYw!'ga"</f>
        <v>#VALUE!</v>
      </c>
      <c r="Y147" t="e">
        <f>'2.5.Трудоемкость'!DC14+"BYw!'gb"</f>
        <v>#VALUE!</v>
      </c>
      <c r="Z147" t="e">
        <f>'2.5.Трудоемкость'!DD14+"BYw!'gc"</f>
        <v>#VALUE!</v>
      </c>
      <c r="AA147" t="e">
        <f>'2.5.Трудоемкость'!DE14+"BYw!'gd"</f>
        <v>#VALUE!</v>
      </c>
      <c r="AB147" t="e">
        <f>'2.5.Трудоемкость'!DF14+"BYw!'ge"</f>
        <v>#VALUE!</v>
      </c>
      <c r="AC147" t="e">
        <f>'2.5.Трудоемкость'!DG14+"BYw!'gf"</f>
        <v>#VALUE!</v>
      </c>
      <c r="AD147" t="e">
        <f>'2.5.Трудоемкость'!DH14+"BYw!'gg"</f>
        <v>#VALUE!</v>
      </c>
      <c r="AE147" t="e">
        <f>'2.5.Трудоемкость'!DI14+"BYw!'gh"</f>
        <v>#VALUE!</v>
      </c>
      <c r="AF147" t="e">
        <f>'2.5.Трудоемкость'!DJ14+"BYw!'gi"</f>
        <v>#VALUE!</v>
      </c>
      <c r="AG147" t="e">
        <f>'2.5.Трудоемкость'!DK14+"BYw!'gj"</f>
        <v>#VALUE!</v>
      </c>
      <c r="AH147" t="e">
        <f>'2.5.Трудоемкость'!DL14+"BYw!'gk"</f>
        <v>#VALUE!</v>
      </c>
      <c r="AI147" t="e">
        <f>'2.5.Трудоемкость'!DM14+"BYw!'gl"</f>
        <v>#VALUE!</v>
      </c>
      <c r="AJ147" t="e">
        <f>'2.5.Трудоемкость'!DN14+"BYw!'gm"</f>
        <v>#VALUE!</v>
      </c>
      <c r="AK147" t="e">
        <f>'2.5.Трудоемкость'!DO14+"BYw!'gn"</f>
        <v>#VALUE!</v>
      </c>
      <c r="AL147" t="e">
        <f>'2.5.Трудоемкость'!DP14+"BYw!'go"</f>
        <v>#VALUE!</v>
      </c>
      <c r="AM147" t="e">
        <f>'2.5.Трудоемкость'!DQ14+"BYw!'gp"</f>
        <v>#VALUE!</v>
      </c>
      <c r="AN147" t="e">
        <f>'2.5.Трудоемкость'!DR14+"BYw!'gq"</f>
        <v>#VALUE!</v>
      </c>
      <c r="AO147" t="e">
        <f>'2.5.Трудоемкость'!DS14+"BYw!'gr"</f>
        <v>#VALUE!</v>
      </c>
      <c r="AP147" t="e">
        <f>'2.5.Трудоемкость'!DT14+"BYw!'gs"</f>
        <v>#VALUE!</v>
      </c>
      <c r="AQ147" t="e">
        <f>'2.5.Трудоемкость'!DU14+"BYw!'gt"</f>
        <v>#VALUE!</v>
      </c>
      <c r="AR147" t="e">
        <f>'2.5.Трудоемкость'!DV14+"BYw!'gu"</f>
        <v>#VALUE!</v>
      </c>
      <c r="AS147" t="e">
        <f>'2.5.Трудоемкость'!DW14+"BYw!'gv"</f>
        <v>#VALUE!</v>
      </c>
      <c r="AT147" t="e">
        <f>'2.5.Трудоемкость'!DX14+"BYw!'gw"</f>
        <v>#VALUE!</v>
      </c>
      <c r="AU147" t="e">
        <f>'2.5.Трудоемкость'!DY14+"BYw!'gx"</f>
        <v>#VALUE!</v>
      </c>
      <c r="AV147" t="e">
        <f>'2.5.Трудоемкость'!DZ14+"BYw!'gy"</f>
        <v>#VALUE!</v>
      </c>
      <c r="AW147" t="e">
        <f>'2.5.Трудоемкость'!EA14+"BYw!'gz"</f>
        <v>#VALUE!</v>
      </c>
      <c r="AX147" t="e">
        <f>'2.5.Трудоемкость'!EB14+"BYw!'g{"</f>
        <v>#VALUE!</v>
      </c>
      <c r="AY147" t="e">
        <f>'2.5.Трудоемкость'!EC14+"BYw!'g|"</f>
        <v>#VALUE!</v>
      </c>
      <c r="AZ147" t="e">
        <f>'2.5.Трудоемкость'!ED14+"BYw!'g}"</f>
        <v>#VALUE!</v>
      </c>
      <c r="BA147" t="e">
        <f>'2.5.Трудоемкость'!EE14+"BYw!'g~"</f>
        <v>#VALUE!</v>
      </c>
      <c r="BB147" t="e">
        <f>'2.5.Трудоемкость'!EF14+"BYw!'h#"</f>
        <v>#VALUE!</v>
      </c>
      <c r="BC147" t="e">
        <f>'2.5.Трудоемкость'!EG14+"BYw!'h$"</f>
        <v>#VALUE!</v>
      </c>
      <c r="BD147" t="e">
        <f>'2.5.Трудоемкость'!EH14+"BYw!'h%"</f>
        <v>#VALUE!</v>
      </c>
      <c r="BE147" t="e">
        <f>'2.5.Трудоемкость'!EI14+"BYw!'h&amp;"</f>
        <v>#VALUE!</v>
      </c>
      <c r="BF147" t="e">
        <f>'2.5.Трудоемкость'!EJ14+"BYw!'h'"</f>
        <v>#VALUE!</v>
      </c>
      <c r="BG147" t="e">
        <f>'2.5.Трудоемкость'!EK14+"BYw!'h("</f>
        <v>#VALUE!</v>
      </c>
      <c r="BH147" t="e">
        <f>'2.5.Трудоемкость'!EL14+"BYw!'h)"</f>
        <v>#VALUE!</v>
      </c>
      <c r="BI147" t="e">
        <f>'2.5.Трудоемкость'!EM14+"BYw!'h."</f>
        <v>#VALUE!</v>
      </c>
      <c r="BJ147" t="e">
        <f>'2.5.Трудоемкость'!EN14+"BYw!'h/"</f>
        <v>#VALUE!</v>
      </c>
      <c r="BK147" t="e">
        <f>'2.5.Трудоемкость'!EO14+"BYw!'h0"</f>
        <v>#VALUE!</v>
      </c>
      <c r="BL147" t="e">
        <f>'2.5.Трудоемкость'!EP14+"BYw!'h1"</f>
        <v>#VALUE!</v>
      </c>
      <c r="BM147" t="e">
        <f>'2.5.Трудоемкость'!EQ14+"BYw!'h2"</f>
        <v>#VALUE!</v>
      </c>
      <c r="BN147" t="e">
        <f>'2.5.Трудоемкость'!ER14+"BYw!'h3"</f>
        <v>#VALUE!</v>
      </c>
      <c r="BO147" t="e">
        <f>'2.5.Трудоемкость'!ES14+"BYw!'h4"</f>
        <v>#VALUE!</v>
      </c>
      <c r="BP147" t="e">
        <f>'2.5.Трудоемкость'!ET14+"BYw!'h5"</f>
        <v>#VALUE!</v>
      </c>
      <c r="BQ147" t="e">
        <f>'2.5.Трудоемкость'!EU14+"BYw!'h6"</f>
        <v>#VALUE!</v>
      </c>
      <c r="BR147" t="e">
        <f>'2.5.Трудоемкость'!EV14+"BYw!'h7"</f>
        <v>#VALUE!</v>
      </c>
      <c r="BS147" t="e">
        <f>'2.5.Трудоемкость'!EW14+"BYw!'h8"</f>
        <v>#VALUE!</v>
      </c>
      <c r="BT147" t="e">
        <f>'2.5.Трудоемкость'!EX14+"BYw!'h9"</f>
        <v>#VALUE!</v>
      </c>
      <c r="BU147" t="e">
        <f>'2.5.Трудоемкость'!EY14+"BYw!'h:"</f>
        <v>#VALUE!</v>
      </c>
      <c r="BV147" t="e">
        <f>'2.5.Трудоемкость'!EZ14+"BYw!'h;"</f>
        <v>#VALUE!</v>
      </c>
      <c r="BW147" t="e">
        <f>'2.5.Трудоемкость'!FA14+"BYw!'h&lt;"</f>
        <v>#VALUE!</v>
      </c>
      <c r="BX147" t="e">
        <f>'2.5.Трудоемкость'!FB14+"BYw!'h="</f>
        <v>#VALUE!</v>
      </c>
      <c r="BY147" t="e">
        <f>'2.5.Трудоемкость'!FC14+"BYw!'h&gt;"</f>
        <v>#VALUE!</v>
      </c>
      <c r="BZ147" t="e">
        <f>'2.5.Трудоемкость'!FD14+"BYw!'h?"</f>
        <v>#VALUE!</v>
      </c>
      <c r="CA147" t="e">
        <f>'2.5.Трудоемкость'!FE14+"BYw!'h@"</f>
        <v>#VALUE!</v>
      </c>
      <c r="CB147" t="e">
        <f>'2.5.Трудоемкость'!FF14+"BYw!'hA"</f>
        <v>#VALUE!</v>
      </c>
      <c r="CC147" t="e">
        <f>'2.5.Трудоемкость'!FG14+"BYw!'hB"</f>
        <v>#VALUE!</v>
      </c>
      <c r="CD147" t="e">
        <f>'2.5.Трудоемкость'!FH14+"BYw!'hC"</f>
        <v>#VALUE!</v>
      </c>
      <c r="CE147" t="e">
        <f>'2.5.Трудоемкость'!FI14+"BYw!'hD"</f>
        <v>#VALUE!</v>
      </c>
      <c r="CF147" t="e">
        <f>'2.5.Трудоемкость'!FJ14+"BYw!'hE"</f>
        <v>#VALUE!</v>
      </c>
      <c r="CG147" t="e">
        <f>'2.5.Трудоемкость'!FK14+"BYw!'hF"</f>
        <v>#VALUE!</v>
      </c>
      <c r="CH147" t="e">
        <f>'2.5.Трудоемкость'!FL14+"BYw!'hG"</f>
        <v>#VALUE!</v>
      </c>
      <c r="CI147" t="e">
        <f>'2.5.Трудоемкость'!FM14+"BYw!'hH"</f>
        <v>#VALUE!</v>
      </c>
      <c r="CJ147" t="e">
        <f>'2.5.Трудоемкость'!FN14+"BYw!'hI"</f>
        <v>#VALUE!</v>
      </c>
      <c r="CK147" t="e">
        <f>'2.5.Трудоемкость'!FO14+"BYw!'hJ"</f>
        <v>#VALUE!</v>
      </c>
      <c r="CL147" t="e">
        <f>'2.5.Трудоемкость'!FP14+"BYw!'hK"</f>
        <v>#VALUE!</v>
      </c>
      <c r="CM147" t="e">
        <f>'2.5.Трудоемкость'!FQ14+"BYw!'hL"</f>
        <v>#VALUE!</v>
      </c>
      <c r="CN147" t="e">
        <f>'2.5.Трудоемкость'!FR14+"BYw!'hM"</f>
        <v>#VALUE!</v>
      </c>
      <c r="CO147" t="e">
        <f>'2.5.Трудоемкость'!FS14+"BYw!'hN"</f>
        <v>#VALUE!</v>
      </c>
      <c r="CP147" t="e">
        <f>'2.5.Трудоемкость'!FT14+"BYw!'hO"</f>
        <v>#VALUE!</v>
      </c>
      <c r="CQ147" t="e">
        <f>'2.5.Трудоемкость'!FU14+"BYw!'hP"</f>
        <v>#VALUE!</v>
      </c>
      <c r="CR147" t="e">
        <f>'2.5.Трудоемкость'!FV14+"BYw!'hQ"</f>
        <v>#VALUE!</v>
      </c>
      <c r="CS147" t="e">
        <f>'2.5.Трудоемкость'!FW14+"BYw!'hR"</f>
        <v>#VALUE!</v>
      </c>
      <c r="CT147" t="e">
        <f>'2.5.Трудоемкость'!FX14+"BYw!'hS"</f>
        <v>#VALUE!</v>
      </c>
      <c r="CU147" t="e">
        <f>'2.5.Трудоемкость'!FY14+"BYw!'hT"</f>
        <v>#VALUE!</v>
      </c>
      <c r="CV147" t="e">
        <f>'2.5.Трудоемкость'!FZ14+"BYw!'hU"</f>
        <v>#VALUE!</v>
      </c>
      <c r="CW147" t="e">
        <f>'2.5.Трудоемкость'!GA14+"BYw!'hV"</f>
        <v>#VALUE!</v>
      </c>
      <c r="CX147" t="e">
        <f>'2.5.Трудоемкость'!GB14+"BYw!'hW"</f>
        <v>#VALUE!</v>
      </c>
      <c r="CY147" t="e">
        <f>'2.5.Трудоемкость'!GC14+"BYw!'hX"</f>
        <v>#VALUE!</v>
      </c>
      <c r="CZ147" t="e">
        <f>'2.5.Трудоемкость'!GD14+"BYw!'hY"</f>
        <v>#VALUE!</v>
      </c>
      <c r="DA147" t="e">
        <f>'2.5.Трудоемкость'!GE14+"BYw!'hZ"</f>
        <v>#VALUE!</v>
      </c>
      <c r="DB147" t="e">
        <f>'2.5.Трудоемкость'!GF14+"BYw!'h["</f>
        <v>#VALUE!</v>
      </c>
      <c r="DC147" t="e">
        <f>'2.5.Трудоемкость'!GG14+"BYw!'h\"</f>
        <v>#VALUE!</v>
      </c>
      <c r="DD147" t="e">
        <f>'2.5.Трудоемкость'!GH14+"BYw!'h]"</f>
        <v>#VALUE!</v>
      </c>
      <c r="DE147" t="e">
        <f>'2.5.Трудоемкость'!GI14+"BYw!'h^"</f>
        <v>#VALUE!</v>
      </c>
      <c r="DF147" t="e">
        <f>'2.5.Трудоемкость'!GJ14+"BYw!'h_"</f>
        <v>#VALUE!</v>
      </c>
      <c r="DG147" t="e">
        <f>'2.5.Трудоемкость'!GK14+"BYw!'h`"</f>
        <v>#VALUE!</v>
      </c>
      <c r="DH147" t="e">
        <f>'2.5.Трудоемкость'!GL14+"BYw!'ha"</f>
        <v>#VALUE!</v>
      </c>
      <c r="DI147" t="e">
        <f>'2.5.Трудоемкость'!GM14+"BYw!'hb"</f>
        <v>#VALUE!</v>
      </c>
      <c r="DJ147" t="e">
        <f>'2.5.Трудоемкость'!GN14+"BYw!'hc"</f>
        <v>#VALUE!</v>
      </c>
      <c r="DK147" t="e">
        <f>'2.5.Трудоемкость'!GO14+"BYw!'hd"</f>
        <v>#VALUE!</v>
      </c>
      <c r="DL147" t="e">
        <f>'2.5.Трудоемкость'!GP14+"BYw!'he"</f>
        <v>#VALUE!</v>
      </c>
      <c r="DM147" t="e">
        <f>'2.5.Трудоемкость'!GQ14+"BYw!'hf"</f>
        <v>#VALUE!</v>
      </c>
      <c r="DN147" t="e">
        <f>'2.5.Трудоемкость'!GR14+"BYw!'hg"</f>
        <v>#VALUE!</v>
      </c>
      <c r="DO147" t="e">
        <f>'2.5.Трудоемкость'!GS14+"BYw!'hh"</f>
        <v>#VALUE!</v>
      </c>
      <c r="DP147" t="e">
        <f>'2.5.Трудоемкость'!GT14+"BYw!'hi"</f>
        <v>#VALUE!</v>
      </c>
      <c r="DQ147" t="e">
        <f>'2.5.Трудоемкость'!GU14+"BYw!'hj"</f>
        <v>#VALUE!</v>
      </c>
      <c r="DR147" t="e">
        <f>'2.5.Трудоемкость'!GV14+"BYw!'hk"</f>
        <v>#VALUE!</v>
      </c>
      <c r="DS147" t="e">
        <f>'2.5.Трудоемкость'!GW14+"BYw!'hl"</f>
        <v>#VALUE!</v>
      </c>
      <c r="DT147" t="e">
        <f>'2.5.Трудоемкость'!GX14+"BYw!'hm"</f>
        <v>#VALUE!</v>
      </c>
      <c r="DU147" t="e">
        <f>'2.5.Трудоемкость'!GY14+"BYw!'hn"</f>
        <v>#VALUE!</v>
      </c>
      <c r="DV147" t="e">
        <f>'2.5.Трудоемкость'!GZ14+"BYw!'ho"</f>
        <v>#VALUE!</v>
      </c>
      <c r="DW147" t="e">
        <f>'2.5.Трудоемкость'!HA14+"BYw!'hp"</f>
        <v>#VALUE!</v>
      </c>
      <c r="DX147" t="e">
        <f>'2.5.Трудоемкость'!HB14+"BYw!'hq"</f>
        <v>#VALUE!</v>
      </c>
      <c r="DY147" t="e">
        <f>'2.5.Трудоемкость'!HC14+"BYw!'hr"</f>
        <v>#VALUE!</v>
      </c>
      <c r="DZ147" t="e">
        <f>'2.5.Трудоемкость'!HD14+"BYw!'hs"</f>
        <v>#VALUE!</v>
      </c>
      <c r="EA147" t="e">
        <f>'2.5.Трудоемкость'!HE14+"BYw!'ht"</f>
        <v>#VALUE!</v>
      </c>
      <c r="EB147" t="e">
        <f>'2.5.Трудоемкость'!HF14+"BYw!'hu"</f>
        <v>#VALUE!</v>
      </c>
      <c r="EC147" t="e">
        <f>'2.5.Трудоемкость'!HG14+"BYw!'hv"</f>
        <v>#VALUE!</v>
      </c>
      <c r="ED147" t="e">
        <f>'2.5.Трудоемкость'!HH14+"BYw!'hw"</f>
        <v>#VALUE!</v>
      </c>
      <c r="EE147" t="e">
        <f>'2.5.Трудоемкость'!HI14+"BYw!'hx"</f>
        <v>#VALUE!</v>
      </c>
      <c r="EF147" t="e">
        <f>'2.5.Трудоемкость'!HJ14+"BYw!'hy"</f>
        <v>#VALUE!</v>
      </c>
      <c r="EG147" t="e">
        <f>'2.5.Трудоемкость'!HK14+"BYw!'hz"</f>
        <v>#VALUE!</v>
      </c>
      <c r="EH147" t="e">
        <f>'2.5.Трудоемкость'!HL14+"BYw!'h{"</f>
        <v>#VALUE!</v>
      </c>
      <c r="EI147" t="e">
        <f>'2.5.Трудоемкость'!HM14+"BYw!'h|"</f>
        <v>#VALUE!</v>
      </c>
      <c r="EJ147" t="e">
        <f>'2.5.Трудоемкость'!HN14+"BYw!'h}"</f>
        <v>#VALUE!</v>
      </c>
      <c r="EK147" t="e">
        <f>'2.5.Трудоемкость'!HO14+"BYw!'h~"</f>
        <v>#VALUE!</v>
      </c>
      <c r="EL147" t="e">
        <f>'2.5.Трудоемкость'!HP14+"BYw!'i#"</f>
        <v>#VALUE!</v>
      </c>
      <c r="EM147" t="e">
        <f>'2.5.Трудоемкость'!HQ14+"BYw!'i$"</f>
        <v>#VALUE!</v>
      </c>
      <c r="EN147" t="e">
        <f>'2.5.Трудоемкость'!HR14+"BYw!'i%"</f>
        <v>#VALUE!</v>
      </c>
      <c r="EO147" t="e">
        <f>'2.5.Трудоемкость'!HS14+"BYw!'i&amp;"</f>
        <v>#VALUE!</v>
      </c>
      <c r="EP147" t="e">
        <f>'2.5.Трудоемкость'!HT14+"BYw!'i'"</f>
        <v>#VALUE!</v>
      </c>
      <c r="EQ147" t="e">
        <f>'2.5.Трудоемкость'!HU14+"BYw!'i("</f>
        <v>#VALUE!</v>
      </c>
      <c r="ER147" t="e">
        <f>'2.5.Трудоемкость'!HV14+"BYw!'i)"</f>
        <v>#VALUE!</v>
      </c>
      <c r="ES147" t="e">
        <f>'2.5.Трудоемкость'!HW14+"BYw!'i."</f>
        <v>#VALUE!</v>
      </c>
      <c r="ET147" t="e">
        <f>'2.5.Трудоемкость'!HX14+"BYw!'i/"</f>
        <v>#VALUE!</v>
      </c>
      <c r="EU147" t="e">
        <f>'2.5.Трудоемкость'!HY14+"BYw!'i0"</f>
        <v>#VALUE!</v>
      </c>
      <c r="EV147" t="e">
        <f>'2.5.Трудоемкость'!HZ14+"BYw!'i1"</f>
        <v>#VALUE!</v>
      </c>
      <c r="EW147" t="e">
        <f>'2.5.Трудоемкость'!IA14+"BYw!'i2"</f>
        <v>#VALUE!</v>
      </c>
      <c r="EX147" t="e">
        <f>'2.5.Трудоемкость'!IB14+"BYw!'i3"</f>
        <v>#VALUE!</v>
      </c>
      <c r="EY147" t="e">
        <f>'2.5.Трудоемкость'!IC14+"BYw!'i4"</f>
        <v>#VALUE!</v>
      </c>
      <c r="EZ147" t="e">
        <f>'2.5.Трудоемкость'!ID14+"BYw!'i5"</f>
        <v>#VALUE!</v>
      </c>
      <c r="FA147" t="e">
        <f>'2.5.Трудоемкость'!IE14+"BYw!'i6"</f>
        <v>#VALUE!</v>
      </c>
      <c r="FB147" t="e">
        <f>'2.5.Трудоемкость'!IF14+"BYw!'i7"</f>
        <v>#VALUE!</v>
      </c>
      <c r="FC147" t="e">
        <f>'2.5.Трудоемкость'!IG14+"BYw!'i8"</f>
        <v>#VALUE!</v>
      </c>
      <c r="FD147" t="e">
        <f>'2.5.Трудоемкость'!IH14+"BYw!'i9"</f>
        <v>#VALUE!</v>
      </c>
      <c r="FE147" t="e">
        <f>'2.5.Трудоемкость'!II14+"BYw!'i:"</f>
        <v>#VALUE!</v>
      </c>
      <c r="FF147" t="e">
        <f>'2.5.Трудоемкость'!IJ14+"BYw!'i;"</f>
        <v>#VALUE!</v>
      </c>
      <c r="FG147" t="e">
        <f>'2.5.Трудоемкость'!IK14+"BYw!'i&lt;"</f>
        <v>#VALUE!</v>
      </c>
      <c r="FH147" t="e">
        <f>'2.5.Трудоемкость'!IL14+"BYw!'i="</f>
        <v>#VALUE!</v>
      </c>
      <c r="FI147" t="e">
        <f>'2.5.Трудоемкость'!IM14+"BYw!'i&gt;"</f>
        <v>#VALUE!</v>
      </c>
      <c r="FJ147" t="e">
        <f>'2.5.Трудоемкость'!IN14+"BYw!'i?"</f>
        <v>#VALUE!</v>
      </c>
      <c r="FK147" t="e">
        <f>'2.5.Трудоемкость'!IO14+"BYw!'i@"</f>
        <v>#VALUE!</v>
      </c>
      <c r="FL147" t="e">
        <f>'2.5.Трудоемкость'!IP14+"BYw!'iA"</f>
        <v>#VALUE!</v>
      </c>
      <c r="FM147" t="e">
        <f>'2.5.Трудоемкость'!IQ14+"BYw!'iB"</f>
        <v>#VALUE!</v>
      </c>
      <c r="FN147" t="e">
        <f>'2.5.Трудоемкость'!IR14+"BYw!'iC"</f>
        <v>#VALUE!</v>
      </c>
      <c r="FO147" t="e">
        <f>'2.5.Трудоемкость'!IS14+"BYw!'iD"</f>
        <v>#VALUE!</v>
      </c>
      <c r="FP147" t="e">
        <f>'2.5.Трудоемкость'!IT14+"BYw!'iE"</f>
        <v>#VALUE!</v>
      </c>
      <c r="FQ147" t="e">
        <f>'2.5.Трудоемкость'!IU14+"BYw!'iF"</f>
        <v>#VALUE!</v>
      </c>
      <c r="FR147" t="e">
        <f>'2.5.Трудоемкость'!IV14+"BYw!'iG"</f>
        <v>#VALUE!</v>
      </c>
      <c r="FS147" t="e">
        <f>'2.5.Трудоемкость'!IW14+"BYw!'iH"</f>
        <v>#VALUE!</v>
      </c>
      <c r="FT147" t="e">
        <f>'2.5.Трудоемкость'!IX14+"BYw!'iI"</f>
        <v>#VALUE!</v>
      </c>
      <c r="FU147" t="e">
        <f>'2.5.Трудоемкость'!IY14+"BYw!'iJ"</f>
        <v>#VALUE!</v>
      </c>
      <c r="FV147" t="e">
        <f>'2.5.Трудоемкость'!IZ14+"BYw!'iK"</f>
        <v>#VALUE!</v>
      </c>
      <c r="FW147" t="e">
        <f>'2.5.Трудоемкость'!JA14+"BYw!'iL"</f>
        <v>#VALUE!</v>
      </c>
      <c r="FX147" t="e">
        <f>'2.5.Трудоемкость'!JB14+"BYw!'iM"</f>
        <v>#VALUE!</v>
      </c>
      <c r="FY147" t="e">
        <f>'2.5.Трудоемкость'!JC14+"BYw!'iN"</f>
        <v>#VALUE!</v>
      </c>
      <c r="FZ147" t="e">
        <f>'2.5.Трудоемкость'!JD14+"BYw!'iO"</f>
        <v>#VALUE!</v>
      </c>
      <c r="GA147" t="e">
        <f>'2.5.Трудоемкость'!JE14+"BYw!'iP"</f>
        <v>#VALUE!</v>
      </c>
      <c r="GB147" t="e">
        <f>'2.5.Трудоемкость'!JF14+"BYw!'iQ"</f>
        <v>#VALUE!</v>
      </c>
      <c r="GC147" t="e">
        <f>'2.5.Трудоемкость'!JG14+"BYw!'iR"</f>
        <v>#VALUE!</v>
      </c>
      <c r="GD147" t="e">
        <f>'2.5.Трудоемкость'!JH14+"BYw!'iS"</f>
        <v>#VALUE!</v>
      </c>
      <c r="GE147" t="e">
        <f>'2.5.Трудоемкость'!JI14+"BYw!'iT"</f>
        <v>#VALUE!</v>
      </c>
      <c r="GF147" t="e">
        <f>'2.5.Трудоемкость'!JJ14+"BYw!'iU"</f>
        <v>#VALUE!</v>
      </c>
      <c r="GG147" t="e">
        <f>'2.5.Трудоемкость'!JK14+"BYw!'iV"</f>
        <v>#VALUE!</v>
      </c>
      <c r="GH147" t="e">
        <f>'2.5.Трудоемкость'!JL14+"BYw!'iW"</f>
        <v>#VALUE!</v>
      </c>
      <c r="GI147" t="e">
        <f>'2.5.Трудоемкость'!JM14+"BYw!'iX"</f>
        <v>#VALUE!</v>
      </c>
      <c r="GJ147" t="e">
        <f>'2.5.Трудоемкость'!JN14+"BYw!'iY"</f>
        <v>#VALUE!</v>
      </c>
      <c r="GK147" t="e">
        <f>'2.5.Трудоемкость'!JO14+"BYw!'iZ"</f>
        <v>#VALUE!</v>
      </c>
      <c r="GL147" t="e">
        <f>'2.5.Трудоемкость'!JP14+"BYw!'i["</f>
        <v>#VALUE!</v>
      </c>
      <c r="GM147" t="e">
        <f>'2.5.Трудоемкость'!JQ14+"BYw!'i\"</f>
        <v>#VALUE!</v>
      </c>
      <c r="GN147" t="e">
        <f>'2.5.Трудоемкость'!JR14+"BYw!'i]"</f>
        <v>#VALUE!</v>
      </c>
      <c r="GO147" t="e">
        <f>'2.5.Трудоемкость'!JS14+"BYw!'i^"</f>
        <v>#VALUE!</v>
      </c>
      <c r="GP147" t="e">
        <f>'2.5.Трудоемкость'!JT14+"BYw!'i_"</f>
        <v>#VALUE!</v>
      </c>
      <c r="GQ147" t="e">
        <f>'2.5.Трудоемкость'!JU14+"BYw!'i`"</f>
        <v>#VALUE!</v>
      </c>
      <c r="GR147" t="e">
        <f>'2.5.Трудоемкость'!JV14+"BYw!'ia"</f>
        <v>#VALUE!</v>
      </c>
      <c r="GS147" t="e">
        <f>'2.5.Трудоемкость'!JW14+"BYw!'ib"</f>
        <v>#VALUE!</v>
      </c>
      <c r="GT147" t="e">
        <f>'2.5.Трудоемкость'!JX14+"BYw!'ic"</f>
        <v>#VALUE!</v>
      </c>
      <c r="GU147" t="e">
        <f>'2.5.Трудоемкость'!JY14+"BYw!'id"</f>
        <v>#VALUE!</v>
      </c>
      <c r="GV147" t="e">
        <f>'2.5.Трудоемкость'!JZ14+"BYw!'ie"</f>
        <v>#VALUE!</v>
      </c>
      <c r="GW147" t="e">
        <f>'2.5.Трудоемкость'!KA14+"BYw!'if"</f>
        <v>#VALUE!</v>
      </c>
      <c r="GX147" t="e">
        <f>'2.5.Трудоемкость'!KB14+"BYw!'ig"</f>
        <v>#VALUE!</v>
      </c>
      <c r="GY147" t="e">
        <f>'2.5.Трудоемкость'!KC14+"BYw!'ih"</f>
        <v>#VALUE!</v>
      </c>
      <c r="GZ147" t="e">
        <f>'2.5.Трудоемкость'!KD14+"BYw!'ii"</f>
        <v>#VALUE!</v>
      </c>
      <c r="HA147" t="e">
        <f>'2.5.Трудоемкость'!KE14+"BYw!'ij"</f>
        <v>#VALUE!</v>
      </c>
      <c r="HB147" t="e">
        <f>'2.5.Трудоемкость'!KF14+"BYw!'ik"</f>
        <v>#VALUE!</v>
      </c>
      <c r="HC147" t="e">
        <f>'2.5.Трудоемкость'!KG14+"BYw!'il"</f>
        <v>#VALUE!</v>
      </c>
      <c r="HD147" t="e">
        <f>'2.5.Трудоемкость'!KH14+"BYw!'im"</f>
        <v>#VALUE!</v>
      </c>
      <c r="HE147" t="e">
        <f>'2.5.Трудоемкость'!KI14+"BYw!'in"</f>
        <v>#VALUE!</v>
      </c>
      <c r="HF147" t="e">
        <f>'2.5.Трудоемкость'!KJ14+"BYw!'io"</f>
        <v>#VALUE!</v>
      </c>
      <c r="HG147" t="e">
        <f>'2.5.Трудоемкость'!KK14+"BYw!'ip"</f>
        <v>#VALUE!</v>
      </c>
      <c r="HH147" t="e">
        <f>'2.5.Трудоемкость'!KL14+"BYw!'iq"</f>
        <v>#VALUE!</v>
      </c>
      <c r="HI147" t="e">
        <f>'2.5.Трудоемкость'!KM14+"BYw!'ir"</f>
        <v>#VALUE!</v>
      </c>
      <c r="HJ147" t="e">
        <f>'2.5.Трудоемкость'!KN14+"BYw!'is"</f>
        <v>#VALUE!</v>
      </c>
      <c r="HK147" t="e">
        <f>'2.5.Трудоемкость'!KO14+"BYw!'it"</f>
        <v>#VALUE!</v>
      </c>
      <c r="HL147" t="e">
        <f>'2.5.Трудоемкость'!KP14+"BYw!'iu"</f>
        <v>#VALUE!</v>
      </c>
      <c r="HM147" t="e">
        <f>'2.5.Трудоемкость'!KQ14+"BYw!'iv"</f>
        <v>#VALUE!</v>
      </c>
      <c r="HN147" t="e">
        <f>'2.5.Трудоемкость'!KR14+"BYw!'iw"</f>
        <v>#VALUE!</v>
      </c>
      <c r="HO147" t="e">
        <f>'2.5.Трудоемкость'!KS14+"BYw!'ix"</f>
        <v>#VALUE!</v>
      </c>
      <c r="HP147" t="e">
        <f>'2.5.Трудоемкость'!KT14+"BYw!'iy"</f>
        <v>#VALUE!</v>
      </c>
      <c r="HQ147" t="e">
        <f>'2.5.Трудоемкость'!KU14+"BYw!'iz"</f>
        <v>#VALUE!</v>
      </c>
      <c r="HR147" t="e">
        <f>'2.5.Трудоемкость'!KV14+"BYw!'i{"</f>
        <v>#VALUE!</v>
      </c>
      <c r="HS147" t="e">
        <f>'2.5.Трудоемкость'!KW14+"BYw!'i|"</f>
        <v>#VALUE!</v>
      </c>
      <c r="HT147" t="e">
        <f>'2.5.Трудоемкость'!KX14+"BYw!'i}"</f>
        <v>#VALUE!</v>
      </c>
      <c r="HU147" t="e">
        <f>'2.5.Трудоемкость'!KY14+"BYw!'i~"</f>
        <v>#VALUE!</v>
      </c>
      <c r="HV147" t="e">
        <f>'2.5.Трудоемкость'!KZ14+"BYw!'j#"</f>
        <v>#VALUE!</v>
      </c>
      <c r="HW147" t="e">
        <f>'2.5.Трудоемкость'!LA14+"BYw!'j$"</f>
        <v>#VALUE!</v>
      </c>
      <c r="HX147" t="e">
        <f>'2.5.Трудоемкость'!LB14+"BYw!'j%"</f>
        <v>#VALUE!</v>
      </c>
      <c r="HY147" t="e">
        <f>'2.5.Трудоемкость'!LC14+"BYw!'j&amp;"</f>
        <v>#VALUE!</v>
      </c>
      <c r="HZ147" t="e">
        <f>'2.5.Трудоемкость'!LD14+"BYw!'j'"</f>
        <v>#VALUE!</v>
      </c>
      <c r="IA147" t="e">
        <f>'2.5.Трудоемкость'!LE14+"BYw!'j("</f>
        <v>#VALUE!</v>
      </c>
      <c r="IB147" t="e">
        <f>'2.5.Трудоемкость'!LF14+"BYw!'j)"</f>
        <v>#VALUE!</v>
      </c>
      <c r="IC147" t="e">
        <f>'2.5.Трудоемкость'!LG14+"BYw!'j."</f>
        <v>#VALUE!</v>
      </c>
      <c r="ID147" t="e">
        <f>'2.5.Трудоемкость'!LH14+"BYw!'j/"</f>
        <v>#VALUE!</v>
      </c>
      <c r="IE147" t="e">
        <f>'2.5.Трудоемкость'!LI14+"BYw!'j0"</f>
        <v>#VALUE!</v>
      </c>
      <c r="IF147" t="e">
        <f>'2.5.Трудоемкость'!LJ14+"BYw!'j1"</f>
        <v>#VALUE!</v>
      </c>
      <c r="IG147" t="e">
        <f>'2.5.Трудоемкость'!LK14+"BYw!'j2"</f>
        <v>#VALUE!</v>
      </c>
      <c r="IH147" t="e">
        <f>'2.5.Трудоемкость'!LL14+"BYw!'j3"</f>
        <v>#VALUE!</v>
      </c>
      <c r="II147" t="e">
        <f>'2.5.Трудоемкость'!LM14+"BYw!'j4"</f>
        <v>#VALUE!</v>
      </c>
      <c r="IJ147" t="e">
        <f>'2.5.Трудоемкость'!LN14+"BYw!'j5"</f>
        <v>#VALUE!</v>
      </c>
      <c r="IK147" t="e">
        <f>'2.5.Трудоемкость'!LO14+"BYw!'j6"</f>
        <v>#VALUE!</v>
      </c>
      <c r="IL147" t="e">
        <f>'2.5.Трудоемкость'!LP14+"BYw!'j7"</f>
        <v>#VALUE!</v>
      </c>
      <c r="IM147" t="e">
        <f>'2.5.Трудоемкость'!LQ14+"BYw!'j8"</f>
        <v>#VALUE!</v>
      </c>
      <c r="IN147" t="e">
        <f>'2.5.Трудоемкость'!LR14+"BYw!'j9"</f>
        <v>#VALUE!</v>
      </c>
      <c r="IO147" t="e">
        <f>'2.5.Трудоемкость'!LS14+"BYw!'j:"</f>
        <v>#VALUE!</v>
      </c>
      <c r="IP147" t="e">
        <f>'2.5.Трудоемкость'!LT14+"BYw!'j;"</f>
        <v>#VALUE!</v>
      </c>
      <c r="IQ147" t="e">
        <f>'2.5.Трудоемкость'!LU14+"BYw!'j&lt;"</f>
        <v>#VALUE!</v>
      </c>
      <c r="IR147" t="e">
        <f>'2.5.Трудоемкость'!LV14+"BYw!'j="</f>
        <v>#VALUE!</v>
      </c>
      <c r="IS147" t="e">
        <f>'2.5.Трудоемкость'!LW14+"BYw!'j&gt;"</f>
        <v>#VALUE!</v>
      </c>
      <c r="IT147" t="e">
        <f>'2.5.Трудоемкость'!LX14+"BYw!'j?"</f>
        <v>#VALUE!</v>
      </c>
      <c r="IU147" t="e">
        <f>'2.5.Трудоемкость'!LY14+"BYw!'j@"</f>
        <v>#VALUE!</v>
      </c>
      <c r="IV147" t="e">
        <f>'2.5.Трудоемкость'!LZ14+"BYw!'jA"</f>
        <v>#VALUE!</v>
      </c>
    </row>
    <row r="148" spans="6:256" x14ac:dyDescent="0.2">
      <c r="F148" t="e">
        <f>'2.5.Трудоемкость'!MA14+"BYw!'jB"</f>
        <v>#VALUE!</v>
      </c>
      <c r="G148" t="e">
        <f>'2.5.Трудоемкость'!MB14+"BYw!'jC"</f>
        <v>#VALUE!</v>
      </c>
      <c r="H148" t="e">
        <f>'2.5.Трудоемкость'!MC14+"BYw!'jD"</f>
        <v>#VALUE!</v>
      </c>
      <c r="I148" t="e">
        <f>'2.5.Трудоемкость'!MD14+"BYw!'jE"</f>
        <v>#VALUE!</v>
      </c>
      <c r="J148" t="e">
        <f>'2.5.Трудоемкость'!ME14+"BYw!'jF"</f>
        <v>#VALUE!</v>
      </c>
      <c r="K148" t="e">
        <f>'2.5.Трудоемкость'!MF14+"BYw!'jG"</f>
        <v>#VALUE!</v>
      </c>
      <c r="L148" t="e">
        <f>'2.5.Трудоемкость'!MG14+"BYw!'jH"</f>
        <v>#VALUE!</v>
      </c>
      <c r="M148" t="e">
        <f>'2.5.Трудоемкость'!MH14+"BYw!'jI"</f>
        <v>#VALUE!</v>
      </c>
      <c r="N148" t="e">
        <f>'2.5.Трудоемкость'!MI14+"BYw!'jJ"</f>
        <v>#VALUE!</v>
      </c>
      <c r="O148" t="e">
        <f>'2.5.Трудоемкость'!MJ14+"BYw!'jK"</f>
        <v>#VALUE!</v>
      </c>
      <c r="P148" t="e">
        <f>'2.5.Трудоемкость'!MK14+"BYw!'jL"</f>
        <v>#VALUE!</v>
      </c>
      <c r="Q148" t="e">
        <f>'2.5.Трудоемкость'!ML14+"BYw!'jM"</f>
        <v>#VALUE!</v>
      </c>
      <c r="R148" t="e">
        <f>'2.5.Трудоемкость'!MM14+"BYw!'jN"</f>
        <v>#VALUE!</v>
      </c>
      <c r="S148" t="e">
        <f>'2.5.Трудоемкость'!MN14+"BYw!'jO"</f>
        <v>#VALUE!</v>
      </c>
      <c r="T148" t="e">
        <f>'2.5.Трудоемкость'!MO14+"BYw!'jP"</f>
        <v>#VALUE!</v>
      </c>
      <c r="U148" t="e">
        <f>'2.5.Трудоемкость'!MP14+"BYw!'jQ"</f>
        <v>#VALUE!</v>
      </c>
      <c r="V148" t="e">
        <f>'2.5.Трудоемкость'!MQ14+"BYw!'jR"</f>
        <v>#VALUE!</v>
      </c>
      <c r="W148" t="e">
        <f>'2.5.Трудоемкость'!MR14+"BYw!'jS"</f>
        <v>#VALUE!</v>
      </c>
      <c r="X148" t="e">
        <f>'2.5.Трудоемкость'!MS14+"BYw!'jT"</f>
        <v>#VALUE!</v>
      </c>
      <c r="Y148" t="e">
        <f>'2.5.Трудоемкость'!MT14+"BYw!'jU"</f>
        <v>#VALUE!</v>
      </c>
      <c r="Z148" t="e">
        <f>'2.5.Трудоемкость'!MU14+"BYw!'jV"</f>
        <v>#VALUE!</v>
      </c>
      <c r="AA148" t="e">
        <f>'2.5.Трудоемкость'!MV14+"BYw!'jW"</f>
        <v>#VALUE!</v>
      </c>
      <c r="AB148" t="e">
        <f>'2.5.Трудоемкость'!MW14+"BYw!'jX"</f>
        <v>#VALUE!</v>
      </c>
      <c r="AC148" t="e">
        <f>'2.5.Трудоемкость'!MX14+"BYw!'jY"</f>
        <v>#VALUE!</v>
      </c>
      <c r="AD148" t="e">
        <f>'2.5.Трудоемкость'!MY14+"BYw!'jZ"</f>
        <v>#VALUE!</v>
      </c>
      <c r="AE148" t="e">
        <f>'2.5.Трудоемкость'!MZ14+"BYw!'j["</f>
        <v>#VALUE!</v>
      </c>
      <c r="AF148" t="e">
        <f>'2.5.Трудоемкость'!NA14+"BYw!'j\"</f>
        <v>#VALUE!</v>
      </c>
      <c r="AG148" t="e">
        <f>'2.5.Трудоемкость'!NB14+"BYw!'j]"</f>
        <v>#VALUE!</v>
      </c>
      <c r="AH148" t="e">
        <f>'2.5.Трудоемкость'!NC14+"BYw!'j^"</f>
        <v>#VALUE!</v>
      </c>
      <c r="AI148" t="e">
        <f>'2.5.Трудоемкость'!ND14+"BYw!'j_"</f>
        <v>#VALUE!</v>
      </c>
      <c r="AJ148" t="e">
        <f>'2.5.Трудоемкость'!NE14+"BYw!'j`"</f>
        <v>#VALUE!</v>
      </c>
      <c r="AK148" t="e">
        <f>'2.5.Трудоемкость'!NF14+"BYw!'ja"</f>
        <v>#VALUE!</v>
      </c>
      <c r="AL148" t="e">
        <f>'2.5.Трудоемкость'!NG14+"BYw!'jb"</f>
        <v>#VALUE!</v>
      </c>
      <c r="AM148" t="e">
        <f>'2.5.Трудоемкость'!NH14+"BYw!'jc"</f>
        <v>#VALUE!</v>
      </c>
      <c r="AN148" t="e">
        <f>'2.5.Трудоемкость'!NI14+"BYw!'jd"</f>
        <v>#VALUE!</v>
      </c>
      <c r="AO148" t="e">
        <f>'2.5.Трудоемкость'!NJ14+"BYw!'je"</f>
        <v>#VALUE!</v>
      </c>
      <c r="AP148" t="e">
        <f>'2.5.Трудоемкость'!NK14+"BYw!'jf"</f>
        <v>#VALUE!</v>
      </c>
      <c r="AQ148" t="e">
        <f>'2.5.Трудоемкость'!NL14+"BYw!'jg"</f>
        <v>#VALUE!</v>
      </c>
      <c r="AR148" t="e">
        <f>'2.5.Трудоемкость'!NM14+"BYw!'jh"</f>
        <v>#VALUE!</v>
      </c>
      <c r="AS148" t="e">
        <f>'2.5.Трудоемкость'!NN14+"BYw!'ji"</f>
        <v>#VALUE!</v>
      </c>
      <c r="AT148" t="e">
        <f>'2.5.Трудоемкость'!NO14+"BYw!'jj"</f>
        <v>#VALUE!</v>
      </c>
      <c r="AU148" t="e">
        <f>'2.5.Трудоемкость'!NP14+"BYw!'jk"</f>
        <v>#VALUE!</v>
      </c>
      <c r="AV148" t="e">
        <f>'2.5.Трудоемкость'!NQ14+"BYw!'jl"</f>
        <v>#VALUE!</v>
      </c>
      <c r="AW148" t="e">
        <f>'2.5.Трудоемкость'!NR14+"BYw!'jm"</f>
        <v>#VALUE!</v>
      </c>
      <c r="AX148" t="e">
        <f>'2.5.Трудоемкость'!NS14+"BYw!'jn"</f>
        <v>#VALUE!</v>
      </c>
      <c r="AY148" t="e">
        <f>'2.5.Трудоемкость'!NT14+"BYw!'jo"</f>
        <v>#VALUE!</v>
      </c>
      <c r="AZ148" t="e">
        <f>'2.5.Трудоемкость'!NU14+"BYw!'jp"</f>
        <v>#VALUE!</v>
      </c>
      <c r="BA148" t="e">
        <f>'2.5.Трудоемкость'!NV14+"BYw!'jq"</f>
        <v>#VALUE!</v>
      </c>
      <c r="BB148" t="e">
        <f>'2.5.Трудоемкость'!NW14+"BYw!'jr"</f>
        <v>#VALUE!</v>
      </c>
      <c r="BC148" t="e">
        <f>'2.5.Трудоемкость'!NX14+"BYw!'js"</f>
        <v>#VALUE!</v>
      </c>
      <c r="BD148" t="e">
        <f>'2.5.Трудоемкость'!NY14+"BYw!'jt"</f>
        <v>#VALUE!</v>
      </c>
      <c r="BE148" t="e">
        <f>'2.5.Трудоемкость'!NZ14+"BYw!'ju"</f>
        <v>#VALUE!</v>
      </c>
      <c r="BF148" t="e">
        <f>'2.5.Трудоемкость'!OA14+"BYw!'jv"</f>
        <v>#VALUE!</v>
      </c>
      <c r="BG148" t="e">
        <f>'2.5.Трудоемкость'!OB14+"BYw!'jw"</f>
        <v>#VALUE!</v>
      </c>
      <c r="BH148" t="e">
        <f>'2.5.Трудоемкость'!OC14+"BYw!'jx"</f>
        <v>#VALUE!</v>
      </c>
      <c r="BI148" t="e">
        <f>'2.5.Трудоемкость'!OD14+"BYw!'jy"</f>
        <v>#VALUE!</v>
      </c>
      <c r="BJ148" t="e">
        <f>'2.5.Трудоемкость'!OE14+"BYw!'jz"</f>
        <v>#VALUE!</v>
      </c>
      <c r="BK148" t="e">
        <f>'2.5.Трудоемкость'!OF14+"BYw!'j{"</f>
        <v>#VALUE!</v>
      </c>
      <c r="BL148" t="e">
        <f>'2.5.Трудоемкость'!OG14+"BYw!'j|"</f>
        <v>#VALUE!</v>
      </c>
      <c r="BM148" t="e">
        <f>'2.5.Трудоемкость'!OH14+"BYw!'j}"</f>
        <v>#VALUE!</v>
      </c>
      <c r="BN148" t="e">
        <f>'2.5.Трудоемкость'!OI14+"BYw!'j~"</f>
        <v>#VALUE!</v>
      </c>
      <c r="BO148" t="e">
        <f>'2.5.Трудоемкость'!OJ14+"BYw!'k#"</f>
        <v>#VALUE!</v>
      </c>
      <c r="BP148" t="e">
        <f>'2.5.Трудоемкость'!OK14+"BYw!'k$"</f>
        <v>#VALUE!</v>
      </c>
      <c r="BQ148" t="e">
        <f>'2.5.Трудоемкость'!OL14+"BYw!'k%"</f>
        <v>#VALUE!</v>
      </c>
      <c r="BR148" t="e">
        <f>'2.5.Трудоемкость'!OM14+"BYw!'k&amp;"</f>
        <v>#VALUE!</v>
      </c>
      <c r="BS148" t="e">
        <f>'2.5.Трудоемкость'!ON14+"BYw!'k'"</f>
        <v>#VALUE!</v>
      </c>
      <c r="BT148" t="e">
        <f>'2.5.Трудоемкость'!OO14+"BYw!'k("</f>
        <v>#VALUE!</v>
      </c>
      <c r="BU148" t="e">
        <f>'2.5.Трудоемкость'!OP14+"BYw!'k)"</f>
        <v>#VALUE!</v>
      </c>
      <c r="BV148" t="e">
        <f>'2.5.Трудоемкость'!OQ14+"BYw!'k."</f>
        <v>#VALUE!</v>
      </c>
      <c r="BW148" t="e">
        <f>'2.5.Трудоемкость'!OR14+"BYw!'k/"</f>
        <v>#VALUE!</v>
      </c>
      <c r="BX148" t="e">
        <f>'2.5.Трудоемкость'!OS14+"BYw!'k0"</f>
        <v>#VALUE!</v>
      </c>
      <c r="BY148" t="e">
        <f>'2.5.Трудоемкость'!OT14+"BYw!'k1"</f>
        <v>#VALUE!</v>
      </c>
      <c r="BZ148" t="e">
        <f>'2.5.Трудоемкость'!OU14+"BYw!'k2"</f>
        <v>#VALUE!</v>
      </c>
      <c r="CA148" t="e">
        <f>'2.5.Трудоемкость'!OV14+"BYw!'k3"</f>
        <v>#VALUE!</v>
      </c>
      <c r="CB148" t="e">
        <f>'2.5.Трудоемкость'!OW14+"BYw!'k4"</f>
        <v>#VALUE!</v>
      </c>
      <c r="CC148" t="e">
        <f>'2.5.Трудоемкость'!OX14+"BYw!'k5"</f>
        <v>#VALUE!</v>
      </c>
      <c r="CD148" t="e">
        <f>'2.5.Трудоемкость'!OY14+"BYw!'k6"</f>
        <v>#VALUE!</v>
      </c>
      <c r="CE148" t="e">
        <f>'2.5.Трудоемкость'!OZ14+"BYw!'k7"</f>
        <v>#VALUE!</v>
      </c>
      <c r="CF148" t="e">
        <f>'2.5.Трудоемкость'!PA14+"BYw!'k8"</f>
        <v>#VALUE!</v>
      </c>
      <c r="CG148" t="e">
        <f>'2.5.Трудоемкость'!PB14+"BYw!'k9"</f>
        <v>#VALUE!</v>
      </c>
      <c r="CH148" t="e">
        <f>'2.5.Трудоемкость'!PC14+"BYw!'k:"</f>
        <v>#VALUE!</v>
      </c>
      <c r="CI148" t="e">
        <f>'2.5.Трудоемкость'!PD14+"BYw!'k;"</f>
        <v>#VALUE!</v>
      </c>
      <c r="CJ148" t="e">
        <f>'2.5.Трудоемкость'!PE14+"BYw!'k&lt;"</f>
        <v>#VALUE!</v>
      </c>
      <c r="CK148" t="e">
        <f>'2.5.Трудоемкость'!PF14+"BYw!'k="</f>
        <v>#VALUE!</v>
      </c>
      <c r="CL148" t="e">
        <f>'2.5.Трудоемкость'!PG14+"BYw!'k&gt;"</f>
        <v>#VALUE!</v>
      </c>
      <c r="CM148" t="e">
        <f>'2.5.Трудоемкость'!PH14+"BYw!'k?"</f>
        <v>#VALUE!</v>
      </c>
      <c r="CN148" t="e">
        <f>'2.5.Трудоемкость'!PI14+"BYw!'k@"</f>
        <v>#VALUE!</v>
      </c>
      <c r="CO148" t="e">
        <f>'2.5.Трудоемкость'!PJ14+"BYw!'kA"</f>
        <v>#VALUE!</v>
      </c>
      <c r="CP148" t="e">
        <f>'2.5.Трудоемкость'!PK14+"BYw!'kB"</f>
        <v>#VALUE!</v>
      </c>
      <c r="CQ148" t="e">
        <f>'2.5.Трудоемкость'!PL14+"BYw!'kC"</f>
        <v>#VALUE!</v>
      </c>
      <c r="CR148" t="e">
        <f>'2.5.Трудоемкость'!PM14+"BYw!'kD"</f>
        <v>#VALUE!</v>
      </c>
      <c r="CS148" t="e">
        <f>'2.5.Трудоемкость'!PN14+"BYw!'kE"</f>
        <v>#VALUE!</v>
      </c>
      <c r="CT148" t="e">
        <f>'2.5.Трудоемкость'!PO14+"BYw!'kF"</f>
        <v>#VALUE!</v>
      </c>
      <c r="CU148" t="e">
        <f>'2.5.Трудоемкость'!PP14+"BYw!'kG"</f>
        <v>#VALUE!</v>
      </c>
      <c r="CV148" t="e">
        <f>'2.5.Трудоемкость'!PQ14+"BYw!'kH"</f>
        <v>#VALUE!</v>
      </c>
      <c r="CW148" t="e">
        <f>'2.5.Трудоемкость'!PR14+"BYw!'kI"</f>
        <v>#VALUE!</v>
      </c>
      <c r="CX148" t="e">
        <f>'2.5.Трудоемкость'!PS14+"BYw!'kJ"</f>
        <v>#VALUE!</v>
      </c>
      <c r="CY148" t="e">
        <f>'2.5.Трудоемкость'!PT14+"BYw!'kK"</f>
        <v>#VALUE!</v>
      </c>
      <c r="CZ148" t="e">
        <f>'2.5.Трудоемкость'!PU14+"BYw!'kL"</f>
        <v>#VALUE!</v>
      </c>
      <c r="DA148" t="e">
        <f>'2.5.Трудоемкость'!PV14+"BYw!'kM"</f>
        <v>#VALUE!</v>
      </c>
      <c r="DB148" t="e">
        <f>'2.5.Трудоемкость'!PW14+"BYw!'kN"</f>
        <v>#VALUE!</v>
      </c>
      <c r="DC148" t="e">
        <f>'2.5.Трудоемкость'!PX14+"BYw!'kO"</f>
        <v>#VALUE!</v>
      </c>
      <c r="DD148" t="e">
        <f>'2.5.Трудоемкость'!PY14+"BYw!'kP"</f>
        <v>#VALUE!</v>
      </c>
      <c r="DE148" t="e">
        <f>'2.5.Трудоемкость'!PZ14+"BYw!'kQ"</f>
        <v>#VALUE!</v>
      </c>
      <c r="DF148" t="e">
        <f>'2.5.Трудоемкость'!QA14+"BYw!'kR"</f>
        <v>#VALUE!</v>
      </c>
      <c r="DG148" t="e">
        <f>'2.5.Трудоемкость'!QB14+"BYw!'kS"</f>
        <v>#VALUE!</v>
      </c>
      <c r="DH148" t="e">
        <f>'2.5.Трудоемкость'!QC14+"BYw!'kT"</f>
        <v>#VALUE!</v>
      </c>
      <c r="DI148" t="e">
        <f>'2.5.Трудоемкость'!QD14+"BYw!'kU"</f>
        <v>#VALUE!</v>
      </c>
      <c r="DJ148" t="e">
        <f>'2.5.Трудоемкость'!QE14+"BYw!'kV"</f>
        <v>#VALUE!</v>
      </c>
      <c r="DK148" t="e">
        <f>'2.5.Трудоемкость'!QF14+"BYw!'kW"</f>
        <v>#VALUE!</v>
      </c>
      <c r="DL148" t="e">
        <f>'2.5.Трудоемкость'!QG14+"BYw!'kX"</f>
        <v>#VALUE!</v>
      </c>
      <c r="DM148" t="e">
        <f>'2.5.Трудоемкость'!QH14+"BYw!'kY"</f>
        <v>#VALUE!</v>
      </c>
      <c r="DN148" t="e">
        <f>'2.5.Трудоемкость'!QI14+"BYw!'kZ"</f>
        <v>#VALUE!</v>
      </c>
      <c r="DO148" t="e">
        <f>'2.5.Трудоемкость'!QJ14+"BYw!'k["</f>
        <v>#VALUE!</v>
      </c>
      <c r="DP148" t="e">
        <f>'2.5.Трудоемкость'!QK14+"BYw!'k\"</f>
        <v>#VALUE!</v>
      </c>
      <c r="DQ148" t="e">
        <f>'2.5.Трудоемкость'!QL14+"BYw!'k]"</f>
        <v>#VALUE!</v>
      </c>
      <c r="DR148" t="e">
        <f>'2.5.Трудоемкость'!QM14+"BYw!'k^"</f>
        <v>#VALUE!</v>
      </c>
      <c r="DS148" t="e">
        <f>'2.5.Трудоемкость'!QN14+"BYw!'k_"</f>
        <v>#VALUE!</v>
      </c>
      <c r="DT148" t="e">
        <f>'2.5.Трудоемкость'!QO14+"BYw!'k`"</f>
        <v>#VALUE!</v>
      </c>
      <c r="DU148" t="e">
        <f>'2.5.Трудоемкость'!QP14+"BYw!'ka"</f>
        <v>#VALUE!</v>
      </c>
      <c r="DV148" t="e">
        <f>'2.5.Трудоемкость'!QQ14+"BYw!'kb"</f>
        <v>#VALUE!</v>
      </c>
      <c r="DW148" t="e">
        <f>'2.5.Трудоемкость'!QR14+"BYw!'kc"</f>
        <v>#VALUE!</v>
      </c>
      <c r="DX148" t="e">
        <f>'2.5.Трудоемкость'!QS14+"BYw!'kd"</f>
        <v>#VALUE!</v>
      </c>
      <c r="DY148" t="e">
        <f>'2.5.Трудоемкость'!QT14+"BYw!'ke"</f>
        <v>#VALUE!</v>
      </c>
      <c r="DZ148" t="e">
        <f>'2.5.Трудоемкость'!QU14+"BYw!'kf"</f>
        <v>#VALUE!</v>
      </c>
      <c r="EA148" t="e">
        <f>'2.5.Трудоемкость'!QV14+"BYw!'kg"</f>
        <v>#VALUE!</v>
      </c>
      <c r="EB148" t="e">
        <f>'2.5.Трудоемкость'!QW14+"BYw!'kh"</f>
        <v>#VALUE!</v>
      </c>
      <c r="EC148" t="e">
        <f>'2.5.Трудоемкость'!QX14+"BYw!'ki"</f>
        <v>#VALUE!</v>
      </c>
      <c r="ED148" t="e">
        <f>'2.5.Трудоемкость'!QY14+"BYw!'kj"</f>
        <v>#VALUE!</v>
      </c>
      <c r="EE148" t="e">
        <f>'2.5.Трудоемкость'!QZ14+"BYw!'kk"</f>
        <v>#VALUE!</v>
      </c>
      <c r="EF148" t="e">
        <f>'2.5.Трудоемкость'!RA14+"BYw!'kl"</f>
        <v>#VALUE!</v>
      </c>
      <c r="EG148" t="e">
        <f>'2.5.Трудоемкость'!RB14+"BYw!'km"</f>
        <v>#VALUE!</v>
      </c>
      <c r="EH148" t="e">
        <f>'2.5.Трудоемкость'!RC14+"BYw!'kn"</f>
        <v>#VALUE!</v>
      </c>
      <c r="EI148" t="e">
        <f>'2.5.Трудоемкость'!RD14+"BYw!'ko"</f>
        <v>#VALUE!</v>
      </c>
      <c r="EJ148" t="e">
        <f>'2.5.Трудоемкость'!RE14+"BYw!'kp"</f>
        <v>#VALUE!</v>
      </c>
      <c r="EK148" t="e">
        <f>'2.5.Трудоемкость'!RF14+"BYw!'kq"</f>
        <v>#VALUE!</v>
      </c>
      <c r="EL148" t="e">
        <f>'2.5.Трудоемкость'!RG14+"BYw!'kr"</f>
        <v>#VALUE!</v>
      </c>
      <c r="EM148" t="e">
        <f>'2.5.Трудоемкость'!RH14+"BYw!'ks"</f>
        <v>#VALUE!</v>
      </c>
      <c r="EN148" t="e">
        <f>'2.5.Трудоемкость'!RI14+"BYw!'kt"</f>
        <v>#VALUE!</v>
      </c>
      <c r="EO148" t="e">
        <f>'2.5.Трудоемкость'!RJ14+"BYw!'ku"</f>
        <v>#VALUE!</v>
      </c>
      <c r="EP148" t="e">
        <f>'2.5.Трудоемкость'!RK14+"BYw!'kv"</f>
        <v>#VALUE!</v>
      </c>
      <c r="EQ148" t="e">
        <f>'2.5.Трудоемкость'!RL14+"BYw!'kw"</f>
        <v>#VALUE!</v>
      </c>
      <c r="ER148" t="e">
        <f>'2.5.Трудоемкость'!RM14+"BYw!'kx"</f>
        <v>#VALUE!</v>
      </c>
      <c r="ES148" t="e">
        <f>'2.5.Трудоемкость'!RN14+"BYw!'ky"</f>
        <v>#VALUE!</v>
      </c>
      <c r="ET148" t="e">
        <f>'2.5.Трудоемкость'!RO14+"BYw!'kz"</f>
        <v>#VALUE!</v>
      </c>
      <c r="EU148" t="e">
        <f>'2.5.Трудоемкость'!RP14+"BYw!'k{"</f>
        <v>#VALUE!</v>
      </c>
      <c r="EV148" t="e">
        <f>'2.5.Трудоемкость'!RQ14+"BYw!'k|"</f>
        <v>#VALUE!</v>
      </c>
      <c r="EW148" t="e">
        <f>'2.5.Трудоемкость'!RR14+"BYw!'k}"</f>
        <v>#VALUE!</v>
      </c>
      <c r="EX148" t="e">
        <f>'2.5.Трудоемкость'!RS14+"BYw!'k~"</f>
        <v>#VALUE!</v>
      </c>
      <c r="EY148" t="e">
        <f>'2.5.Трудоемкость'!RT14+"BYw!'l#"</f>
        <v>#VALUE!</v>
      </c>
      <c r="EZ148" t="e">
        <f>'2.5.Трудоемкость'!RU14+"BYw!'l$"</f>
        <v>#VALUE!</v>
      </c>
      <c r="FA148" t="e">
        <f>'2.5.Трудоемкость'!RV14+"BYw!'l%"</f>
        <v>#VALUE!</v>
      </c>
      <c r="FB148" t="e">
        <f>'2.5.Трудоемкость'!RW14+"BYw!'l&amp;"</f>
        <v>#VALUE!</v>
      </c>
      <c r="FC148" t="e">
        <f>'2.5.Трудоемкость'!RX14+"BYw!'l'"</f>
        <v>#VALUE!</v>
      </c>
      <c r="FD148" t="e">
        <f>'2.5.Трудоемкость'!RY14+"BYw!'l("</f>
        <v>#VALUE!</v>
      </c>
      <c r="FE148" t="e">
        <f>'2.5.Трудоемкость'!RZ14+"BYw!'l)"</f>
        <v>#VALUE!</v>
      </c>
      <c r="FF148" t="e">
        <f>'2.5.Трудоемкость'!SA14+"BYw!'l."</f>
        <v>#VALUE!</v>
      </c>
      <c r="FG148" t="e">
        <f>'2.5.Трудоемкость'!SB14+"BYw!'l/"</f>
        <v>#VALUE!</v>
      </c>
      <c r="FH148" t="e">
        <f>'2.5.Трудоемкость'!SC14+"BYw!'l0"</f>
        <v>#VALUE!</v>
      </c>
      <c r="FI148" t="e">
        <f>'2.5.Трудоемкость'!SD14+"BYw!'l1"</f>
        <v>#VALUE!</v>
      </c>
      <c r="FJ148" t="e">
        <f>'2.5.Трудоемкость'!SE14+"BYw!'l2"</f>
        <v>#VALUE!</v>
      </c>
      <c r="FK148" t="e">
        <f>'2.5.Трудоемкость'!SF14+"BYw!'l3"</f>
        <v>#VALUE!</v>
      </c>
      <c r="FL148" t="e">
        <f>'2.5.Трудоемкость'!SG14+"BYw!'l4"</f>
        <v>#VALUE!</v>
      </c>
      <c r="FM148" t="e">
        <f>'2.5.Трудоемкость'!SH14+"BYw!'l5"</f>
        <v>#VALUE!</v>
      </c>
      <c r="FN148" t="e">
        <f>'2.5.Трудоемкость'!SI14+"BYw!'l6"</f>
        <v>#VALUE!</v>
      </c>
      <c r="FO148" t="e">
        <f>'2.5.Трудоемкость'!SJ14+"BYw!'l7"</f>
        <v>#VALUE!</v>
      </c>
      <c r="FP148" t="e">
        <f>'2.5.Трудоемкость'!SK14+"BYw!'l8"</f>
        <v>#VALUE!</v>
      </c>
      <c r="FQ148" t="e">
        <f>'2.5.Трудоемкость'!SL14+"BYw!'l9"</f>
        <v>#VALUE!</v>
      </c>
      <c r="FR148" t="e">
        <f>'2.5.Трудоемкость'!SM14+"BYw!'l:"</f>
        <v>#VALUE!</v>
      </c>
      <c r="FS148" t="e">
        <f>'2.5.Трудоемкость'!SN14+"BYw!'l;"</f>
        <v>#VALUE!</v>
      </c>
      <c r="FT148" t="e">
        <f>'2.5.Трудоемкость'!SO14+"BYw!'l&lt;"</f>
        <v>#VALUE!</v>
      </c>
      <c r="FU148" t="e">
        <f>'2.5.Трудоемкость'!SP14+"BYw!'l="</f>
        <v>#VALUE!</v>
      </c>
      <c r="FV148" t="e">
        <f>'2.5.Трудоемкость'!SQ14+"BYw!'l&gt;"</f>
        <v>#VALUE!</v>
      </c>
      <c r="FW148" t="e">
        <f>'2.5.Трудоемкость'!SR14+"BYw!'l?"</f>
        <v>#VALUE!</v>
      </c>
      <c r="FX148" t="e">
        <f>'2.5.Трудоемкость'!SS14+"BYw!'l@"</f>
        <v>#VALUE!</v>
      </c>
      <c r="FY148" t="e">
        <f>'2.5.Трудоемкость'!ST14+"BYw!'lA"</f>
        <v>#VALUE!</v>
      </c>
      <c r="FZ148" t="e">
        <f>'2.5.Трудоемкость'!SU14+"BYw!'lB"</f>
        <v>#VALUE!</v>
      </c>
      <c r="GA148" t="e">
        <f>'2.5.Трудоемкость'!SV14+"BYw!'lC"</f>
        <v>#VALUE!</v>
      </c>
      <c r="GB148" t="e">
        <f>'2.5.Трудоемкость'!SW14+"BYw!'lD"</f>
        <v>#VALUE!</v>
      </c>
      <c r="GC148" t="e">
        <f>'2.5.Трудоемкость'!SX14+"BYw!'lE"</f>
        <v>#VALUE!</v>
      </c>
      <c r="GD148" t="e">
        <f>'2.5.Трудоемкость'!SY14+"BYw!'lF"</f>
        <v>#VALUE!</v>
      </c>
      <c r="GE148" t="e">
        <f>'2.5.Трудоемкость'!SZ14+"BYw!'lG"</f>
        <v>#VALUE!</v>
      </c>
      <c r="GF148" t="e">
        <f>'2.5.Трудоемкость'!TA14+"BYw!'lH"</f>
        <v>#VALUE!</v>
      </c>
      <c r="GG148" t="e">
        <f>'2.5.Трудоемкость'!TB14+"BYw!'lI"</f>
        <v>#VALUE!</v>
      </c>
      <c r="GH148" t="e">
        <f>'2.5.Трудоемкость'!TC14+"BYw!'lJ"</f>
        <v>#VALUE!</v>
      </c>
      <c r="GI148" t="e">
        <f>'2.5.Трудоемкость'!TD14+"BYw!'lK"</f>
        <v>#VALUE!</v>
      </c>
      <c r="GJ148" t="e">
        <f>'2.5.Трудоемкость'!TE14+"BYw!'lL"</f>
        <v>#VALUE!</v>
      </c>
      <c r="GK148" t="e">
        <f>'2.5.Трудоемкость'!TF14+"BYw!'lM"</f>
        <v>#VALUE!</v>
      </c>
      <c r="GL148" t="e">
        <f>'2.5.Трудоемкость'!TG14+"BYw!'lN"</f>
        <v>#VALUE!</v>
      </c>
      <c r="GM148" t="e">
        <f>'2.5.Трудоемкость'!TH14+"BYw!'lO"</f>
        <v>#VALUE!</v>
      </c>
      <c r="GN148" t="e">
        <f>'2.5.Трудоемкость'!TI14+"BYw!'lP"</f>
        <v>#VALUE!</v>
      </c>
      <c r="GO148" t="e">
        <f>'2.5.Трудоемкость'!TJ14+"BYw!'lQ"</f>
        <v>#VALUE!</v>
      </c>
      <c r="GP148" t="e">
        <f>'2.5.Трудоемкость'!TK14+"BYw!'lR"</f>
        <v>#VALUE!</v>
      </c>
      <c r="GQ148" t="e">
        <f>'2.5.Трудоемкость'!TL14+"BYw!'lS"</f>
        <v>#VALUE!</v>
      </c>
      <c r="GR148" t="e">
        <f>'2.5.Трудоемкость'!TM14+"BYw!'lT"</f>
        <v>#VALUE!</v>
      </c>
      <c r="GS148" t="e">
        <f>'2.5.Трудоемкость'!TN14+"BYw!'lU"</f>
        <v>#VALUE!</v>
      </c>
      <c r="GT148" t="e">
        <f>'2.5.Трудоемкость'!TO14+"BYw!'lV"</f>
        <v>#VALUE!</v>
      </c>
      <c r="GU148" t="e">
        <f>'2.5.Трудоемкость'!TP14+"BYw!'lW"</f>
        <v>#VALUE!</v>
      </c>
      <c r="GV148" t="e">
        <f>'2.5.Трудоемкость'!TQ14+"BYw!'lX"</f>
        <v>#VALUE!</v>
      </c>
      <c r="GW148" t="e">
        <f>'2.5.Трудоемкость'!TR14+"BYw!'lY"</f>
        <v>#VALUE!</v>
      </c>
      <c r="GX148" t="e">
        <f>'2.5.Трудоемкость'!TS14+"BYw!'lZ"</f>
        <v>#VALUE!</v>
      </c>
      <c r="GY148" t="e">
        <f>'2.5.Трудоемкость'!TT14+"BYw!'l["</f>
        <v>#VALUE!</v>
      </c>
      <c r="GZ148" t="e">
        <f>'2.5.Трудоемкость'!TU14+"BYw!'l\"</f>
        <v>#VALUE!</v>
      </c>
      <c r="HA148" t="e">
        <f>'2.5.Трудоемкость'!TV14+"BYw!'l]"</f>
        <v>#VALUE!</v>
      </c>
      <c r="HB148" t="e">
        <f>'2.5.Трудоемкость'!TW14+"BYw!'l^"</f>
        <v>#VALUE!</v>
      </c>
      <c r="HC148" t="e">
        <f>'2.5.Трудоемкость'!TX14+"BYw!'l_"</f>
        <v>#VALUE!</v>
      </c>
      <c r="HD148" t="e">
        <f>'2.5.Трудоемкость'!TY14+"BYw!'l`"</f>
        <v>#VALUE!</v>
      </c>
      <c r="HE148" t="e">
        <f>'2.5.Трудоемкость'!TZ14+"BYw!'la"</f>
        <v>#VALUE!</v>
      </c>
      <c r="HF148" t="e">
        <f>'2.5.Трудоемкость'!UA14+"BYw!'lb"</f>
        <v>#VALUE!</v>
      </c>
      <c r="HG148" t="e">
        <f>'2.5.Трудоемкость'!UB14+"BYw!'lc"</f>
        <v>#VALUE!</v>
      </c>
      <c r="HH148" t="e">
        <f>'2.5.Трудоемкость'!UC14+"BYw!'ld"</f>
        <v>#VALUE!</v>
      </c>
      <c r="HI148" t="e">
        <f>'2.5.Трудоемкость'!UD14+"BYw!'le"</f>
        <v>#VALUE!</v>
      </c>
      <c r="HJ148" t="e">
        <f>'2.5.Трудоемкость'!UE14+"BYw!'lf"</f>
        <v>#VALUE!</v>
      </c>
      <c r="HK148" t="e">
        <f>'2.5.Трудоемкость'!UF14+"BYw!'lg"</f>
        <v>#VALUE!</v>
      </c>
      <c r="HL148" t="e">
        <f>'2.5.Трудоемкость'!UG14+"BYw!'lh"</f>
        <v>#VALUE!</v>
      </c>
      <c r="HM148" t="e">
        <f>'2.5.Трудоемкость'!UH14+"BYw!'li"</f>
        <v>#VALUE!</v>
      </c>
      <c r="HN148" t="e">
        <f>'2.5.Трудоемкость'!UI14+"BYw!'lj"</f>
        <v>#VALUE!</v>
      </c>
      <c r="HO148" t="e">
        <f>'2.5.Трудоемкость'!UJ14+"BYw!'lk"</f>
        <v>#VALUE!</v>
      </c>
      <c r="HP148" t="e">
        <f>'2.5.Трудоемкость'!UK14+"BYw!'ll"</f>
        <v>#VALUE!</v>
      </c>
      <c r="HQ148" t="e">
        <f>'2.5.Трудоемкость'!UL14+"BYw!'lm"</f>
        <v>#VALUE!</v>
      </c>
      <c r="HR148" t="e">
        <f>'2.5.Трудоемкость'!UM14+"BYw!'ln"</f>
        <v>#VALUE!</v>
      </c>
      <c r="HS148" t="e">
        <f>'2.5.Трудоемкость'!UN14+"BYw!'lo"</f>
        <v>#VALUE!</v>
      </c>
      <c r="HT148" t="e">
        <f>'2.5.Трудоемкость'!UO14+"BYw!'lp"</f>
        <v>#VALUE!</v>
      </c>
      <c r="HU148" t="e">
        <f>'2.5.Трудоемкость'!UP14+"BYw!'lq"</f>
        <v>#VALUE!</v>
      </c>
      <c r="HV148" t="e">
        <f>'2.5.Трудоемкость'!UQ14+"BYw!'lr"</f>
        <v>#VALUE!</v>
      </c>
      <c r="HW148" t="e">
        <f>'2.5.Трудоемкость'!UR14+"BYw!'ls"</f>
        <v>#VALUE!</v>
      </c>
      <c r="HX148" t="e">
        <f>'2.5.Трудоемкость'!US14+"BYw!'lt"</f>
        <v>#VALUE!</v>
      </c>
      <c r="HY148" t="e">
        <f>'2.5.Трудоемкость'!UT14+"BYw!'lu"</f>
        <v>#VALUE!</v>
      </c>
      <c r="HZ148" t="e">
        <f>'2.5.Трудоемкость'!UU14+"BYw!'lv"</f>
        <v>#VALUE!</v>
      </c>
      <c r="IA148" t="e">
        <f>'2.5.Трудоемкость'!UV14+"BYw!'lw"</f>
        <v>#VALUE!</v>
      </c>
      <c r="IB148" t="e">
        <f>'2.5.Трудоемкость'!UW14+"BYw!'lx"</f>
        <v>#VALUE!</v>
      </c>
      <c r="IC148" t="e">
        <f>'2.5.Трудоемкость'!UX14+"BYw!'ly"</f>
        <v>#VALUE!</v>
      </c>
      <c r="ID148" t="e">
        <f>'2.5.Трудоемкость'!UY14+"BYw!'lz"</f>
        <v>#VALUE!</v>
      </c>
      <c r="IE148" t="e">
        <f>'2.5.Трудоемкость'!UZ14+"BYw!'l{"</f>
        <v>#VALUE!</v>
      </c>
      <c r="IF148" t="e">
        <f>'2.5.Трудоемкость'!VA14+"BYw!'l|"</f>
        <v>#VALUE!</v>
      </c>
      <c r="IG148" t="e">
        <f>'2.5.Трудоемкость'!VB14+"BYw!'l}"</f>
        <v>#VALUE!</v>
      </c>
      <c r="IH148" t="e">
        <f>'2.5.Трудоемкость'!VC14+"BYw!'l~"</f>
        <v>#VALUE!</v>
      </c>
      <c r="II148" t="e">
        <f>'2.5.Трудоемкость'!VD14+"BYw!'m#"</f>
        <v>#VALUE!</v>
      </c>
      <c r="IJ148" t="e">
        <f>'2.5.Трудоемкость'!VE14+"BYw!'m$"</f>
        <v>#VALUE!</v>
      </c>
      <c r="IK148" t="e">
        <f>'2.5.Трудоемкость'!VF14+"BYw!'m%"</f>
        <v>#VALUE!</v>
      </c>
      <c r="IL148" t="e">
        <f>'2.5.Трудоемкость'!VG14+"BYw!'m&amp;"</f>
        <v>#VALUE!</v>
      </c>
      <c r="IM148" t="e">
        <f>'2.5.Трудоемкость'!VH14+"BYw!'m'"</f>
        <v>#VALUE!</v>
      </c>
      <c r="IN148" t="e">
        <f>'2.5.Трудоемкость'!VI14+"BYw!'m("</f>
        <v>#VALUE!</v>
      </c>
      <c r="IO148" t="e">
        <f>'2.5.Трудоемкость'!VJ14+"BYw!'m)"</f>
        <v>#VALUE!</v>
      </c>
      <c r="IP148" t="e">
        <f>'2.5.Трудоемкость'!VK14+"BYw!'m."</f>
        <v>#VALUE!</v>
      </c>
      <c r="IQ148" t="e">
        <f>'2.5.Трудоемкость'!VL14+"BYw!'m/"</f>
        <v>#VALUE!</v>
      </c>
      <c r="IR148" t="e">
        <f>'2.5.Трудоемкость'!VM14+"BYw!'m0"</f>
        <v>#VALUE!</v>
      </c>
      <c r="IS148" t="e">
        <f>'2.5.Трудоемкость'!VN14+"BYw!'m1"</f>
        <v>#VALUE!</v>
      </c>
      <c r="IT148" t="e">
        <f>'2.5.Трудоемкость'!VO14+"BYw!'m2"</f>
        <v>#VALUE!</v>
      </c>
      <c r="IU148" t="e">
        <f>'2.5.Трудоемкость'!VP14+"BYw!'m3"</f>
        <v>#VALUE!</v>
      </c>
      <c r="IV148" t="e">
        <f>'2.5.Трудоемкость'!VQ14+"BYw!'m4"</f>
        <v>#VALUE!</v>
      </c>
    </row>
    <row r="149" spans="6:256" x14ac:dyDescent="0.2">
      <c r="F149" t="e">
        <f>'2.5.Трудоемкость'!VR14+"BYw!'m5"</f>
        <v>#VALUE!</v>
      </c>
      <c r="G149" t="e">
        <f>'2.5.Трудоемкость'!VS14+"BYw!'m6"</f>
        <v>#VALUE!</v>
      </c>
      <c r="H149" t="e">
        <f>'2.5.Трудоемкость'!VT14+"BYw!'m7"</f>
        <v>#VALUE!</v>
      </c>
      <c r="I149" t="e">
        <f>'2.5.Трудоемкость'!VU14+"BYw!'m8"</f>
        <v>#VALUE!</v>
      </c>
      <c r="J149" t="e">
        <f>'2.5.Трудоемкость'!VV14+"BYw!'m9"</f>
        <v>#VALUE!</v>
      </c>
      <c r="K149" t="e">
        <f>'2.5.Трудоемкость'!VW14+"BYw!'m:"</f>
        <v>#VALUE!</v>
      </c>
      <c r="L149" t="e">
        <f>'2.5.Трудоемкость'!VX14+"BYw!'m;"</f>
        <v>#VALUE!</v>
      </c>
      <c r="M149" t="e">
        <f>'2.5.Трудоемкость'!VY14+"BYw!'m&lt;"</f>
        <v>#VALUE!</v>
      </c>
      <c r="N149" t="e">
        <f>'2.5.Трудоемкость'!VZ14+"BYw!'m="</f>
        <v>#VALUE!</v>
      </c>
      <c r="O149" t="e">
        <f>'2.5.Трудоемкость'!WA14+"BYw!'m&gt;"</f>
        <v>#VALUE!</v>
      </c>
      <c r="P149" t="e">
        <f>'2.5.Трудоемкость'!WB14+"BYw!'m?"</f>
        <v>#VALUE!</v>
      </c>
      <c r="Q149" t="e">
        <f>'2.5.Трудоемкость'!WC14+"BYw!'m@"</f>
        <v>#VALUE!</v>
      </c>
      <c r="R149" t="e">
        <f>'2.5.Трудоемкость'!WD14+"BYw!'mA"</f>
        <v>#VALUE!</v>
      </c>
      <c r="S149" t="e">
        <f>'2.5.Трудоемкость'!WE14+"BYw!'mB"</f>
        <v>#VALUE!</v>
      </c>
      <c r="T149" t="e">
        <f>'2.5.Трудоемкость'!WF14+"BYw!'mC"</f>
        <v>#VALUE!</v>
      </c>
      <c r="U149" t="e">
        <f>'2.5.Трудоемкость'!WG14+"BYw!'mD"</f>
        <v>#VALUE!</v>
      </c>
      <c r="V149" t="e">
        <f>'2.5.Трудоемкость'!WH14+"BYw!'mE"</f>
        <v>#VALUE!</v>
      </c>
      <c r="W149" t="e">
        <f>'2.5.Трудоемкость'!WI14+"BYw!'mF"</f>
        <v>#VALUE!</v>
      </c>
      <c r="X149" t="e">
        <f>'2.5.Трудоемкость'!WJ14+"BYw!'mG"</f>
        <v>#VALUE!</v>
      </c>
      <c r="Y149" t="e">
        <f>'2.5.Трудоемкость'!WK14+"BYw!'mH"</f>
        <v>#VALUE!</v>
      </c>
      <c r="Z149" t="e">
        <f>'2.5.Трудоемкость'!WL14+"BYw!'mI"</f>
        <v>#VALUE!</v>
      </c>
      <c r="AA149" t="e">
        <f>'2.5.Трудоемкость'!WM14+"BYw!'mJ"</f>
        <v>#VALUE!</v>
      </c>
      <c r="AB149" t="e">
        <f>'2.5.Трудоемкость'!WN14+"BYw!'mK"</f>
        <v>#VALUE!</v>
      </c>
      <c r="AC149" t="e">
        <f>'2.5.Трудоемкость'!WO14+"BYw!'mL"</f>
        <v>#VALUE!</v>
      </c>
      <c r="AD149" t="e">
        <f>'2.5.Трудоемкость'!WP14+"BYw!'mM"</f>
        <v>#VALUE!</v>
      </c>
      <c r="AE149" t="e">
        <f>'2.5.Трудоемкость'!WQ14+"BYw!'mN"</f>
        <v>#VALUE!</v>
      </c>
      <c r="AF149" t="e">
        <f>'2.5.Трудоемкость'!WR14+"BYw!'mO"</f>
        <v>#VALUE!</v>
      </c>
      <c r="AG149" t="e">
        <f>'2.5.Трудоемкость'!WS14+"BYw!'mP"</f>
        <v>#VALUE!</v>
      </c>
      <c r="AH149" t="e">
        <f>'2.5.Трудоемкость'!WT14+"BYw!'mQ"</f>
        <v>#VALUE!</v>
      </c>
      <c r="AI149" t="e">
        <f>'2.5.Трудоемкость'!WU14+"BYw!'mR"</f>
        <v>#VALUE!</v>
      </c>
      <c r="AJ149" t="e">
        <f>'2.5.Трудоемкость'!WV14+"BYw!'mS"</f>
        <v>#VALUE!</v>
      </c>
      <c r="AK149" t="e">
        <f>'2.5.Трудоемкость'!WW14+"BYw!'mT"</f>
        <v>#VALUE!</v>
      </c>
      <c r="AL149" t="e">
        <f>'2.5.Трудоемкость'!WX14+"BYw!'mU"</f>
        <v>#VALUE!</v>
      </c>
      <c r="AM149" t="e">
        <f>'2.5.Трудоемкость'!WY14+"BYw!'mV"</f>
        <v>#VALUE!</v>
      </c>
      <c r="AN149" t="e">
        <f>'2.5.Трудоемкость'!WZ14+"BYw!'mW"</f>
        <v>#VALUE!</v>
      </c>
      <c r="AO149" t="e">
        <f>'2.5.Трудоемкость'!XA14+"BYw!'mX"</f>
        <v>#VALUE!</v>
      </c>
      <c r="AP149" t="e">
        <f>'2.5.Трудоемкость'!XB14+"BYw!'mY"</f>
        <v>#VALUE!</v>
      </c>
      <c r="AQ149" t="e">
        <f>'2.5.Трудоемкость'!XC14+"BYw!'mZ"</f>
        <v>#VALUE!</v>
      </c>
      <c r="AR149" t="e">
        <f>'2.5.Трудоемкость'!XD14+"BYw!'m["</f>
        <v>#VALUE!</v>
      </c>
      <c r="AS149" t="e">
        <f>'2.5.Трудоемкость'!XE14+"BYw!'m\"</f>
        <v>#VALUE!</v>
      </c>
      <c r="AT149" t="e">
        <f>'2.5.Трудоемкость'!XF14+"BYw!'m]"</f>
        <v>#VALUE!</v>
      </c>
      <c r="AU149" t="e">
        <f>'2.5.Трудоемкость'!XG14+"BYw!'m^"</f>
        <v>#VALUE!</v>
      </c>
      <c r="AV149" t="e">
        <f>'2.5.Трудоемкость'!XH14+"BYw!'m_"</f>
        <v>#VALUE!</v>
      </c>
      <c r="AW149" t="e">
        <f>'2.5.Трудоемкость'!XI14+"BYw!'m`"</f>
        <v>#VALUE!</v>
      </c>
      <c r="AX149" t="e">
        <f>'2.5.Трудоемкость'!XJ14+"BYw!'ma"</f>
        <v>#VALUE!</v>
      </c>
      <c r="AY149" t="e">
        <f>'2.5.Трудоемкость'!XK14+"BYw!'mb"</f>
        <v>#VALUE!</v>
      </c>
      <c r="AZ149" t="e">
        <f>'2.5.Трудоемкость'!XL14+"BYw!'mc"</f>
        <v>#VALUE!</v>
      </c>
      <c r="BA149" t="e">
        <f>'2.5.Трудоемкость'!XM14+"BYw!'md"</f>
        <v>#VALUE!</v>
      </c>
      <c r="BB149" t="e">
        <f>'2.5.Трудоемкость'!XN14+"BYw!'me"</f>
        <v>#VALUE!</v>
      </c>
      <c r="BC149" t="e">
        <f>'2.5.Трудоемкость'!XO14+"BYw!'mf"</f>
        <v>#VALUE!</v>
      </c>
      <c r="BD149" t="e">
        <f>'2.5.Трудоемкость'!XP14+"BYw!'mg"</f>
        <v>#VALUE!</v>
      </c>
      <c r="BE149" t="e">
        <f>'2.5.Трудоемкость'!XQ14+"BYw!'mh"</f>
        <v>#VALUE!</v>
      </c>
      <c r="BF149" t="e">
        <f>'2.5.Трудоемкость'!XR14+"BYw!'mi"</f>
        <v>#VALUE!</v>
      </c>
      <c r="BG149" t="e">
        <f>'2.5.Трудоемкость'!XS14+"BYw!'mj"</f>
        <v>#VALUE!</v>
      </c>
      <c r="BH149" t="e">
        <f>'2.5.Трудоемкость'!XT14+"BYw!'mk"</f>
        <v>#VALUE!</v>
      </c>
      <c r="BI149" t="e">
        <f>'2.5.Трудоемкость'!XU14+"BYw!'ml"</f>
        <v>#VALUE!</v>
      </c>
      <c r="BJ149" t="e">
        <f>'2.5.Трудоемкость'!XV14+"BYw!'mm"</f>
        <v>#VALUE!</v>
      </c>
      <c r="BK149" t="e">
        <f>'2.5.Трудоемкость'!XW14+"BYw!'mn"</f>
        <v>#VALUE!</v>
      </c>
      <c r="BL149" t="e">
        <f>'2.5.Трудоемкость'!XX14+"BYw!'mo"</f>
        <v>#VALUE!</v>
      </c>
      <c r="BM149" t="e">
        <f>'2.5.Трудоемкость'!XY14+"BYw!'mp"</f>
        <v>#VALUE!</v>
      </c>
      <c r="BN149" t="e">
        <f>'2.5.Трудоемкость'!XZ14+"BYw!'mq"</f>
        <v>#VALUE!</v>
      </c>
      <c r="BO149" t="e">
        <f>'2.5.Трудоемкость'!YA14+"BYw!'mr"</f>
        <v>#VALUE!</v>
      </c>
      <c r="BP149" t="e">
        <f>'2.5.Трудоемкость'!YB14+"BYw!'ms"</f>
        <v>#VALUE!</v>
      </c>
      <c r="BQ149" t="e">
        <f>'2.5.Трудоемкость'!YC14+"BYw!'mt"</f>
        <v>#VALUE!</v>
      </c>
      <c r="BR149" t="e">
        <f>'2.5.Трудоемкость'!YD14+"BYw!'mu"</f>
        <v>#VALUE!</v>
      </c>
      <c r="BS149" t="e">
        <f>'2.5.Трудоемкость'!YE14+"BYw!'mv"</f>
        <v>#VALUE!</v>
      </c>
      <c r="BT149" t="e">
        <f>'2.5.Трудоемкость'!YF14+"BYw!'mw"</f>
        <v>#VALUE!</v>
      </c>
      <c r="BU149" t="e">
        <f>'2.5.Трудоемкость'!YG14+"BYw!'mx"</f>
        <v>#VALUE!</v>
      </c>
      <c r="BV149" t="e">
        <f>'2.5.Трудоемкость'!YH14+"BYw!'my"</f>
        <v>#VALUE!</v>
      </c>
      <c r="BW149" t="e">
        <f>'2.5.Трудоемкость'!YI14+"BYw!'mz"</f>
        <v>#VALUE!</v>
      </c>
      <c r="BX149" t="e">
        <f>'2.5.Трудоемкость'!YJ14+"BYw!'m{"</f>
        <v>#VALUE!</v>
      </c>
      <c r="BY149" t="e">
        <f>'2.5.Трудоемкость'!YK14+"BYw!'m|"</f>
        <v>#VALUE!</v>
      </c>
      <c r="BZ149" t="e">
        <f>'2.5.Трудоемкость'!YL14+"BYw!'m}"</f>
        <v>#VALUE!</v>
      </c>
      <c r="CA149" t="e">
        <f>'2.5.Трудоемкость'!YM14+"BYw!'m~"</f>
        <v>#VALUE!</v>
      </c>
      <c r="CB149" t="e">
        <f>'2.5.Трудоемкость'!YN14+"BYw!'n#"</f>
        <v>#VALUE!</v>
      </c>
      <c r="CC149" t="e">
        <f>'2.5.Трудоемкость'!YO14+"BYw!'n$"</f>
        <v>#VALUE!</v>
      </c>
      <c r="CD149" t="e">
        <f>'2.5.Трудоемкость'!YP14+"BYw!'n%"</f>
        <v>#VALUE!</v>
      </c>
      <c r="CE149" t="e">
        <f>'2.5.Трудоемкость'!YQ14+"BYw!'n&amp;"</f>
        <v>#VALUE!</v>
      </c>
      <c r="CF149" t="e">
        <f>'2.5.Трудоемкость'!YR14+"BYw!'n'"</f>
        <v>#VALUE!</v>
      </c>
      <c r="CG149" t="e">
        <f>'2.5.Трудоемкость'!YS14+"BYw!'n("</f>
        <v>#VALUE!</v>
      </c>
      <c r="CH149" t="e">
        <f>'2.5.Трудоемкость'!YT14+"BYw!'n)"</f>
        <v>#VALUE!</v>
      </c>
      <c r="CI149" t="e">
        <f>'2.5.Трудоемкость'!YU14+"BYw!'n."</f>
        <v>#VALUE!</v>
      </c>
      <c r="CJ149" t="e">
        <f>'2.5.Трудоемкость'!YV14+"BYw!'n/"</f>
        <v>#VALUE!</v>
      </c>
      <c r="CK149" t="e">
        <f>'2.5.Трудоемкость'!YW14+"BYw!'n0"</f>
        <v>#VALUE!</v>
      </c>
      <c r="CL149" t="e">
        <f>'2.5.Трудоемкость'!YX14+"BYw!'n1"</f>
        <v>#VALUE!</v>
      </c>
      <c r="CM149" t="e">
        <f>'2.5.Трудоемкость'!YY14+"BYw!'n2"</f>
        <v>#VALUE!</v>
      </c>
      <c r="CN149" t="e">
        <f>'2.5.Трудоемкость'!YZ14+"BYw!'n3"</f>
        <v>#VALUE!</v>
      </c>
      <c r="CO149" t="e">
        <f>'2.5.Трудоемкость'!ZA14+"BYw!'n4"</f>
        <v>#VALUE!</v>
      </c>
      <c r="CP149" t="e">
        <f>'2.5.Трудоемкость'!ZB14+"BYw!'n5"</f>
        <v>#VALUE!</v>
      </c>
      <c r="CQ149" t="e">
        <f>'2.5.Трудоемкость'!ZC14+"BYw!'n6"</f>
        <v>#VALUE!</v>
      </c>
      <c r="CR149" t="e">
        <f>'2.5.Трудоемкость'!ZD14+"BYw!'n7"</f>
        <v>#VALUE!</v>
      </c>
      <c r="CS149" t="e">
        <f>'2.5.Трудоемкость'!ZE14+"BYw!'n8"</f>
        <v>#VALUE!</v>
      </c>
      <c r="CT149" t="e">
        <f>'2.5.Трудоемкость'!ZF14+"BYw!'n9"</f>
        <v>#VALUE!</v>
      </c>
      <c r="CU149" t="e">
        <f>'2.5.Трудоемкость'!ZG14+"BYw!'n:"</f>
        <v>#VALUE!</v>
      </c>
      <c r="CV149" t="e">
        <f>'2.5.Трудоемкость'!ZH14+"BYw!'n;"</f>
        <v>#VALUE!</v>
      </c>
      <c r="CW149" t="e">
        <f>'2.5.Трудоемкость'!ZI14+"BYw!'n&lt;"</f>
        <v>#VALUE!</v>
      </c>
      <c r="CX149" t="e">
        <f>'2.5.Трудоемкость'!ZJ14+"BYw!'n="</f>
        <v>#VALUE!</v>
      </c>
      <c r="CY149" t="e">
        <f>'2.5.Трудоемкость'!ZK14+"BYw!'n&gt;"</f>
        <v>#VALUE!</v>
      </c>
      <c r="CZ149" t="e">
        <f>'2.5.Трудоемкость'!ZL14+"BYw!'n?"</f>
        <v>#VALUE!</v>
      </c>
      <c r="DA149" t="e">
        <f>'2.5.Трудоемкость'!ZM14+"BYw!'n@"</f>
        <v>#VALUE!</v>
      </c>
      <c r="DB149" t="e">
        <f>'2.5.Трудоемкость'!ZN14+"BYw!'nA"</f>
        <v>#VALUE!</v>
      </c>
      <c r="DC149" t="e">
        <f>'2.5.Трудоемкость'!ZO14+"BYw!'nB"</f>
        <v>#VALUE!</v>
      </c>
      <c r="DD149" t="e">
        <f>'2.5.Трудоемкость'!ZP14+"BYw!'nC"</f>
        <v>#VALUE!</v>
      </c>
      <c r="DE149" t="e">
        <f>'2.5.Трудоемкость'!ZQ14+"BYw!'nD"</f>
        <v>#VALUE!</v>
      </c>
      <c r="DF149" t="e">
        <f>'2.5.Трудоемкость'!ZR14+"BYw!'nE"</f>
        <v>#VALUE!</v>
      </c>
      <c r="DG149" t="e">
        <f>'2.5.Трудоемкость'!ZS14+"BYw!'nF"</f>
        <v>#VALUE!</v>
      </c>
      <c r="DH149" t="e">
        <f>'2.5.Трудоемкость'!ZT14+"BYw!'nG"</f>
        <v>#VALUE!</v>
      </c>
      <c r="DI149" t="e">
        <f>'2.5.Трудоемкость'!ZU14+"BYw!'nH"</f>
        <v>#VALUE!</v>
      </c>
      <c r="DJ149" t="e">
        <f>'2.5.Трудоемкость'!ZV14+"BYw!'nI"</f>
        <v>#VALUE!</v>
      </c>
      <c r="DK149" t="e">
        <f>'2.5.Трудоемкость'!ZW14+"BYw!'nJ"</f>
        <v>#VALUE!</v>
      </c>
      <c r="DL149" t="e">
        <f>'2.5.Трудоемкость'!ZX14+"BYw!'nK"</f>
        <v>#VALUE!</v>
      </c>
      <c r="DM149" t="e">
        <f>'2.5.Трудоемкость'!ZY14+"BYw!'nL"</f>
        <v>#VALUE!</v>
      </c>
      <c r="DN149" t="e">
        <f>'2.5.Трудоемкость'!ZZ14+"BYw!'nM"</f>
        <v>#VALUE!</v>
      </c>
      <c r="DO149" t="e">
        <f>'2.5.Трудоемкость'!AAA14+"BYw!'nN"</f>
        <v>#VALUE!</v>
      </c>
      <c r="DP149" t="e">
        <f>'2.5.Трудоемкость'!AAB14+"BYw!'nO"</f>
        <v>#VALUE!</v>
      </c>
      <c r="DQ149" t="e">
        <f>'2.5.Трудоемкость'!AAC14+"BYw!'nP"</f>
        <v>#VALUE!</v>
      </c>
      <c r="DR149" t="e">
        <f>'2.5.Трудоемкость'!AAD14+"BYw!'nQ"</f>
        <v>#VALUE!</v>
      </c>
      <c r="DS149" t="e">
        <f>'2.5.Трудоемкость'!AAE14+"BYw!'nR"</f>
        <v>#VALUE!</v>
      </c>
      <c r="DT149" t="e">
        <f>'2.5.Трудоемкость'!AAF14+"BYw!'nS"</f>
        <v>#VALUE!</v>
      </c>
      <c r="DU149" t="e">
        <f>'2.5.Трудоемкость'!AAG14+"BYw!'nT"</f>
        <v>#VALUE!</v>
      </c>
      <c r="DV149" t="e">
        <f>'2.5.Трудоемкость'!AAH14+"BYw!'nU"</f>
        <v>#VALUE!</v>
      </c>
      <c r="DW149" t="e">
        <f>'2.5.Трудоемкость'!AAI14+"BYw!'nV"</f>
        <v>#VALUE!</v>
      </c>
      <c r="DX149" t="e">
        <f>'2.5.Трудоемкость'!AAJ14+"BYw!'nW"</f>
        <v>#VALUE!</v>
      </c>
      <c r="DY149" t="e">
        <f>'2.5.Трудоемкость'!AAK14+"BYw!'nX"</f>
        <v>#VALUE!</v>
      </c>
      <c r="DZ149" t="e">
        <f>'2.5.Трудоемкость'!AAL14+"BYw!'nY"</f>
        <v>#VALUE!</v>
      </c>
      <c r="EA149" t="e">
        <f>'2.5.Трудоемкость'!AAM14+"BYw!'nZ"</f>
        <v>#VALUE!</v>
      </c>
      <c r="EB149" t="e">
        <f>'2.5.Трудоемкость'!AAN14+"BYw!'n["</f>
        <v>#VALUE!</v>
      </c>
      <c r="EC149" t="e">
        <f>'2.5.Трудоемкость'!AAO14+"BYw!'n\"</f>
        <v>#VALUE!</v>
      </c>
      <c r="ED149" t="e">
        <f>'2.5.Трудоемкость'!AAP14+"BYw!'n]"</f>
        <v>#VALUE!</v>
      </c>
      <c r="EE149" t="e">
        <f>'2.5.Трудоемкость'!AAQ14+"BYw!'n^"</f>
        <v>#VALUE!</v>
      </c>
      <c r="EF149" t="e">
        <f>'2.5.Трудоемкость'!AAR14+"BYw!'n_"</f>
        <v>#VALUE!</v>
      </c>
      <c r="EG149" t="e">
        <f>'2.5.Трудоемкость'!AAS14+"BYw!'n`"</f>
        <v>#VALUE!</v>
      </c>
      <c r="EH149" t="e">
        <f>'2.5.Трудоемкость'!AAT14+"BYw!'na"</f>
        <v>#VALUE!</v>
      </c>
      <c r="EI149" t="e">
        <f>'2.5.Трудоемкость'!AAU14+"BYw!'nb"</f>
        <v>#VALUE!</v>
      </c>
      <c r="EJ149" t="e">
        <f>'2.5.Трудоемкость'!AAV14+"BYw!'nc"</f>
        <v>#VALUE!</v>
      </c>
      <c r="EK149" t="e">
        <f>'2.5.Трудоемкость'!AAW14+"BYw!'nd"</f>
        <v>#VALUE!</v>
      </c>
      <c r="EL149" t="e">
        <f>'2.5.Трудоемкость'!AAX14+"BYw!'ne"</f>
        <v>#VALUE!</v>
      </c>
      <c r="EM149" t="e">
        <f>'2.5.Трудоемкость'!AAY14+"BYw!'nf"</f>
        <v>#VALUE!</v>
      </c>
      <c r="EN149" t="e">
        <f>'2.5.Трудоемкость'!AAZ14+"BYw!'ng"</f>
        <v>#VALUE!</v>
      </c>
      <c r="EO149" t="e">
        <f>'2.5.Трудоемкость'!ABA14+"BYw!'nh"</f>
        <v>#VALUE!</v>
      </c>
      <c r="EP149" t="e">
        <f>'2.5.Трудоемкость'!ABB14+"BYw!'ni"</f>
        <v>#VALUE!</v>
      </c>
      <c r="EQ149" t="e">
        <f>'2.5.Трудоемкость'!ABC14+"BYw!'nj"</f>
        <v>#VALUE!</v>
      </c>
      <c r="ER149" t="e">
        <f>'2.5.Трудоемкость'!ABD14+"BYw!'nk"</f>
        <v>#VALUE!</v>
      </c>
      <c r="ES149" t="e">
        <f>'2.5.Трудоемкость'!ABE14+"BYw!'nl"</f>
        <v>#VALUE!</v>
      </c>
      <c r="ET149" t="e">
        <f>'2.5.Трудоемкость'!ABF14+"BYw!'nm"</f>
        <v>#VALUE!</v>
      </c>
      <c r="EU149" t="e">
        <f>'2.5.Трудоемкость'!ABG14+"BYw!'nn"</f>
        <v>#VALUE!</v>
      </c>
      <c r="EV149" t="e">
        <f>'2.5.Трудоемкость'!ABH14+"BYw!'no"</f>
        <v>#VALUE!</v>
      </c>
      <c r="EW149" t="e">
        <f>'2.5.Трудоемкость'!ABI14+"BYw!'np"</f>
        <v>#VALUE!</v>
      </c>
      <c r="EX149" t="e">
        <f>'2.5.Трудоемкость'!ABJ14+"BYw!'nq"</f>
        <v>#VALUE!</v>
      </c>
      <c r="EY149" t="e">
        <f>'2.5.Трудоемкость'!ABK14+"BYw!'nr"</f>
        <v>#VALUE!</v>
      </c>
      <c r="EZ149" t="e">
        <f>'2.5.Трудоемкость'!ABL14+"BYw!'ns"</f>
        <v>#VALUE!</v>
      </c>
      <c r="FA149" t="e">
        <f>'2.5.Трудоемкость'!ABM14+"BYw!'nt"</f>
        <v>#VALUE!</v>
      </c>
      <c r="FB149" t="e">
        <f>'2.5.Трудоемкость'!ABN14+"BYw!'nu"</f>
        <v>#VALUE!</v>
      </c>
      <c r="FC149" t="e">
        <f>'2.5.Трудоемкость'!ABO14+"BYw!'nv"</f>
        <v>#VALUE!</v>
      </c>
      <c r="FD149" t="e">
        <f>'2.5.Трудоемкость'!ABP14+"BYw!'nw"</f>
        <v>#VALUE!</v>
      </c>
      <c r="FE149" t="e">
        <f>'2.5.Трудоемкость'!ABQ14+"BYw!'nx"</f>
        <v>#VALUE!</v>
      </c>
      <c r="FF149" t="e">
        <f>'2.5.Трудоемкость'!ABR14+"BYw!'ny"</f>
        <v>#VALUE!</v>
      </c>
      <c r="FG149" t="e">
        <f>'2.5.Трудоемкость'!ABS14+"BYw!'nz"</f>
        <v>#VALUE!</v>
      </c>
      <c r="FH149" t="e">
        <f>'2.5.Трудоемкость'!ABT14+"BYw!'n{"</f>
        <v>#VALUE!</v>
      </c>
      <c r="FI149" t="e">
        <f>'2.5.Трудоемкость'!ABU14+"BYw!'n|"</f>
        <v>#VALUE!</v>
      </c>
      <c r="FJ149" t="e">
        <f>'2.5.Трудоемкость'!ABV14+"BYw!'n}"</f>
        <v>#VALUE!</v>
      </c>
      <c r="FK149" t="e">
        <f>'2.5.Трудоемкость'!ABW14+"BYw!'n~"</f>
        <v>#VALUE!</v>
      </c>
      <c r="FL149" t="e">
        <f>'2.5.Трудоемкость'!ABX14+"BYw!'o#"</f>
        <v>#VALUE!</v>
      </c>
      <c r="FM149" t="e">
        <f>'2.5.Трудоемкость'!ABY14+"BYw!'o$"</f>
        <v>#VALUE!</v>
      </c>
      <c r="FN149" t="e">
        <f>'2.5.Трудоемкость'!ABZ14+"BYw!'o%"</f>
        <v>#VALUE!</v>
      </c>
      <c r="FO149" t="e">
        <f>'2.5.Трудоемкость'!ACA14+"BYw!'o&amp;"</f>
        <v>#VALUE!</v>
      </c>
      <c r="FP149" t="e">
        <f>'2.5.Трудоемкость'!ACB14+"BYw!'o'"</f>
        <v>#VALUE!</v>
      </c>
      <c r="FQ149" t="e">
        <f>'2.5.Трудоемкость'!ACC14+"BYw!'o("</f>
        <v>#VALUE!</v>
      </c>
      <c r="FR149" t="e">
        <f>'2.5.Трудоемкость'!ACD14+"BYw!'o)"</f>
        <v>#VALUE!</v>
      </c>
      <c r="FS149" t="e">
        <f>'2.5.Трудоемкость'!ACE14+"BYw!'o."</f>
        <v>#VALUE!</v>
      </c>
      <c r="FT149" t="e">
        <f>'2.5.Трудоемкость'!ACF14+"BYw!'o/"</f>
        <v>#VALUE!</v>
      </c>
      <c r="FU149" t="e">
        <f>'2.5.Трудоемкость'!ACG14+"BYw!'o0"</f>
        <v>#VALUE!</v>
      </c>
      <c r="FV149" t="e">
        <f>'2.5.Трудоемкость'!ACH14+"BYw!'o1"</f>
        <v>#VALUE!</v>
      </c>
      <c r="FW149" t="e">
        <f>'2.5.Трудоемкость'!ACI14+"BYw!'o2"</f>
        <v>#VALUE!</v>
      </c>
      <c r="FX149" t="e">
        <f>'2.5.Трудоемкость'!ACJ14+"BYw!'o3"</f>
        <v>#VALUE!</v>
      </c>
      <c r="FY149" t="e">
        <f>'2.5.Трудоемкость'!ACK14+"BYw!'o4"</f>
        <v>#VALUE!</v>
      </c>
      <c r="FZ149" t="e">
        <f>'2.5.Трудоемкость'!ACL14+"BYw!'o5"</f>
        <v>#VALUE!</v>
      </c>
      <c r="GA149" t="e">
        <f>'2.5.Трудоемкость'!ACM14+"BYw!'o6"</f>
        <v>#VALUE!</v>
      </c>
      <c r="GB149" t="e">
        <f>'2.5.Трудоемкость'!ACN14+"BYw!'o7"</f>
        <v>#VALUE!</v>
      </c>
      <c r="GC149" t="e">
        <f>'2.5.Трудоемкость'!ACO14+"BYw!'o8"</f>
        <v>#VALUE!</v>
      </c>
      <c r="GD149" t="e">
        <f>'2.5.Трудоемкость'!ACP14+"BYw!'o9"</f>
        <v>#VALUE!</v>
      </c>
      <c r="GE149" t="e">
        <f>'2.5.Трудоемкость'!ACQ14+"BYw!'o:"</f>
        <v>#VALUE!</v>
      </c>
      <c r="GF149" t="e">
        <f>'2.5.Трудоемкость'!ACR14+"BYw!'o;"</f>
        <v>#VALUE!</v>
      </c>
      <c r="GG149" t="e">
        <f>'2.5.Трудоемкость'!ACS14+"BYw!'o&lt;"</f>
        <v>#VALUE!</v>
      </c>
      <c r="GH149" t="e">
        <f>'2.5.Трудоемкость'!ACT14+"BYw!'o="</f>
        <v>#VALUE!</v>
      </c>
      <c r="GI149" t="e">
        <f>'2.5.Трудоемкость'!ACU14+"BYw!'o&gt;"</f>
        <v>#VALUE!</v>
      </c>
      <c r="GJ149" t="e">
        <f>'2.5.Трудоемкость'!ACV14+"BYw!'o?"</f>
        <v>#VALUE!</v>
      </c>
      <c r="GK149" t="e">
        <f>'2.5.Трудоемкость'!ACW14+"BYw!'o@"</f>
        <v>#VALUE!</v>
      </c>
      <c r="GL149" t="e">
        <f>'2.5.Трудоемкость'!ACX14+"BYw!'oA"</f>
        <v>#VALUE!</v>
      </c>
      <c r="GM149" t="e">
        <f>'2.5.Трудоемкость'!ACY14+"BYw!'oB"</f>
        <v>#VALUE!</v>
      </c>
      <c r="GN149" t="e">
        <f>'2.5.Трудоемкость'!ACZ14+"BYw!'oC"</f>
        <v>#VALUE!</v>
      </c>
      <c r="GO149" t="e">
        <f>'2.5.Трудоемкость'!ADA14+"BYw!'oD"</f>
        <v>#VALUE!</v>
      </c>
      <c r="GP149" t="e">
        <f>'2.5.Трудоемкость'!ADB14+"BYw!'oE"</f>
        <v>#VALUE!</v>
      </c>
      <c r="GQ149" t="e">
        <f>'2.5.Трудоемкость'!ADC14+"BYw!'oF"</f>
        <v>#VALUE!</v>
      </c>
      <c r="GR149" t="e">
        <f>'2.5.Трудоемкость'!ADD14+"BYw!'oG"</f>
        <v>#VALUE!</v>
      </c>
      <c r="GS149" t="e">
        <f>'2.5.Трудоемкость'!ADE14+"BYw!'oH"</f>
        <v>#VALUE!</v>
      </c>
      <c r="GT149" t="e">
        <f>'2.5.Трудоемкость'!ADF14+"BYw!'oI"</f>
        <v>#VALUE!</v>
      </c>
      <c r="GU149" t="e">
        <f>'2.5.Трудоемкость'!ADG14+"BYw!'oJ"</f>
        <v>#VALUE!</v>
      </c>
      <c r="GV149" t="e">
        <f>'2.5.Трудоемкость'!ADH14+"BYw!'oK"</f>
        <v>#VALUE!</v>
      </c>
      <c r="GW149" t="e">
        <f>'2.5.Трудоемкость'!ADI14+"BYw!'oL"</f>
        <v>#VALUE!</v>
      </c>
      <c r="GX149" t="e">
        <f>'2.5.Трудоемкость'!ADJ14+"BYw!'oM"</f>
        <v>#VALUE!</v>
      </c>
      <c r="GY149" t="e">
        <f>'2.5.Трудоемкость'!ADK14+"BYw!'oN"</f>
        <v>#VALUE!</v>
      </c>
      <c r="GZ149" t="e">
        <f>'2.5.Трудоемкость'!ADL14+"BYw!'oO"</f>
        <v>#VALUE!</v>
      </c>
      <c r="HA149" t="e">
        <f>'2.5.Трудоемкость'!ADM14+"BYw!'oP"</f>
        <v>#VALUE!</v>
      </c>
      <c r="HB149" t="e">
        <f>'2.5.Трудоемкость'!ADN14+"BYw!'oQ"</f>
        <v>#VALUE!</v>
      </c>
      <c r="HC149" t="e">
        <f>'2.5.Трудоемкость'!ADO14+"BYw!'oR"</f>
        <v>#VALUE!</v>
      </c>
      <c r="HD149" t="e">
        <f>'2.5.Трудоемкость'!ADP14+"BYw!'oS"</f>
        <v>#VALUE!</v>
      </c>
      <c r="HE149" t="e">
        <f>'2.5.Трудоемкость'!ADQ14+"BYw!'oT"</f>
        <v>#VALUE!</v>
      </c>
      <c r="HF149" t="e">
        <f>'2.5.Трудоемкость'!ADR14+"BYw!'oU"</f>
        <v>#VALUE!</v>
      </c>
      <c r="HG149" t="e">
        <f>'2.5.Трудоемкость'!ADS14+"BYw!'oV"</f>
        <v>#VALUE!</v>
      </c>
      <c r="HH149" t="e">
        <f>'2.5.Трудоемкость'!ADT14+"BYw!'oW"</f>
        <v>#VALUE!</v>
      </c>
      <c r="HI149" t="e">
        <f>'2.5.Трудоемкость'!ADU14+"BYw!'oX"</f>
        <v>#VALUE!</v>
      </c>
      <c r="HJ149" t="e">
        <f>'2.5.Трудоемкость'!ADV14+"BYw!'oY"</f>
        <v>#VALUE!</v>
      </c>
      <c r="HK149" t="e">
        <f>'2.5.Трудоемкость'!ADW14+"BYw!'oZ"</f>
        <v>#VALUE!</v>
      </c>
      <c r="HL149" t="e">
        <f>'2.5.Трудоемкость'!ADX14+"BYw!'o["</f>
        <v>#VALUE!</v>
      </c>
      <c r="HM149" t="e">
        <f>'2.5.Трудоемкость'!ADY14+"BYw!'o\"</f>
        <v>#VALUE!</v>
      </c>
      <c r="HN149" t="e">
        <f>'2.5.Трудоемкость'!ADZ14+"BYw!'o]"</f>
        <v>#VALUE!</v>
      </c>
      <c r="HO149" t="e">
        <f>'2.5.Трудоемкость'!AEA14+"BYw!'o^"</f>
        <v>#VALUE!</v>
      </c>
      <c r="HP149" t="e">
        <f>'2.5.Трудоемкость'!AEB14+"BYw!'o_"</f>
        <v>#VALUE!</v>
      </c>
      <c r="HQ149" t="e">
        <f>'2.5.Трудоемкость'!AEC14+"BYw!'o`"</f>
        <v>#VALUE!</v>
      </c>
      <c r="HR149" t="e">
        <f>'2.5.Трудоемкость'!AED14+"BYw!'oa"</f>
        <v>#VALUE!</v>
      </c>
      <c r="HS149" t="e">
        <f>'2.5.Трудоемкость'!AEE14+"BYw!'ob"</f>
        <v>#VALUE!</v>
      </c>
      <c r="HT149" t="e">
        <f>'2.5.Трудоемкость'!AEF14+"BYw!'oc"</f>
        <v>#VALUE!</v>
      </c>
      <c r="HU149" t="e">
        <f>'2.5.Трудоемкость'!AEG14+"BYw!'od"</f>
        <v>#VALUE!</v>
      </c>
      <c r="HV149" t="e">
        <f>'2.5.Трудоемкость'!AEH14+"BYw!'oe"</f>
        <v>#VALUE!</v>
      </c>
      <c r="HW149" t="e">
        <f>'2.5.Трудоемкость'!AEI14+"BYw!'of"</f>
        <v>#VALUE!</v>
      </c>
      <c r="HX149" t="e">
        <f>'2.5.Трудоемкость'!AEJ14+"BYw!'og"</f>
        <v>#VALUE!</v>
      </c>
      <c r="HY149" t="e">
        <f>'2.5.Трудоемкость'!AEK14+"BYw!'oh"</f>
        <v>#VALUE!</v>
      </c>
      <c r="HZ149" t="e">
        <f>'2.5.Трудоемкость'!AEL14+"BYw!'oi"</f>
        <v>#VALUE!</v>
      </c>
      <c r="IA149" t="e">
        <f>'2.5.Трудоемкость'!AEM14+"BYw!'oj"</f>
        <v>#VALUE!</v>
      </c>
      <c r="IB149" t="e">
        <f>'2.5.Трудоемкость'!AEN14+"BYw!'ok"</f>
        <v>#VALUE!</v>
      </c>
      <c r="IC149" t="e">
        <f>'2.5.Трудоемкость'!AEO14+"BYw!'ol"</f>
        <v>#VALUE!</v>
      </c>
      <c r="ID149" t="e">
        <f>'2.5.Трудоемкость'!AEP14+"BYw!'om"</f>
        <v>#VALUE!</v>
      </c>
      <c r="IE149" t="e">
        <f>'2.5.Трудоемкость'!AEQ14+"BYw!'on"</f>
        <v>#VALUE!</v>
      </c>
      <c r="IF149" t="e">
        <f>'2.5.Трудоемкость'!AER14+"BYw!'oo"</f>
        <v>#VALUE!</v>
      </c>
      <c r="IG149" t="e">
        <f>'2.5.Трудоемкость'!AES14+"BYw!'op"</f>
        <v>#VALUE!</v>
      </c>
      <c r="IH149" t="e">
        <f>'2.5.Трудоемкость'!AET14+"BYw!'oq"</f>
        <v>#VALUE!</v>
      </c>
      <c r="II149" t="e">
        <f>'2.5.Трудоемкость'!AEU14+"BYw!'or"</f>
        <v>#VALUE!</v>
      </c>
      <c r="IJ149" t="e">
        <f>'2.5.Трудоемкость'!AEV14+"BYw!'os"</f>
        <v>#VALUE!</v>
      </c>
      <c r="IK149" t="e">
        <f>'2.5.Трудоемкость'!AEW14+"BYw!'ot"</f>
        <v>#VALUE!</v>
      </c>
      <c r="IL149" t="e">
        <f>'2.5.Трудоемкость'!AEX14+"BYw!'ou"</f>
        <v>#VALUE!</v>
      </c>
      <c r="IM149" t="e">
        <f>'2.5.Трудоемкость'!AEY14+"BYw!'ov"</f>
        <v>#VALUE!</v>
      </c>
      <c r="IN149" t="e">
        <f>'2.5.Трудоемкость'!AEZ14+"BYw!'ow"</f>
        <v>#VALUE!</v>
      </c>
      <c r="IO149" t="e">
        <f>'2.5.Трудоемкость'!AFA14+"BYw!'ox"</f>
        <v>#VALUE!</v>
      </c>
      <c r="IP149" t="e">
        <f>'2.5.Трудоемкость'!AFB14+"BYw!'oy"</f>
        <v>#VALUE!</v>
      </c>
      <c r="IQ149" t="e">
        <f>'2.5.Трудоемкость'!AFC14+"BYw!'oz"</f>
        <v>#VALUE!</v>
      </c>
      <c r="IR149" t="e">
        <f>'2.5.Трудоемкость'!AFD14+"BYw!'o{"</f>
        <v>#VALUE!</v>
      </c>
      <c r="IS149" t="e">
        <f>'2.5.Трудоемкость'!AFE14+"BYw!'o|"</f>
        <v>#VALUE!</v>
      </c>
      <c r="IT149" t="e">
        <f>'2.5.Трудоемкость'!AFF14+"BYw!'o}"</f>
        <v>#VALUE!</v>
      </c>
      <c r="IU149" t="e">
        <f>'2.5.Трудоемкость'!AFG14+"BYw!'o~"</f>
        <v>#VALUE!</v>
      </c>
      <c r="IV149" t="e">
        <f>'2.5.Трудоемкость'!AFH14+"BYw!'p#"</f>
        <v>#VALUE!</v>
      </c>
    </row>
    <row r="150" spans="6:256" x14ac:dyDescent="0.2">
      <c r="F150" t="e">
        <f>'2.5.Трудоемкость'!AFI14+"BYw!'p$"</f>
        <v>#VALUE!</v>
      </c>
      <c r="G150" t="e">
        <f>'2.5.Трудоемкость'!AFJ14+"BYw!'p%"</f>
        <v>#VALUE!</v>
      </c>
      <c r="H150" t="e">
        <f>'2.5.Трудоемкость'!AFK14+"BYw!'p&amp;"</f>
        <v>#VALUE!</v>
      </c>
      <c r="I150" t="e">
        <f>'2.5.Трудоемкость'!AFL14+"BYw!'p'"</f>
        <v>#VALUE!</v>
      </c>
      <c r="J150" t="e">
        <f>'2.5.Трудоемкость'!AFM14+"BYw!'p("</f>
        <v>#VALUE!</v>
      </c>
      <c r="K150" t="e">
        <f>'2.5.Трудоемкость'!AFN14+"BYw!'p)"</f>
        <v>#VALUE!</v>
      </c>
      <c r="L150" t="e">
        <f>'2.5.Трудоемкость'!AFO14+"BYw!'p."</f>
        <v>#VALUE!</v>
      </c>
      <c r="M150" t="e">
        <f>'2.5.Трудоемкость'!AFP14+"BYw!'p/"</f>
        <v>#VALUE!</v>
      </c>
      <c r="N150" t="e">
        <f>'2.5.Трудоемкость'!AFQ14+"BYw!'p0"</f>
        <v>#VALUE!</v>
      </c>
      <c r="O150" t="e">
        <f>'2.5.Трудоемкость'!AFR14+"BYw!'p1"</f>
        <v>#VALUE!</v>
      </c>
      <c r="P150" t="e">
        <f>'2.5.Трудоемкость'!AFS14+"BYw!'p2"</f>
        <v>#VALUE!</v>
      </c>
      <c r="Q150" t="e">
        <f>'2.5.Трудоемкость'!AFT14+"BYw!'p3"</f>
        <v>#VALUE!</v>
      </c>
      <c r="R150" t="e">
        <f>'2.5.Трудоемкость'!AFU14+"BYw!'p4"</f>
        <v>#VALUE!</v>
      </c>
      <c r="S150" t="e">
        <f>'2.5.Трудоемкость'!AFV14+"BYw!'p5"</f>
        <v>#VALUE!</v>
      </c>
      <c r="T150" t="e">
        <f>'2.5.Трудоемкость'!AFW14+"BYw!'p6"</f>
        <v>#VALUE!</v>
      </c>
      <c r="U150" t="e">
        <f>'2.5.Трудоемкость'!AFX14+"BYw!'p7"</f>
        <v>#VALUE!</v>
      </c>
      <c r="V150" t="e">
        <f>'2.5.Трудоемкость'!AFY14+"BYw!'p8"</f>
        <v>#VALUE!</v>
      </c>
      <c r="W150" t="e">
        <f>'2.5.Трудоемкость'!AFZ14+"BYw!'p9"</f>
        <v>#VALUE!</v>
      </c>
      <c r="X150" t="e">
        <f>'2.5.Трудоемкость'!AGA14+"BYw!'p:"</f>
        <v>#VALUE!</v>
      </c>
      <c r="Y150" t="e">
        <f>'2.5.Трудоемкость'!AGB14+"BYw!'p;"</f>
        <v>#VALUE!</v>
      </c>
      <c r="Z150" t="e">
        <f>'2.5.Трудоемкость'!AGC14+"BYw!'p&lt;"</f>
        <v>#VALUE!</v>
      </c>
      <c r="AA150" t="e">
        <f>'2.5.Трудоемкость'!AGD14+"BYw!'p="</f>
        <v>#VALUE!</v>
      </c>
      <c r="AB150" t="e">
        <f>'2.5.Трудоемкость'!AGE14+"BYw!'p&gt;"</f>
        <v>#VALUE!</v>
      </c>
      <c r="AC150" t="e">
        <f>'2.5.Трудоемкость'!AGF14+"BYw!'p?"</f>
        <v>#VALUE!</v>
      </c>
      <c r="AD150" t="e">
        <f>'2.5.Трудоемкость'!AGG14+"BYw!'p@"</f>
        <v>#VALUE!</v>
      </c>
      <c r="AE150" t="e">
        <f>'2.5.Трудоемкость'!AGH14+"BYw!'pA"</f>
        <v>#VALUE!</v>
      </c>
      <c r="AF150" t="e">
        <f>'2.5.Трудоемкость'!AGI14+"BYw!'pB"</f>
        <v>#VALUE!</v>
      </c>
      <c r="AG150" t="e">
        <f>'2.5.Трудоемкость'!AGJ14+"BYw!'pC"</f>
        <v>#VALUE!</v>
      </c>
      <c r="AH150" t="e">
        <f>'2.5.Трудоемкость'!AGK14+"BYw!'pD"</f>
        <v>#VALUE!</v>
      </c>
      <c r="AI150" t="e">
        <f>'2.5.Трудоемкость'!AGL14+"BYw!'pE"</f>
        <v>#VALUE!</v>
      </c>
      <c r="AJ150" t="e">
        <f>'2.5.Трудоемкость'!AGM14+"BYw!'pF"</f>
        <v>#VALUE!</v>
      </c>
      <c r="AK150" t="e">
        <f>'2.5.Трудоемкость'!AGN14+"BYw!'pG"</f>
        <v>#VALUE!</v>
      </c>
      <c r="AL150" t="e">
        <f>'2.5.Трудоемкость'!AGO14+"BYw!'pH"</f>
        <v>#VALUE!</v>
      </c>
      <c r="AM150" t="e">
        <f>'2.5.Трудоемкость'!AGP14+"BYw!'pI"</f>
        <v>#VALUE!</v>
      </c>
      <c r="AN150" t="e">
        <f>'2.5.Трудоемкость'!AGQ14+"BYw!'pJ"</f>
        <v>#VALUE!</v>
      </c>
      <c r="AO150" t="e">
        <f>'2.5.Трудоемкость'!AGR14+"BYw!'pK"</f>
        <v>#VALUE!</v>
      </c>
      <c r="AP150" t="e">
        <f>'2.5.Трудоемкость'!AGS14+"BYw!'pL"</f>
        <v>#VALUE!</v>
      </c>
      <c r="AQ150" t="e">
        <f>'2.5.Трудоемкость'!AGT14+"BYw!'pM"</f>
        <v>#VALUE!</v>
      </c>
      <c r="AR150" t="e">
        <f>'2.5.Трудоемкость'!AGU14+"BYw!'pN"</f>
        <v>#VALUE!</v>
      </c>
      <c r="AS150" t="e">
        <f>'2.5.Трудоемкость'!AGV14+"BYw!'pO"</f>
        <v>#VALUE!</v>
      </c>
      <c r="AT150" t="e">
        <f>'2.5.Трудоемкость'!AGW14+"BYw!'pP"</f>
        <v>#VALUE!</v>
      </c>
      <c r="AU150" t="e">
        <f>'2.5.Трудоемкость'!AGX14+"BYw!'pQ"</f>
        <v>#VALUE!</v>
      </c>
      <c r="AV150" t="e">
        <f>'2.5.Трудоемкость'!AGY14+"BYw!'pR"</f>
        <v>#VALUE!</v>
      </c>
      <c r="AW150" t="e">
        <f>'2.5.Трудоемкость'!AGZ14+"BYw!'pS"</f>
        <v>#VALUE!</v>
      </c>
      <c r="AX150" t="e">
        <f>'2.5.Трудоемкость'!AHA14+"BYw!'pT"</f>
        <v>#VALUE!</v>
      </c>
      <c r="AY150" t="e">
        <f>'2.5.Трудоемкость'!AHB14+"BYw!'pU"</f>
        <v>#VALUE!</v>
      </c>
      <c r="AZ150" t="e">
        <f>'2.5.Трудоемкость'!AHC14+"BYw!'pV"</f>
        <v>#VALUE!</v>
      </c>
      <c r="BA150" t="e">
        <f>'2.5.Трудоемкость'!AHD14+"BYw!'pW"</f>
        <v>#VALUE!</v>
      </c>
      <c r="BB150" t="e">
        <f>'2.5.Трудоемкость'!AHE14+"BYw!'pX"</f>
        <v>#VALUE!</v>
      </c>
      <c r="BC150" t="e">
        <f>'2.5.Трудоемкость'!AHF14+"BYw!'pY"</f>
        <v>#VALUE!</v>
      </c>
      <c r="BD150" t="e">
        <f>'2.5.Трудоемкость'!AHG14+"BYw!'pZ"</f>
        <v>#VALUE!</v>
      </c>
      <c r="BE150" t="e">
        <f>'2.5.Трудоемкость'!AHH14+"BYw!'p["</f>
        <v>#VALUE!</v>
      </c>
      <c r="BF150" t="e">
        <f>'2.5.Трудоемкость'!AHI14+"BYw!'p\"</f>
        <v>#VALUE!</v>
      </c>
      <c r="BG150" t="e">
        <f>'2.5.Трудоемкость'!AHJ14+"BYw!'p]"</f>
        <v>#VALUE!</v>
      </c>
      <c r="BH150" t="e">
        <f>'2.5.Трудоемкость'!AHK14+"BYw!'p^"</f>
        <v>#VALUE!</v>
      </c>
      <c r="BI150" t="e">
        <f>'2.5.Трудоемкость'!AHL14+"BYw!'p_"</f>
        <v>#VALUE!</v>
      </c>
      <c r="BJ150" t="e">
        <f>'2.5.Трудоемкость'!AHM14+"BYw!'p`"</f>
        <v>#VALUE!</v>
      </c>
      <c r="BK150" t="e">
        <f>'2.5.Трудоемкость'!AHN14+"BYw!'pa"</f>
        <v>#VALUE!</v>
      </c>
      <c r="BL150" t="e">
        <f>'2.5.Трудоемкость'!AHO14+"BYw!'pb"</f>
        <v>#VALUE!</v>
      </c>
      <c r="BM150" t="e">
        <f>'2.5.Трудоемкость'!AHP14+"BYw!'pc"</f>
        <v>#VALUE!</v>
      </c>
      <c r="BN150" t="e">
        <f>'2.5.Трудоемкость'!AHQ14+"BYw!'pd"</f>
        <v>#VALUE!</v>
      </c>
      <c r="BO150" t="e">
        <f>'2.5.Трудоемкость'!AHR14+"BYw!'pe"</f>
        <v>#VALUE!</v>
      </c>
      <c r="BP150" t="e">
        <f>'2.5.Трудоемкость'!AHS14+"BYw!'pf"</f>
        <v>#VALUE!</v>
      </c>
      <c r="BQ150" t="e">
        <f>'2.5.Трудоемкость'!AHT14+"BYw!'pg"</f>
        <v>#VALUE!</v>
      </c>
      <c r="BR150" t="e">
        <f>'2.5.Трудоемкость'!AHU14+"BYw!'ph"</f>
        <v>#VALUE!</v>
      </c>
      <c r="BS150" t="e">
        <f>'2.5.Трудоемкость'!AHV14+"BYw!'pi"</f>
        <v>#VALUE!</v>
      </c>
      <c r="BT150" t="e">
        <f>'2.5.Трудоемкость'!AHW14+"BYw!'pj"</f>
        <v>#VALUE!</v>
      </c>
      <c r="BU150" t="e">
        <f>'2.5.Трудоемкость'!AHX14+"BYw!'pk"</f>
        <v>#VALUE!</v>
      </c>
      <c r="BV150" t="e">
        <f>'2.5.Трудоемкость'!AHY14+"BYw!'pl"</f>
        <v>#VALUE!</v>
      </c>
      <c r="BW150" t="e">
        <f>'2.5.Трудоемкость'!AHZ14+"BYw!'pm"</f>
        <v>#VALUE!</v>
      </c>
      <c r="BX150" t="e">
        <f>'2.5.Трудоемкость'!AIA14+"BYw!'pn"</f>
        <v>#VALUE!</v>
      </c>
      <c r="BY150" t="e">
        <f>'2.5.Трудоемкость'!AIB14+"BYw!'po"</f>
        <v>#VALUE!</v>
      </c>
      <c r="BZ150" t="e">
        <f>'2.5.Трудоемкость'!AIC14+"BYw!'pp"</f>
        <v>#VALUE!</v>
      </c>
      <c r="CA150" t="e">
        <f>'2.5.Трудоемкость'!AID14+"BYw!'pq"</f>
        <v>#VALUE!</v>
      </c>
      <c r="CB150" t="e">
        <f>'2.5.Трудоемкость'!AIE14+"BYw!'pr"</f>
        <v>#VALUE!</v>
      </c>
      <c r="CC150" t="e">
        <f>'2.5.Трудоемкость'!AIF14+"BYw!'ps"</f>
        <v>#VALUE!</v>
      </c>
      <c r="CD150" t="e">
        <f>'2.5.Трудоемкость'!AIG14+"BYw!'pt"</f>
        <v>#VALUE!</v>
      </c>
      <c r="CE150" t="e">
        <f>'2.5.Трудоемкость'!AIH14+"BYw!'pu"</f>
        <v>#VALUE!</v>
      </c>
      <c r="CF150" t="e">
        <f>'2.5.Трудоемкость'!AII14+"BYw!'pv"</f>
        <v>#VALUE!</v>
      </c>
      <c r="CG150" t="e">
        <f>'2.5.Трудоемкость'!AIJ14+"BYw!'pw"</f>
        <v>#VALUE!</v>
      </c>
      <c r="CH150" t="e">
        <f>'2.5.Трудоемкость'!AIK14+"BYw!'px"</f>
        <v>#VALUE!</v>
      </c>
      <c r="CI150" t="e">
        <f>'2.5.Трудоемкость'!AIL14+"BYw!'py"</f>
        <v>#VALUE!</v>
      </c>
      <c r="CJ150" t="e">
        <f>'2.5.Трудоемкость'!AIM14+"BYw!'pz"</f>
        <v>#VALUE!</v>
      </c>
      <c r="CK150" t="e">
        <f>'2.5.Трудоемкость'!AIN14+"BYw!'p{"</f>
        <v>#VALUE!</v>
      </c>
      <c r="CL150" t="e">
        <f>'2.5.Трудоемкость'!AIO14+"BYw!'p|"</f>
        <v>#VALUE!</v>
      </c>
      <c r="CM150" t="e">
        <f>'2.5.Трудоемкость'!AIP14+"BYw!'p}"</f>
        <v>#VALUE!</v>
      </c>
      <c r="CN150" t="e">
        <f>'2.5.Трудоемкость'!AIQ14+"BYw!'p~"</f>
        <v>#VALUE!</v>
      </c>
      <c r="CO150" t="e">
        <f>'2.5.Трудоемкость'!AIR14+"BYw!'q#"</f>
        <v>#VALUE!</v>
      </c>
      <c r="CP150" t="e">
        <f>'2.5.Трудоемкость'!AIS14+"BYw!'q$"</f>
        <v>#VALUE!</v>
      </c>
      <c r="CQ150" t="e">
        <f>'2.5.Трудоемкость'!AIT14+"BYw!'q%"</f>
        <v>#VALUE!</v>
      </c>
      <c r="CR150" t="e">
        <f>'2.5.Трудоемкость'!AIU14+"BYw!'q&amp;"</f>
        <v>#VALUE!</v>
      </c>
      <c r="CS150" t="e">
        <f>'2.5.Трудоемкость'!AIV14+"BYw!'q'"</f>
        <v>#VALUE!</v>
      </c>
      <c r="CT150" t="e">
        <f>'2.5.Трудоемкость'!AIW14+"BYw!'q("</f>
        <v>#VALUE!</v>
      </c>
      <c r="CU150" t="e">
        <f>'2.5.Трудоемкость'!AIX14+"BYw!'q)"</f>
        <v>#VALUE!</v>
      </c>
      <c r="CV150" t="e">
        <f>'2.5.Трудоемкость'!AIY14+"BYw!'q."</f>
        <v>#VALUE!</v>
      </c>
      <c r="CW150" t="e">
        <f>'2.5.Трудоемкость'!AIZ14+"BYw!'q/"</f>
        <v>#VALUE!</v>
      </c>
      <c r="CX150" t="e">
        <f>'2.5.Трудоемкость'!AJA14+"BYw!'q0"</f>
        <v>#VALUE!</v>
      </c>
      <c r="CY150" t="e">
        <f>'2.5.Трудоемкость'!AJB14+"BYw!'q1"</f>
        <v>#VALUE!</v>
      </c>
      <c r="CZ150" t="e">
        <f>'2.5.Трудоемкость'!AJC14+"BYw!'q2"</f>
        <v>#VALUE!</v>
      </c>
      <c r="DA150" t="e">
        <f>'2.5.Трудоемкость'!AJD14+"BYw!'q3"</f>
        <v>#VALUE!</v>
      </c>
      <c r="DB150" t="e">
        <f>'2.5.Трудоемкость'!AJE14+"BYw!'q4"</f>
        <v>#VALUE!</v>
      </c>
      <c r="DC150" t="e">
        <f>'2.5.Трудоемкость'!AJF14+"BYw!'q5"</f>
        <v>#VALUE!</v>
      </c>
      <c r="DD150" t="e">
        <f>'2.5.Трудоемкость'!AJG14+"BYw!'q6"</f>
        <v>#VALUE!</v>
      </c>
      <c r="DE150" t="e">
        <f>'2.5.Трудоемкость'!AJH14+"BYw!'q7"</f>
        <v>#VALUE!</v>
      </c>
      <c r="DF150" t="e">
        <f>'2.5.Трудоемкость'!AJI14+"BYw!'q8"</f>
        <v>#VALUE!</v>
      </c>
      <c r="DG150" t="e">
        <f>'2.5.Трудоемкость'!AJJ14+"BYw!'q9"</f>
        <v>#VALUE!</v>
      </c>
      <c r="DH150" t="e">
        <f>'2.5.Трудоемкость'!AJK14+"BYw!'q:"</f>
        <v>#VALUE!</v>
      </c>
      <c r="DI150" t="e">
        <f>'2.5.Трудоемкость'!AJL14+"BYw!'q;"</f>
        <v>#VALUE!</v>
      </c>
      <c r="DJ150" t="e">
        <f>'2.5.Трудоемкость'!AJM14+"BYw!'q&lt;"</f>
        <v>#VALUE!</v>
      </c>
      <c r="DK150" t="e">
        <f>'2.5.Трудоемкость'!AJN14+"BYw!'q="</f>
        <v>#VALUE!</v>
      </c>
      <c r="DL150" t="e">
        <f>'2.5.Трудоемкость'!AJO14+"BYw!'q&gt;"</f>
        <v>#VALUE!</v>
      </c>
      <c r="DM150" t="e">
        <f>'2.5.Трудоемкость'!AJP14+"BYw!'q?"</f>
        <v>#VALUE!</v>
      </c>
      <c r="DN150" t="e">
        <f>'2.5.Трудоемкость'!AJQ14+"BYw!'q@"</f>
        <v>#VALUE!</v>
      </c>
      <c r="DO150" t="e">
        <f>'2.5.Трудоемкость'!AJR14+"BYw!'qA"</f>
        <v>#VALUE!</v>
      </c>
      <c r="DP150" t="e">
        <f>'2.5.Трудоемкость'!AJS14+"BYw!'qB"</f>
        <v>#VALUE!</v>
      </c>
      <c r="DQ150" t="e">
        <f>'2.5.Трудоемкость'!AJT14+"BYw!'qC"</f>
        <v>#VALUE!</v>
      </c>
      <c r="DR150" t="e">
        <f>'2.5.Трудоемкость'!AJU14+"BYw!'qD"</f>
        <v>#VALUE!</v>
      </c>
      <c r="DS150" t="e">
        <f>'2.5.Трудоемкость'!AJV14+"BYw!'qE"</f>
        <v>#VALUE!</v>
      </c>
      <c r="DT150" t="e">
        <f>'2.5.Трудоемкость'!AJW14+"BYw!'qF"</f>
        <v>#VALUE!</v>
      </c>
      <c r="DU150" t="e">
        <f>'2.5.Трудоемкость'!AJX14+"BYw!'qG"</f>
        <v>#VALUE!</v>
      </c>
      <c r="DV150" t="e">
        <f>'2.5.Трудоемкость'!AJY14+"BYw!'qH"</f>
        <v>#VALUE!</v>
      </c>
      <c r="DW150" t="e">
        <f>'2.5.Трудоемкость'!AJZ14+"BYw!'qI"</f>
        <v>#VALUE!</v>
      </c>
      <c r="DX150" t="e">
        <f>'2.5.Трудоемкость'!AKA14+"BYw!'qJ"</f>
        <v>#VALUE!</v>
      </c>
      <c r="DY150" t="e">
        <f>'2.5.Трудоемкость'!AKB14+"BYw!'qK"</f>
        <v>#VALUE!</v>
      </c>
      <c r="DZ150" t="e">
        <f>'2.5.Трудоемкость'!AKC14+"BYw!'qL"</f>
        <v>#VALUE!</v>
      </c>
      <c r="EA150" t="e">
        <f>'2.5.Трудоемкость'!AKD14+"BYw!'qM"</f>
        <v>#VALUE!</v>
      </c>
      <c r="EB150" t="e">
        <f>'2.5.Трудоемкость'!AKE14+"BYw!'qN"</f>
        <v>#VALUE!</v>
      </c>
      <c r="EC150" t="e">
        <f>'2.5.Трудоемкость'!AKF14+"BYw!'qO"</f>
        <v>#VALUE!</v>
      </c>
      <c r="ED150" t="e">
        <f>'2.5.Трудоемкость'!AKG14+"BYw!'qP"</f>
        <v>#VALUE!</v>
      </c>
      <c r="EE150" t="e">
        <f>'2.5.Трудоемкость'!AKH14+"BYw!'qQ"</f>
        <v>#VALUE!</v>
      </c>
      <c r="EF150" t="e">
        <f>'2.5.Трудоемкость'!AKI14+"BYw!'qR"</f>
        <v>#VALUE!</v>
      </c>
      <c r="EG150" t="e">
        <f>'2.5.Трудоемкость'!AKJ14+"BYw!'qS"</f>
        <v>#VALUE!</v>
      </c>
      <c r="EH150" t="e">
        <f>'2.5.Трудоемкость'!AKK14+"BYw!'qT"</f>
        <v>#VALUE!</v>
      </c>
      <c r="EI150" t="e">
        <f>'2.5.Трудоемкость'!AKL14+"BYw!'qU"</f>
        <v>#VALUE!</v>
      </c>
      <c r="EJ150" t="e">
        <f>'2.5.Трудоемкость'!AKM14+"BYw!'qV"</f>
        <v>#VALUE!</v>
      </c>
      <c r="EK150" t="e">
        <f>'2.5.Трудоемкость'!AKN14+"BYw!'qW"</f>
        <v>#VALUE!</v>
      </c>
      <c r="EL150" t="e">
        <f>'2.5.Трудоемкость'!AKO14+"BYw!'qX"</f>
        <v>#VALUE!</v>
      </c>
      <c r="EM150" t="e">
        <f>'2.5.Трудоемкость'!AKP14+"BYw!'qY"</f>
        <v>#VALUE!</v>
      </c>
      <c r="EN150" t="e">
        <f>'2.5.Трудоемкость'!AKQ14+"BYw!'qZ"</f>
        <v>#VALUE!</v>
      </c>
      <c r="EO150" t="e">
        <f>'2.5.Трудоемкость'!AKR14+"BYw!'q["</f>
        <v>#VALUE!</v>
      </c>
      <c r="EP150" t="e">
        <f>'2.5.Трудоемкость'!AKS14+"BYw!'q\"</f>
        <v>#VALUE!</v>
      </c>
      <c r="EQ150" t="e">
        <f>'2.5.Трудоемкость'!AKT14+"BYw!'q]"</f>
        <v>#VALUE!</v>
      </c>
      <c r="ER150" t="e">
        <f>'2.5.Трудоемкость'!AKU14+"BYw!'q^"</f>
        <v>#VALUE!</v>
      </c>
      <c r="ES150" t="e">
        <f>'2.5.Трудоемкость'!AKV14+"BYw!'q_"</f>
        <v>#VALUE!</v>
      </c>
      <c r="ET150" t="e">
        <f>'2.5.Трудоемкость'!AKW14+"BYw!'q`"</f>
        <v>#VALUE!</v>
      </c>
      <c r="EU150" t="e">
        <f>'2.5.Трудоемкость'!AKX14+"BYw!'qa"</f>
        <v>#VALUE!</v>
      </c>
      <c r="EV150" t="e">
        <f>'2.5.Трудоемкость'!AKY14+"BYw!'qb"</f>
        <v>#VALUE!</v>
      </c>
      <c r="EW150" t="e">
        <f>'2.5.Трудоемкость'!AKZ14+"BYw!'qc"</f>
        <v>#VALUE!</v>
      </c>
      <c r="EX150" t="e">
        <f>'2.5.Трудоемкость'!ALA14+"BYw!'qd"</f>
        <v>#VALUE!</v>
      </c>
      <c r="EY150" t="e">
        <f>'2.5.Трудоемкость'!ALB14+"BYw!'qe"</f>
        <v>#VALUE!</v>
      </c>
      <c r="EZ150" t="e">
        <f>'2.5.Трудоемкость'!ALC14+"BYw!'qf"</f>
        <v>#VALUE!</v>
      </c>
      <c r="FA150" t="e">
        <f>'2.5.Трудоемкость'!ALD14+"BYw!'qg"</f>
        <v>#VALUE!</v>
      </c>
      <c r="FB150" t="e">
        <f>'2.5.Трудоемкость'!ALE14+"BYw!'qh"</f>
        <v>#VALUE!</v>
      </c>
      <c r="FC150" t="e">
        <f>'2.5.Трудоемкость'!ALF14+"BYw!'qi"</f>
        <v>#VALUE!</v>
      </c>
      <c r="FD150" t="e">
        <f>'2.5.Трудоемкость'!ALG14+"BYw!'qj"</f>
        <v>#VALUE!</v>
      </c>
      <c r="FE150" t="e">
        <f>'2.5.Трудоемкость'!ALH14+"BYw!'qk"</f>
        <v>#VALUE!</v>
      </c>
      <c r="FF150" t="e">
        <f>'2.5.Трудоемкость'!ALI14+"BYw!'ql"</f>
        <v>#VALUE!</v>
      </c>
      <c r="FG150" t="e">
        <f>'2.5.Трудоемкость'!ALJ14+"BYw!'qm"</f>
        <v>#VALUE!</v>
      </c>
      <c r="FH150" t="e">
        <f>'2.5.Трудоемкость'!ALK14+"BYw!'qn"</f>
        <v>#VALUE!</v>
      </c>
      <c r="FI150" t="e">
        <f>'2.5.Трудоемкость'!ALL14+"BYw!'qo"</f>
        <v>#VALUE!</v>
      </c>
      <c r="FJ150" t="e">
        <f>'2.5.Трудоемкость'!ALM14+"BYw!'qp"</f>
        <v>#VALUE!</v>
      </c>
      <c r="FK150" t="e">
        <f>'2.5.Трудоемкость'!ALN14+"BYw!'qq"</f>
        <v>#VALUE!</v>
      </c>
      <c r="FL150" t="e">
        <f>'2.5.Трудоемкость'!ALO14+"BYw!'qr"</f>
        <v>#VALUE!</v>
      </c>
      <c r="FM150" t="e">
        <f>'2.5.Трудоемкость'!ALP14+"BYw!'qs"</f>
        <v>#VALUE!</v>
      </c>
      <c r="FN150" t="e">
        <f>'2.5.Трудоемкость'!ALQ14+"BYw!'qt"</f>
        <v>#VALUE!</v>
      </c>
      <c r="FO150" t="e">
        <f>'2.5.Трудоемкость'!ALR14+"BYw!'qu"</f>
        <v>#VALUE!</v>
      </c>
      <c r="FP150" t="e">
        <f>'2.5.Трудоемкость'!ALS14+"BYw!'qv"</f>
        <v>#VALUE!</v>
      </c>
      <c r="FQ150" t="e">
        <f>'2.5.Трудоемкость'!ALT14+"BYw!'qw"</f>
        <v>#VALUE!</v>
      </c>
      <c r="FR150" t="e">
        <f>'2.5.Трудоемкость'!ALU14+"BYw!'qx"</f>
        <v>#VALUE!</v>
      </c>
      <c r="FS150" t="e">
        <f>'2.5.Трудоемкость'!ALV14+"BYw!'qy"</f>
        <v>#VALUE!</v>
      </c>
      <c r="FT150" t="e">
        <f>'2.5.Трудоемкость'!ALW14+"BYw!'qz"</f>
        <v>#VALUE!</v>
      </c>
      <c r="FU150" t="e">
        <f>'2.5.Трудоемкость'!ALX14+"BYw!'q{"</f>
        <v>#VALUE!</v>
      </c>
      <c r="FV150" t="e">
        <f>'2.5.Трудоемкость'!ALY14+"BYw!'q|"</f>
        <v>#VALUE!</v>
      </c>
      <c r="FW150" t="e">
        <f>'2.5.Трудоемкость'!ALZ14+"BYw!'q}"</f>
        <v>#VALUE!</v>
      </c>
      <c r="FX150" t="e">
        <f>'2.5.Трудоемкость'!AMA14+"BYw!'q~"</f>
        <v>#VALUE!</v>
      </c>
      <c r="FY150" t="e">
        <f>'2.5.Трудоемкость'!AMB14+"BYw!'r#"</f>
        <v>#VALUE!</v>
      </c>
      <c r="FZ150" t="e">
        <f>'2.5.Трудоемкость'!AMC14+"BYw!'r$"</f>
        <v>#VALUE!</v>
      </c>
      <c r="GA150" t="e">
        <f>'2.5.Трудоемкость'!AMD14+"BYw!'r%"</f>
        <v>#VALUE!</v>
      </c>
      <c r="GB150" t="e">
        <f>'2.5.Трудоемкость'!AME14+"BYw!'r&amp;"</f>
        <v>#VALUE!</v>
      </c>
      <c r="GC150" t="e">
        <f>'2.5.Трудоемкость'!AMF14+"BYw!'r'"</f>
        <v>#VALUE!</v>
      </c>
      <c r="GD150" t="e">
        <f>'2.5.Трудоемкость'!AMG14+"BYw!'r("</f>
        <v>#VALUE!</v>
      </c>
      <c r="GE150" t="e">
        <f>'2.5.Трудоемкость'!AMH14+"BYw!'r)"</f>
        <v>#VALUE!</v>
      </c>
      <c r="GF150" t="e">
        <f>'2.5.Трудоемкость'!AMI14+"BYw!'r."</f>
        <v>#VALUE!</v>
      </c>
      <c r="GG150" t="e">
        <f>'2.5.Трудоемкость'!AMJ14+"BYw!'r/"</f>
        <v>#VALUE!</v>
      </c>
      <c r="GH150" t="e">
        <f>'2.5.Трудоемкость'!A15+"BYw!'r0"</f>
        <v>#VALUE!</v>
      </c>
      <c r="GI150" t="e">
        <f>'2.5.Трудоемкость'!B15+"BYw!'r1"</f>
        <v>#VALUE!</v>
      </c>
      <c r="GJ150" t="e">
        <f>'2.5.Трудоемкость'!C15+"BYw!'r2"</f>
        <v>#VALUE!</v>
      </c>
      <c r="GK150" t="e">
        <f>'2.5.Трудоемкость'!D15+"BYw!'r3"</f>
        <v>#VALUE!</v>
      </c>
      <c r="GL150" t="e">
        <f>'2.5.Трудоемкость'!E15+"BYw!'r4"</f>
        <v>#VALUE!</v>
      </c>
      <c r="GM150" t="e">
        <f>'2.5.Трудоемкость'!F15+"BYw!'r5"</f>
        <v>#VALUE!</v>
      </c>
      <c r="GN150" t="e">
        <f>'2.5.Трудоемкость'!G15+"BYw!'r6"</f>
        <v>#VALUE!</v>
      </c>
      <c r="GO150" t="e">
        <f>'2.5.Трудоемкость'!H15+"BYw!'r7"</f>
        <v>#VALUE!</v>
      </c>
      <c r="GP150" t="e">
        <f>'2.5.Трудоемкость'!I15+"BYw!'r8"</f>
        <v>#VALUE!</v>
      </c>
      <c r="GQ150" t="e">
        <f>'2.5.Трудоемкость'!J15+"BYw!'r9"</f>
        <v>#VALUE!</v>
      </c>
      <c r="GR150" t="e">
        <f>'2.5.Трудоемкость'!K15+"BYw!'r:"</f>
        <v>#VALUE!</v>
      </c>
      <c r="GS150" t="e">
        <f>'2.5.Трудоемкость'!L15+"BYw!'r;"</f>
        <v>#VALUE!</v>
      </c>
      <c r="GT150" t="e">
        <f>'2.5.Трудоемкость'!M15+"BYw!'r&lt;"</f>
        <v>#VALUE!</v>
      </c>
      <c r="GU150" t="e">
        <f>'2.5.Трудоемкость'!N15+"BYw!'r="</f>
        <v>#VALUE!</v>
      </c>
      <c r="GV150" t="e">
        <f>'2.5.Трудоемкость'!O15+"BYw!'r&gt;"</f>
        <v>#VALUE!</v>
      </c>
      <c r="GW150" t="e">
        <f>'2.5.Трудоемкость'!P15+"BYw!'r?"</f>
        <v>#VALUE!</v>
      </c>
      <c r="GX150" t="e">
        <f>'2.5.Трудоемкость'!Q15+"BYw!'r@"</f>
        <v>#VALUE!</v>
      </c>
      <c r="GY150" t="e">
        <f>'2.5.Трудоемкость'!R15+"BYw!'rA"</f>
        <v>#VALUE!</v>
      </c>
      <c r="GZ150" t="e">
        <f>'2.5.Трудоемкость'!S15+"BYw!'rB"</f>
        <v>#VALUE!</v>
      </c>
      <c r="HA150" t="e">
        <f>'2.5.Трудоемкость'!T15+"BYw!'rC"</f>
        <v>#VALUE!</v>
      </c>
      <c r="HB150" t="e">
        <f>'2.5.Трудоемкость'!U15+"BYw!'rD"</f>
        <v>#VALUE!</v>
      </c>
      <c r="HC150" t="e">
        <f>'2.5.Трудоемкость'!V15+"BYw!'rE"</f>
        <v>#VALUE!</v>
      </c>
      <c r="HD150" t="e">
        <f>'2.5.Трудоемкость'!X15+"BYw!'rF"</f>
        <v>#VALUE!</v>
      </c>
      <c r="HE150" t="e">
        <f>'2.5.Трудоемкость'!Y15+"BYw!'rG"</f>
        <v>#VALUE!</v>
      </c>
      <c r="HF150" t="e">
        <f>'2.5.Трудоемкость'!Z15+"BYw!'rH"</f>
        <v>#VALUE!</v>
      </c>
      <c r="HG150" t="e">
        <f>'2.5.Трудоемкость'!AA15+"BYw!'rI"</f>
        <v>#VALUE!</v>
      </c>
      <c r="HH150" t="e">
        <f>'2.5.Трудоемкость'!AB15+"BYw!'rJ"</f>
        <v>#VALUE!</v>
      </c>
      <c r="HI150" t="e">
        <f>'2.5.Трудоемкость'!AC15+"BYw!'rK"</f>
        <v>#VALUE!</v>
      </c>
      <c r="HJ150" t="e">
        <f>'2.5.Трудоемкость'!AD15+"BYw!'rL"</f>
        <v>#VALUE!</v>
      </c>
      <c r="HK150" t="e">
        <f>'2.5.Трудоемкость'!AE15+"BYw!'rM"</f>
        <v>#VALUE!</v>
      </c>
      <c r="HL150" t="e">
        <f>'2.5.Трудоемкость'!AF15+"BYw!'rN"</f>
        <v>#VALUE!</v>
      </c>
      <c r="HM150" t="e">
        <f>'2.5.Трудоемкость'!AG15+"BYw!'rO"</f>
        <v>#VALUE!</v>
      </c>
      <c r="HN150" t="e">
        <f>'2.5.Трудоемкость'!AH15+"BYw!'rP"</f>
        <v>#VALUE!</v>
      </c>
      <c r="HO150" t="e">
        <f>'2.5.Трудоемкость'!AI15+"BYw!'rQ"</f>
        <v>#VALUE!</v>
      </c>
      <c r="HP150" t="e">
        <f>'2.5.Трудоемкость'!AJ15+"BYw!'rR"</f>
        <v>#VALUE!</v>
      </c>
      <c r="HQ150" t="e">
        <f>'2.5.Трудоемкость'!AK15+"BYw!'rS"</f>
        <v>#VALUE!</v>
      </c>
      <c r="HR150" t="e">
        <f>'2.5.Трудоемкость'!AL15+"BYw!'rT"</f>
        <v>#VALUE!</v>
      </c>
      <c r="HS150" t="e">
        <f>'2.5.Трудоемкость'!AM15+"BYw!'rU"</f>
        <v>#VALUE!</v>
      </c>
      <c r="HT150" t="e">
        <f>'2.5.Трудоемкость'!AN15+"BYw!'rV"</f>
        <v>#VALUE!</v>
      </c>
      <c r="HU150" t="e">
        <f>'2.5.Трудоемкость'!AO15+"BYw!'rW"</f>
        <v>#VALUE!</v>
      </c>
      <c r="HV150" t="e">
        <f>'2.5.Трудоемкость'!AP15+"BYw!'rX"</f>
        <v>#VALUE!</v>
      </c>
      <c r="HW150" t="e">
        <f>'2.5.Трудоемкость'!AQ15+"BYw!'rY"</f>
        <v>#VALUE!</v>
      </c>
      <c r="HX150" t="e">
        <f>'2.5.Трудоемкость'!AR15+"BYw!'rZ"</f>
        <v>#VALUE!</v>
      </c>
      <c r="HY150" t="e">
        <f>'2.5.Трудоемкость'!AS15+"BYw!'r["</f>
        <v>#VALUE!</v>
      </c>
      <c r="HZ150" t="e">
        <f>'2.5.Трудоемкость'!AT15+"BYw!'r\"</f>
        <v>#VALUE!</v>
      </c>
      <c r="IA150" t="e">
        <f>'2.5.Трудоемкость'!AU15+"BYw!'r]"</f>
        <v>#VALUE!</v>
      </c>
      <c r="IB150" t="e">
        <f>'2.5.Трудоемкость'!AV15+"BYw!'r^"</f>
        <v>#VALUE!</v>
      </c>
      <c r="IC150" t="e">
        <f>'2.5.Трудоемкость'!AW15+"BYw!'r_"</f>
        <v>#VALUE!</v>
      </c>
      <c r="ID150" t="e">
        <f>'2.5.Трудоемкость'!AX15+"BYw!'r`"</f>
        <v>#VALUE!</v>
      </c>
      <c r="IE150" t="e">
        <f>'2.5.Трудоемкость'!AY15+"BYw!'ra"</f>
        <v>#VALUE!</v>
      </c>
      <c r="IF150" t="e">
        <f>'2.5.Трудоемкость'!AZ15+"BYw!'rb"</f>
        <v>#VALUE!</v>
      </c>
      <c r="IG150" t="e">
        <f>'2.5.Трудоемкость'!BA15+"BYw!'rc"</f>
        <v>#VALUE!</v>
      </c>
      <c r="IH150" t="e">
        <f>'2.5.Трудоемкость'!BB15+"BYw!'rd"</f>
        <v>#VALUE!</v>
      </c>
      <c r="II150" t="e">
        <f>'2.5.Трудоемкость'!BC15+"BYw!'re"</f>
        <v>#VALUE!</v>
      </c>
      <c r="IJ150" t="e">
        <f>'2.5.Трудоемкость'!BD15+"BYw!'rf"</f>
        <v>#VALUE!</v>
      </c>
      <c r="IK150" t="e">
        <f>'2.5.Трудоемкость'!BE15+"BYw!'rg"</f>
        <v>#VALUE!</v>
      </c>
      <c r="IL150" t="e">
        <f>'2.5.Трудоемкость'!BF15+"BYw!'rh"</f>
        <v>#VALUE!</v>
      </c>
      <c r="IM150" t="e">
        <f>'2.5.Трудоемкость'!BG15+"BYw!'ri"</f>
        <v>#VALUE!</v>
      </c>
      <c r="IN150" t="e">
        <f>'2.5.Трудоемкость'!BH15+"BYw!'rj"</f>
        <v>#VALUE!</v>
      </c>
      <c r="IO150" t="e">
        <f>'2.5.Трудоемкость'!BI15+"BYw!'rk"</f>
        <v>#VALUE!</v>
      </c>
      <c r="IP150" t="e">
        <f>'2.5.Трудоемкость'!BJ15+"BYw!'rl"</f>
        <v>#VALUE!</v>
      </c>
      <c r="IQ150" t="e">
        <f>'2.5.Трудоемкость'!BK15+"BYw!'rm"</f>
        <v>#VALUE!</v>
      </c>
      <c r="IR150" t="e">
        <f>'2.5.Трудоемкость'!BL15+"BYw!'rn"</f>
        <v>#VALUE!</v>
      </c>
      <c r="IS150" t="e">
        <f>'2.5.Трудоемкость'!BM15+"BYw!'ro"</f>
        <v>#VALUE!</v>
      </c>
      <c r="IT150" t="e">
        <f>'2.5.Трудоемкость'!BN15+"BYw!'rp"</f>
        <v>#VALUE!</v>
      </c>
      <c r="IU150" t="e">
        <f>'2.5.Трудоемкость'!BO15+"BYw!'rq"</f>
        <v>#VALUE!</v>
      </c>
      <c r="IV150" t="e">
        <f>'2.5.Трудоемкость'!BP15+"BYw!'rr"</f>
        <v>#VALUE!</v>
      </c>
    </row>
    <row r="151" spans="6:256" x14ac:dyDescent="0.2">
      <c r="F151" t="e">
        <f>'2.5.Трудоемкость'!BQ15+"BYw!'rs"</f>
        <v>#VALUE!</v>
      </c>
      <c r="G151" t="e">
        <f>'2.5.Трудоемкость'!BR15+"BYw!'rt"</f>
        <v>#VALUE!</v>
      </c>
      <c r="H151" t="e">
        <f>'2.5.Трудоемкость'!BS15+"BYw!'ru"</f>
        <v>#VALUE!</v>
      </c>
      <c r="I151" t="e">
        <f>'2.5.Трудоемкость'!BT15+"BYw!'rv"</f>
        <v>#VALUE!</v>
      </c>
      <c r="J151" t="e">
        <f>'2.5.Трудоемкость'!BU15+"BYw!'rw"</f>
        <v>#VALUE!</v>
      </c>
      <c r="K151" t="e">
        <f>'2.5.Трудоемкость'!BV15+"BYw!'rx"</f>
        <v>#VALUE!</v>
      </c>
      <c r="L151" t="e">
        <f>'2.5.Трудоемкость'!BW15+"BYw!'ry"</f>
        <v>#VALUE!</v>
      </c>
      <c r="M151" t="e">
        <f>'2.5.Трудоемкость'!BX15+"BYw!'rz"</f>
        <v>#VALUE!</v>
      </c>
      <c r="N151" t="e">
        <f>'2.5.Трудоемкость'!BY15+"BYw!'r{"</f>
        <v>#VALUE!</v>
      </c>
      <c r="O151" t="e">
        <f>'2.5.Трудоемкость'!BZ15+"BYw!'r|"</f>
        <v>#VALUE!</v>
      </c>
      <c r="P151" t="e">
        <f>'2.5.Трудоемкость'!CA15+"BYw!'r}"</f>
        <v>#VALUE!</v>
      </c>
      <c r="Q151" t="e">
        <f>'2.5.Трудоемкость'!CB15+"BYw!'r~"</f>
        <v>#VALUE!</v>
      </c>
      <c r="R151" t="e">
        <f>'2.5.Трудоемкость'!CC15+"BYw!'s#"</f>
        <v>#VALUE!</v>
      </c>
      <c r="S151" t="e">
        <f>'2.5.Трудоемкость'!CD15+"BYw!'s$"</f>
        <v>#VALUE!</v>
      </c>
      <c r="T151" t="e">
        <f>'2.5.Трудоемкость'!CE15+"BYw!'s%"</f>
        <v>#VALUE!</v>
      </c>
      <c r="U151" t="e">
        <f>'2.5.Трудоемкость'!CF15+"BYw!'s&amp;"</f>
        <v>#VALUE!</v>
      </c>
      <c r="V151" t="e">
        <f>'2.5.Трудоемкость'!CG15+"BYw!'s'"</f>
        <v>#VALUE!</v>
      </c>
      <c r="W151" t="e">
        <f>'2.5.Трудоемкость'!CH15+"BYw!'s("</f>
        <v>#VALUE!</v>
      </c>
      <c r="X151" t="e">
        <f>'2.5.Трудоемкость'!CI15+"BYw!'s)"</f>
        <v>#VALUE!</v>
      </c>
      <c r="Y151" t="e">
        <f>'2.5.Трудоемкость'!CJ15+"BYw!'s."</f>
        <v>#VALUE!</v>
      </c>
      <c r="Z151" t="e">
        <f>'2.5.Трудоемкость'!CK15+"BYw!'s/"</f>
        <v>#VALUE!</v>
      </c>
      <c r="AA151" t="e">
        <f>'2.5.Трудоемкость'!CL15+"BYw!'s0"</f>
        <v>#VALUE!</v>
      </c>
      <c r="AB151" t="e">
        <f>'2.5.Трудоемкость'!CM15+"BYw!'s1"</f>
        <v>#VALUE!</v>
      </c>
      <c r="AC151" t="e">
        <f>'2.5.Трудоемкость'!CN15+"BYw!'s2"</f>
        <v>#VALUE!</v>
      </c>
      <c r="AD151" t="e">
        <f>'2.5.Трудоемкость'!CO15+"BYw!'s3"</f>
        <v>#VALUE!</v>
      </c>
      <c r="AE151" t="e">
        <f>'2.5.Трудоемкость'!CP15+"BYw!'s4"</f>
        <v>#VALUE!</v>
      </c>
      <c r="AF151" t="e">
        <f>'2.5.Трудоемкость'!CQ15+"BYw!'s5"</f>
        <v>#VALUE!</v>
      </c>
      <c r="AG151" t="e">
        <f>'2.5.Трудоемкость'!CR15+"BYw!'s6"</f>
        <v>#VALUE!</v>
      </c>
      <c r="AH151" t="e">
        <f>'2.5.Трудоемкость'!CS15+"BYw!'s7"</f>
        <v>#VALUE!</v>
      </c>
      <c r="AI151" t="e">
        <f>'2.5.Трудоемкость'!CT15+"BYw!'s8"</f>
        <v>#VALUE!</v>
      </c>
      <c r="AJ151" t="e">
        <f>'2.5.Трудоемкость'!CU15+"BYw!'s9"</f>
        <v>#VALUE!</v>
      </c>
      <c r="AK151" t="e">
        <f>'2.5.Трудоемкость'!CV15+"BYw!'s:"</f>
        <v>#VALUE!</v>
      </c>
      <c r="AL151" t="e">
        <f>'2.5.Трудоемкость'!CW15+"BYw!'s;"</f>
        <v>#VALUE!</v>
      </c>
      <c r="AM151" t="e">
        <f>'2.5.Трудоемкость'!CX15+"BYw!'s&lt;"</f>
        <v>#VALUE!</v>
      </c>
      <c r="AN151" t="e">
        <f>'2.5.Трудоемкость'!CY15+"BYw!'s="</f>
        <v>#VALUE!</v>
      </c>
      <c r="AO151" t="e">
        <f>'2.5.Трудоемкость'!CZ15+"BYw!'s&gt;"</f>
        <v>#VALUE!</v>
      </c>
      <c r="AP151" t="e">
        <f>'2.5.Трудоемкость'!DA15+"BYw!'s?"</f>
        <v>#VALUE!</v>
      </c>
      <c r="AQ151" t="e">
        <f>'2.5.Трудоемкость'!DB15+"BYw!'s@"</f>
        <v>#VALUE!</v>
      </c>
      <c r="AR151" t="e">
        <f>'2.5.Трудоемкость'!DC15+"BYw!'sA"</f>
        <v>#VALUE!</v>
      </c>
      <c r="AS151" t="e">
        <f>'2.5.Трудоемкость'!DD15+"BYw!'sB"</f>
        <v>#VALUE!</v>
      </c>
      <c r="AT151" t="e">
        <f>'2.5.Трудоемкость'!DE15+"BYw!'sC"</f>
        <v>#VALUE!</v>
      </c>
      <c r="AU151" t="e">
        <f>'2.5.Трудоемкость'!DF15+"BYw!'sD"</f>
        <v>#VALUE!</v>
      </c>
      <c r="AV151" t="e">
        <f>'2.5.Трудоемкость'!DG15+"BYw!'sE"</f>
        <v>#VALUE!</v>
      </c>
      <c r="AW151" t="e">
        <f>'2.5.Трудоемкость'!DH15+"BYw!'sF"</f>
        <v>#VALUE!</v>
      </c>
      <c r="AX151" t="e">
        <f>'2.5.Трудоемкость'!DI15+"BYw!'sG"</f>
        <v>#VALUE!</v>
      </c>
      <c r="AY151" t="e">
        <f>'2.5.Трудоемкость'!DJ15+"BYw!'sH"</f>
        <v>#VALUE!</v>
      </c>
      <c r="AZ151" t="e">
        <f>'2.5.Трудоемкость'!DK15+"BYw!'sI"</f>
        <v>#VALUE!</v>
      </c>
      <c r="BA151" t="e">
        <f>'2.5.Трудоемкость'!DL15+"BYw!'sJ"</f>
        <v>#VALUE!</v>
      </c>
      <c r="BB151" t="e">
        <f>'2.5.Трудоемкость'!DM15+"BYw!'sK"</f>
        <v>#VALUE!</v>
      </c>
      <c r="BC151" t="e">
        <f>'2.5.Трудоемкость'!DN15+"BYw!'sL"</f>
        <v>#VALUE!</v>
      </c>
      <c r="BD151" t="e">
        <f>'2.5.Трудоемкость'!DO15+"BYw!'sM"</f>
        <v>#VALUE!</v>
      </c>
      <c r="BE151" t="e">
        <f>'2.5.Трудоемкость'!DP15+"BYw!'sN"</f>
        <v>#VALUE!</v>
      </c>
      <c r="BF151" t="e">
        <f>'2.5.Трудоемкость'!DQ15+"BYw!'sO"</f>
        <v>#VALUE!</v>
      </c>
      <c r="BG151" t="e">
        <f>'2.5.Трудоемкость'!DR15+"BYw!'sP"</f>
        <v>#VALUE!</v>
      </c>
      <c r="BH151" t="e">
        <f>'2.5.Трудоемкость'!DS15+"BYw!'sQ"</f>
        <v>#VALUE!</v>
      </c>
      <c r="BI151" t="e">
        <f>'2.5.Трудоемкость'!DT15+"BYw!'sR"</f>
        <v>#VALUE!</v>
      </c>
      <c r="BJ151" t="e">
        <f>'2.5.Трудоемкость'!DU15+"BYw!'sS"</f>
        <v>#VALUE!</v>
      </c>
      <c r="BK151" t="e">
        <f>'2.5.Трудоемкость'!DV15+"BYw!'sT"</f>
        <v>#VALUE!</v>
      </c>
      <c r="BL151" t="e">
        <f>'2.5.Трудоемкость'!DW15+"BYw!'sU"</f>
        <v>#VALUE!</v>
      </c>
      <c r="BM151" t="e">
        <f>'2.5.Трудоемкость'!DX15+"BYw!'sV"</f>
        <v>#VALUE!</v>
      </c>
      <c r="BN151" t="e">
        <f>'2.5.Трудоемкость'!DY15+"BYw!'sW"</f>
        <v>#VALUE!</v>
      </c>
      <c r="BO151" t="e">
        <f>'2.5.Трудоемкость'!DZ15+"BYw!'sX"</f>
        <v>#VALUE!</v>
      </c>
      <c r="BP151" t="e">
        <f>'2.5.Трудоемкость'!EA15+"BYw!'sY"</f>
        <v>#VALUE!</v>
      </c>
      <c r="BQ151" t="e">
        <f>'2.5.Трудоемкость'!EB15+"BYw!'sZ"</f>
        <v>#VALUE!</v>
      </c>
      <c r="BR151" t="e">
        <f>'2.5.Трудоемкость'!EC15+"BYw!'s["</f>
        <v>#VALUE!</v>
      </c>
      <c r="BS151" t="e">
        <f>'2.5.Трудоемкость'!ED15+"BYw!'s\"</f>
        <v>#VALUE!</v>
      </c>
      <c r="BT151" t="e">
        <f>'2.5.Трудоемкость'!EE15+"BYw!'s]"</f>
        <v>#VALUE!</v>
      </c>
      <c r="BU151" t="e">
        <f>'2.5.Трудоемкость'!EF15+"BYw!'s^"</f>
        <v>#VALUE!</v>
      </c>
      <c r="BV151" t="e">
        <f>'2.5.Трудоемкость'!EG15+"BYw!'s_"</f>
        <v>#VALUE!</v>
      </c>
      <c r="BW151" t="e">
        <f>'2.5.Трудоемкость'!EH15+"BYw!'s`"</f>
        <v>#VALUE!</v>
      </c>
      <c r="BX151" t="e">
        <f>'2.5.Трудоемкость'!EI15+"BYw!'sa"</f>
        <v>#VALUE!</v>
      </c>
      <c r="BY151" t="e">
        <f>'2.5.Трудоемкость'!EJ15+"BYw!'sb"</f>
        <v>#VALUE!</v>
      </c>
      <c r="BZ151" t="e">
        <f>'2.5.Трудоемкость'!EK15+"BYw!'sc"</f>
        <v>#VALUE!</v>
      </c>
      <c r="CA151" t="e">
        <f>'2.5.Трудоемкость'!EL15+"BYw!'sd"</f>
        <v>#VALUE!</v>
      </c>
      <c r="CB151" t="e">
        <f>'2.5.Трудоемкость'!EM15+"BYw!'se"</f>
        <v>#VALUE!</v>
      </c>
      <c r="CC151" t="e">
        <f>'2.5.Трудоемкость'!EN15+"BYw!'sf"</f>
        <v>#VALUE!</v>
      </c>
      <c r="CD151" t="e">
        <f>'2.5.Трудоемкость'!EO15+"BYw!'sg"</f>
        <v>#VALUE!</v>
      </c>
      <c r="CE151" t="e">
        <f>'2.5.Трудоемкость'!EP15+"BYw!'sh"</f>
        <v>#VALUE!</v>
      </c>
      <c r="CF151" t="e">
        <f>'2.5.Трудоемкость'!EQ15+"BYw!'si"</f>
        <v>#VALUE!</v>
      </c>
      <c r="CG151" t="e">
        <f>'2.5.Трудоемкость'!ER15+"BYw!'sj"</f>
        <v>#VALUE!</v>
      </c>
      <c r="CH151" t="e">
        <f>'2.5.Трудоемкость'!ES15+"BYw!'sk"</f>
        <v>#VALUE!</v>
      </c>
      <c r="CI151" t="e">
        <f>'2.5.Трудоемкость'!ET15+"BYw!'sl"</f>
        <v>#VALUE!</v>
      </c>
      <c r="CJ151" t="e">
        <f>'2.5.Трудоемкость'!EU15+"BYw!'sm"</f>
        <v>#VALUE!</v>
      </c>
      <c r="CK151" t="e">
        <f>'2.5.Трудоемкость'!EV15+"BYw!'sn"</f>
        <v>#VALUE!</v>
      </c>
      <c r="CL151" t="e">
        <f>'2.5.Трудоемкость'!EW15+"BYw!'so"</f>
        <v>#VALUE!</v>
      </c>
      <c r="CM151" t="e">
        <f>'2.5.Трудоемкость'!EX15+"BYw!'sp"</f>
        <v>#VALUE!</v>
      </c>
      <c r="CN151" t="e">
        <f>'2.5.Трудоемкость'!EY15+"BYw!'sq"</f>
        <v>#VALUE!</v>
      </c>
      <c r="CO151" t="e">
        <f>'2.5.Трудоемкость'!EZ15+"BYw!'sr"</f>
        <v>#VALUE!</v>
      </c>
      <c r="CP151" t="e">
        <f>'2.5.Трудоемкость'!FA15+"BYw!'ss"</f>
        <v>#VALUE!</v>
      </c>
      <c r="CQ151" t="e">
        <f>'2.5.Трудоемкость'!FB15+"BYw!'st"</f>
        <v>#VALUE!</v>
      </c>
      <c r="CR151" t="e">
        <f>'2.5.Трудоемкость'!FC15+"BYw!'su"</f>
        <v>#VALUE!</v>
      </c>
      <c r="CS151" t="e">
        <f>'2.5.Трудоемкость'!FD15+"BYw!'sv"</f>
        <v>#VALUE!</v>
      </c>
      <c r="CT151" t="e">
        <f>'2.5.Трудоемкость'!FE15+"BYw!'sw"</f>
        <v>#VALUE!</v>
      </c>
      <c r="CU151" t="e">
        <f>'2.5.Трудоемкость'!FF15+"BYw!'sx"</f>
        <v>#VALUE!</v>
      </c>
      <c r="CV151" t="e">
        <f>'2.5.Трудоемкость'!FG15+"BYw!'sy"</f>
        <v>#VALUE!</v>
      </c>
      <c r="CW151" t="e">
        <f>'2.5.Трудоемкость'!FH15+"BYw!'sz"</f>
        <v>#VALUE!</v>
      </c>
      <c r="CX151" t="e">
        <f>'2.5.Трудоемкость'!FI15+"BYw!'s{"</f>
        <v>#VALUE!</v>
      </c>
      <c r="CY151" t="e">
        <f>'2.5.Трудоемкость'!FJ15+"BYw!'s|"</f>
        <v>#VALUE!</v>
      </c>
      <c r="CZ151" t="e">
        <f>'2.5.Трудоемкость'!FK15+"BYw!'s}"</f>
        <v>#VALUE!</v>
      </c>
      <c r="DA151" t="e">
        <f>'2.5.Трудоемкость'!FL15+"BYw!'s~"</f>
        <v>#VALUE!</v>
      </c>
      <c r="DB151" t="e">
        <f>'2.5.Трудоемкость'!FM15+"BYw!'t#"</f>
        <v>#VALUE!</v>
      </c>
      <c r="DC151" t="e">
        <f>'2.5.Трудоемкость'!FN15+"BYw!'t$"</f>
        <v>#VALUE!</v>
      </c>
      <c r="DD151" t="e">
        <f>'2.5.Трудоемкость'!FO15+"BYw!'t%"</f>
        <v>#VALUE!</v>
      </c>
      <c r="DE151" t="e">
        <f>'2.5.Трудоемкость'!FP15+"BYw!'t&amp;"</f>
        <v>#VALUE!</v>
      </c>
      <c r="DF151" t="e">
        <f>'2.5.Трудоемкость'!FQ15+"BYw!'t'"</f>
        <v>#VALUE!</v>
      </c>
      <c r="DG151" t="e">
        <f>'2.5.Трудоемкость'!FR15+"BYw!'t("</f>
        <v>#VALUE!</v>
      </c>
      <c r="DH151" t="e">
        <f>'2.5.Трудоемкость'!FS15+"BYw!'t)"</f>
        <v>#VALUE!</v>
      </c>
      <c r="DI151" t="e">
        <f>'2.5.Трудоемкость'!FT15+"BYw!'t."</f>
        <v>#VALUE!</v>
      </c>
      <c r="DJ151" t="e">
        <f>'2.5.Трудоемкость'!FU15+"BYw!'t/"</f>
        <v>#VALUE!</v>
      </c>
      <c r="DK151" t="e">
        <f>'2.5.Трудоемкость'!FV15+"BYw!'t0"</f>
        <v>#VALUE!</v>
      </c>
      <c r="DL151" t="e">
        <f>'2.5.Трудоемкость'!FW15+"BYw!'t1"</f>
        <v>#VALUE!</v>
      </c>
      <c r="DM151" t="e">
        <f>'2.5.Трудоемкость'!FX15+"BYw!'t2"</f>
        <v>#VALUE!</v>
      </c>
      <c r="DN151" t="e">
        <f>'2.5.Трудоемкость'!FY15+"BYw!'t3"</f>
        <v>#VALUE!</v>
      </c>
      <c r="DO151" t="e">
        <f>'2.5.Трудоемкость'!FZ15+"BYw!'t4"</f>
        <v>#VALUE!</v>
      </c>
      <c r="DP151" t="e">
        <f>'2.5.Трудоемкость'!GA15+"BYw!'t5"</f>
        <v>#VALUE!</v>
      </c>
      <c r="DQ151" t="e">
        <f>'2.5.Трудоемкость'!GB15+"BYw!'t6"</f>
        <v>#VALUE!</v>
      </c>
      <c r="DR151" t="e">
        <f>'2.5.Трудоемкость'!GC15+"BYw!'t7"</f>
        <v>#VALUE!</v>
      </c>
      <c r="DS151" t="e">
        <f>'2.5.Трудоемкость'!GD15+"BYw!'t8"</f>
        <v>#VALUE!</v>
      </c>
      <c r="DT151" t="e">
        <f>'2.5.Трудоемкость'!GE15+"BYw!'t9"</f>
        <v>#VALUE!</v>
      </c>
      <c r="DU151" t="e">
        <f>'2.5.Трудоемкость'!GF15+"BYw!'t:"</f>
        <v>#VALUE!</v>
      </c>
      <c r="DV151" t="e">
        <f>'2.5.Трудоемкость'!GG15+"BYw!'t;"</f>
        <v>#VALUE!</v>
      </c>
      <c r="DW151" t="e">
        <f>'2.5.Трудоемкость'!GH15+"BYw!'t&lt;"</f>
        <v>#VALUE!</v>
      </c>
      <c r="DX151" t="e">
        <f>'2.5.Трудоемкость'!GI15+"BYw!'t="</f>
        <v>#VALUE!</v>
      </c>
      <c r="DY151" t="e">
        <f>'2.5.Трудоемкость'!GJ15+"BYw!'t&gt;"</f>
        <v>#VALUE!</v>
      </c>
      <c r="DZ151" t="e">
        <f>'2.5.Трудоемкость'!GK15+"BYw!'t?"</f>
        <v>#VALUE!</v>
      </c>
      <c r="EA151" t="e">
        <f>'2.5.Трудоемкость'!GL15+"BYw!'t@"</f>
        <v>#VALUE!</v>
      </c>
      <c r="EB151" t="e">
        <f>'2.5.Трудоемкость'!GM15+"BYw!'tA"</f>
        <v>#VALUE!</v>
      </c>
      <c r="EC151" t="e">
        <f>'2.5.Трудоемкость'!GN15+"BYw!'tB"</f>
        <v>#VALUE!</v>
      </c>
      <c r="ED151" t="e">
        <f>'2.5.Трудоемкость'!GO15+"BYw!'tC"</f>
        <v>#VALUE!</v>
      </c>
      <c r="EE151" t="e">
        <f>'2.5.Трудоемкость'!GP15+"BYw!'tD"</f>
        <v>#VALUE!</v>
      </c>
      <c r="EF151" t="e">
        <f>'2.5.Трудоемкость'!GQ15+"BYw!'tE"</f>
        <v>#VALUE!</v>
      </c>
      <c r="EG151" t="e">
        <f>'2.5.Трудоемкость'!GR15+"BYw!'tF"</f>
        <v>#VALUE!</v>
      </c>
      <c r="EH151" t="e">
        <f>'2.5.Трудоемкость'!GS15+"BYw!'tG"</f>
        <v>#VALUE!</v>
      </c>
      <c r="EI151" t="e">
        <f>'2.5.Трудоемкость'!GT15+"BYw!'tH"</f>
        <v>#VALUE!</v>
      </c>
      <c r="EJ151" t="e">
        <f>'2.5.Трудоемкость'!GU15+"BYw!'tI"</f>
        <v>#VALUE!</v>
      </c>
      <c r="EK151" t="e">
        <f>'2.5.Трудоемкость'!GV15+"BYw!'tJ"</f>
        <v>#VALUE!</v>
      </c>
      <c r="EL151" t="e">
        <f>'2.5.Трудоемкость'!GW15+"BYw!'tK"</f>
        <v>#VALUE!</v>
      </c>
      <c r="EM151" t="e">
        <f>'2.5.Трудоемкость'!GX15+"BYw!'tL"</f>
        <v>#VALUE!</v>
      </c>
      <c r="EN151" t="e">
        <f>'2.5.Трудоемкость'!GY15+"BYw!'tM"</f>
        <v>#VALUE!</v>
      </c>
      <c r="EO151" t="e">
        <f>'2.5.Трудоемкость'!GZ15+"BYw!'tN"</f>
        <v>#VALUE!</v>
      </c>
      <c r="EP151" t="e">
        <f>'2.5.Трудоемкость'!HA15+"BYw!'tO"</f>
        <v>#VALUE!</v>
      </c>
      <c r="EQ151" t="e">
        <f>'2.5.Трудоемкость'!HB15+"BYw!'tP"</f>
        <v>#VALUE!</v>
      </c>
      <c r="ER151" t="e">
        <f>'2.5.Трудоемкость'!HC15+"BYw!'tQ"</f>
        <v>#VALUE!</v>
      </c>
      <c r="ES151" t="e">
        <f>'2.5.Трудоемкость'!HD15+"BYw!'tR"</f>
        <v>#VALUE!</v>
      </c>
      <c r="ET151" t="e">
        <f>'2.5.Трудоемкость'!HE15+"BYw!'tS"</f>
        <v>#VALUE!</v>
      </c>
      <c r="EU151" t="e">
        <f>'2.5.Трудоемкость'!HF15+"BYw!'tT"</f>
        <v>#VALUE!</v>
      </c>
      <c r="EV151" t="e">
        <f>'2.5.Трудоемкость'!HG15+"BYw!'tU"</f>
        <v>#VALUE!</v>
      </c>
      <c r="EW151" t="e">
        <f>'2.5.Трудоемкость'!HH15+"BYw!'tV"</f>
        <v>#VALUE!</v>
      </c>
      <c r="EX151" t="e">
        <f>'2.5.Трудоемкость'!HI15+"BYw!'tW"</f>
        <v>#VALUE!</v>
      </c>
      <c r="EY151" t="e">
        <f>'2.5.Трудоемкость'!HJ15+"BYw!'tX"</f>
        <v>#VALUE!</v>
      </c>
      <c r="EZ151" t="e">
        <f>'2.5.Трудоемкость'!HK15+"BYw!'tY"</f>
        <v>#VALUE!</v>
      </c>
      <c r="FA151" t="e">
        <f>'2.5.Трудоемкость'!HL15+"BYw!'tZ"</f>
        <v>#VALUE!</v>
      </c>
      <c r="FB151" t="e">
        <f>'2.5.Трудоемкость'!HM15+"BYw!'t["</f>
        <v>#VALUE!</v>
      </c>
      <c r="FC151" t="e">
        <f>'2.5.Трудоемкость'!HN15+"BYw!'t\"</f>
        <v>#VALUE!</v>
      </c>
      <c r="FD151" t="e">
        <f>'2.5.Трудоемкость'!HO15+"BYw!'t]"</f>
        <v>#VALUE!</v>
      </c>
      <c r="FE151" t="e">
        <f>'2.5.Трудоемкость'!HP15+"BYw!'t^"</f>
        <v>#VALUE!</v>
      </c>
      <c r="FF151" t="e">
        <f>'2.5.Трудоемкость'!HQ15+"BYw!'t_"</f>
        <v>#VALUE!</v>
      </c>
      <c r="FG151" t="e">
        <f>'2.5.Трудоемкость'!HR15+"BYw!'t`"</f>
        <v>#VALUE!</v>
      </c>
      <c r="FH151" t="e">
        <f>'2.5.Трудоемкость'!HS15+"BYw!'ta"</f>
        <v>#VALUE!</v>
      </c>
      <c r="FI151" t="e">
        <f>'2.5.Трудоемкость'!HT15+"BYw!'tb"</f>
        <v>#VALUE!</v>
      </c>
      <c r="FJ151" t="e">
        <f>'2.5.Трудоемкость'!HU15+"BYw!'tc"</f>
        <v>#VALUE!</v>
      </c>
      <c r="FK151" t="e">
        <f>'2.5.Трудоемкость'!HV15+"BYw!'td"</f>
        <v>#VALUE!</v>
      </c>
      <c r="FL151" t="e">
        <f>'2.5.Трудоемкость'!HW15+"BYw!'te"</f>
        <v>#VALUE!</v>
      </c>
      <c r="FM151" t="e">
        <f>'2.5.Трудоемкость'!HX15+"BYw!'tf"</f>
        <v>#VALUE!</v>
      </c>
      <c r="FN151" t="e">
        <f>'2.5.Трудоемкость'!HY15+"BYw!'tg"</f>
        <v>#VALUE!</v>
      </c>
      <c r="FO151" t="e">
        <f>'2.5.Трудоемкость'!HZ15+"BYw!'th"</f>
        <v>#VALUE!</v>
      </c>
      <c r="FP151" t="e">
        <f>'2.5.Трудоемкость'!IA15+"BYw!'ti"</f>
        <v>#VALUE!</v>
      </c>
      <c r="FQ151" t="e">
        <f>'2.5.Трудоемкость'!IB15+"BYw!'tj"</f>
        <v>#VALUE!</v>
      </c>
      <c r="FR151" t="e">
        <f>'2.5.Трудоемкость'!IC15+"BYw!'tk"</f>
        <v>#VALUE!</v>
      </c>
      <c r="FS151" t="e">
        <f>'2.5.Трудоемкость'!ID15+"BYw!'tl"</f>
        <v>#VALUE!</v>
      </c>
      <c r="FT151" t="e">
        <f>'2.5.Трудоемкость'!IE15+"BYw!'tm"</f>
        <v>#VALUE!</v>
      </c>
      <c r="FU151" t="e">
        <f>'2.5.Трудоемкость'!IF15+"BYw!'tn"</f>
        <v>#VALUE!</v>
      </c>
      <c r="FV151" t="e">
        <f>'2.5.Трудоемкость'!IG15+"BYw!'to"</f>
        <v>#VALUE!</v>
      </c>
      <c r="FW151" t="e">
        <f>'2.5.Трудоемкость'!IH15+"BYw!'tp"</f>
        <v>#VALUE!</v>
      </c>
      <c r="FX151" t="e">
        <f>'2.5.Трудоемкость'!II15+"BYw!'tq"</f>
        <v>#VALUE!</v>
      </c>
      <c r="FY151" t="e">
        <f>'2.5.Трудоемкость'!IJ15+"BYw!'tr"</f>
        <v>#VALUE!</v>
      </c>
      <c r="FZ151" t="e">
        <f>'2.5.Трудоемкость'!IK15+"BYw!'ts"</f>
        <v>#VALUE!</v>
      </c>
      <c r="GA151" t="e">
        <f>'2.5.Трудоемкость'!IL15+"BYw!'tt"</f>
        <v>#VALUE!</v>
      </c>
      <c r="GB151" t="e">
        <f>'2.5.Трудоемкость'!IM15+"BYw!'tu"</f>
        <v>#VALUE!</v>
      </c>
      <c r="GC151" t="e">
        <f>'2.5.Трудоемкость'!IN15+"BYw!'tv"</f>
        <v>#VALUE!</v>
      </c>
      <c r="GD151" t="e">
        <f>'2.5.Трудоемкость'!IO15+"BYw!'tw"</f>
        <v>#VALUE!</v>
      </c>
      <c r="GE151" t="e">
        <f>'2.5.Трудоемкость'!IP15+"BYw!'tx"</f>
        <v>#VALUE!</v>
      </c>
      <c r="GF151" t="e">
        <f>'2.5.Трудоемкость'!IQ15+"BYw!'ty"</f>
        <v>#VALUE!</v>
      </c>
      <c r="GG151" t="e">
        <f>'2.5.Трудоемкость'!IR15+"BYw!'tz"</f>
        <v>#VALUE!</v>
      </c>
      <c r="GH151" t="e">
        <f>'2.5.Трудоемкость'!IS15+"BYw!'t{"</f>
        <v>#VALUE!</v>
      </c>
      <c r="GI151" t="e">
        <f>'2.5.Трудоемкость'!IT15+"BYw!'t|"</f>
        <v>#VALUE!</v>
      </c>
      <c r="GJ151" t="e">
        <f>'2.5.Трудоемкость'!IU15+"BYw!'t}"</f>
        <v>#VALUE!</v>
      </c>
      <c r="GK151" t="e">
        <f>'2.5.Трудоемкость'!IV15+"BYw!'t~"</f>
        <v>#VALUE!</v>
      </c>
      <c r="GL151" t="e">
        <f>'2.5.Трудоемкость'!IW15+"BYw!'u#"</f>
        <v>#VALUE!</v>
      </c>
      <c r="GM151" t="e">
        <f>'2.5.Трудоемкость'!IX15+"BYw!'u$"</f>
        <v>#VALUE!</v>
      </c>
      <c r="GN151" t="e">
        <f>'2.5.Трудоемкость'!IY15+"BYw!'u%"</f>
        <v>#VALUE!</v>
      </c>
      <c r="GO151" t="e">
        <f>'2.5.Трудоемкость'!IZ15+"BYw!'u&amp;"</f>
        <v>#VALUE!</v>
      </c>
      <c r="GP151" t="e">
        <f>'2.5.Трудоемкость'!JA15+"BYw!'u'"</f>
        <v>#VALUE!</v>
      </c>
      <c r="GQ151" t="e">
        <f>'2.5.Трудоемкость'!JB15+"BYw!'u("</f>
        <v>#VALUE!</v>
      </c>
      <c r="GR151" t="e">
        <f>'2.5.Трудоемкость'!JC15+"BYw!'u)"</f>
        <v>#VALUE!</v>
      </c>
      <c r="GS151" t="e">
        <f>'2.5.Трудоемкость'!JD15+"BYw!'u."</f>
        <v>#VALUE!</v>
      </c>
      <c r="GT151" t="e">
        <f>'2.5.Трудоемкость'!JE15+"BYw!'u/"</f>
        <v>#VALUE!</v>
      </c>
      <c r="GU151" t="e">
        <f>'2.5.Трудоемкость'!JF15+"BYw!'u0"</f>
        <v>#VALUE!</v>
      </c>
      <c r="GV151" t="e">
        <f>'2.5.Трудоемкость'!JG15+"BYw!'u1"</f>
        <v>#VALUE!</v>
      </c>
      <c r="GW151" t="e">
        <f>'2.5.Трудоемкость'!JH15+"BYw!'u2"</f>
        <v>#VALUE!</v>
      </c>
      <c r="GX151" t="e">
        <f>'2.5.Трудоемкость'!JI15+"BYw!'u3"</f>
        <v>#VALUE!</v>
      </c>
      <c r="GY151" t="e">
        <f>'2.5.Трудоемкость'!JJ15+"BYw!'u4"</f>
        <v>#VALUE!</v>
      </c>
      <c r="GZ151" t="e">
        <f>'2.5.Трудоемкость'!JK15+"BYw!'u5"</f>
        <v>#VALUE!</v>
      </c>
      <c r="HA151" t="e">
        <f>'2.5.Трудоемкость'!JL15+"BYw!'u6"</f>
        <v>#VALUE!</v>
      </c>
      <c r="HB151" t="e">
        <f>'2.5.Трудоемкость'!JM15+"BYw!'u7"</f>
        <v>#VALUE!</v>
      </c>
      <c r="HC151" t="e">
        <f>'2.5.Трудоемкость'!JN15+"BYw!'u8"</f>
        <v>#VALUE!</v>
      </c>
      <c r="HD151" t="e">
        <f>'2.5.Трудоемкость'!JO15+"BYw!'u9"</f>
        <v>#VALUE!</v>
      </c>
      <c r="HE151" t="e">
        <f>'2.5.Трудоемкость'!JP15+"BYw!'u:"</f>
        <v>#VALUE!</v>
      </c>
      <c r="HF151" t="e">
        <f>'2.5.Трудоемкость'!JQ15+"BYw!'u;"</f>
        <v>#VALUE!</v>
      </c>
      <c r="HG151" t="e">
        <f>'2.5.Трудоемкость'!JR15+"BYw!'u&lt;"</f>
        <v>#VALUE!</v>
      </c>
      <c r="HH151" t="e">
        <f>'2.5.Трудоемкость'!JS15+"BYw!'u="</f>
        <v>#VALUE!</v>
      </c>
      <c r="HI151" t="e">
        <f>'2.5.Трудоемкость'!JT15+"BYw!'u&gt;"</f>
        <v>#VALUE!</v>
      </c>
      <c r="HJ151" t="e">
        <f>'2.5.Трудоемкость'!JU15+"BYw!'u?"</f>
        <v>#VALUE!</v>
      </c>
      <c r="HK151" t="e">
        <f>'2.5.Трудоемкость'!JV15+"BYw!'u@"</f>
        <v>#VALUE!</v>
      </c>
      <c r="HL151" t="e">
        <f>'2.5.Трудоемкость'!JW15+"BYw!'uA"</f>
        <v>#VALUE!</v>
      </c>
      <c r="HM151" t="e">
        <f>'2.5.Трудоемкость'!JX15+"BYw!'uB"</f>
        <v>#VALUE!</v>
      </c>
      <c r="HN151" t="e">
        <f>'2.5.Трудоемкость'!JY15+"BYw!'uC"</f>
        <v>#VALUE!</v>
      </c>
      <c r="HO151" t="e">
        <f>'2.5.Трудоемкость'!JZ15+"BYw!'uD"</f>
        <v>#VALUE!</v>
      </c>
      <c r="HP151" t="e">
        <f>'2.5.Трудоемкость'!KA15+"BYw!'uE"</f>
        <v>#VALUE!</v>
      </c>
      <c r="HQ151" t="e">
        <f>'2.5.Трудоемкость'!KB15+"BYw!'uF"</f>
        <v>#VALUE!</v>
      </c>
      <c r="HR151" t="e">
        <f>'2.5.Трудоемкость'!KC15+"BYw!'uG"</f>
        <v>#VALUE!</v>
      </c>
      <c r="HS151" t="e">
        <f>'2.5.Трудоемкость'!KD15+"BYw!'uH"</f>
        <v>#VALUE!</v>
      </c>
      <c r="HT151" t="e">
        <f>'2.5.Трудоемкость'!KE15+"BYw!'uI"</f>
        <v>#VALUE!</v>
      </c>
      <c r="HU151" t="e">
        <f>'2.5.Трудоемкость'!KF15+"BYw!'uJ"</f>
        <v>#VALUE!</v>
      </c>
      <c r="HV151" t="e">
        <f>'2.5.Трудоемкость'!KG15+"BYw!'uK"</f>
        <v>#VALUE!</v>
      </c>
      <c r="HW151" t="e">
        <f>'2.5.Трудоемкость'!KH15+"BYw!'uL"</f>
        <v>#VALUE!</v>
      </c>
      <c r="HX151" t="e">
        <f>'2.5.Трудоемкость'!KI15+"BYw!'uM"</f>
        <v>#VALUE!</v>
      </c>
      <c r="HY151" t="e">
        <f>'2.5.Трудоемкость'!KJ15+"BYw!'uN"</f>
        <v>#VALUE!</v>
      </c>
      <c r="HZ151" t="e">
        <f>'2.5.Трудоемкость'!KK15+"BYw!'uO"</f>
        <v>#VALUE!</v>
      </c>
      <c r="IA151" t="e">
        <f>'2.5.Трудоемкость'!KL15+"BYw!'uP"</f>
        <v>#VALUE!</v>
      </c>
      <c r="IB151" t="e">
        <f>'2.5.Трудоемкость'!KM15+"BYw!'uQ"</f>
        <v>#VALUE!</v>
      </c>
      <c r="IC151" t="e">
        <f>'2.5.Трудоемкость'!KN15+"BYw!'uR"</f>
        <v>#VALUE!</v>
      </c>
      <c r="ID151" t="e">
        <f>'2.5.Трудоемкость'!KO15+"BYw!'uS"</f>
        <v>#VALUE!</v>
      </c>
      <c r="IE151" t="e">
        <f>'2.5.Трудоемкость'!KP15+"BYw!'uT"</f>
        <v>#VALUE!</v>
      </c>
      <c r="IF151" t="e">
        <f>'2.5.Трудоемкость'!KQ15+"BYw!'uU"</f>
        <v>#VALUE!</v>
      </c>
      <c r="IG151" t="e">
        <f>'2.5.Трудоемкость'!KR15+"BYw!'uV"</f>
        <v>#VALUE!</v>
      </c>
      <c r="IH151" t="e">
        <f>'2.5.Трудоемкость'!KS15+"BYw!'uW"</f>
        <v>#VALUE!</v>
      </c>
      <c r="II151" t="e">
        <f>'2.5.Трудоемкость'!KT15+"BYw!'uX"</f>
        <v>#VALUE!</v>
      </c>
      <c r="IJ151" t="e">
        <f>'2.5.Трудоемкость'!KU15+"BYw!'uY"</f>
        <v>#VALUE!</v>
      </c>
      <c r="IK151" t="e">
        <f>'2.5.Трудоемкость'!KV15+"BYw!'uZ"</f>
        <v>#VALUE!</v>
      </c>
      <c r="IL151" t="e">
        <f>'2.5.Трудоемкость'!KW15+"BYw!'u["</f>
        <v>#VALUE!</v>
      </c>
      <c r="IM151" t="e">
        <f>'2.5.Трудоемкость'!KX15+"BYw!'u\"</f>
        <v>#VALUE!</v>
      </c>
      <c r="IN151" t="e">
        <f>'2.5.Трудоемкость'!KY15+"BYw!'u]"</f>
        <v>#VALUE!</v>
      </c>
      <c r="IO151" t="e">
        <f>'2.5.Трудоемкость'!KZ15+"BYw!'u^"</f>
        <v>#VALUE!</v>
      </c>
      <c r="IP151" t="e">
        <f>'2.5.Трудоемкость'!LA15+"BYw!'u_"</f>
        <v>#VALUE!</v>
      </c>
      <c r="IQ151" t="e">
        <f>'2.5.Трудоемкость'!LB15+"BYw!'u`"</f>
        <v>#VALUE!</v>
      </c>
      <c r="IR151" t="e">
        <f>'2.5.Трудоемкость'!LC15+"BYw!'ua"</f>
        <v>#VALUE!</v>
      </c>
      <c r="IS151" t="e">
        <f>'2.5.Трудоемкость'!LD15+"BYw!'ub"</f>
        <v>#VALUE!</v>
      </c>
      <c r="IT151" t="e">
        <f>'2.5.Трудоемкость'!LE15+"BYw!'uc"</f>
        <v>#VALUE!</v>
      </c>
      <c r="IU151" t="e">
        <f>'2.5.Трудоемкость'!LF15+"BYw!'ud"</f>
        <v>#VALUE!</v>
      </c>
      <c r="IV151" t="e">
        <f>'2.5.Трудоемкость'!LG15+"BYw!'ue"</f>
        <v>#VALUE!</v>
      </c>
    </row>
    <row r="152" spans="6:256" x14ac:dyDescent="0.2">
      <c r="F152" t="e">
        <f>'2.5.Трудоемкость'!LH15+"BYw!'uf"</f>
        <v>#VALUE!</v>
      </c>
      <c r="G152" t="e">
        <f>'2.5.Трудоемкость'!LI15+"BYw!'ug"</f>
        <v>#VALUE!</v>
      </c>
      <c r="H152" t="e">
        <f>'2.5.Трудоемкость'!LJ15+"BYw!'uh"</f>
        <v>#VALUE!</v>
      </c>
      <c r="I152" t="e">
        <f>'2.5.Трудоемкость'!LK15+"BYw!'ui"</f>
        <v>#VALUE!</v>
      </c>
      <c r="J152" t="e">
        <f>'2.5.Трудоемкость'!LL15+"BYw!'uj"</f>
        <v>#VALUE!</v>
      </c>
      <c r="K152" t="e">
        <f>'2.5.Трудоемкость'!LM15+"BYw!'uk"</f>
        <v>#VALUE!</v>
      </c>
      <c r="L152" t="e">
        <f>'2.5.Трудоемкость'!LN15+"BYw!'ul"</f>
        <v>#VALUE!</v>
      </c>
      <c r="M152" t="e">
        <f>'2.5.Трудоемкость'!LO15+"BYw!'um"</f>
        <v>#VALUE!</v>
      </c>
      <c r="N152" t="e">
        <f>'2.5.Трудоемкость'!LP15+"BYw!'un"</f>
        <v>#VALUE!</v>
      </c>
      <c r="O152" t="e">
        <f>'2.5.Трудоемкость'!LQ15+"BYw!'uo"</f>
        <v>#VALUE!</v>
      </c>
      <c r="P152" t="e">
        <f>'2.5.Трудоемкость'!LR15+"BYw!'up"</f>
        <v>#VALUE!</v>
      </c>
      <c r="Q152" t="e">
        <f>'2.5.Трудоемкость'!LS15+"BYw!'uq"</f>
        <v>#VALUE!</v>
      </c>
      <c r="R152" t="e">
        <f>'2.5.Трудоемкость'!LT15+"BYw!'ur"</f>
        <v>#VALUE!</v>
      </c>
      <c r="S152" t="e">
        <f>'2.5.Трудоемкость'!LU15+"BYw!'us"</f>
        <v>#VALUE!</v>
      </c>
      <c r="T152" t="e">
        <f>'2.5.Трудоемкость'!LV15+"BYw!'ut"</f>
        <v>#VALUE!</v>
      </c>
      <c r="U152" t="e">
        <f>'2.5.Трудоемкость'!LW15+"BYw!'uu"</f>
        <v>#VALUE!</v>
      </c>
      <c r="V152" t="e">
        <f>'2.5.Трудоемкость'!LX15+"BYw!'uv"</f>
        <v>#VALUE!</v>
      </c>
      <c r="W152" t="e">
        <f>'2.5.Трудоемкость'!LY15+"BYw!'uw"</f>
        <v>#VALUE!</v>
      </c>
      <c r="X152" t="e">
        <f>'2.5.Трудоемкость'!LZ15+"BYw!'ux"</f>
        <v>#VALUE!</v>
      </c>
      <c r="Y152" t="e">
        <f>'2.5.Трудоемкость'!MA15+"BYw!'uy"</f>
        <v>#VALUE!</v>
      </c>
      <c r="Z152" t="e">
        <f>'2.5.Трудоемкость'!MB15+"BYw!'uz"</f>
        <v>#VALUE!</v>
      </c>
      <c r="AA152" t="e">
        <f>'2.5.Трудоемкость'!MC15+"BYw!'u{"</f>
        <v>#VALUE!</v>
      </c>
      <c r="AB152" t="e">
        <f>'2.5.Трудоемкость'!MD15+"BYw!'u|"</f>
        <v>#VALUE!</v>
      </c>
      <c r="AC152" t="e">
        <f>'2.5.Трудоемкость'!ME15+"BYw!'u}"</f>
        <v>#VALUE!</v>
      </c>
      <c r="AD152" t="e">
        <f>'2.5.Трудоемкость'!MF15+"BYw!'u~"</f>
        <v>#VALUE!</v>
      </c>
      <c r="AE152" t="e">
        <f>'2.5.Трудоемкость'!MG15+"BYw!'v#"</f>
        <v>#VALUE!</v>
      </c>
      <c r="AF152" t="e">
        <f>'2.5.Трудоемкость'!MH15+"BYw!'v$"</f>
        <v>#VALUE!</v>
      </c>
      <c r="AG152" t="e">
        <f>'2.5.Трудоемкость'!MI15+"BYw!'v%"</f>
        <v>#VALUE!</v>
      </c>
      <c r="AH152" t="e">
        <f>'2.5.Трудоемкость'!MJ15+"BYw!'v&amp;"</f>
        <v>#VALUE!</v>
      </c>
      <c r="AI152" t="e">
        <f>'2.5.Трудоемкость'!MK15+"BYw!'v'"</f>
        <v>#VALUE!</v>
      </c>
      <c r="AJ152" t="e">
        <f>'2.5.Трудоемкость'!ML15+"BYw!'v("</f>
        <v>#VALUE!</v>
      </c>
      <c r="AK152" t="e">
        <f>'2.5.Трудоемкость'!MM15+"BYw!'v)"</f>
        <v>#VALUE!</v>
      </c>
      <c r="AL152" t="e">
        <f>'2.5.Трудоемкость'!MN15+"BYw!'v."</f>
        <v>#VALUE!</v>
      </c>
      <c r="AM152" t="e">
        <f>'2.5.Трудоемкость'!MO15+"BYw!'v/"</f>
        <v>#VALUE!</v>
      </c>
      <c r="AN152" t="e">
        <f>'2.5.Трудоемкость'!MP15+"BYw!'v0"</f>
        <v>#VALUE!</v>
      </c>
      <c r="AO152" t="e">
        <f>'2.5.Трудоемкость'!MQ15+"BYw!'v1"</f>
        <v>#VALUE!</v>
      </c>
      <c r="AP152" t="e">
        <f>'2.5.Трудоемкость'!MR15+"BYw!'v2"</f>
        <v>#VALUE!</v>
      </c>
      <c r="AQ152" t="e">
        <f>'2.5.Трудоемкость'!MS15+"BYw!'v3"</f>
        <v>#VALUE!</v>
      </c>
      <c r="AR152" t="e">
        <f>'2.5.Трудоемкость'!MT15+"BYw!'v4"</f>
        <v>#VALUE!</v>
      </c>
      <c r="AS152" t="e">
        <f>'2.5.Трудоемкость'!MU15+"BYw!'v5"</f>
        <v>#VALUE!</v>
      </c>
      <c r="AT152" t="e">
        <f>'2.5.Трудоемкость'!MV15+"BYw!'v6"</f>
        <v>#VALUE!</v>
      </c>
      <c r="AU152" t="e">
        <f>'2.5.Трудоемкость'!MW15+"BYw!'v7"</f>
        <v>#VALUE!</v>
      </c>
      <c r="AV152" t="e">
        <f>'2.5.Трудоемкость'!MX15+"BYw!'v8"</f>
        <v>#VALUE!</v>
      </c>
      <c r="AW152" t="e">
        <f>'2.5.Трудоемкость'!MY15+"BYw!'v9"</f>
        <v>#VALUE!</v>
      </c>
      <c r="AX152" t="e">
        <f>'2.5.Трудоемкость'!MZ15+"BYw!'v:"</f>
        <v>#VALUE!</v>
      </c>
      <c r="AY152" t="e">
        <f>'2.5.Трудоемкость'!NA15+"BYw!'v;"</f>
        <v>#VALUE!</v>
      </c>
      <c r="AZ152" t="e">
        <f>'2.5.Трудоемкость'!NB15+"BYw!'v&lt;"</f>
        <v>#VALUE!</v>
      </c>
      <c r="BA152" t="e">
        <f>'2.5.Трудоемкость'!NC15+"BYw!'v="</f>
        <v>#VALUE!</v>
      </c>
      <c r="BB152" t="e">
        <f>'2.5.Трудоемкость'!ND15+"BYw!'v&gt;"</f>
        <v>#VALUE!</v>
      </c>
      <c r="BC152" t="e">
        <f>'2.5.Трудоемкость'!NE15+"BYw!'v?"</f>
        <v>#VALUE!</v>
      </c>
      <c r="BD152" t="e">
        <f>'2.5.Трудоемкость'!NF15+"BYw!'v@"</f>
        <v>#VALUE!</v>
      </c>
      <c r="BE152" t="e">
        <f>'2.5.Трудоемкость'!NG15+"BYw!'vA"</f>
        <v>#VALUE!</v>
      </c>
      <c r="BF152" t="e">
        <f>'2.5.Трудоемкость'!NH15+"BYw!'vB"</f>
        <v>#VALUE!</v>
      </c>
      <c r="BG152" t="e">
        <f>'2.5.Трудоемкость'!NI15+"BYw!'vC"</f>
        <v>#VALUE!</v>
      </c>
      <c r="BH152" t="e">
        <f>'2.5.Трудоемкость'!NJ15+"BYw!'vD"</f>
        <v>#VALUE!</v>
      </c>
      <c r="BI152" t="e">
        <f>'2.5.Трудоемкость'!NK15+"BYw!'vE"</f>
        <v>#VALUE!</v>
      </c>
      <c r="BJ152" t="e">
        <f>'2.5.Трудоемкость'!NL15+"BYw!'vF"</f>
        <v>#VALUE!</v>
      </c>
      <c r="BK152" t="e">
        <f>'2.5.Трудоемкость'!NM15+"BYw!'vG"</f>
        <v>#VALUE!</v>
      </c>
      <c r="BL152" t="e">
        <f>'2.5.Трудоемкость'!NN15+"BYw!'vH"</f>
        <v>#VALUE!</v>
      </c>
      <c r="BM152" t="e">
        <f>'2.5.Трудоемкость'!NO15+"BYw!'vI"</f>
        <v>#VALUE!</v>
      </c>
      <c r="BN152" t="e">
        <f>'2.5.Трудоемкость'!NP15+"BYw!'vJ"</f>
        <v>#VALUE!</v>
      </c>
      <c r="BO152" t="e">
        <f>'2.5.Трудоемкость'!NQ15+"BYw!'vK"</f>
        <v>#VALUE!</v>
      </c>
      <c r="BP152" t="e">
        <f>'2.5.Трудоемкость'!NR15+"BYw!'vL"</f>
        <v>#VALUE!</v>
      </c>
      <c r="BQ152" t="e">
        <f>'2.5.Трудоемкость'!NS15+"BYw!'vM"</f>
        <v>#VALUE!</v>
      </c>
      <c r="BR152" t="e">
        <f>'2.5.Трудоемкость'!NT15+"BYw!'vN"</f>
        <v>#VALUE!</v>
      </c>
      <c r="BS152" t="e">
        <f>'2.5.Трудоемкость'!NU15+"BYw!'vO"</f>
        <v>#VALUE!</v>
      </c>
      <c r="BT152" t="e">
        <f>'2.5.Трудоемкость'!NV15+"BYw!'vP"</f>
        <v>#VALUE!</v>
      </c>
      <c r="BU152" t="e">
        <f>'2.5.Трудоемкость'!NW15+"BYw!'vQ"</f>
        <v>#VALUE!</v>
      </c>
      <c r="BV152" t="e">
        <f>'2.5.Трудоемкость'!NX15+"BYw!'vR"</f>
        <v>#VALUE!</v>
      </c>
      <c r="BW152" t="e">
        <f>'2.5.Трудоемкость'!NY15+"BYw!'vS"</f>
        <v>#VALUE!</v>
      </c>
      <c r="BX152" t="e">
        <f>'2.5.Трудоемкость'!NZ15+"BYw!'vT"</f>
        <v>#VALUE!</v>
      </c>
      <c r="BY152" t="e">
        <f>'2.5.Трудоемкость'!OA15+"BYw!'vU"</f>
        <v>#VALUE!</v>
      </c>
      <c r="BZ152" t="e">
        <f>'2.5.Трудоемкость'!OB15+"BYw!'vV"</f>
        <v>#VALUE!</v>
      </c>
      <c r="CA152" t="e">
        <f>'2.5.Трудоемкость'!OC15+"BYw!'vW"</f>
        <v>#VALUE!</v>
      </c>
      <c r="CB152" t="e">
        <f>'2.5.Трудоемкость'!OD15+"BYw!'vX"</f>
        <v>#VALUE!</v>
      </c>
      <c r="CC152" t="e">
        <f>'2.5.Трудоемкость'!OE15+"BYw!'vY"</f>
        <v>#VALUE!</v>
      </c>
      <c r="CD152" t="e">
        <f>'2.5.Трудоемкость'!OF15+"BYw!'vZ"</f>
        <v>#VALUE!</v>
      </c>
      <c r="CE152" t="e">
        <f>'2.5.Трудоемкость'!OG15+"BYw!'v["</f>
        <v>#VALUE!</v>
      </c>
      <c r="CF152" t="e">
        <f>'2.5.Трудоемкость'!OH15+"BYw!'v\"</f>
        <v>#VALUE!</v>
      </c>
      <c r="CG152" t="e">
        <f>'2.5.Трудоемкость'!OI15+"BYw!'v]"</f>
        <v>#VALUE!</v>
      </c>
      <c r="CH152" t="e">
        <f>'2.5.Трудоемкость'!OJ15+"BYw!'v^"</f>
        <v>#VALUE!</v>
      </c>
      <c r="CI152" t="e">
        <f>'2.5.Трудоемкость'!OK15+"BYw!'v_"</f>
        <v>#VALUE!</v>
      </c>
      <c r="CJ152" t="e">
        <f>'2.5.Трудоемкость'!OL15+"BYw!'v`"</f>
        <v>#VALUE!</v>
      </c>
      <c r="CK152" t="e">
        <f>'2.5.Трудоемкость'!OM15+"BYw!'va"</f>
        <v>#VALUE!</v>
      </c>
      <c r="CL152" t="e">
        <f>'2.5.Трудоемкость'!ON15+"BYw!'vb"</f>
        <v>#VALUE!</v>
      </c>
      <c r="CM152" t="e">
        <f>'2.5.Трудоемкость'!OO15+"BYw!'vc"</f>
        <v>#VALUE!</v>
      </c>
      <c r="CN152" t="e">
        <f>'2.5.Трудоемкость'!OP15+"BYw!'vd"</f>
        <v>#VALUE!</v>
      </c>
      <c r="CO152" t="e">
        <f>'2.5.Трудоемкость'!OQ15+"BYw!'ve"</f>
        <v>#VALUE!</v>
      </c>
      <c r="CP152" t="e">
        <f>'2.5.Трудоемкость'!OR15+"BYw!'vf"</f>
        <v>#VALUE!</v>
      </c>
      <c r="CQ152" t="e">
        <f>'2.5.Трудоемкость'!OS15+"BYw!'vg"</f>
        <v>#VALUE!</v>
      </c>
      <c r="CR152" t="e">
        <f>'2.5.Трудоемкость'!OT15+"BYw!'vh"</f>
        <v>#VALUE!</v>
      </c>
      <c r="CS152" t="e">
        <f>'2.5.Трудоемкость'!OU15+"BYw!'vi"</f>
        <v>#VALUE!</v>
      </c>
      <c r="CT152" t="e">
        <f>'2.5.Трудоемкость'!OV15+"BYw!'vj"</f>
        <v>#VALUE!</v>
      </c>
      <c r="CU152" t="e">
        <f>'2.5.Трудоемкость'!OW15+"BYw!'vk"</f>
        <v>#VALUE!</v>
      </c>
      <c r="CV152" t="e">
        <f>'2.5.Трудоемкость'!OX15+"BYw!'vl"</f>
        <v>#VALUE!</v>
      </c>
      <c r="CW152" t="e">
        <f>'2.5.Трудоемкость'!OY15+"BYw!'vm"</f>
        <v>#VALUE!</v>
      </c>
      <c r="CX152" t="e">
        <f>'2.5.Трудоемкость'!OZ15+"BYw!'vn"</f>
        <v>#VALUE!</v>
      </c>
      <c r="CY152" t="e">
        <f>'2.5.Трудоемкость'!PA15+"BYw!'vo"</f>
        <v>#VALUE!</v>
      </c>
      <c r="CZ152" t="e">
        <f>'2.5.Трудоемкость'!PB15+"BYw!'vp"</f>
        <v>#VALUE!</v>
      </c>
      <c r="DA152" t="e">
        <f>'2.5.Трудоемкость'!PC15+"BYw!'vq"</f>
        <v>#VALUE!</v>
      </c>
      <c r="DB152" t="e">
        <f>'2.5.Трудоемкость'!PD15+"BYw!'vr"</f>
        <v>#VALUE!</v>
      </c>
      <c r="DC152" t="e">
        <f>'2.5.Трудоемкость'!PE15+"BYw!'vs"</f>
        <v>#VALUE!</v>
      </c>
      <c r="DD152" t="e">
        <f>'2.5.Трудоемкость'!PF15+"BYw!'vt"</f>
        <v>#VALUE!</v>
      </c>
      <c r="DE152" t="e">
        <f>'2.5.Трудоемкость'!PG15+"BYw!'vu"</f>
        <v>#VALUE!</v>
      </c>
      <c r="DF152" t="e">
        <f>'2.5.Трудоемкость'!PH15+"BYw!'vv"</f>
        <v>#VALUE!</v>
      </c>
      <c r="DG152" t="e">
        <f>'2.5.Трудоемкость'!PI15+"BYw!'vw"</f>
        <v>#VALUE!</v>
      </c>
      <c r="DH152" t="e">
        <f>'2.5.Трудоемкость'!PJ15+"BYw!'vx"</f>
        <v>#VALUE!</v>
      </c>
      <c r="DI152" t="e">
        <f>'2.5.Трудоемкость'!PK15+"BYw!'vy"</f>
        <v>#VALUE!</v>
      </c>
      <c r="DJ152" t="e">
        <f>'2.5.Трудоемкость'!PL15+"BYw!'vz"</f>
        <v>#VALUE!</v>
      </c>
      <c r="DK152" t="e">
        <f>'2.5.Трудоемкость'!PM15+"BYw!'v{"</f>
        <v>#VALUE!</v>
      </c>
      <c r="DL152" t="e">
        <f>'2.5.Трудоемкость'!PN15+"BYw!'v|"</f>
        <v>#VALUE!</v>
      </c>
      <c r="DM152" t="e">
        <f>'2.5.Трудоемкость'!PO15+"BYw!'v}"</f>
        <v>#VALUE!</v>
      </c>
      <c r="DN152" t="e">
        <f>'2.5.Трудоемкость'!PP15+"BYw!'v~"</f>
        <v>#VALUE!</v>
      </c>
      <c r="DO152" t="e">
        <f>'2.5.Трудоемкость'!PQ15+"BYw!'w#"</f>
        <v>#VALUE!</v>
      </c>
      <c r="DP152" t="e">
        <f>'2.5.Трудоемкость'!PR15+"BYw!'w$"</f>
        <v>#VALUE!</v>
      </c>
      <c r="DQ152" t="e">
        <f>'2.5.Трудоемкость'!PS15+"BYw!'w%"</f>
        <v>#VALUE!</v>
      </c>
      <c r="DR152" t="e">
        <f>'2.5.Трудоемкость'!PT15+"BYw!'w&amp;"</f>
        <v>#VALUE!</v>
      </c>
      <c r="DS152" t="e">
        <f>'2.5.Трудоемкость'!PU15+"BYw!'w'"</f>
        <v>#VALUE!</v>
      </c>
      <c r="DT152" t="e">
        <f>'2.5.Трудоемкость'!PV15+"BYw!'w("</f>
        <v>#VALUE!</v>
      </c>
      <c r="DU152" t="e">
        <f>'2.5.Трудоемкость'!PW15+"BYw!'w)"</f>
        <v>#VALUE!</v>
      </c>
      <c r="DV152" t="e">
        <f>'2.5.Трудоемкость'!PX15+"BYw!'w."</f>
        <v>#VALUE!</v>
      </c>
      <c r="DW152" t="e">
        <f>'2.5.Трудоемкость'!PY15+"BYw!'w/"</f>
        <v>#VALUE!</v>
      </c>
      <c r="DX152" t="e">
        <f>'2.5.Трудоемкость'!PZ15+"BYw!'w0"</f>
        <v>#VALUE!</v>
      </c>
      <c r="DY152" t="e">
        <f>'2.5.Трудоемкость'!QA15+"BYw!'w1"</f>
        <v>#VALUE!</v>
      </c>
      <c r="DZ152" t="e">
        <f>'2.5.Трудоемкость'!QB15+"BYw!'w2"</f>
        <v>#VALUE!</v>
      </c>
      <c r="EA152" t="e">
        <f>'2.5.Трудоемкость'!QC15+"BYw!'w3"</f>
        <v>#VALUE!</v>
      </c>
      <c r="EB152" t="e">
        <f>'2.5.Трудоемкость'!QD15+"BYw!'w4"</f>
        <v>#VALUE!</v>
      </c>
      <c r="EC152" t="e">
        <f>'2.5.Трудоемкость'!QE15+"BYw!'w5"</f>
        <v>#VALUE!</v>
      </c>
      <c r="ED152" t="e">
        <f>'2.5.Трудоемкость'!QF15+"BYw!'w6"</f>
        <v>#VALUE!</v>
      </c>
      <c r="EE152" t="e">
        <f>'2.5.Трудоемкость'!QG15+"BYw!'w7"</f>
        <v>#VALUE!</v>
      </c>
      <c r="EF152" t="e">
        <f>'2.5.Трудоемкость'!QH15+"BYw!'w8"</f>
        <v>#VALUE!</v>
      </c>
      <c r="EG152" t="e">
        <f>'2.5.Трудоемкость'!QI15+"BYw!'w9"</f>
        <v>#VALUE!</v>
      </c>
      <c r="EH152" t="e">
        <f>'2.5.Трудоемкость'!QJ15+"BYw!'w:"</f>
        <v>#VALUE!</v>
      </c>
      <c r="EI152" t="e">
        <f>'2.5.Трудоемкость'!QK15+"BYw!'w;"</f>
        <v>#VALUE!</v>
      </c>
      <c r="EJ152" t="e">
        <f>'2.5.Трудоемкость'!QL15+"BYw!'w&lt;"</f>
        <v>#VALUE!</v>
      </c>
      <c r="EK152" t="e">
        <f>'2.5.Трудоемкость'!QM15+"BYw!'w="</f>
        <v>#VALUE!</v>
      </c>
      <c r="EL152" t="e">
        <f>'2.5.Трудоемкость'!QN15+"BYw!'w&gt;"</f>
        <v>#VALUE!</v>
      </c>
      <c r="EM152" t="e">
        <f>'2.5.Трудоемкость'!QO15+"BYw!'w?"</f>
        <v>#VALUE!</v>
      </c>
      <c r="EN152" t="e">
        <f>'2.5.Трудоемкость'!QP15+"BYw!'w@"</f>
        <v>#VALUE!</v>
      </c>
      <c r="EO152" t="e">
        <f>'2.5.Трудоемкость'!QQ15+"BYw!'wA"</f>
        <v>#VALUE!</v>
      </c>
      <c r="EP152" t="e">
        <f>'2.5.Трудоемкость'!QR15+"BYw!'wB"</f>
        <v>#VALUE!</v>
      </c>
      <c r="EQ152" t="e">
        <f>'2.5.Трудоемкость'!QS15+"BYw!'wC"</f>
        <v>#VALUE!</v>
      </c>
      <c r="ER152" t="e">
        <f>'2.5.Трудоемкость'!QT15+"BYw!'wD"</f>
        <v>#VALUE!</v>
      </c>
      <c r="ES152" t="e">
        <f>'2.5.Трудоемкость'!QU15+"BYw!'wE"</f>
        <v>#VALUE!</v>
      </c>
      <c r="ET152" t="e">
        <f>'2.5.Трудоемкость'!QV15+"BYw!'wF"</f>
        <v>#VALUE!</v>
      </c>
      <c r="EU152" t="e">
        <f>'2.5.Трудоемкость'!QW15+"BYw!'wG"</f>
        <v>#VALUE!</v>
      </c>
      <c r="EV152" t="e">
        <f>'2.5.Трудоемкость'!QX15+"BYw!'wH"</f>
        <v>#VALUE!</v>
      </c>
      <c r="EW152" t="e">
        <f>'2.5.Трудоемкость'!QY15+"BYw!'wI"</f>
        <v>#VALUE!</v>
      </c>
      <c r="EX152" t="e">
        <f>'2.5.Трудоемкость'!QZ15+"BYw!'wJ"</f>
        <v>#VALUE!</v>
      </c>
      <c r="EY152" t="e">
        <f>'2.5.Трудоемкость'!RA15+"BYw!'wK"</f>
        <v>#VALUE!</v>
      </c>
      <c r="EZ152" t="e">
        <f>'2.5.Трудоемкость'!RB15+"BYw!'wL"</f>
        <v>#VALUE!</v>
      </c>
      <c r="FA152" t="e">
        <f>'2.5.Трудоемкость'!RC15+"BYw!'wM"</f>
        <v>#VALUE!</v>
      </c>
      <c r="FB152" t="e">
        <f>'2.5.Трудоемкость'!RD15+"BYw!'wN"</f>
        <v>#VALUE!</v>
      </c>
      <c r="FC152" t="e">
        <f>'2.5.Трудоемкость'!RE15+"BYw!'wO"</f>
        <v>#VALUE!</v>
      </c>
      <c r="FD152" t="e">
        <f>'2.5.Трудоемкость'!RF15+"BYw!'wP"</f>
        <v>#VALUE!</v>
      </c>
      <c r="FE152" t="e">
        <f>'2.5.Трудоемкость'!RG15+"BYw!'wQ"</f>
        <v>#VALUE!</v>
      </c>
      <c r="FF152" t="e">
        <f>'2.5.Трудоемкость'!RH15+"BYw!'wR"</f>
        <v>#VALUE!</v>
      </c>
      <c r="FG152" t="e">
        <f>'2.5.Трудоемкость'!RI15+"BYw!'wS"</f>
        <v>#VALUE!</v>
      </c>
      <c r="FH152" t="e">
        <f>'2.5.Трудоемкость'!RJ15+"BYw!'wT"</f>
        <v>#VALUE!</v>
      </c>
      <c r="FI152" t="e">
        <f>'2.5.Трудоемкость'!RK15+"BYw!'wU"</f>
        <v>#VALUE!</v>
      </c>
      <c r="FJ152" t="e">
        <f>'2.5.Трудоемкость'!RL15+"BYw!'wV"</f>
        <v>#VALUE!</v>
      </c>
      <c r="FK152" t="e">
        <f>'2.5.Трудоемкость'!RM15+"BYw!'wW"</f>
        <v>#VALUE!</v>
      </c>
      <c r="FL152" t="e">
        <f>'2.5.Трудоемкость'!RN15+"BYw!'wX"</f>
        <v>#VALUE!</v>
      </c>
      <c r="FM152" t="e">
        <f>'2.5.Трудоемкость'!RO15+"BYw!'wY"</f>
        <v>#VALUE!</v>
      </c>
      <c r="FN152" t="e">
        <f>'2.5.Трудоемкость'!RP15+"BYw!'wZ"</f>
        <v>#VALUE!</v>
      </c>
      <c r="FO152" t="e">
        <f>'2.5.Трудоемкость'!RQ15+"BYw!'w["</f>
        <v>#VALUE!</v>
      </c>
      <c r="FP152" t="e">
        <f>'2.5.Трудоемкость'!RR15+"BYw!'w\"</f>
        <v>#VALUE!</v>
      </c>
      <c r="FQ152" t="e">
        <f>'2.5.Трудоемкость'!RS15+"BYw!'w]"</f>
        <v>#VALUE!</v>
      </c>
      <c r="FR152" t="e">
        <f>'2.5.Трудоемкость'!RT15+"BYw!'w^"</f>
        <v>#VALUE!</v>
      </c>
      <c r="FS152" t="e">
        <f>'2.5.Трудоемкость'!RU15+"BYw!'w_"</f>
        <v>#VALUE!</v>
      </c>
      <c r="FT152" t="e">
        <f>'2.5.Трудоемкость'!RV15+"BYw!'w`"</f>
        <v>#VALUE!</v>
      </c>
      <c r="FU152" t="e">
        <f>'2.5.Трудоемкость'!RW15+"BYw!'wa"</f>
        <v>#VALUE!</v>
      </c>
      <c r="FV152" t="e">
        <f>'2.5.Трудоемкость'!RX15+"BYw!'wb"</f>
        <v>#VALUE!</v>
      </c>
      <c r="FW152" t="e">
        <f>'2.5.Трудоемкость'!RY15+"BYw!'wc"</f>
        <v>#VALUE!</v>
      </c>
      <c r="FX152" t="e">
        <f>'2.5.Трудоемкость'!RZ15+"BYw!'wd"</f>
        <v>#VALUE!</v>
      </c>
      <c r="FY152" t="e">
        <f>'2.5.Трудоемкость'!SA15+"BYw!'we"</f>
        <v>#VALUE!</v>
      </c>
      <c r="FZ152" t="e">
        <f>'2.5.Трудоемкость'!SB15+"BYw!'wf"</f>
        <v>#VALUE!</v>
      </c>
      <c r="GA152" t="e">
        <f>'2.5.Трудоемкость'!SC15+"BYw!'wg"</f>
        <v>#VALUE!</v>
      </c>
      <c r="GB152" t="e">
        <f>'2.5.Трудоемкость'!SD15+"BYw!'wh"</f>
        <v>#VALUE!</v>
      </c>
      <c r="GC152" t="e">
        <f>'2.5.Трудоемкость'!SE15+"BYw!'wi"</f>
        <v>#VALUE!</v>
      </c>
      <c r="GD152" t="e">
        <f>'2.5.Трудоемкость'!SF15+"BYw!'wj"</f>
        <v>#VALUE!</v>
      </c>
      <c r="GE152" t="e">
        <f>'2.5.Трудоемкость'!SG15+"BYw!'wk"</f>
        <v>#VALUE!</v>
      </c>
      <c r="GF152" t="e">
        <f>'2.5.Трудоемкость'!SH15+"BYw!'wl"</f>
        <v>#VALUE!</v>
      </c>
      <c r="GG152" t="e">
        <f>'2.5.Трудоемкость'!SI15+"BYw!'wm"</f>
        <v>#VALUE!</v>
      </c>
      <c r="GH152" t="e">
        <f>'2.5.Трудоемкость'!SJ15+"BYw!'wn"</f>
        <v>#VALUE!</v>
      </c>
      <c r="GI152" t="e">
        <f>'2.5.Трудоемкость'!SK15+"BYw!'wo"</f>
        <v>#VALUE!</v>
      </c>
      <c r="GJ152" t="e">
        <f>'2.5.Трудоемкость'!SL15+"BYw!'wp"</f>
        <v>#VALUE!</v>
      </c>
      <c r="GK152" t="e">
        <f>'2.5.Трудоемкость'!SM15+"BYw!'wq"</f>
        <v>#VALUE!</v>
      </c>
      <c r="GL152" t="e">
        <f>'2.5.Трудоемкость'!SN15+"BYw!'wr"</f>
        <v>#VALUE!</v>
      </c>
      <c r="GM152" t="e">
        <f>'2.5.Трудоемкость'!SO15+"BYw!'ws"</f>
        <v>#VALUE!</v>
      </c>
      <c r="GN152" t="e">
        <f>'2.5.Трудоемкость'!SP15+"BYw!'wt"</f>
        <v>#VALUE!</v>
      </c>
      <c r="GO152" t="e">
        <f>'2.5.Трудоемкость'!SQ15+"BYw!'wu"</f>
        <v>#VALUE!</v>
      </c>
      <c r="GP152" t="e">
        <f>'2.5.Трудоемкость'!SR15+"BYw!'wv"</f>
        <v>#VALUE!</v>
      </c>
      <c r="GQ152" t="e">
        <f>'2.5.Трудоемкость'!SS15+"BYw!'ww"</f>
        <v>#VALUE!</v>
      </c>
      <c r="GR152" t="e">
        <f>'2.5.Трудоемкость'!ST15+"BYw!'wx"</f>
        <v>#VALUE!</v>
      </c>
      <c r="GS152" t="e">
        <f>'2.5.Трудоемкость'!SU15+"BYw!'wy"</f>
        <v>#VALUE!</v>
      </c>
      <c r="GT152" t="e">
        <f>'2.5.Трудоемкость'!SV15+"BYw!'wz"</f>
        <v>#VALUE!</v>
      </c>
      <c r="GU152" t="e">
        <f>'2.5.Трудоемкость'!SW15+"BYw!'w{"</f>
        <v>#VALUE!</v>
      </c>
      <c r="GV152" t="e">
        <f>'2.5.Трудоемкость'!SX15+"BYw!'w|"</f>
        <v>#VALUE!</v>
      </c>
      <c r="GW152" t="e">
        <f>'2.5.Трудоемкость'!SY15+"BYw!'w}"</f>
        <v>#VALUE!</v>
      </c>
      <c r="GX152" t="e">
        <f>'2.5.Трудоемкость'!SZ15+"BYw!'w~"</f>
        <v>#VALUE!</v>
      </c>
      <c r="GY152" t="e">
        <f>'2.5.Трудоемкость'!TA15+"BYw!'x#"</f>
        <v>#VALUE!</v>
      </c>
      <c r="GZ152" t="e">
        <f>'2.5.Трудоемкость'!TB15+"BYw!'x$"</f>
        <v>#VALUE!</v>
      </c>
      <c r="HA152" t="e">
        <f>'2.5.Трудоемкость'!TC15+"BYw!'x%"</f>
        <v>#VALUE!</v>
      </c>
      <c r="HB152" t="e">
        <f>'2.5.Трудоемкость'!TD15+"BYw!'x&amp;"</f>
        <v>#VALUE!</v>
      </c>
      <c r="HC152" t="e">
        <f>'2.5.Трудоемкость'!TE15+"BYw!'x'"</f>
        <v>#VALUE!</v>
      </c>
      <c r="HD152" t="e">
        <f>'2.5.Трудоемкость'!TF15+"BYw!'x("</f>
        <v>#VALUE!</v>
      </c>
      <c r="HE152" t="e">
        <f>'2.5.Трудоемкость'!TG15+"BYw!'x)"</f>
        <v>#VALUE!</v>
      </c>
      <c r="HF152" t="e">
        <f>'2.5.Трудоемкость'!TH15+"BYw!'x."</f>
        <v>#VALUE!</v>
      </c>
      <c r="HG152" t="e">
        <f>'2.5.Трудоемкость'!TI15+"BYw!'x/"</f>
        <v>#VALUE!</v>
      </c>
      <c r="HH152" t="e">
        <f>'2.5.Трудоемкость'!TJ15+"BYw!'x0"</f>
        <v>#VALUE!</v>
      </c>
      <c r="HI152" t="e">
        <f>'2.5.Трудоемкость'!TK15+"BYw!'x1"</f>
        <v>#VALUE!</v>
      </c>
      <c r="HJ152" t="e">
        <f>'2.5.Трудоемкость'!TL15+"BYw!'x2"</f>
        <v>#VALUE!</v>
      </c>
      <c r="HK152" t="e">
        <f>'2.5.Трудоемкость'!TM15+"BYw!'x3"</f>
        <v>#VALUE!</v>
      </c>
      <c r="HL152" t="e">
        <f>'2.5.Трудоемкость'!TN15+"BYw!'x4"</f>
        <v>#VALUE!</v>
      </c>
      <c r="HM152" t="e">
        <f>'2.5.Трудоемкость'!TO15+"BYw!'x5"</f>
        <v>#VALUE!</v>
      </c>
      <c r="HN152" t="e">
        <f>'2.5.Трудоемкость'!TP15+"BYw!'x6"</f>
        <v>#VALUE!</v>
      </c>
      <c r="HO152" t="e">
        <f>'2.5.Трудоемкость'!TQ15+"BYw!'x7"</f>
        <v>#VALUE!</v>
      </c>
      <c r="HP152" t="e">
        <f>'2.5.Трудоемкость'!TR15+"BYw!'x8"</f>
        <v>#VALUE!</v>
      </c>
      <c r="HQ152" t="e">
        <f>'2.5.Трудоемкость'!TS15+"BYw!'x9"</f>
        <v>#VALUE!</v>
      </c>
      <c r="HR152" t="e">
        <f>'2.5.Трудоемкость'!TT15+"BYw!'x:"</f>
        <v>#VALUE!</v>
      </c>
      <c r="HS152" t="e">
        <f>'2.5.Трудоемкость'!TU15+"BYw!'x;"</f>
        <v>#VALUE!</v>
      </c>
      <c r="HT152" t="e">
        <f>'2.5.Трудоемкость'!TV15+"BYw!'x&lt;"</f>
        <v>#VALUE!</v>
      </c>
      <c r="HU152" t="e">
        <f>'2.5.Трудоемкость'!TW15+"BYw!'x="</f>
        <v>#VALUE!</v>
      </c>
      <c r="HV152" t="e">
        <f>'2.5.Трудоемкость'!TX15+"BYw!'x&gt;"</f>
        <v>#VALUE!</v>
      </c>
      <c r="HW152" t="e">
        <f>'2.5.Трудоемкость'!TY15+"BYw!'x?"</f>
        <v>#VALUE!</v>
      </c>
      <c r="HX152" t="e">
        <f>'2.5.Трудоемкость'!TZ15+"BYw!'x@"</f>
        <v>#VALUE!</v>
      </c>
      <c r="HY152" t="e">
        <f>'2.5.Трудоемкость'!UA15+"BYw!'xA"</f>
        <v>#VALUE!</v>
      </c>
      <c r="HZ152" t="e">
        <f>'2.5.Трудоемкость'!UB15+"BYw!'xB"</f>
        <v>#VALUE!</v>
      </c>
      <c r="IA152" t="e">
        <f>'2.5.Трудоемкость'!UC15+"BYw!'xC"</f>
        <v>#VALUE!</v>
      </c>
      <c r="IB152" t="e">
        <f>'2.5.Трудоемкость'!UD15+"BYw!'xD"</f>
        <v>#VALUE!</v>
      </c>
      <c r="IC152" t="e">
        <f>'2.5.Трудоемкость'!UE15+"BYw!'xE"</f>
        <v>#VALUE!</v>
      </c>
      <c r="ID152" t="e">
        <f>'2.5.Трудоемкость'!UF15+"BYw!'xF"</f>
        <v>#VALUE!</v>
      </c>
      <c r="IE152" t="e">
        <f>'2.5.Трудоемкость'!UG15+"BYw!'xG"</f>
        <v>#VALUE!</v>
      </c>
      <c r="IF152" t="e">
        <f>'2.5.Трудоемкость'!UH15+"BYw!'xH"</f>
        <v>#VALUE!</v>
      </c>
      <c r="IG152" t="e">
        <f>'2.5.Трудоемкость'!UI15+"BYw!'xI"</f>
        <v>#VALUE!</v>
      </c>
      <c r="IH152" t="e">
        <f>'2.5.Трудоемкость'!UJ15+"BYw!'xJ"</f>
        <v>#VALUE!</v>
      </c>
      <c r="II152" t="e">
        <f>'2.5.Трудоемкость'!UK15+"BYw!'xK"</f>
        <v>#VALUE!</v>
      </c>
      <c r="IJ152" t="e">
        <f>'2.5.Трудоемкость'!UL15+"BYw!'xL"</f>
        <v>#VALUE!</v>
      </c>
      <c r="IK152" t="e">
        <f>'2.5.Трудоемкость'!UM15+"BYw!'xM"</f>
        <v>#VALUE!</v>
      </c>
      <c r="IL152" t="e">
        <f>'2.5.Трудоемкость'!UN15+"BYw!'xN"</f>
        <v>#VALUE!</v>
      </c>
      <c r="IM152" t="e">
        <f>'2.5.Трудоемкость'!UO15+"BYw!'xO"</f>
        <v>#VALUE!</v>
      </c>
      <c r="IN152" t="e">
        <f>'2.5.Трудоемкость'!UP15+"BYw!'xP"</f>
        <v>#VALUE!</v>
      </c>
      <c r="IO152" t="e">
        <f>'2.5.Трудоемкость'!UQ15+"BYw!'xQ"</f>
        <v>#VALUE!</v>
      </c>
      <c r="IP152" t="e">
        <f>'2.5.Трудоемкость'!UR15+"BYw!'xR"</f>
        <v>#VALUE!</v>
      </c>
      <c r="IQ152" t="e">
        <f>'2.5.Трудоемкость'!US15+"BYw!'xS"</f>
        <v>#VALUE!</v>
      </c>
      <c r="IR152" t="e">
        <f>'2.5.Трудоемкость'!UT15+"BYw!'xT"</f>
        <v>#VALUE!</v>
      </c>
      <c r="IS152" t="e">
        <f>'2.5.Трудоемкость'!UU15+"BYw!'xU"</f>
        <v>#VALUE!</v>
      </c>
      <c r="IT152" t="e">
        <f>'2.5.Трудоемкость'!UV15+"BYw!'xV"</f>
        <v>#VALUE!</v>
      </c>
      <c r="IU152" t="e">
        <f>'2.5.Трудоемкость'!UW15+"BYw!'xW"</f>
        <v>#VALUE!</v>
      </c>
      <c r="IV152" t="e">
        <f>'2.5.Трудоемкость'!UX15+"BYw!'xX"</f>
        <v>#VALUE!</v>
      </c>
    </row>
    <row r="153" spans="6:256" x14ac:dyDescent="0.2">
      <c r="F153" t="e">
        <f>'2.5.Трудоемкость'!UY15+"BYw!'xY"</f>
        <v>#VALUE!</v>
      </c>
      <c r="G153" t="e">
        <f>'2.5.Трудоемкость'!UZ15+"BYw!'xZ"</f>
        <v>#VALUE!</v>
      </c>
      <c r="H153" t="e">
        <f>'2.5.Трудоемкость'!VA15+"BYw!'x["</f>
        <v>#VALUE!</v>
      </c>
      <c r="I153" t="e">
        <f>'2.5.Трудоемкость'!VB15+"BYw!'x\"</f>
        <v>#VALUE!</v>
      </c>
      <c r="J153" t="e">
        <f>'2.5.Трудоемкость'!VC15+"BYw!'x]"</f>
        <v>#VALUE!</v>
      </c>
      <c r="K153" t="e">
        <f>'2.5.Трудоемкость'!VD15+"BYw!'x^"</f>
        <v>#VALUE!</v>
      </c>
      <c r="L153" t="e">
        <f>'2.5.Трудоемкость'!VE15+"BYw!'x_"</f>
        <v>#VALUE!</v>
      </c>
      <c r="M153" t="e">
        <f>'2.5.Трудоемкость'!VF15+"BYw!'x`"</f>
        <v>#VALUE!</v>
      </c>
      <c r="N153" t="e">
        <f>'2.5.Трудоемкость'!VG15+"BYw!'xa"</f>
        <v>#VALUE!</v>
      </c>
      <c r="O153" t="e">
        <f>'2.5.Трудоемкость'!VH15+"BYw!'xb"</f>
        <v>#VALUE!</v>
      </c>
      <c r="P153" t="e">
        <f>'2.5.Трудоемкость'!VI15+"BYw!'xc"</f>
        <v>#VALUE!</v>
      </c>
      <c r="Q153" t="e">
        <f>'2.5.Трудоемкость'!VJ15+"BYw!'xd"</f>
        <v>#VALUE!</v>
      </c>
      <c r="R153" t="e">
        <f>'2.5.Трудоемкость'!VK15+"BYw!'xe"</f>
        <v>#VALUE!</v>
      </c>
      <c r="S153" t="e">
        <f>'2.5.Трудоемкость'!VL15+"BYw!'xf"</f>
        <v>#VALUE!</v>
      </c>
      <c r="T153" t="e">
        <f>'2.5.Трудоемкость'!VM15+"BYw!'xg"</f>
        <v>#VALUE!</v>
      </c>
      <c r="U153" t="e">
        <f>'2.5.Трудоемкость'!VN15+"BYw!'xh"</f>
        <v>#VALUE!</v>
      </c>
      <c r="V153" t="e">
        <f>'2.5.Трудоемкость'!VO15+"BYw!'xi"</f>
        <v>#VALUE!</v>
      </c>
      <c r="W153" t="e">
        <f>'2.5.Трудоемкость'!VP15+"BYw!'xj"</f>
        <v>#VALUE!</v>
      </c>
      <c r="X153" t="e">
        <f>'2.5.Трудоемкость'!VQ15+"BYw!'xk"</f>
        <v>#VALUE!</v>
      </c>
      <c r="Y153" t="e">
        <f>'2.5.Трудоемкость'!VR15+"BYw!'xl"</f>
        <v>#VALUE!</v>
      </c>
      <c r="Z153" t="e">
        <f>'2.5.Трудоемкость'!VS15+"BYw!'xm"</f>
        <v>#VALUE!</v>
      </c>
      <c r="AA153" t="e">
        <f>'2.5.Трудоемкость'!VT15+"BYw!'xn"</f>
        <v>#VALUE!</v>
      </c>
      <c r="AB153" t="e">
        <f>'2.5.Трудоемкость'!VU15+"BYw!'xo"</f>
        <v>#VALUE!</v>
      </c>
      <c r="AC153" t="e">
        <f>'2.5.Трудоемкость'!VV15+"BYw!'xp"</f>
        <v>#VALUE!</v>
      </c>
      <c r="AD153" t="e">
        <f>'2.5.Трудоемкость'!VW15+"BYw!'xq"</f>
        <v>#VALUE!</v>
      </c>
      <c r="AE153" t="e">
        <f>'2.5.Трудоемкость'!VX15+"BYw!'xr"</f>
        <v>#VALUE!</v>
      </c>
      <c r="AF153" t="e">
        <f>'2.5.Трудоемкость'!VY15+"BYw!'xs"</f>
        <v>#VALUE!</v>
      </c>
      <c r="AG153" t="e">
        <f>'2.5.Трудоемкость'!VZ15+"BYw!'xt"</f>
        <v>#VALUE!</v>
      </c>
      <c r="AH153" t="e">
        <f>'2.5.Трудоемкость'!WA15+"BYw!'xu"</f>
        <v>#VALUE!</v>
      </c>
      <c r="AI153" t="e">
        <f>'2.5.Трудоемкость'!WB15+"BYw!'xv"</f>
        <v>#VALUE!</v>
      </c>
      <c r="AJ153" t="e">
        <f>'2.5.Трудоемкость'!WC15+"BYw!'xw"</f>
        <v>#VALUE!</v>
      </c>
      <c r="AK153" t="e">
        <f>'2.5.Трудоемкость'!WD15+"BYw!'xx"</f>
        <v>#VALUE!</v>
      </c>
      <c r="AL153" t="e">
        <f>'2.5.Трудоемкость'!WE15+"BYw!'xy"</f>
        <v>#VALUE!</v>
      </c>
      <c r="AM153" t="e">
        <f>'2.5.Трудоемкость'!WF15+"BYw!'xz"</f>
        <v>#VALUE!</v>
      </c>
      <c r="AN153" t="e">
        <f>'2.5.Трудоемкость'!WG15+"BYw!'x{"</f>
        <v>#VALUE!</v>
      </c>
      <c r="AO153" t="e">
        <f>'2.5.Трудоемкость'!WH15+"BYw!'x|"</f>
        <v>#VALUE!</v>
      </c>
      <c r="AP153" t="e">
        <f>'2.5.Трудоемкость'!WI15+"BYw!'x}"</f>
        <v>#VALUE!</v>
      </c>
      <c r="AQ153" t="e">
        <f>'2.5.Трудоемкость'!WJ15+"BYw!'x~"</f>
        <v>#VALUE!</v>
      </c>
      <c r="AR153" t="e">
        <f>'2.5.Трудоемкость'!WK15+"BYw!'y#"</f>
        <v>#VALUE!</v>
      </c>
      <c r="AS153" t="e">
        <f>'2.5.Трудоемкость'!WL15+"BYw!'y$"</f>
        <v>#VALUE!</v>
      </c>
      <c r="AT153" t="e">
        <f>'2.5.Трудоемкость'!WM15+"BYw!'y%"</f>
        <v>#VALUE!</v>
      </c>
      <c r="AU153" t="e">
        <f>'2.5.Трудоемкость'!WN15+"BYw!'y&amp;"</f>
        <v>#VALUE!</v>
      </c>
      <c r="AV153" t="e">
        <f>'2.5.Трудоемкость'!WO15+"BYw!'y'"</f>
        <v>#VALUE!</v>
      </c>
      <c r="AW153" t="e">
        <f>'2.5.Трудоемкость'!WP15+"BYw!'y("</f>
        <v>#VALUE!</v>
      </c>
      <c r="AX153" t="e">
        <f>'2.5.Трудоемкость'!WQ15+"BYw!'y)"</f>
        <v>#VALUE!</v>
      </c>
      <c r="AY153" t="e">
        <f>'2.5.Трудоемкость'!WR15+"BYw!'y."</f>
        <v>#VALUE!</v>
      </c>
      <c r="AZ153" t="e">
        <f>'2.5.Трудоемкость'!WS15+"BYw!'y/"</f>
        <v>#VALUE!</v>
      </c>
      <c r="BA153" t="e">
        <f>'2.5.Трудоемкость'!WT15+"BYw!'y0"</f>
        <v>#VALUE!</v>
      </c>
      <c r="BB153" t="e">
        <f>'2.5.Трудоемкость'!WU15+"BYw!'y1"</f>
        <v>#VALUE!</v>
      </c>
      <c r="BC153" t="e">
        <f>'2.5.Трудоемкость'!WV15+"BYw!'y2"</f>
        <v>#VALUE!</v>
      </c>
      <c r="BD153" t="e">
        <f>'2.5.Трудоемкость'!WW15+"BYw!'y3"</f>
        <v>#VALUE!</v>
      </c>
      <c r="BE153" t="e">
        <f>'2.5.Трудоемкость'!WX15+"BYw!'y4"</f>
        <v>#VALUE!</v>
      </c>
      <c r="BF153" t="e">
        <f>'2.5.Трудоемкость'!WY15+"BYw!'y5"</f>
        <v>#VALUE!</v>
      </c>
      <c r="BG153" t="e">
        <f>'2.5.Трудоемкость'!WZ15+"BYw!'y6"</f>
        <v>#VALUE!</v>
      </c>
      <c r="BH153" t="e">
        <f>'2.5.Трудоемкость'!XA15+"BYw!'y7"</f>
        <v>#VALUE!</v>
      </c>
      <c r="BI153" t="e">
        <f>'2.5.Трудоемкость'!XB15+"BYw!'y8"</f>
        <v>#VALUE!</v>
      </c>
      <c r="BJ153" t="e">
        <f>'2.5.Трудоемкость'!XC15+"BYw!'y9"</f>
        <v>#VALUE!</v>
      </c>
      <c r="BK153" t="e">
        <f>'2.5.Трудоемкость'!XD15+"BYw!'y:"</f>
        <v>#VALUE!</v>
      </c>
      <c r="BL153" t="e">
        <f>'2.5.Трудоемкость'!XE15+"BYw!'y;"</f>
        <v>#VALUE!</v>
      </c>
      <c r="BM153" t="e">
        <f>'2.5.Трудоемкость'!XF15+"BYw!'y&lt;"</f>
        <v>#VALUE!</v>
      </c>
      <c r="BN153" t="e">
        <f>'2.5.Трудоемкость'!XG15+"BYw!'y="</f>
        <v>#VALUE!</v>
      </c>
      <c r="BO153" t="e">
        <f>'2.5.Трудоемкость'!XH15+"BYw!'y&gt;"</f>
        <v>#VALUE!</v>
      </c>
      <c r="BP153" t="e">
        <f>'2.5.Трудоемкость'!XI15+"BYw!'y?"</f>
        <v>#VALUE!</v>
      </c>
      <c r="BQ153" t="e">
        <f>'2.5.Трудоемкость'!XJ15+"BYw!'y@"</f>
        <v>#VALUE!</v>
      </c>
      <c r="BR153" t="e">
        <f>'2.5.Трудоемкость'!XK15+"BYw!'yA"</f>
        <v>#VALUE!</v>
      </c>
      <c r="BS153" t="e">
        <f>'2.5.Трудоемкость'!XL15+"BYw!'yB"</f>
        <v>#VALUE!</v>
      </c>
      <c r="BT153" t="e">
        <f>'2.5.Трудоемкость'!XM15+"BYw!'yC"</f>
        <v>#VALUE!</v>
      </c>
      <c r="BU153" t="e">
        <f>'2.5.Трудоемкость'!XN15+"BYw!'yD"</f>
        <v>#VALUE!</v>
      </c>
      <c r="BV153" t="e">
        <f>'2.5.Трудоемкость'!XO15+"BYw!'yE"</f>
        <v>#VALUE!</v>
      </c>
      <c r="BW153" t="e">
        <f>'2.5.Трудоемкость'!XP15+"BYw!'yF"</f>
        <v>#VALUE!</v>
      </c>
      <c r="BX153" t="e">
        <f>'2.5.Трудоемкость'!XQ15+"BYw!'yG"</f>
        <v>#VALUE!</v>
      </c>
      <c r="BY153" t="e">
        <f>'2.5.Трудоемкость'!XR15+"BYw!'yH"</f>
        <v>#VALUE!</v>
      </c>
      <c r="BZ153" t="e">
        <f>'2.5.Трудоемкость'!XS15+"BYw!'yI"</f>
        <v>#VALUE!</v>
      </c>
      <c r="CA153" t="e">
        <f>'2.5.Трудоемкость'!XT15+"BYw!'yJ"</f>
        <v>#VALUE!</v>
      </c>
      <c r="CB153" t="e">
        <f>'2.5.Трудоемкость'!XU15+"BYw!'yK"</f>
        <v>#VALUE!</v>
      </c>
      <c r="CC153" t="e">
        <f>'2.5.Трудоемкость'!XV15+"BYw!'yL"</f>
        <v>#VALUE!</v>
      </c>
      <c r="CD153" t="e">
        <f>'2.5.Трудоемкость'!XW15+"BYw!'yM"</f>
        <v>#VALUE!</v>
      </c>
      <c r="CE153" t="e">
        <f>'2.5.Трудоемкость'!XX15+"BYw!'yN"</f>
        <v>#VALUE!</v>
      </c>
      <c r="CF153" t="e">
        <f>'2.5.Трудоемкость'!XY15+"BYw!'yO"</f>
        <v>#VALUE!</v>
      </c>
      <c r="CG153" t="e">
        <f>'2.5.Трудоемкость'!XZ15+"BYw!'yP"</f>
        <v>#VALUE!</v>
      </c>
      <c r="CH153" t="e">
        <f>'2.5.Трудоемкость'!YA15+"BYw!'yQ"</f>
        <v>#VALUE!</v>
      </c>
      <c r="CI153" t="e">
        <f>'2.5.Трудоемкость'!YB15+"BYw!'yR"</f>
        <v>#VALUE!</v>
      </c>
      <c r="CJ153" t="e">
        <f>'2.5.Трудоемкость'!YC15+"BYw!'yS"</f>
        <v>#VALUE!</v>
      </c>
      <c r="CK153" t="e">
        <f>'2.5.Трудоемкость'!YD15+"BYw!'yT"</f>
        <v>#VALUE!</v>
      </c>
      <c r="CL153" t="e">
        <f>'2.5.Трудоемкость'!YE15+"BYw!'yU"</f>
        <v>#VALUE!</v>
      </c>
      <c r="CM153" t="e">
        <f>'2.5.Трудоемкость'!YF15+"BYw!'yV"</f>
        <v>#VALUE!</v>
      </c>
      <c r="CN153" t="e">
        <f>'2.5.Трудоемкость'!YG15+"BYw!'yW"</f>
        <v>#VALUE!</v>
      </c>
      <c r="CO153" t="e">
        <f>'2.5.Трудоемкость'!YH15+"BYw!'yX"</f>
        <v>#VALUE!</v>
      </c>
      <c r="CP153" t="e">
        <f>'2.5.Трудоемкость'!YI15+"BYw!'yY"</f>
        <v>#VALUE!</v>
      </c>
      <c r="CQ153" t="e">
        <f>'2.5.Трудоемкость'!YJ15+"BYw!'yZ"</f>
        <v>#VALUE!</v>
      </c>
      <c r="CR153" t="e">
        <f>'2.5.Трудоемкость'!YK15+"BYw!'y["</f>
        <v>#VALUE!</v>
      </c>
      <c r="CS153" t="e">
        <f>'2.5.Трудоемкость'!YL15+"BYw!'y\"</f>
        <v>#VALUE!</v>
      </c>
      <c r="CT153" t="e">
        <f>'2.5.Трудоемкость'!YM15+"BYw!'y]"</f>
        <v>#VALUE!</v>
      </c>
      <c r="CU153" t="e">
        <f>'2.5.Трудоемкость'!YN15+"BYw!'y^"</f>
        <v>#VALUE!</v>
      </c>
      <c r="CV153" t="e">
        <f>'2.5.Трудоемкость'!YO15+"BYw!'y_"</f>
        <v>#VALUE!</v>
      </c>
      <c r="CW153" t="e">
        <f>'2.5.Трудоемкость'!YP15+"BYw!'y`"</f>
        <v>#VALUE!</v>
      </c>
      <c r="CX153" t="e">
        <f>'2.5.Трудоемкость'!YQ15+"BYw!'ya"</f>
        <v>#VALUE!</v>
      </c>
      <c r="CY153" t="e">
        <f>'2.5.Трудоемкость'!YR15+"BYw!'yb"</f>
        <v>#VALUE!</v>
      </c>
      <c r="CZ153" t="e">
        <f>'2.5.Трудоемкость'!YS15+"BYw!'yc"</f>
        <v>#VALUE!</v>
      </c>
      <c r="DA153" t="e">
        <f>'2.5.Трудоемкость'!YT15+"BYw!'yd"</f>
        <v>#VALUE!</v>
      </c>
      <c r="DB153" t="e">
        <f>'2.5.Трудоемкость'!YU15+"BYw!'ye"</f>
        <v>#VALUE!</v>
      </c>
      <c r="DC153" t="e">
        <f>'2.5.Трудоемкость'!YV15+"BYw!'yf"</f>
        <v>#VALUE!</v>
      </c>
      <c r="DD153" t="e">
        <f>'2.5.Трудоемкость'!YW15+"BYw!'yg"</f>
        <v>#VALUE!</v>
      </c>
      <c r="DE153" t="e">
        <f>'2.5.Трудоемкость'!YX15+"BYw!'yh"</f>
        <v>#VALUE!</v>
      </c>
      <c r="DF153" t="e">
        <f>'2.5.Трудоемкость'!YY15+"BYw!'yi"</f>
        <v>#VALUE!</v>
      </c>
      <c r="DG153" t="e">
        <f>'2.5.Трудоемкость'!YZ15+"BYw!'yj"</f>
        <v>#VALUE!</v>
      </c>
      <c r="DH153" t="e">
        <f>'2.5.Трудоемкость'!ZA15+"BYw!'yk"</f>
        <v>#VALUE!</v>
      </c>
      <c r="DI153" t="e">
        <f>'2.5.Трудоемкость'!ZB15+"BYw!'yl"</f>
        <v>#VALUE!</v>
      </c>
      <c r="DJ153" t="e">
        <f>'2.5.Трудоемкость'!ZC15+"BYw!'ym"</f>
        <v>#VALUE!</v>
      </c>
      <c r="DK153" t="e">
        <f>'2.5.Трудоемкость'!ZD15+"BYw!'yn"</f>
        <v>#VALUE!</v>
      </c>
      <c r="DL153" t="e">
        <f>'2.5.Трудоемкость'!ZE15+"BYw!'yo"</f>
        <v>#VALUE!</v>
      </c>
      <c r="DM153" t="e">
        <f>'2.5.Трудоемкость'!ZF15+"BYw!'yp"</f>
        <v>#VALUE!</v>
      </c>
      <c r="DN153" t="e">
        <f>'2.5.Трудоемкость'!ZG15+"BYw!'yq"</f>
        <v>#VALUE!</v>
      </c>
      <c r="DO153" t="e">
        <f>'2.5.Трудоемкость'!ZH15+"BYw!'yr"</f>
        <v>#VALUE!</v>
      </c>
      <c r="DP153" t="e">
        <f>'2.5.Трудоемкость'!ZI15+"BYw!'ys"</f>
        <v>#VALUE!</v>
      </c>
      <c r="DQ153" t="e">
        <f>'2.5.Трудоемкость'!ZJ15+"BYw!'yt"</f>
        <v>#VALUE!</v>
      </c>
      <c r="DR153" t="e">
        <f>'2.5.Трудоемкость'!ZK15+"BYw!'yu"</f>
        <v>#VALUE!</v>
      </c>
      <c r="DS153" t="e">
        <f>'2.5.Трудоемкость'!ZL15+"BYw!'yv"</f>
        <v>#VALUE!</v>
      </c>
      <c r="DT153" t="e">
        <f>'2.5.Трудоемкость'!ZM15+"BYw!'yw"</f>
        <v>#VALUE!</v>
      </c>
      <c r="DU153" t="e">
        <f>'2.5.Трудоемкость'!ZN15+"BYw!'yx"</f>
        <v>#VALUE!</v>
      </c>
      <c r="DV153" t="e">
        <f>'2.5.Трудоемкость'!ZO15+"BYw!'yy"</f>
        <v>#VALUE!</v>
      </c>
      <c r="DW153" t="e">
        <f>'2.5.Трудоемкость'!ZP15+"BYw!'yz"</f>
        <v>#VALUE!</v>
      </c>
      <c r="DX153" t="e">
        <f>'2.5.Трудоемкость'!ZQ15+"BYw!'y{"</f>
        <v>#VALUE!</v>
      </c>
      <c r="DY153" t="e">
        <f>'2.5.Трудоемкость'!ZR15+"BYw!'y|"</f>
        <v>#VALUE!</v>
      </c>
      <c r="DZ153" t="e">
        <f>'2.5.Трудоемкость'!ZS15+"BYw!'y}"</f>
        <v>#VALUE!</v>
      </c>
      <c r="EA153" t="e">
        <f>'2.5.Трудоемкость'!ZT15+"BYw!'y~"</f>
        <v>#VALUE!</v>
      </c>
      <c r="EB153" t="e">
        <f>'2.5.Трудоемкость'!ZU15+"BYw!'z#"</f>
        <v>#VALUE!</v>
      </c>
      <c r="EC153" t="e">
        <f>'2.5.Трудоемкость'!ZV15+"BYw!'z$"</f>
        <v>#VALUE!</v>
      </c>
      <c r="ED153" t="e">
        <f>'2.5.Трудоемкость'!ZW15+"BYw!'z%"</f>
        <v>#VALUE!</v>
      </c>
      <c r="EE153" t="e">
        <f>'2.5.Трудоемкость'!ZX15+"BYw!'z&amp;"</f>
        <v>#VALUE!</v>
      </c>
      <c r="EF153" t="e">
        <f>'2.5.Трудоемкость'!ZY15+"BYw!'z'"</f>
        <v>#VALUE!</v>
      </c>
      <c r="EG153" t="e">
        <f>'2.5.Трудоемкость'!ZZ15+"BYw!'z("</f>
        <v>#VALUE!</v>
      </c>
      <c r="EH153" t="e">
        <f>'2.5.Трудоемкость'!AAA15+"BYw!'z)"</f>
        <v>#VALUE!</v>
      </c>
      <c r="EI153" t="e">
        <f>'2.5.Трудоемкость'!AAB15+"BYw!'z."</f>
        <v>#VALUE!</v>
      </c>
      <c r="EJ153" t="e">
        <f>'2.5.Трудоемкость'!AAC15+"BYw!'z/"</f>
        <v>#VALUE!</v>
      </c>
      <c r="EK153" t="e">
        <f>'2.5.Трудоемкость'!AAD15+"BYw!'z0"</f>
        <v>#VALUE!</v>
      </c>
      <c r="EL153" t="e">
        <f>'2.5.Трудоемкость'!AAE15+"BYw!'z1"</f>
        <v>#VALUE!</v>
      </c>
      <c r="EM153" t="e">
        <f>'2.5.Трудоемкость'!AAF15+"BYw!'z2"</f>
        <v>#VALUE!</v>
      </c>
      <c r="EN153" t="e">
        <f>'2.5.Трудоемкость'!AAG15+"BYw!'z3"</f>
        <v>#VALUE!</v>
      </c>
      <c r="EO153" t="e">
        <f>'2.5.Трудоемкость'!AAH15+"BYw!'z4"</f>
        <v>#VALUE!</v>
      </c>
      <c r="EP153" t="e">
        <f>'2.5.Трудоемкость'!AAI15+"BYw!'z5"</f>
        <v>#VALUE!</v>
      </c>
      <c r="EQ153" t="e">
        <f>'2.5.Трудоемкость'!AAJ15+"BYw!'z6"</f>
        <v>#VALUE!</v>
      </c>
      <c r="ER153" t="e">
        <f>'2.5.Трудоемкость'!AAK15+"BYw!'z7"</f>
        <v>#VALUE!</v>
      </c>
      <c r="ES153" t="e">
        <f>'2.5.Трудоемкость'!AAL15+"BYw!'z8"</f>
        <v>#VALUE!</v>
      </c>
      <c r="ET153" t="e">
        <f>'2.5.Трудоемкость'!AAM15+"BYw!'z9"</f>
        <v>#VALUE!</v>
      </c>
      <c r="EU153" t="e">
        <f>'2.5.Трудоемкость'!AAN15+"BYw!'z:"</f>
        <v>#VALUE!</v>
      </c>
      <c r="EV153" t="e">
        <f>'2.5.Трудоемкость'!AAO15+"BYw!'z;"</f>
        <v>#VALUE!</v>
      </c>
      <c r="EW153" t="e">
        <f>'2.5.Трудоемкость'!AAP15+"BYw!'z&lt;"</f>
        <v>#VALUE!</v>
      </c>
      <c r="EX153" t="e">
        <f>'2.5.Трудоемкость'!AAQ15+"BYw!'z="</f>
        <v>#VALUE!</v>
      </c>
      <c r="EY153" t="e">
        <f>'2.5.Трудоемкость'!AAR15+"BYw!'z&gt;"</f>
        <v>#VALUE!</v>
      </c>
      <c r="EZ153" t="e">
        <f>'2.5.Трудоемкость'!AAS15+"BYw!'z?"</f>
        <v>#VALUE!</v>
      </c>
      <c r="FA153" t="e">
        <f>'2.5.Трудоемкость'!AAT15+"BYw!'z@"</f>
        <v>#VALUE!</v>
      </c>
      <c r="FB153" t="e">
        <f>'2.5.Трудоемкость'!AAU15+"BYw!'zA"</f>
        <v>#VALUE!</v>
      </c>
      <c r="FC153" t="e">
        <f>'2.5.Трудоемкость'!AAV15+"BYw!'zB"</f>
        <v>#VALUE!</v>
      </c>
      <c r="FD153" t="e">
        <f>'2.5.Трудоемкость'!AAW15+"BYw!'zC"</f>
        <v>#VALUE!</v>
      </c>
      <c r="FE153" t="e">
        <f>'2.5.Трудоемкость'!AAX15+"BYw!'zD"</f>
        <v>#VALUE!</v>
      </c>
      <c r="FF153" t="e">
        <f>'2.5.Трудоемкость'!AAY15+"BYw!'zE"</f>
        <v>#VALUE!</v>
      </c>
      <c r="FG153" t="e">
        <f>'2.5.Трудоемкость'!AAZ15+"BYw!'zF"</f>
        <v>#VALUE!</v>
      </c>
      <c r="FH153" t="e">
        <f>'2.5.Трудоемкость'!ABA15+"BYw!'zG"</f>
        <v>#VALUE!</v>
      </c>
      <c r="FI153" t="e">
        <f>'2.5.Трудоемкость'!ABB15+"BYw!'zH"</f>
        <v>#VALUE!</v>
      </c>
      <c r="FJ153" t="e">
        <f>'2.5.Трудоемкость'!ABC15+"BYw!'zI"</f>
        <v>#VALUE!</v>
      </c>
      <c r="FK153" t="e">
        <f>'2.5.Трудоемкость'!ABD15+"BYw!'zJ"</f>
        <v>#VALUE!</v>
      </c>
      <c r="FL153" t="e">
        <f>'2.5.Трудоемкость'!ABE15+"BYw!'zK"</f>
        <v>#VALUE!</v>
      </c>
      <c r="FM153" t="e">
        <f>'2.5.Трудоемкость'!ABF15+"BYw!'zL"</f>
        <v>#VALUE!</v>
      </c>
      <c r="FN153" t="e">
        <f>'2.5.Трудоемкость'!ABG15+"BYw!'zM"</f>
        <v>#VALUE!</v>
      </c>
      <c r="FO153" t="e">
        <f>'2.5.Трудоемкость'!ABH15+"BYw!'zN"</f>
        <v>#VALUE!</v>
      </c>
      <c r="FP153" t="e">
        <f>'2.5.Трудоемкость'!ABI15+"BYw!'zO"</f>
        <v>#VALUE!</v>
      </c>
      <c r="FQ153" t="e">
        <f>'2.5.Трудоемкость'!ABJ15+"BYw!'zP"</f>
        <v>#VALUE!</v>
      </c>
      <c r="FR153" t="e">
        <f>'2.5.Трудоемкость'!ABK15+"BYw!'zQ"</f>
        <v>#VALUE!</v>
      </c>
      <c r="FS153" t="e">
        <f>'2.5.Трудоемкость'!ABL15+"BYw!'zR"</f>
        <v>#VALUE!</v>
      </c>
      <c r="FT153" t="e">
        <f>'2.5.Трудоемкость'!ABM15+"BYw!'zS"</f>
        <v>#VALUE!</v>
      </c>
      <c r="FU153" t="e">
        <f>'2.5.Трудоемкость'!ABN15+"BYw!'zT"</f>
        <v>#VALUE!</v>
      </c>
      <c r="FV153" t="e">
        <f>'2.5.Трудоемкость'!ABO15+"BYw!'zU"</f>
        <v>#VALUE!</v>
      </c>
      <c r="FW153" t="e">
        <f>'2.5.Трудоемкость'!ABP15+"BYw!'zV"</f>
        <v>#VALUE!</v>
      </c>
      <c r="FX153" t="e">
        <f>'2.5.Трудоемкость'!ABQ15+"BYw!'zW"</f>
        <v>#VALUE!</v>
      </c>
      <c r="FY153" t="e">
        <f>'2.5.Трудоемкость'!ABR15+"BYw!'zX"</f>
        <v>#VALUE!</v>
      </c>
      <c r="FZ153" t="e">
        <f>'2.5.Трудоемкость'!ABS15+"BYw!'zY"</f>
        <v>#VALUE!</v>
      </c>
      <c r="GA153" t="e">
        <f>'2.5.Трудоемкость'!ABT15+"BYw!'zZ"</f>
        <v>#VALUE!</v>
      </c>
      <c r="GB153" t="e">
        <f>'2.5.Трудоемкость'!ABU15+"BYw!'z["</f>
        <v>#VALUE!</v>
      </c>
      <c r="GC153" t="e">
        <f>'2.5.Трудоемкость'!ABV15+"BYw!'z\"</f>
        <v>#VALUE!</v>
      </c>
      <c r="GD153" t="e">
        <f>'2.5.Трудоемкость'!ABW15+"BYw!'z]"</f>
        <v>#VALUE!</v>
      </c>
      <c r="GE153" t="e">
        <f>'2.5.Трудоемкость'!ABX15+"BYw!'z^"</f>
        <v>#VALUE!</v>
      </c>
      <c r="GF153" t="e">
        <f>'2.5.Трудоемкость'!ABY15+"BYw!'z_"</f>
        <v>#VALUE!</v>
      </c>
      <c r="GG153" t="e">
        <f>'2.5.Трудоемкость'!ABZ15+"BYw!'z`"</f>
        <v>#VALUE!</v>
      </c>
      <c r="GH153" t="e">
        <f>'2.5.Трудоемкость'!ACA15+"BYw!'za"</f>
        <v>#VALUE!</v>
      </c>
      <c r="GI153" t="e">
        <f>'2.5.Трудоемкость'!ACB15+"BYw!'zb"</f>
        <v>#VALUE!</v>
      </c>
      <c r="GJ153" t="e">
        <f>'2.5.Трудоемкость'!ACC15+"BYw!'zc"</f>
        <v>#VALUE!</v>
      </c>
      <c r="GK153" t="e">
        <f>'2.5.Трудоемкость'!ACD15+"BYw!'zd"</f>
        <v>#VALUE!</v>
      </c>
      <c r="GL153" t="e">
        <f>'2.5.Трудоемкость'!ACE15+"BYw!'ze"</f>
        <v>#VALUE!</v>
      </c>
      <c r="GM153" t="e">
        <f>'2.5.Трудоемкость'!ACF15+"BYw!'zf"</f>
        <v>#VALUE!</v>
      </c>
      <c r="GN153" t="e">
        <f>'2.5.Трудоемкость'!ACG15+"BYw!'zg"</f>
        <v>#VALUE!</v>
      </c>
      <c r="GO153" t="e">
        <f>'2.5.Трудоемкость'!ACH15+"BYw!'zh"</f>
        <v>#VALUE!</v>
      </c>
      <c r="GP153" t="e">
        <f>'2.5.Трудоемкость'!ACI15+"BYw!'zi"</f>
        <v>#VALUE!</v>
      </c>
      <c r="GQ153" t="e">
        <f>'2.5.Трудоемкость'!ACJ15+"BYw!'zj"</f>
        <v>#VALUE!</v>
      </c>
      <c r="GR153" t="e">
        <f>'2.5.Трудоемкость'!ACK15+"BYw!'zk"</f>
        <v>#VALUE!</v>
      </c>
      <c r="GS153" t="e">
        <f>'2.5.Трудоемкость'!ACL15+"BYw!'zl"</f>
        <v>#VALUE!</v>
      </c>
      <c r="GT153" t="e">
        <f>'2.5.Трудоемкость'!ACM15+"BYw!'zm"</f>
        <v>#VALUE!</v>
      </c>
      <c r="GU153" t="e">
        <f>'2.5.Трудоемкость'!ACN15+"BYw!'zn"</f>
        <v>#VALUE!</v>
      </c>
      <c r="GV153" t="e">
        <f>'2.5.Трудоемкость'!ACO15+"BYw!'zo"</f>
        <v>#VALUE!</v>
      </c>
      <c r="GW153" t="e">
        <f>'2.5.Трудоемкость'!ACP15+"BYw!'zp"</f>
        <v>#VALUE!</v>
      </c>
      <c r="GX153" t="e">
        <f>'2.5.Трудоемкость'!ACQ15+"BYw!'zq"</f>
        <v>#VALUE!</v>
      </c>
      <c r="GY153" t="e">
        <f>'2.5.Трудоемкость'!ACR15+"BYw!'zr"</f>
        <v>#VALUE!</v>
      </c>
      <c r="GZ153" t="e">
        <f>'2.5.Трудоемкость'!ACS15+"BYw!'zs"</f>
        <v>#VALUE!</v>
      </c>
      <c r="HA153" t="e">
        <f>'2.5.Трудоемкость'!ACT15+"BYw!'zt"</f>
        <v>#VALUE!</v>
      </c>
      <c r="HB153" t="e">
        <f>'2.5.Трудоемкость'!ACU15+"BYw!'zu"</f>
        <v>#VALUE!</v>
      </c>
      <c r="HC153" t="e">
        <f>'2.5.Трудоемкость'!ACV15+"BYw!'zv"</f>
        <v>#VALUE!</v>
      </c>
      <c r="HD153" t="e">
        <f>'2.5.Трудоемкость'!ACW15+"BYw!'zw"</f>
        <v>#VALUE!</v>
      </c>
      <c r="HE153" t="e">
        <f>'2.5.Трудоемкость'!ACX15+"BYw!'zx"</f>
        <v>#VALUE!</v>
      </c>
      <c r="HF153" t="e">
        <f>'2.5.Трудоемкость'!ACY15+"BYw!'zy"</f>
        <v>#VALUE!</v>
      </c>
      <c r="HG153" t="e">
        <f>'2.5.Трудоемкость'!ACZ15+"BYw!'zz"</f>
        <v>#VALUE!</v>
      </c>
      <c r="HH153" t="e">
        <f>'2.5.Трудоемкость'!ADA15+"BYw!'z{"</f>
        <v>#VALUE!</v>
      </c>
      <c r="HI153" t="e">
        <f>'2.5.Трудоемкость'!ADB15+"BYw!'z|"</f>
        <v>#VALUE!</v>
      </c>
      <c r="HJ153" t="e">
        <f>'2.5.Трудоемкость'!ADC15+"BYw!'z}"</f>
        <v>#VALUE!</v>
      </c>
      <c r="HK153" t="e">
        <f>'2.5.Трудоемкость'!ADD15+"BYw!'z~"</f>
        <v>#VALUE!</v>
      </c>
      <c r="HL153" t="e">
        <f>'2.5.Трудоемкость'!ADE15+"BYw!'{#"</f>
        <v>#VALUE!</v>
      </c>
      <c r="HM153" t="e">
        <f>'2.5.Трудоемкость'!ADF15+"BYw!'{$"</f>
        <v>#VALUE!</v>
      </c>
      <c r="HN153" t="e">
        <f>'2.5.Трудоемкость'!ADG15+"BYw!'{%"</f>
        <v>#VALUE!</v>
      </c>
      <c r="HO153" t="e">
        <f>'2.5.Трудоемкость'!ADH15+"BYw!'{&amp;"</f>
        <v>#VALUE!</v>
      </c>
      <c r="HP153" t="e">
        <f>'2.5.Трудоемкость'!ADI15+"BYw!'{'"</f>
        <v>#VALUE!</v>
      </c>
      <c r="HQ153" t="e">
        <f>'2.5.Трудоемкость'!ADJ15+"BYw!'{("</f>
        <v>#VALUE!</v>
      </c>
      <c r="HR153" t="e">
        <f>'2.5.Трудоемкость'!ADK15+"BYw!'{)"</f>
        <v>#VALUE!</v>
      </c>
      <c r="HS153" t="e">
        <f>'2.5.Трудоемкость'!ADL15+"BYw!'{."</f>
        <v>#VALUE!</v>
      </c>
      <c r="HT153" t="e">
        <f>'2.5.Трудоемкость'!ADM15+"BYw!'{/"</f>
        <v>#VALUE!</v>
      </c>
      <c r="HU153" t="e">
        <f>'2.5.Трудоемкость'!ADN15+"BYw!'{0"</f>
        <v>#VALUE!</v>
      </c>
      <c r="HV153" t="e">
        <f>'2.5.Трудоемкость'!ADO15+"BYw!'{1"</f>
        <v>#VALUE!</v>
      </c>
      <c r="HW153" t="e">
        <f>'2.5.Трудоемкость'!ADP15+"BYw!'{2"</f>
        <v>#VALUE!</v>
      </c>
      <c r="HX153" t="e">
        <f>'2.5.Трудоемкость'!ADQ15+"BYw!'{3"</f>
        <v>#VALUE!</v>
      </c>
      <c r="HY153" t="e">
        <f>'2.5.Трудоемкость'!ADR15+"BYw!'{4"</f>
        <v>#VALUE!</v>
      </c>
      <c r="HZ153" t="e">
        <f>'2.5.Трудоемкость'!ADS15+"BYw!'{5"</f>
        <v>#VALUE!</v>
      </c>
      <c r="IA153" t="e">
        <f>'2.5.Трудоемкость'!ADT15+"BYw!'{6"</f>
        <v>#VALUE!</v>
      </c>
      <c r="IB153" t="e">
        <f>'2.5.Трудоемкость'!ADU15+"BYw!'{7"</f>
        <v>#VALUE!</v>
      </c>
      <c r="IC153" t="e">
        <f>'2.5.Трудоемкость'!ADV15+"BYw!'{8"</f>
        <v>#VALUE!</v>
      </c>
      <c r="ID153" t="e">
        <f>'2.5.Трудоемкость'!ADW15+"BYw!'{9"</f>
        <v>#VALUE!</v>
      </c>
      <c r="IE153" t="e">
        <f>'2.5.Трудоемкость'!ADX15+"BYw!'{:"</f>
        <v>#VALUE!</v>
      </c>
      <c r="IF153" t="e">
        <f>'2.5.Трудоемкость'!ADY15+"BYw!'{;"</f>
        <v>#VALUE!</v>
      </c>
      <c r="IG153" t="e">
        <f>'2.5.Трудоемкость'!ADZ15+"BYw!'{&lt;"</f>
        <v>#VALUE!</v>
      </c>
      <c r="IH153" t="e">
        <f>'2.5.Трудоемкость'!AEA15+"BYw!'{="</f>
        <v>#VALUE!</v>
      </c>
      <c r="II153" t="e">
        <f>'2.5.Трудоемкость'!AEB15+"BYw!'{&gt;"</f>
        <v>#VALUE!</v>
      </c>
      <c r="IJ153" t="e">
        <f>'2.5.Трудоемкость'!AEC15+"BYw!'{?"</f>
        <v>#VALUE!</v>
      </c>
      <c r="IK153" t="e">
        <f>'2.5.Трудоемкость'!AED15+"BYw!'{@"</f>
        <v>#VALUE!</v>
      </c>
      <c r="IL153" t="e">
        <f>'2.5.Трудоемкость'!AEE15+"BYw!'{A"</f>
        <v>#VALUE!</v>
      </c>
      <c r="IM153" t="e">
        <f>'2.5.Трудоемкость'!AEF15+"BYw!'{B"</f>
        <v>#VALUE!</v>
      </c>
      <c r="IN153" t="e">
        <f>'2.5.Трудоемкость'!AEG15+"BYw!'{C"</f>
        <v>#VALUE!</v>
      </c>
      <c r="IO153" t="e">
        <f>'2.5.Трудоемкость'!AEH15+"BYw!'{D"</f>
        <v>#VALUE!</v>
      </c>
      <c r="IP153" t="e">
        <f>'2.5.Трудоемкость'!AEI15+"BYw!'{E"</f>
        <v>#VALUE!</v>
      </c>
      <c r="IQ153" t="e">
        <f>'2.5.Трудоемкость'!AEJ15+"BYw!'{F"</f>
        <v>#VALUE!</v>
      </c>
      <c r="IR153" t="e">
        <f>'2.5.Трудоемкость'!AEK15+"BYw!'{G"</f>
        <v>#VALUE!</v>
      </c>
      <c r="IS153" t="e">
        <f>'2.5.Трудоемкость'!AEL15+"BYw!'{H"</f>
        <v>#VALUE!</v>
      </c>
      <c r="IT153" t="e">
        <f>'2.5.Трудоемкость'!AEM15+"BYw!'{I"</f>
        <v>#VALUE!</v>
      </c>
      <c r="IU153" t="e">
        <f>'2.5.Трудоемкость'!AEN15+"BYw!'{J"</f>
        <v>#VALUE!</v>
      </c>
      <c r="IV153" t="e">
        <f>'2.5.Трудоемкость'!AEO15+"BYw!'{K"</f>
        <v>#VALUE!</v>
      </c>
    </row>
    <row r="154" spans="6:256" x14ac:dyDescent="0.2">
      <c r="F154" t="e">
        <f>'2.5.Трудоемкость'!AEP15+"BYw!'{L"</f>
        <v>#VALUE!</v>
      </c>
      <c r="G154" t="e">
        <f>'2.5.Трудоемкость'!AEQ15+"BYw!'{M"</f>
        <v>#VALUE!</v>
      </c>
      <c r="H154" t="e">
        <f>'2.5.Трудоемкость'!AER15+"BYw!'{N"</f>
        <v>#VALUE!</v>
      </c>
      <c r="I154" t="e">
        <f>'2.5.Трудоемкость'!AES15+"BYw!'{O"</f>
        <v>#VALUE!</v>
      </c>
      <c r="J154" t="e">
        <f>'2.5.Трудоемкость'!AET15+"BYw!'{P"</f>
        <v>#VALUE!</v>
      </c>
      <c r="K154" t="e">
        <f>'2.5.Трудоемкость'!AEU15+"BYw!'{Q"</f>
        <v>#VALUE!</v>
      </c>
      <c r="L154" t="e">
        <f>'2.5.Трудоемкость'!AEV15+"BYw!'{R"</f>
        <v>#VALUE!</v>
      </c>
      <c r="M154" t="e">
        <f>'2.5.Трудоемкость'!AEW15+"BYw!'{S"</f>
        <v>#VALUE!</v>
      </c>
      <c r="N154" t="e">
        <f>'2.5.Трудоемкость'!AEX15+"BYw!'{T"</f>
        <v>#VALUE!</v>
      </c>
      <c r="O154" t="e">
        <f>'2.5.Трудоемкость'!AEY15+"BYw!'{U"</f>
        <v>#VALUE!</v>
      </c>
      <c r="P154" t="e">
        <f>'2.5.Трудоемкость'!AEZ15+"BYw!'{V"</f>
        <v>#VALUE!</v>
      </c>
      <c r="Q154" t="e">
        <f>'2.5.Трудоемкость'!AFA15+"BYw!'{W"</f>
        <v>#VALUE!</v>
      </c>
      <c r="R154" t="e">
        <f>'2.5.Трудоемкость'!AFB15+"BYw!'{X"</f>
        <v>#VALUE!</v>
      </c>
      <c r="S154" t="e">
        <f>'2.5.Трудоемкость'!AFC15+"BYw!'{Y"</f>
        <v>#VALUE!</v>
      </c>
      <c r="T154" t="e">
        <f>'2.5.Трудоемкость'!AFD15+"BYw!'{Z"</f>
        <v>#VALUE!</v>
      </c>
      <c r="U154" t="e">
        <f>'2.5.Трудоемкость'!AFE15+"BYw!'{["</f>
        <v>#VALUE!</v>
      </c>
      <c r="V154" t="e">
        <f>'2.5.Трудоемкость'!AFF15+"BYw!'{\"</f>
        <v>#VALUE!</v>
      </c>
      <c r="W154" t="e">
        <f>'2.5.Трудоемкость'!AFG15+"BYw!'{]"</f>
        <v>#VALUE!</v>
      </c>
      <c r="X154" t="e">
        <f>'2.5.Трудоемкость'!AFH15+"BYw!'{^"</f>
        <v>#VALUE!</v>
      </c>
      <c r="Y154" t="e">
        <f>'2.5.Трудоемкость'!AFI15+"BYw!'{_"</f>
        <v>#VALUE!</v>
      </c>
      <c r="Z154" t="e">
        <f>'2.5.Трудоемкость'!AFJ15+"BYw!'{`"</f>
        <v>#VALUE!</v>
      </c>
      <c r="AA154" t="e">
        <f>'2.5.Трудоемкость'!AFK15+"BYw!'{a"</f>
        <v>#VALUE!</v>
      </c>
      <c r="AB154" t="e">
        <f>'2.5.Трудоемкость'!AFL15+"BYw!'{b"</f>
        <v>#VALUE!</v>
      </c>
      <c r="AC154" t="e">
        <f>'2.5.Трудоемкость'!AFM15+"BYw!'{c"</f>
        <v>#VALUE!</v>
      </c>
      <c r="AD154" t="e">
        <f>'2.5.Трудоемкость'!AFN15+"BYw!'{d"</f>
        <v>#VALUE!</v>
      </c>
      <c r="AE154" t="e">
        <f>'2.5.Трудоемкость'!AFO15+"BYw!'{e"</f>
        <v>#VALUE!</v>
      </c>
      <c r="AF154" t="e">
        <f>'2.5.Трудоемкость'!AFP15+"BYw!'{f"</f>
        <v>#VALUE!</v>
      </c>
      <c r="AG154" t="e">
        <f>'2.5.Трудоемкость'!AFQ15+"BYw!'{g"</f>
        <v>#VALUE!</v>
      </c>
      <c r="AH154" t="e">
        <f>'2.5.Трудоемкость'!AFR15+"BYw!'{h"</f>
        <v>#VALUE!</v>
      </c>
      <c r="AI154" t="e">
        <f>'2.5.Трудоемкость'!AFS15+"BYw!'{i"</f>
        <v>#VALUE!</v>
      </c>
      <c r="AJ154" t="e">
        <f>'2.5.Трудоемкость'!AFT15+"BYw!'{j"</f>
        <v>#VALUE!</v>
      </c>
      <c r="AK154" t="e">
        <f>'2.5.Трудоемкость'!AFU15+"BYw!'{k"</f>
        <v>#VALUE!</v>
      </c>
      <c r="AL154" t="e">
        <f>'2.5.Трудоемкость'!AFV15+"BYw!'{l"</f>
        <v>#VALUE!</v>
      </c>
      <c r="AM154" t="e">
        <f>'2.5.Трудоемкость'!AFW15+"BYw!'{m"</f>
        <v>#VALUE!</v>
      </c>
      <c r="AN154" t="e">
        <f>'2.5.Трудоемкость'!AFX15+"BYw!'{n"</f>
        <v>#VALUE!</v>
      </c>
      <c r="AO154" t="e">
        <f>'2.5.Трудоемкость'!AFY15+"BYw!'{o"</f>
        <v>#VALUE!</v>
      </c>
      <c r="AP154" t="e">
        <f>'2.5.Трудоемкость'!AFZ15+"BYw!'{p"</f>
        <v>#VALUE!</v>
      </c>
      <c r="AQ154" t="e">
        <f>'2.5.Трудоемкость'!AGA15+"BYw!'{q"</f>
        <v>#VALUE!</v>
      </c>
      <c r="AR154" t="e">
        <f>'2.5.Трудоемкость'!AGB15+"BYw!'{r"</f>
        <v>#VALUE!</v>
      </c>
      <c r="AS154" t="e">
        <f>'2.5.Трудоемкость'!AGC15+"BYw!'{s"</f>
        <v>#VALUE!</v>
      </c>
      <c r="AT154" t="e">
        <f>'2.5.Трудоемкость'!AGD15+"BYw!'{t"</f>
        <v>#VALUE!</v>
      </c>
      <c r="AU154" t="e">
        <f>'2.5.Трудоемкость'!AGE15+"BYw!'{u"</f>
        <v>#VALUE!</v>
      </c>
      <c r="AV154" t="e">
        <f>'2.5.Трудоемкость'!AGF15+"BYw!'{v"</f>
        <v>#VALUE!</v>
      </c>
      <c r="AW154" t="e">
        <f>'2.5.Трудоемкость'!AGG15+"BYw!'{w"</f>
        <v>#VALUE!</v>
      </c>
      <c r="AX154" t="e">
        <f>'2.5.Трудоемкость'!AGH15+"BYw!'{x"</f>
        <v>#VALUE!</v>
      </c>
      <c r="AY154" t="e">
        <f>'2.5.Трудоемкость'!AGI15+"BYw!'{y"</f>
        <v>#VALUE!</v>
      </c>
      <c r="AZ154" t="e">
        <f>'2.5.Трудоемкость'!AGJ15+"BYw!'{z"</f>
        <v>#VALUE!</v>
      </c>
      <c r="BA154" t="e">
        <f>'2.5.Трудоемкость'!AGK15+"BYw!'{{"</f>
        <v>#VALUE!</v>
      </c>
      <c r="BB154" t="e">
        <f>'2.5.Трудоемкость'!AGL15+"BYw!'{|"</f>
        <v>#VALUE!</v>
      </c>
      <c r="BC154" t="e">
        <f>'2.5.Трудоемкость'!AGM15+"BYw!'{}"</f>
        <v>#VALUE!</v>
      </c>
      <c r="BD154" t="e">
        <f>'2.5.Трудоемкость'!AGN15+"BYw!'{~"</f>
        <v>#VALUE!</v>
      </c>
      <c r="BE154" t="e">
        <f>'2.5.Трудоемкость'!AGO15+"BYw!'|#"</f>
        <v>#VALUE!</v>
      </c>
      <c r="BF154" t="e">
        <f>'2.5.Трудоемкость'!AGP15+"BYw!'|$"</f>
        <v>#VALUE!</v>
      </c>
      <c r="BG154" t="e">
        <f>'2.5.Трудоемкость'!AGQ15+"BYw!'|%"</f>
        <v>#VALUE!</v>
      </c>
      <c r="BH154" t="e">
        <f>'2.5.Трудоемкость'!AGR15+"BYw!'|&amp;"</f>
        <v>#VALUE!</v>
      </c>
      <c r="BI154" t="e">
        <f>'2.5.Трудоемкость'!AGS15+"BYw!'|'"</f>
        <v>#VALUE!</v>
      </c>
      <c r="BJ154" t="e">
        <f>'2.5.Трудоемкость'!AGT15+"BYw!'|("</f>
        <v>#VALUE!</v>
      </c>
      <c r="BK154" t="e">
        <f>'2.5.Трудоемкость'!AGU15+"BYw!'|)"</f>
        <v>#VALUE!</v>
      </c>
      <c r="BL154" t="e">
        <f>'2.5.Трудоемкость'!AGV15+"BYw!'|."</f>
        <v>#VALUE!</v>
      </c>
      <c r="BM154" t="e">
        <f>'2.5.Трудоемкость'!AGW15+"BYw!'|/"</f>
        <v>#VALUE!</v>
      </c>
      <c r="BN154" t="e">
        <f>'2.5.Трудоемкость'!AGX15+"BYw!'|0"</f>
        <v>#VALUE!</v>
      </c>
      <c r="BO154" t="e">
        <f>'2.5.Трудоемкость'!AGY15+"BYw!'|1"</f>
        <v>#VALUE!</v>
      </c>
      <c r="BP154" t="e">
        <f>'2.5.Трудоемкость'!AGZ15+"BYw!'|2"</f>
        <v>#VALUE!</v>
      </c>
      <c r="BQ154" t="e">
        <f>'2.5.Трудоемкость'!AHA15+"BYw!'|3"</f>
        <v>#VALUE!</v>
      </c>
      <c r="BR154" t="e">
        <f>'2.5.Трудоемкость'!AHB15+"BYw!'|4"</f>
        <v>#VALUE!</v>
      </c>
      <c r="BS154" t="e">
        <f>'2.5.Трудоемкость'!AHC15+"BYw!'|5"</f>
        <v>#VALUE!</v>
      </c>
      <c r="BT154" t="e">
        <f>'2.5.Трудоемкость'!AHD15+"BYw!'|6"</f>
        <v>#VALUE!</v>
      </c>
      <c r="BU154" t="e">
        <f>'2.5.Трудоемкость'!AHE15+"BYw!'|7"</f>
        <v>#VALUE!</v>
      </c>
      <c r="BV154" t="e">
        <f>'2.5.Трудоемкость'!AHF15+"BYw!'|8"</f>
        <v>#VALUE!</v>
      </c>
      <c r="BW154" t="e">
        <f>'2.5.Трудоемкость'!AHG15+"BYw!'|9"</f>
        <v>#VALUE!</v>
      </c>
      <c r="BX154" t="e">
        <f>'2.5.Трудоемкость'!AHH15+"BYw!'|:"</f>
        <v>#VALUE!</v>
      </c>
      <c r="BY154" t="e">
        <f>'2.5.Трудоемкость'!AHI15+"BYw!'|;"</f>
        <v>#VALUE!</v>
      </c>
      <c r="BZ154" t="e">
        <f>'2.5.Трудоемкость'!AHJ15+"BYw!'|&lt;"</f>
        <v>#VALUE!</v>
      </c>
      <c r="CA154" t="e">
        <f>'2.5.Трудоемкость'!AHK15+"BYw!'|="</f>
        <v>#VALUE!</v>
      </c>
      <c r="CB154" t="e">
        <f>'2.5.Трудоемкость'!AHL15+"BYw!'|&gt;"</f>
        <v>#VALUE!</v>
      </c>
      <c r="CC154" t="e">
        <f>'2.5.Трудоемкость'!AHM15+"BYw!'|?"</f>
        <v>#VALUE!</v>
      </c>
      <c r="CD154" t="e">
        <f>'2.5.Трудоемкость'!AHN15+"BYw!'|@"</f>
        <v>#VALUE!</v>
      </c>
      <c r="CE154" t="e">
        <f>'2.5.Трудоемкость'!AHO15+"BYw!'|A"</f>
        <v>#VALUE!</v>
      </c>
      <c r="CF154" t="e">
        <f>'2.5.Трудоемкость'!AHP15+"BYw!'|B"</f>
        <v>#VALUE!</v>
      </c>
      <c r="CG154" t="e">
        <f>'2.5.Трудоемкость'!AHQ15+"BYw!'|C"</f>
        <v>#VALUE!</v>
      </c>
      <c r="CH154" t="e">
        <f>'2.5.Трудоемкость'!AHR15+"BYw!'|D"</f>
        <v>#VALUE!</v>
      </c>
      <c r="CI154" t="e">
        <f>'2.5.Трудоемкость'!AHS15+"BYw!'|E"</f>
        <v>#VALUE!</v>
      </c>
      <c r="CJ154" t="e">
        <f>'2.5.Трудоемкость'!AHT15+"BYw!'|F"</f>
        <v>#VALUE!</v>
      </c>
      <c r="CK154" t="e">
        <f>'2.5.Трудоемкость'!AHU15+"BYw!'|G"</f>
        <v>#VALUE!</v>
      </c>
      <c r="CL154" t="e">
        <f>'2.5.Трудоемкость'!AHV15+"BYw!'|H"</f>
        <v>#VALUE!</v>
      </c>
      <c r="CM154" t="e">
        <f>'2.5.Трудоемкость'!AHW15+"BYw!'|I"</f>
        <v>#VALUE!</v>
      </c>
      <c r="CN154" t="e">
        <f>'2.5.Трудоемкость'!AHX15+"BYw!'|J"</f>
        <v>#VALUE!</v>
      </c>
      <c r="CO154" t="e">
        <f>'2.5.Трудоемкость'!AHY15+"BYw!'|K"</f>
        <v>#VALUE!</v>
      </c>
      <c r="CP154" t="e">
        <f>'2.5.Трудоемкость'!AHZ15+"BYw!'|L"</f>
        <v>#VALUE!</v>
      </c>
      <c r="CQ154" t="e">
        <f>'2.5.Трудоемкость'!AIA15+"BYw!'|M"</f>
        <v>#VALUE!</v>
      </c>
      <c r="CR154" t="e">
        <f>'2.5.Трудоемкость'!AIB15+"BYw!'|N"</f>
        <v>#VALUE!</v>
      </c>
      <c r="CS154" t="e">
        <f>'2.5.Трудоемкость'!AIC15+"BYw!'|O"</f>
        <v>#VALUE!</v>
      </c>
      <c r="CT154" t="e">
        <f>'2.5.Трудоемкость'!AID15+"BYw!'|P"</f>
        <v>#VALUE!</v>
      </c>
      <c r="CU154" t="e">
        <f>'2.5.Трудоемкость'!AIE15+"BYw!'|Q"</f>
        <v>#VALUE!</v>
      </c>
      <c r="CV154" t="e">
        <f>'2.5.Трудоемкость'!AIF15+"BYw!'|R"</f>
        <v>#VALUE!</v>
      </c>
      <c r="CW154" t="e">
        <f>'2.5.Трудоемкость'!AIG15+"BYw!'|S"</f>
        <v>#VALUE!</v>
      </c>
      <c r="CX154" t="e">
        <f>'2.5.Трудоемкость'!AIH15+"BYw!'|T"</f>
        <v>#VALUE!</v>
      </c>
      <c r="CY154" t="e">
        <f>'2.5.Трудоемкость'!AII15+"BYw!'|U"</f>
        <v>#VALUE!</v>
      </c>
      <c r="CZ154" t="e">
        <f>'2.5.Трудоемкость'!AIJ15+"BYw!'|V"</f>
        <v>#VALUE!</v>
      </c>
      <c r="DA154" t="e">
        <f>'2.5.Трудоемкость'!AIK15+"BYw!'|W"</f>
        <v>#VALUE!</v>
      </c>
      <c r="DB154" t="e">
        <f>'2.5.Трудоемкость'!AIL15+"BYw!'|X"</f>
        <v>#VALUE!</v>
      </c>
      <c r="DC154" t="e">
        <f>'2.5.Трудоемкость'!AIM15+"BYw!'|Y"</f>
        <v>#VALUE!</v>
      </c>
      <c r="DD154" t="e">
        <f>'2.5.Трудоемкость'!AIN15+"BYw!'|Z"</f>
        <v>#VALUE!</v>
      </c>
      <c r="DE154" t="e">
        <f>'2.5.Трудоемкость'!AIO15+"BYw!'|["</f>
        <v>#VALUE!</v>
      </c>
      <c r="DF154" t="e">
        <f>'2.5.Трудоемкость'!AIP15+"BYw!'|\"</f>
        <v>#VALUE!</v>
      </c>
      <c r="DG154" t="e">
        <f>'2.5.Трудоемкость'!AIQ15+"BYw!'|]"</f>
        <v>#VALUE!</v>
      </c>
      <c r="DH154" t="e">
        <f>'2.5.Трудоемкость'!AIR15+"BYw!'|^"</f>
        <v>#VALUE!</v>
      </c>
      <c r="DI154" t="e">
        <f>'2.5.Трудоемкость'!AIS15+"BYw!'|_"</f>
        <v>#VALUE!</v>
      </c>
      <c r="DJ154" t="e">
        <f>'2.5.Трудоемкость'!AIT15+"BYw!'|`"</f>
        <v>#VALUE!</v>
      </c>
      <c r="DK154" t="e">
        <f>'2.5.Трудоемкость'!AIU15+"BYw!'|a"</f>
        <v>#VALUE!</v>
      </c>
      <c r="DL154" t="e">
        <f>'2.5.Трудоемкость'!AIV15+"BYw!'|b"</f>
        <v>#VALUE!</v>
      </c>
      <c r="DM154" t="e">
        <f>'2.5.Трудоемкость'!AIW15+"BYw!'|c"</f>
        <v>#VALUE!</v>
      </c>
      <c r="DN154" t="e">
        <f>'2.5.Трудоемкость'!AIX15+"BYw!'|d"</f>
        <v>#VALUE!</v>
      </c>
      <c r="DO154" t="e">
        <f>'2.5.Трудоемкость'!AIY15+"BYw!'|e"</f>
        <v>#VALUE!</v>
      </c>
      <c r="DP154" t="e">
        <f>'2.5.Трудоемкость'!AIZ15+"BYw!'|f"</f>
        <v>#VALUE!</v>
      </c>
      <c r="DQ154" t="e">
        <f>'2.5.Трудоемкость'!AJA15+"BYw!'|g"</f>
        <v>#VALUE!</v>
      </c>
      <c r="DR154" t="e">
        <f>'2.5.Трудоемкость'!AJB15+"BYw!'|h"</f>
        <v>#VALUE!</v>
      </c>
      <c r="DS154" t="e">
        <f>'2.5.Трудоемкость'!AJC15+"BYw!'|i"</f>
        <v>#VALUE!</v>
      </c>
      <c r="DT154" t="e">
        <f>'2.5.Трудоемкость'!AJD15+"BYw!'|j"</f>
        <v>#VALUE!</v>
      </c>
      <c r="DU154" t="e">
        <f>'2.5.Трудоемкость'!AJE15+"BYw!'|k"</f>
        <v>#VALUE!</v>
      </c>
      <c r="DV154" t="e">
        <f>'2.5.Трудоемкость'!AJF15+"BYw!'|l"</f>
        <v>#VALUE!</v>
      </c>
      <c r="DW154" t="e">
        <f>'2.5.Трудоемкость'!AJG15+"BYw!'|m"</f>
        <v>#VALUE!</v>
      </c>
      <c r="DX154" t="e">
        <f>'2.5.Трудоемкость'!AJH15+"BYw!'|n"</f>
        <v>#VALUE!</v>
      </c>
      <c r="DY154" t="e">
        <f>'2.5.Трудоемкость'!AJI15+"BYw!'|o"</f>
        <v>#VALUE!</v>
      </c>
      <c r="DZ154" t="e">
        <f>'2.5.Трудоемкость'!AJJ15+"BYw!'|p"</f>
        <v>#VALUE!</v>
      </c>
      <c r="EA154" t="e">
        <f>'2.5.Трудоемкость'!AJK15+"BYw!'|q"</f>
        <v>#VALUE!</v>
      </c>
      <c r="EB154" t="e">
        <f>'2.5.Трудоемкость'!AJL15+"BYw!'|r"</f>
        <v>#VALUE!</v>
      </c>
      <c r="EC154" t="e">
        <f>'2.5.Трудоемкость'!AJM15+"BYw!'|s"</f>
        <v>#VALUE!</v>
      </c>
      <c r="ED154" t="e">
        <f>'2.5.Трудоемкость'!AJN15+"BYw!'|t"</f>
        <v>#VALUE!</v>
      </c>
      <c r="EE154" t="e">
        <f>'2.5.Трудоемкость'!AJO15+"BYw!'|u"</f>
        <v>#VALUE!</v>
      </c>
      <c r="EF154" t="e">
        <f>'2.5.Трудоемкость'!AJP15+"BYw!'|v"</f>
        <v>#VALUE!</v>
      </c>
      <c r="EG154" t="e">
        <f>'2.5.Трудоемкость'!AJQ15+"BYw!'|w"</f>
        <v>#VALUE!</v>
      </c>
      <c r="EH154" t="e">
        <f>'2.5.Трудоемкость'!AJR15+"BYw!'|x"</f>
        <v>#VALUE!</v>
      </c>
      <c r="EI154" t="e">
        <f>'2.5.Трудоемкость'!AJS15+"BYw!'|y"</f>
        <v>#VALUE!</v>
      </c>
      <c r="EJ154" t="e">
        <f>'2.5.Трудоемкость'!AJT15+"BYw!'|z"</f>
        <v>#VALUE!</v>
      </c>
      <c r="EK154" t="e">
        <f>'2.5.Трудоемкость'!AJU15+"BYw!'|{"</f>
        <v>#VALUE!</v>
      </c>
      <c r="EL154" t="e">
        <f>'2.5.Трудоемкость'!AJV15+"BYw!'||"</f>
        <v>#VALUE!</v>
      </c>
      <c r="EM154" t="e">
        <f>'2.5.Трудоемкость'!AJW15+"BYw!'|}"</f>
        <v>#VALUE!</v>
      </c>
      <c r="EN154" t="e">
        <f>'2.5.Трудоемкость'!AJX15+"BYw!'|~"</f>
        <v>#VALUE!</v>
      </c>
      <c r="EO154" t="e">
        <f>'2.5.Трудоемкость'!AJY15+"BYw!'}#"</f>
        <v>#VALUE!</v>
      </c>
      <c r="EP154" t="e">
        <f>'2.5.Трудоемкость'!AJZ15+"BYw!'}$"</f>
        <v>#VALUE!</v>
      </c>
      <c r="EQ154" t="e">
        <f>'2.5.Трудоемкость'!AKA15+"BYw!'}%"</f>
        <v>#VALUE!</v>
      </c>
      <c r="ER154" t="e">
        <f>'2.5.Трудоемкость'!AKB15+"BYw!'}&amp;"</f>
        <v>#VALUE!</v>
      </c>
      <c r="ES154" t="e">
        <f>'2.5.Трудоемкость'!AKC15+"BYw!'}'"</f>
        <v>#VALUE!</v>
      </c>
      <c r="ET154" t="e">
        <f>'2.5.Трудоемкость'!AKD15+"BYw!'}("</f>
        <v>#VALUE!</v>
      </c>
      <c r="EU154" t="e">
        <f>'2.5.Трудоемкость'!AKE15+"BYw!'})"</f>
        <v>#VALUE!</v>
      </c>
      <c r="EV154" t="e">
        <f>'2.5.Трудоемкость'!AKF15+"BYw!'}."</f>
        <v>#VALUE!</v>
      </c>
      <c r="EW154" t="e">
        <f>'2.5.Трудоемкость'!AKG15+"BYw!'}/"</f>
        <v>#VALUE!</v>
      </c>
      <c r="EX154" t="e">
        <f>'2.5.Трудоемкость'!AKH15+"BYw!'}0"</f>
        <v>#VALUE!</v>
      </c>
      <c r="EY154" t="e">
        <f>'2.5.Трудоемкость'!AKI15+"BYw!'}1"</f>
        <v>#VALUE!</v>
      </c>
      <c r="EZ154" t="e">
        <f>'2.5.Трудоемкость'!AKJ15+"BYw!'}2"</f>
        <v>#VALUE!</v>
      </c>
      <c r="FA154" t="e">
        <f>'2.5.Трудоемкость'!AKK15+"BYw!'}3"</f>
        <v>#VALUE!</v>
      </c>
      <c r="FB154" t="e">
        <f>'2.5.Трудоемкость'!AKL15+"BYw!'}4"</f>
        <v>#VALUE!</v>
      </c>
      <c r="FC154" t="e">
        <f>'2.5.Трудоемкость'!AKM15+"BYw!'}5"</f>
        <v>#VALUE!</v>
      </c>
      <c r="FD154" t="e">
        <f>'2.5.Трудоемкость'!AKN15+"BYw!'}6"</f>
        <v>#VALUE!</v>
      </c>
      <c r="FE154" t="e">
        <f>'2.5.Трудоемкость'!AKO15+"BYw!'}7"</f>
        <v>#VALUE!</v>
      </c>
      <c r="FF154" t="e">
        <f>'2.5.Трудоемкость'!AKP15+"BYw!'}8"</f>
        <v>#VALUE!</v>
      </c>
      <c r="FG154" t="e">
        <f>'2.5.Трудоемкость'!AKQ15+"BYw!'}9"</f>
        <v>#VALUE!</v>
      </c>
      <c r="FH154" t="e">
        <f>'2.5.Трудоемкость'!AKR15+"BYw!'}:"</f>
        <v>#VALUE!</v>
      </c>
      <c r="FI154" t="e">
        <f>'2.5.Трудоемкость'!AKS15+"BYw!'};"</f>
        <v>#VALUE!</v>
      </c>
      <c r="FJ154" t="e">
        <f>'2.5.Трудоемкость'!AKT15+"BYw!'}&lt;"</f>
        <v>#VALUE!</v>
      </c>
      <c r="FK154" t="e">
        <f>'2.5.Трудоемкость'!AKU15+"BYw!'}="</f>
        <v>#VALUE!</v>
      </c>
      <c r="FL154" t="e">
        <f>'2.5.Трудоемкость'!AKV15+"BYw!'}&gt;"</f>
        <v>#VALUE!</v>
      </c>
      <c r="FM154" t="e">
        <f>'2.5.Трудоемкость'!AKW15+"BYw!'}?"</f>
        <v>#VALUE!</v>
      </c>
      <c r="FN154" t="e">
        <f>'2.5.Трудоемкость'!AKX15+"BYw!'}@"</f>
        <v>#VALUE!</v>
      </c>
      <c r="FO154" t="e">
        <f>'2.5.Трудоемкость'!AKY15+"BYw!'}A"</f>
        <v>#VALUE!</v>
      </c>
      <c r="FP154" t="e">
        <f>'2.5.Трудоемкость'!AKZ15+"BYw!'}B"</f>
        <v>#VALUE!</v>
      </c>
      <c r="FQ154" t="e">
        <f>'2.5.Трудоемкость'!ALA15+"BYw!'}C"</f>
        <v>#VALUE!</v>
      </c>
      <c r="FR154" t="e">
        <f>'2.5.Трудоемкость'!ALB15+"BYw!'}D"</f>
        <v>#VALUE!</v>
      </c>
      <c r="FS154" t="e">
        <f>'2.5.Трудоемкость'!ALC15+"BYw!'}E"</f>
        <v>#VALUE!</v>
      </c>
      <c r="FT154" t="e">
        <f>'2.5.Трудоемкость'!ALD15+"BYw!'}F"</f>
        <v>#VALUE!</v>
      </c>
      <c r="FU154" t="e">
        <f>'2.5.Трудоемкость'!ALE15+"BYw!'}G"</f>
        <v>#VALUE!</v>
      </c>
      <c r="FV154" t="e">
        <f>'2.5.Трудоемкость'!ALF15+"BYw!'}H"</f>
        <v>#VALUE!</v>
      </c>
      <c r="FW154" t="e">
        <f>'2.5.Трудоемкость'!ALG15+"BYw!'}I"</f>
        <v>#VALUE!</v>
      </c>
      <c r="FX154" t="e">
        <f>'2.5.Трудоемкость'!ALH15+"BYw!'}J"</f>
        <v>#VALUE!</v>
      </c>
      <c r="FY154" t="e">
        <f>'2.5.Трудоемкость'!ALI15+"BYw!'}K"</f>
        <v>#VALUE!</v>
      </c>
      <c r="FZ154" t="e">
        <f>'2.5.Трудоемкость'!ALJ15+"BYw!'}L"</f>
        <v>#VALUE!</v>
      </c>
      <c r="GA154" t="e">
        <f>'2.5.Трудоемкость'!ALK15+"BYw!'}M"</f>
        <v>#VALUE!</v>
      </c>
      <c r="GB154" t="e">
        <f>'2.5.Трудоемкость'!ALL15+"BYw!'}N"</f>
        <v>#VALUE!</v>
      </c>
      <c r="GC154" t="e">
        <f>'2.5.Трудоемкость'!ALM15+"BYw!'}O"</f>
        <v>#VALUE!</v>
      </c>
      <c r="GD154" t="e">
        <f>'2.5.Трудоемкость'!ALN15+"BYw!'}P"</f>
        <v>#VALUE!</v>
      </c>
      <c r="GE154" t="e">
        <f>'2.5.Трудоемкость'!ALO15+"BYw!'}Q"</f>
        <v>#VALUE!</v>
      </c>
      <c r="GF154" t="e">
        <f>'2.5.Трудоемкость'!ALP15+"BYw!'}R"</f>
        <v>#VALUE!</v>
      </c>
      <c r="GG154" t="e">
        <f>'2.5.Трудоемкость'!ALQ15+"BYw!'}S"</f>
        <v>#VALUE!</v>
      </c>
      <c r="GH154" t="e">
        <f>'2.5.Трудоемкость'!ALR15+"BYw!'}T"</f>
        <v>#VALUE!</v>
      </c>
      <c r="GI154" t="e">
        <f>'2.5.Трудоемкость'!ALS15+"BYw!'}U"</f>
        <v>#VALUE!</v>
      </c>
      <c r="GJ154" t="e">
        <f>'2.5.Трудоемкость'!ALT15+"BYw!'}V"</f>
        <v>#VALUE!</v>
      </c>
      <c r="GK154" t="e">
        <f>'2.5.Трудоемкость'!ALU15+"BYw!'}W"</f>
        <v>#VALUE!</v>
      </c>
      <c r="GL154" t="e">
        <f>'2.5.Трудоемкость'!ALV15+"BYw!'}X"</f>
        <v>#VALUE!</v>
      </c>
      <c r="GM154" t="e">
        <f>'2.5.Трудоемкость'!ALW15+"BYw!'}Y"</f>
        <v>#VALUE!</v>
      </c>
      <c r="GN154" t="e">
        <f>'2.5.Трудоемкость'!ALX15+"BYw!'}Z"</f>
        <v>#VALUE!</v>
      </c>
      <c r="GO154" t="e">
        <f>'2.5.Трудоемкость'!ALY15+"BYw!'}["</f>
        <v>#VALUE!</v>
      </c>
      <c r="GP154" t="e">
        <f>'2.5.Трудоемкость'!ALZ15+"BYw!'}\"</f>
        <v>#VALUE!</v>
      </c>
      <c r="GQ154" t="e">
        <f>'2.5.Трудоемкость'!AMA15+"BYw!'}]"</f>
        <v>#VALUE!</v>
      </c>
      <c r="GR154" t="e">
        <f>'2.5.Трудоемкость'!AMB15+"BYw!'}^"</f>
        <v>#VALUE!</v>
      </c>
      <c r="GS154" t="e">
        <f>'2.5.Трудоемкость'!AMC15+"BYw!'}_"</f>
        <v>#VALUE!</v>
      </c>
      <c r="GT154" t="e">
        <f>'2.5.Трудоемкость'!AMD15+"BYw!'}`"</f>
        <v>#VALUE!</v>
      </c>
      <c r="GU154" t="e">
        <f>'2.5.Трудоемкость'!AME15+"BYw!'}a"</f>
        <v>#VALUE!</v>
      </c>
      <c r="GV154" t="e">
        <f>'2.5.Трудоемкость'!AMF15+"BYw!'}b"</f>
        <v>#VALUE!</v>
      </c>
      <c r="GW154" t="e">
        <f>'2.5.Трудоемкость'!AMG15+"BYw!'}c"</f>
        <v>#VALUE!</v>
      </c>
      <c r="GX154" t="e">
        <f>'2.5.Трудоемкость'!AMH15+"BYw!'}d"</f>
        <v>#VALUE!</v>
      </c>
      <c r="GY154" t="e">
        <f>'2.5.Трудоемкость'!AMI15+"BYw!'}e"</f>
        <v>#VALUE!</v>
      </c>
      <c r="GZ154" t="e">
        <f>'2.5.Трудоемкость'!AMJ15+"BYw!'}f"</f>
        <v>#VALUE!</v>
      </c>
      <c r="HA154" t="e">
        <f>'2.5.Трудоемкость'!A16+"BYw!'}g"</f>
        <v>#VALUE!</v>
      </c>
      <c r="HB154" t="e">
        <f>'2.5.Трудоемкость'!B16+"BYw!'}h"</f>
        <v>#VALUE!</v>
      </c>
      <c r="HC154" t="e">
        <f>'2.5.Трудоемкость'!C16+"BYw!'}i"</f>
        <v>#VALUE!</v>
      </c>
      <c r="HD154" t="e">
        <f>'2.5.Трудоемкость'!D16+"BYw!'}j"</f>
        <v>#VALUE!</v>
      </c>
      <c r="HE154" t="e">
        <f>'2.5.Трудоемкость'!E16+"BYw!'}k"</f>
        <v>#VALUE!</v>
      </c>
      <c r="HF154" t="e">
        <f>'2.5.Трудоемкость'!F16+"BYw!'}l"</f>
        <v>#VALUE!</v>
      </c>
      <c r="HG154" t="e">
        <f>'2.5.Трудоемкость'!G16+"BYw!'}m"</f>
        <v>#VALUE!</v>
      </c>
      <c r="HH154" t="e">
        <f>'2.5.Трудоемкость'!H16+"BYw!'}n"</f>
        <v>#VALUE!</v>
      </c>
      <c r="HI154" t="e">
        <f>'2.5.Трудоемкость'!I16+"BYw!'}o"</f>
        <v>#VALUE!</v>
      </c>
      <c r="HJ154" t="e">
        <f>'2.5.Трудоемкость'!J16+"BYw!'}p"</f>
        <v>#VALUE!</v>
      </c>
      <c r="HK154" t="e">
        <f>'2.5.Трудоемкость'!K16+"BYw!'}q"</f>
        <v>#VALUE!</v>
      </c>
      <c r="HL154" t="e">
        <f>'2.5.Трудоемкость'!L16+"BYw!'}r"</f>
        <v>#VALUE!</v>
      </c>
      <c r="HM154" t="e">
        <f>'2.5.Трудоемкость'!M16+"BYw!'}s"</f>
        <v>#VALUE!</v>
      </c>
      <c r="HN154" t="e">
        <f>'2.5.Трудоемкость'!N16+"BYw!'}t"</f>
        <v>#VALUE!</v>
      </c>
      <c r="HO154" t="e">
        <f>'2.5.Трудоемкость'!O16+"BYw!'}u"</f>
        <v>#VALUE!</v>
      </c>
      <c r="HP154" t="e">
        <f>'2.5.Трудоемкость'!P16+"BYw!'}v"</f>
        <v>#VALUE!</v>
      </c>
      <c r="HQ154" t="e">
        <f>'2.5.Трудоемкость'!Q16+"BYw!'}w"</f>
        <v>#VALUE!</v>
      </c>
      <c r="HR154" t="e">
        <f>'2.5.Трудоемкость'!R16+"BYw!'}x"</f>
        <v>#VALUE!</v>
      </c>
      <c r="HS154" t="e">
        <f>'2.5.Трудоемкость'!S16+"BYw!'}y"</f>
        <v>#VALUE!</v>
      </c>
      <c r="HT154" t="e">
        <f>'2.5.Трудоемкость'!T16+"BYw!'}z"</f>
        <v>#VALUE!</v>
      </c>
      <c r="HU154" t="e">
        <f>'2.5.Трудоемкость'!U16+"BYw!'}{"</f>
        <v>#VALUE!</v>
      </c>
      <c r="HV154" t="e">
        <f>'2.5.Трудоемкость'!V16+"BYw!'}|"</f>
        <v>#VALUE!</v>
      </c>
      <c r="HW154" t="e">
        <f>'2.5.Трудоемкость'!X16+"BYw!'}}"</f>
        <v>#VALUE!</v>
      </c>
      <c r="HX154" t="e">
        <f>'2.5.Трудоемкость'!Y16+"BYw!'}~"</f>
        <v>#VALUE!</v>
      </c>
      <c r="HY154" t="e">
        <f>'2.5.Трудоемкость'!Z16+"BYw!'~#"</f>
        <v>#VALUE!</v>
      </c>
      <c r="HZ154" t="e">
        <f>'2.5.Трудоемкость'!AA16+"BYw!'~$"</f>
        <v>#VALUE!</v>
      </c>
      <c r="IA154" t="e">
        <f>'2.5.Трудоемкость'!AB16+"BYw!'~%"</f>
        <v>#VALUE!</v>
      </c>
      <c r="IB154" t="e">
        <f>'2.5.Трудоемкость'!AC16+"BYw!'~&amp;"</f>
        <v>#VALUE!</v>
      </c>
      <c r="IC154" t="e">
        <f>'2.5.Трудоемкость'!AD16+"BYw!'~'"</f>
        <v>#VALUE!</v>
      </c>
      <c r="ID154" t="e">
        <f>'2.5.Трудоемкость'!AE16+"BYw!'~("</f>
        <v>#VALUE!</v>
      </c>
      <c r="IE154" t="e">
        <f>'2.5.Трудоемкость'!AF16+"BYw!'~)"</f>
        <v>#VALUE!</v>
      </c>
      <c r="IF154" t="e">
        <f>'2.5.Трудоемкость'!AG16+"BYw!'~."</f>
        <v>#VALUE!</v>
      </c>
      <c r="IG154" t="e">
        <f>'2.5.Трудоемкость'!AH16+"BYw!'~/"</f>
        <v>#VALUE!</v>
      </c>
      <c r="IH154" t="e">
        <f>'2.5.Трудоемкость'!AI16+"BYw!'~0"</f>
        <v>#VALUE!</v>
      </c>
      <c r="II154" t="e">
        <f>'2.5.Трудоемкость'!AJ16+"BYw!'~1"</f>
        <v>#VALUE!</v>
      </c>
      <c r="IJ154" t="e">
        <f>'2.5.Трудоемкость'!AK16+"BYw!'~2"</f>
        <v>#VALUE!</v>
      </c>
      <c r="IK154" t="e">
        <f>'2.5.Трудоемкость'!AL16+"BYw!'~3"</f>
        <v>#VALUE!</v>
      </c>
      <c r="IL154" t="e">
        <f>'2.5.Трудоемкость'!AM16+"BYw!'~4"</f>
        <v>#VALUE!</v>
      </c>
      <c r="IM154" t="e">
        <f>'2.5.Трудоемкость'!AN16+"BYw!'~5"</f>
        <v>#VALUE!</v>
      </c>
      <c r="IN154" t="e">
        <f>'2.5.Трудоемкость'!AO16+"BYw!'~6"</f>
        <v>#VALUE!</v>
      </c>
      <c r="IO154" t="e">
        <f>'2.5.Трудоемкость'!AP16+"BYw!'~7"</f>
        <v>#VALUE!</v>
      </c>
      <c r="IP154" t="e">
        <f>'2.5.Трудоемкость'!AQ16+"BYw!'~8"</f>
        <v>#VALUE!</v>
      </c>
      <c r="IQ154" t="e">
        <f>'2.5.Трудоемкость'!AR16+"BYw!'~9"</f>
        <v>#VALUE!</v>
      </c>
      <c r="IR154" t="e">
        <f>'2.5.Трудоемкость'!AS16+"BYw!'~:"</f>
        <v>#VALUE!</v>
      </c>
      <c r="IS154" t="e">
        <f>'2.5.Трудоемкость'!AT16+"BYw!'~;"</f>
        <v>#VALUE!</v>
      </c>
      <c r="IT154" t="e">
        <f>'2.5.Трудоемкость'!AU16+"BYw!'~&lt;"</f>
        <v>#VALUE!</v>
      </c>
      <c r="IU154" t="e">
        <f>'2.5.Трудоемкость'!AV16+"BYw!'~="</f>
        <v>#VALUE!</v>
      </c>
      <c r="IV154" t="e">
        <f>'2.5.Трудоемкость'!AW16+"BYw!'~&gt;"</f>
        <v>#VALUE!</v>
      </c>
    </row>
    <row r="155" spans="6:256" x14ac:dyDescent="0.2">
      <c r="F155" t="e">
        <f>'2.5.Трудоемкость'!AX16+"BYw!'~?"</f>
        <v>#VALUE!</v>
      </c>
      <c r="G155" t="e">
        <f>'2.5.Трудоемкость'!AY16+"BYw!'~@"</f>
        <v>#VALUE!</v>
      </c>
      <c r="H155" t="e">
        <f>'2.5.Трудоемкость'!AZ16+"BYw!'~A"</f>
        <v>#VALUE!</v>
      </c>
      <c r="I155" t="e">
        <f>'2.5.Трудоемкость'!BA16+"BYw!'~B"</f>
        <v>#VALUE!</v>
      </c>
      <c r="J155" t="e">
        <f>'2.5.Трудоемкость'!BB16+"BYw!'~C"</f>
        <v>#VALUE!</v>
      </c>
      <c r="K155" t="e">
        <f>'2.5.Трудоемкость'!BC16+"BYw!'~D"</f>
        <v>#VALUE!</v>
      </c>
      <c r="L155" t="e">
        <f>'2.5.Трудоемкость'!BD16+"BYw!'~E"</f>
        <v>#VALUE!</v>
      </c>
      <c r="M155" t="e">
        <f>'2.5.Трудоемкость'!BE16+"BYw!'~F"</f>
        <v>#VALUE!</v>
      </c>
      <c r="N155" t="e">
        <f>'2.5.Трудоемкость'!BF16+"BYw!'~G"</f>
        <v>#VALUE!</v>
      </c>
      <c r="O155" t="e">
        <f>'2.5.Трудоемкость'!BG16+"BYw!'~H"</f>
        <v>#VALUE!</v>
      </c>
      <c r="P155" t="e">
        <f>'2.5.Трудоемкость'!BH16+"BYw!'~I"</f>
        <v>#VALUE!</v>
      </c>
      <c r="Q155" t="e">
        <f>'2.5.Трудоемкость'!BI16+"BYw!'~J"</f>
        <v>#VALUE!</v>
      </c>
      <c r="R155" t="e">
        <f>'2.5.Трудоемкость'!BJ16+"BYw!'~K"</f>
        <v>#VALUE!</v>
      </c>
      <c r="S155" t="e">
        <f>'2.5.Трудоемкость'!BK16+"BYw!'~L"</f>
        <v>#VALUE!</v>
      </c>
      <c r="T155" t="e">
        <f>'2.5.Трудоемкость'!BL16+"BYw!'~M"</f>
        <v>#VALUE!</v>
      </c>
      <c r="U155" t="e">
        <f>'2.5.Трудоемкость'!BM16+"BYw!'~N"</f>
        <v>#VALUE!</v>
      </c>
      <c r="V155" t="e">
        <f>'2.5.Трудоемкость'!BN16+"BYw!'~O"</f>
        <v>#VALUE!</v>
      </c>
      <c r="W155" t="e">
        <f>'2.5.Трудоемкость'!BO16+"BYw!'~P"</f>
        <v>#VALUE!</v>
      </c>
      <c r="X155" t="e">
        <f>'2.5.Трудоемкость'!BP16+"BYw!'~Q"</f>
        <v>#VALUE!</v>
      </c>
      <c r="Y155" t="e">
        <f>'2.5.Трудоемкость'!BQ16+"BYw!'~R"</f>
        <v>#VALUE!</v>
      </c>
      <c r="Z155" t="e">
        <f>'2.5.Трудоемкость'!BR16+"BYw!'~S"</f>
        <v>#VALUE!</v>
      </c>
      <c r="AA155" t="e">
        <f>'2.5.Трудоемкость'!BS16+"BYw!'~T"</f>
        <v>#VALUE!</v>
      </c>
      <c r="AB155" t="e">
        <f>'2.5.Трудоемкость'!BT16+"BYw!'~U"</f>
        <v>#VALUE!</v>
      </c>
      <c r="AC155" t="e">
        <f>'2.5.Трудоемкость'!BU16+"BYw!'~V"</f>
        <v>#VALUE!</v>
      </c>
      <c r="AD155" t="e">
        <f>'2.5.Трудоемкость'!BV16+"BYw!'~W"</f>
        <v>#VALUE!</v>
      </c>
      <c r="AE155" t="e">
        <f>'2.5.Трудоемкость'!BW16+"BYw!'~X"</f>
        <v>#VALUE!</v>
      </c>
      <c r="AF155" t="e">
        <f>'2.5.Трудоемкость'!BX16+"BYw!'~Y"</f>
        <v>#VALUE!</v>
      </c>
      <c r="AG155" t="e">
        <f>'2.5.Трудоемкость'!BY16+"BYw!'~Z"</f>
        <v>#VALUE!</v>
      </c>
      <c r="AH155" t="e">
        <f>'2.5.Трудоемкость'!BZ16+"BYw!'~["</f>
        <v>#VALUE!</v>
      </c>
      <c r="AI155" t="e">
        <f>'2.5.Трудоемкость'!CA16+"BYw!'~\"</f>
        <v>#VALUE!</v>
      </c>
      <c r="AJ155" t="e">
        <f>'2.5.Трудоемкость'!CB16+"BYw!'~]"</f>
        <v>#VALUE!</v>
      </c>
      <c r="AK155" t="e">
        <f>'2.5.Трудоемкость'!CC16+"BYw!'~^"</f>
        <v>#VALUE!</v>
      </c>
      <c r="AL155" t="e">
        <f>'2.5.Трудоемкость'!CD16+"BYw!'~_"</f>
        <v>#VALUE!</v>
      </c>
      <c r="AM155" t="e">
        <f>'2.5.Трудоемкость'!CE16+"BYw!'~`"</f>
        <v>#VALUE!</v>
      </c>
      <c r="AN155" t="e">
        <f>'2.5.Трудоемкость'!CF16+"BYw!'~a"</f>
        <v>#VALUE!</v>
      </c>
      <c r="AO155" t="e">
        <f>'2.5.Трудоемкость'!CG16+"BYw!'~b"</f>
        <v>#VALUE!</v>
      </c>
      <c r="AP155" t="e">
        <f>'2.5.Трудоемкость'!CH16+"BYw!'~c"</f>
        <v>#VALUE!</v>
      </c>
      <c r="AQ155" t="e">
        <f>'2.5.Трудоемкость'!CI16+"BYw!'~d"</f>
        <v>#VALUE!</v>
      </c>
      <c r="AR155" t="e">
        <f>'2.5.Трудоемкость'!CJ16+"BYw!'~e"</f>
        <v>#VALUE!</v>
      </c>
      <c r="AS155" t="e">
        <f>'2.5.Трудоемкость'!CK16+"BYw!'~f"</f>
        <v>#VALUE!</v>
      </c>
      <c r="AT155" t="e">
        <f>'2.5.Трудоемкость'!CL16+"BYw!'~g"</f>
        <v>#VALUE!</v>
      </c>
      <c r="AU155" t="e">
        <f>'2.5.Трудоемкость'!CM16+"BYw!'~h"</f>
        <v>#VALUE!</v>
      </c>
      <c r="AV155" t="e">
        <f>'2.5.Трудоемкость'!CN16+"BYw!'~i"</f>
        <v>#VALUE!</v>
      </c>
      <c r="AW155" t="e">
        <f>'2.5.Трудоемкость'!CO16+"BYw!'~j"</f>
        <v>#VALUE!</v>
      </c>
      <c r="AX155" t="e">
        <f>'2.5.Трудоемкость'!CP16+"BYw!'~k"</f>
        <v>#VALUE!</v>
      </c>
      <c r="AY155" t="e">
        <f>'2.5.Трудоемкость'!CQ16+"BYw!'~l"</f>
        <v>#VALUE!</v>
      </c>
      <c r="AZ155" t="e">
        <f>'2.5.Трудоемкость'!CR16+"BYw!'~m"</f>
        <v>#VALUE!</v>
      </c>
      <c r="BA155" t="e">
        <f>'2.5.Трудоемкость'!CS16+"BYw!'~n"</f>
        <v>#VALUE!</v>
      </c>
      <c r="BB155" t="e">
        <f>'2.5.Трудоемкость'!CT16+"BYw!'~o"</f>
        <v>#VALUE!</v>
      </c>
      <c r="BC155" t="e">
        <f>'2.5.Трудоемкость'!CU16+"BYw!'~p"</f>
        <v>#VALUE!</v>
      </c>
      <c r="BD155" t="e">
        <f>'2.5.Трудоемкость'!CV16+"BYw!'~q"</f>
        <v>#VALUE!</v>
      </c>
      <c r="BE155" t="e">
        <f>'2.5.Трудоемкость'!CW16+"BYw!'~r"</f>
        <v>#VALUE!</v>
      </c>
      <c r="BF155" t="e">
        <f>'2.5.Трудоемкость'!CX16+"BYw!'~s"</f>
        <v>#VALUE!</v>
      </c>
      <c r="BG155" t="e">
        <f>'2.5.Трудоемкость'!CY16+"BYw!'~t"</f>
        <v>#VALUE!</v>
      </c>
      <c r="BH155" t="e">
        <f>'2.5.Трудоемкость'!CZ16+"BYw!'~u"</f>
        <v>#VALUE!</v>
      </c>
      <c r="BI155" t="e">
        <f>'2.5.Трудоемкость'!DA16+"BYw!'~v"</f>
        <v>#VALUE!</v>
      </c>
      <c r="BJ155" t="e">
        <f>'2.5.Трудоемкость'!DB16+"BYw!'~w"</f>
        <v>#VALUE!</v>
      </c>
      <c r="BK155" t="e">
        <f>'2.5.Трудоемкость'!DC16+"BYw!'~x"</f>
        <v>#VALUE!</v>
      </c>
      <c r="BL155" t="e">
        <f>'2.5.Трудоемкость'!DD16+"BYw!'~y"</f>
        <v>#VALUE!</v>
      </c>
      <c r="BM155" t="e">
        <f>'2.5.Трудоемкость'!DE16+"BYw!'~z"</f>
        <v>#VALUE!</v>
      </c>
      <c r="BN155" t="e">
        <f>'2.5.Трудоемкость'!DF16+"BYw!'~{"</f>
        <v>#VALUE!</v>
      </c>
      <c r="BO155" t="e">
        <f>'2.5.Трудоемкость'!DG16+"BYw!'~|"</f>
        <v>#VALUE!</v>
      </c>
      <c r="BP155" t="e">
        <f>'2.5.Трудоемкость'!DH16+"BYw!'~}"</f>
        <v>#VALUE!</v>
      </c>
      <c r="BQ155" t="e">
        <f>'2.5.Трудоемкость'!DI16+"BYw!'~~"</f>
        <v>#VALUE!</v>
      </c>
      <c r="BR155" t="e">
        <f>'2.5.Трудоемкость'!DJ16+"BYw!(##"</f>
        <v>#VALUE!</v>
      </c>
      <c r="BS155" t="e">
        <f>'2.5.Трудоемкость'!DK16+"BYw!(#$"</f>
        <v>#VALUE!</v>
      </c>
      <c r="BT155" t="e">
        <f>'2.5.Трудоемкость'!DL16+"BYw!(#%"</f>
        <v>#VALUE!</v>
      </c>
      <c r="BU155" t="e">
        <f>'2.5.Трудоемкость'!DM16+"BYw!(#&amp;"</f>
        <v>#VALUE!</v>
      </c>
      <c r="BV155" t="e">
        <f>'2.5.Трудоемкость'!DN16+"BYw!(#'"</f>
        <v>#VALUE!</v>
      </c>
      <c r="BW155" t="e">
        <f>'2.5.Трудоемкость'!DO16+"BYw!(#("</f>
        <v>#VALUE!</v>
      </c>
      <c r="BX155" t="e">
        <f>'2.5.Трудоемкость'!DP16+"BYw!(#)"</f>
        <v>#VALUE!</v>
      </c>
      <c r="BY155" t="e">
        <f>'2.5.Трудоемкость'!DQ16+"BYw!(#."</f>
        <v>#VALUE!</v>
      </c>
      <c r="BZ155" t="e">
        <f>'2.5.Трудоемкость'!DR16+"BYw!(#/"</f>
        <v>#VALUE!</v>
      </c>
      <c r="CA155" t="e">
        <f>'2.5.Трудоемкость'!DS16+"BYw!(#0"</f>
        <v>#VALUE!</v>
      </c>
      <c r="CB155" t="e">
        <f>'2.5.Трудоемкость'!DT16+"BYw!(#1"</f>
        <v>#VALUE!</v>
      </c>
      <c r="CC155" t="e">
        <f>'2.5.Трудоемкость'!DU16+"BYw!(#2"</f>
        <v>#VALUE!</v>
      </c>
      <c r="CD155" t="e">
        <f>'2.5.Трудоемкость'!DV16+"BYw!(#3"</f>
        <v>#VALUE!</v>
      </c>
      <c r="CE155" t="e">
        <f>'2.5.Трудоемкость'!DW16+"BYw!(#4"</f>
        <v>#VALUE!</v>
      </c>
      <c r="CF155" t="e">
        <f>'2.5.Трудоемкость'!DX16+"BYw!(#5"</f>
        <v>#VALUE!</v>
      </c>
      <c r="CG155" t="e">
        <f>'2.5.Трудоемкость'!DY16+"BYw!(#6"</f>
        <v>#VALUE!</v>
      </c>
      <c r="CH155" t="e">
        <f>'2.5.Трудоемкость'!DZ16+"BYw!(#7"</f>
        <v>#VALUE!</v>
      </c>
      <c r="CI155" t="e">
        <f>'2.5.Трудоемкость'!EA16+"BYw!(#8"</f>
        <v>#VALUE!</v>
      </c>
      <c r="CJ155" t="e">
        <f>'2.5.Трудоемкость'!EB16+"BYw!(#9"</f>
        <v>#VALUE!</v>
      </c>
      <c r="CK155" t="e">
        <f>'2.5.Трудоемкость'!EC16+"BYw!(#:"</f>
        <v>#VALUE!</v>
      </c>
      <c r="CL155" t="e">
        <f>'2.5.Трудоемкость'!ED16+"BYw!(#;"</f>
        <v>#VALUE!</v>
      </c>
      <c r="CM155" t="e">
        <f>'2.5.Трудоемкость'!EE16+"BYw!(#&lt;"</f>
        <v>#VALUE!</v>
      </c>
      <c r="CN155" t="e">
        <f>'2.5.Трудоемкость'!EF16+"BYw!(#="</f>
        <v>#VALUE!</v>
      </c>
      <c r="CO155" t="e">
        <f>'2.5.Трудоемкость'!EG16+"BYw!(#&gt;"</f>
        <v>#VALUE!</v>
      </c>
      <c r="CP155" t="e">
        <f>'2.5.Трудоемкость'!EH16+"BYw!(#?"</f>
        <v>#VALUE!</v>
      </c>
      <c r="CQ155" t="e">
        <f>'2.5.Трудоемкость'!EI16+"BYw!(#@"</f>
        <v>#VALUE!</v>
      </c>
      <c r="CR155" t="e">
        <f>'2.5.Трудоемкость'!EJ16+"BYw!(#A"</f>
        <v>#VALUE!</v>
      </c>
      <c r="CS155" t="e">
        <f>'2.5.Трудоемкость'!EK16+"BYw!(#B"</f>
        <v>#VALUE!</v>
      </c>
      <c r="CT155" t="e">
        <f>'2.5.Трудоемкость'!EL16+"BYw!(#C"</f>
        <v>#VALUE!</v>
      </c>
      <c r="CU155" t="e">
        <f>'2.5.Трудоемкость'!EM16+"BYw!(#D"</f>
        <v>#VALUE!</v>
      </c>
      <c r="CV155" t="e">
        <f>'2.5.Трудоемкость'!EN16+"BYw!(#E"</f>
        <v>#VALUE!</v>
      </c>
      <c r="CW155" t="e">
        <f>'2.5.Трудоемкость'!EO16+"BYw!(#F"</f>
        <v>#VALUE!</v>
      </c>
      <c r="CX155" t="e">
        <f>'2.5.Трудоемкость'!EP16+"BYw!(#G"</f>
        <v>#VALUE!</v>
      </c>
      <c r="CY155" t="e">
        <f>'2.5.Трудоемкость'!EQ16+"BYw!(#H"</f>
        <v>#VALUE!</v>
      </c>
      <c r="CZ155" t="e">
        <f>'2.5.Трудоемкость'!ER16+"BYw!(#I"</f>
        <v>#VALUE!</v>
      </c>
      <c r="DA155" t="e">
        <f>'2.5.Трудоемкость'!ES16+"BYw!(#J"</f>
        <v>#VALUE!</v>
      </c>
      <c r="DB155" t="e">
        <f>'2.5.Трудоемкость'!ET16+"BYw!(#K"</f>
        <v>#VALUE!</v>
      </c>
      <c r="DC155" t="e">
        <f>'2.5.Трудоемкость'!EU16+"BYw!(#L"</f>
        <v>#VALUE!</v>
      </c>
      <c r="DD155" t="e">
        <f>'2.5.Трудоемкость'!EV16+"BYw!(#M"</f>
        <v>#VALUE!</v>
      </c>
      <c r="DE155" t="e">
        <f>'2.5.Трудоемкость'!EW16+"BYw!(#N"</f>
        <v>#VALUE!</v>
      </c>
      <c r="DF155" t="e">
        <f>'2.5.Трудоемкость'!EX16+"BYw!(#O"</f>
        <v>#VALUE!</v>
      </c>
      <c r="DG155" t="e">
        <f>'2.5.Трудоемкость'!EY16+"BYw!(#P"</f>
        <v>#VALUE!</v>
      </c>
      <c r="DH155" t="e">
        <f>'2.5.Трудоемкость'!EZ16+"BYw!(#Q"</f>
        <v>#VALUE!</v>
      </c>
      <c r="DI155" t="e">
        <f>'2.5.Трудоемкость'!FA16+"BYw!(#R"</f>
        <v>#VALUE!</v>
      </c>
      <c r="DJ155" t="e">
        <f>'2.5.Трудоемкость'!FB16+"BYw!(#S"</f>
        <v>#VALUE!</v>
      </c>
      <c r="DK155" t="e">
        <f>'2.5.Трудоемкость'!FC16+"BYw!(#T"</f>
        <v>#VALUE!</v>
      </c>
      <c r="DL155" t="e">
        <f>'2.5.Трудоемкость'!FD16+"BYw!(#U"</f>
        <v>#VALUE!</v>
      </c>
      <c r="DM155" t="e">
        <f>'2.5.Трудоемкость'!FE16+"BYw!(#V"</f>
        <v>#VALUE!</v>
      </c>
      <c r="DN155" t="e">
        <f>'2.5.Трудоемкость'!FF16+"BYw!(#W"</f>
        <v>#VALUE!</v>
      </c>
      <c r="DO155" t="e">
        <f>'2.5.Трудоемкость'!FG16+"BYw!(#X"</f>
        <v>#VALUE!</v>
      </c>
      <c r="DP155" t="e">
        <f>'2.5.Трудоемкость'!FH16+"BYw!(#Y"</f>
        <v>#VALUE!</v>
      </c>
      <c r="DQ155" t="e">
        <f>'2.5.Трудоемкость'!FI16+"BYw!(#Z"</f>
        <v>#VALUE!</v>
      </c>
      <c r="DR155" t="e">
        <f>'2.5.Трудоемкость'!FJ16+"BYw!(#["</f>
        <v>#VALUE!</v>
      </c>
      <c r="DS155" t="e">
        <f>'2.5.Трудоемкость'!FK16+"BYw!(#\"</f>
        <v>#VALUE!</v>
      </c>
      <c r="DT155" t="e">
        <f>'2.5.Трудоемкость'!FL16+"BYw!(#]"</f>
        <v>#VALUE!</v>
      </c>
      <c r="DU155" t="e">
        <f>'2.5.Трудоемкость'!FM16+"BYw!(#^"</f>
        <v>#VALUE!</v>
      </c>
      <c r="DV155" t="e">
        <f>'2.5.Трудоемкость'!FN16+"BYw!(#_"</f>
        <v>#VALUE!</v>
      </c>
      <c r="DW155" t="e">
        <f>'2.5.Трудоемкость'!FO16+"BYw!(#`"</f>
        <v>#VALUE!</v>
      </c>
      <c r="DX155" t="e">
        <f>'2.5.Трудоемкость'!FP16+"BYw!(#a"</f>
        <v>#VALUE!</v>
      </c>
      <c r="DY155" t="e">
        <f>'2.5.Трудоемкость'!FQ16+"BYw!(#b"</f>
        <v>#VALUE!</v>
      </c>
      <c r="DZ155" t="e">
        <f>'2.5.Трудоемкость'!FR16+"BYw!(#c"</f>
        <v>#VALUE!</v>
      </c>
      <c r="EA155" t="e">
        <f>'2.5.Трудоемкость'!FS16+"BYw!(#d"</f>
        <v>#VALUE!</v>
      </c>
      <c r="EB155" t="e">
        <f>'2.5.Трудоемкость'!FT16+"BYw!(#e"</f>
        <v>#VALUE!</v>
      </c>
      <c r="EC155" t="e">
        <f>'2.5.Трудоемкость'!FU16+"BYw!(#f"</f>
        <v>#VALUE!</v>
      </c>
      <c r="ED155" t="e">
        <f>'2.5.Трудоемкость'!FV16+"BYw!(#g"</f>
        <v>#VALUE!</v>
      </c>
      <c r="EE155" t="e">
        <f>'2.5.Трудоемкость'!FW16+"BYw!(#h"</f>
        <v>#VALUE!</v>
      </c>
      <c r="EF155" t="e">
        <f>'2.5.Трудоемкость'!FX16+"BYw!(#i"</f>
        <v>#VALUE!</v>
      </c>
      <c r="EG155" t="e">
        <f>'2.5.Трудоемкость'!FY16+"BYw!(#j"</f>
        <v>#VALUE!</v>
      </c>
      <c r="EH155" t="e">
        <f>'2.5.Трудоемкость'!FZ16+"BYw!(#k"</f>
        <v>#VALUE!</v>
      </c>
      <c r="EI155" t="e">
        <f>'2.5.Трудоемкость'!GA16+"BYw!(#l"</f>
        <v>#VALUE!</v>
      </c>
      <c r="EJ155" t="e">
        <f>'2.5.Трудоемкость'!GB16+"BYw!(#m"</f>
        <v>#VALUE!</v>
      </c>
      <c r="EK155" t="e">
        <f>'2.5.Трудоемкость'!GC16+"BYw!(#n"</f>
        <v>#VALUE!</v>
      </c>
      <c r="EL155" t="e">
        <f>'2.5.Трудоемкость'!GD16+"BYw!(#o"</f>
        <v>#VALUE!</v>
      </c>
      <c r="EM155" t="e">
        <f>'2.5.Трудоемкость'!GE16+"BYw!(#p"</f>
        <v>#VALUE!</v>
      </c>
      <c r="EN155" t="e">
        <f>'2.5.Трудоемкость'!GF16+"BYw!(#q"</f>
        <v>#VALUE!</v>
      </c>
      <c r="EO155" t="e">
        <f>'2.5.Трудоемкость'!GG16+"BYw!(#r"</f>
        <v>#VALUE!</v>
      </c>
      <c r="EP155" t="e">
        <f>'2.5.Трудоемкость'!GH16+"BYw!(#s"</f>
        <v>#VALUE!</v>
      </c>
      <c r="EQ155" t="e">
        <f>'2.5.Трудоемкость'!GI16+"BYw!(#t"</f>
        <v>#VALUE!</v>
      </c>
      <c r="ER155" t="e">
        <f>'2.5.Трудоемкость'!GJ16+"BYw!(#u"</f>
        <v>#VALUE!</v>
      </c>
      <c r="ES155" t="e">
        <f>'2.5.Трудоемкость'!GK16+"BYw!(#v"</f>
        <v>#VALUE!</v>
      </c>
      <c r="ET155" t="e">
        <f>'2.5.Трудоемкость'!GL16+"BYw!(#w"</f>
        <v>#VALUE!</v>
      </c>
      <c r="EU155" t="e">
        <f>'2.5.Трудоемкость'!GM16+"BYw!(#x"</f>
        <v>#VALUE!</v>
      </c>
      <c r="EV155" t="e">
        <f>'2.5.Трудоемкость'!GN16+"BYw!(#y"</f>
        <v>#VALUE!</v>
      </c>
      <c r="EW155" t="e">
        <f>'2.5.Трудоемкость'!GO16+"BYw!(#z"</f>
        <v>#VALUE!</v>
      </c>
      <c r="EX155" t="e">
        <f>'2.5.Трудоемкость'!GP16+"BYw!(#{"</f>
        <v>#VALUE!</v>
      </c>
      <c r="EY155" t="e">
        <f>'2.5.Трудоемкость'!GQ16+"BYw!(#|"</f>
        <v>#VALUE!</v>
      </c>
      <c r="EZ155" t="e">
        <f>'2.5.Трудоемкость'!GR16+"BYw!(#}"</f>
        <v>#VALUE!</v>
      </c>
      <c r="FA155" t="e">
        <f>'2.5.Трудоемкость'!GS16+"BYw!(#~"</f>
        <v>#VALUE!</v>
      </c>
      <c r="FB155" t="e">
        <f>'2.5.Трудоемкость'!GT16+"BYw!($#"</f>
        <v>#VALUE!</v>
      </c>
      <c r="FC155" t="e">
        <f>'2.5.Трудоемкость'!GU16+"BYw!($$"</f>
        <v>#VALUE!</v>
      </c>
      <c r="FD155" t="e">
        <f>'2.5.Трудоемкость'!GV16+"BYw!($%"</f>
        <v>#VALUE!</v>
      </c>
      <c r="FE155" t="e">
        <f>'2.5.Трудоемкость'!GW16+"BYw!($&amp;"</f>
        <v>#VALUE!</v>
      </c>
      <c r="FF155" t="e">
        <f>'2.5.Трудоемкость'!GX16+"BYw!($'"</f>
        <v>#VALUE!</v>
      </c>
      <c r="FG155" t="e">
        <f>'2.5.Трудоемкость'!GY16+"BYw!($("</f>
        <v>#VALUE!</v>
      </c>
      <c r="FH155" t="e">
        <f>'2.5.Трудоемкость'!GZ16+"BYw!($)"</f>
        <v>#VALUE!</v>
      </c>
      <c r="FI155" t="e">
        <f>'2.5.Трудоемкость'!HA16+"BYw!($."</f>
        <v>#VALUE!</v>
      </c>
      <c r="FJ155" t="e">
        <f>'2.5.Трудоемкость'!HB16+"BYw!($/"</f>
        <v>#VALUE!</v>
      </c>
      <c r="FK155" t="e">
        <f>'2.5.Трудоемкость'!HC16+"BYw!($0"</f>
        <v>#VALUE!</v>
      </c>
      <c r="FL155" t="e">
        <f>'2.5.Трудоемкость'!HD16+"BYw!($1"</f>
        <v>#VALUE!</v>
      </c>
      <c r="FM155" t="e">
        <f>'2.5.Трудоемкость'!HE16+"BYw!($2"</f>
        <v>#VALUE!</v>
      </c>
      <c r="FN155" t="e">
        <f>'2.5.Трудоемкость'!HF16+"BYw!($3"</f>
        <v>#VALUE!</v>
      </c>
      <c r="FO155" t="e">
        <f>'2.5.Трудоемкость'!HG16+"BYw!($4"</f>
        <v>#VALUE!</v>
      </c>
      <c r="FP155" t="e">
        <f>'2.5.Трудоемкость'!HH16+"BYw!($5"</f>
        <v>#VALUE!</v>
      </c>
      <c r="FQ155" t="e">
        <f>'2.5.Трудоемкость'!HI16+"BYw!($6"</f>
        <v>#VALUE!</v>
      </c>
      <c r="FR155" t="e">
        <f>'2.5.Трудоемкость'!HJ16+"BYw!($7"</f>
        <v>#VALUE!</v>
      </c>
      <c r="FS155" t="e">
        <f>'2.5.Трудоемкость'!HK16+"BYw!($8"</f>
        <v>#VALUE!</v>
      </c>
      <c r="FT155" t="e">
        <f>'2.5.Трудоемкость'!HL16+"BYw!($9"</f>
        <v>#VALUE!</v>
      </c>
      <c r="FU155" t="e">
        <f>'2.5.Трудоемкость'!HM16+"BYw!($:"</f>
        <v>#VALUE!</v>
      </c>
      <c r="FV155" t="e">
        <f>'2.5.Трудоемкость'!HN16+"BYw!($;"</f>
        <v>#VALUE!</v>
      </c>
      <c r="FW155" t="e">
        <f>'2.5.Трудоемкость'!HO16+"BYw!($&lt;"</f>
        <v>#VALUE!</v>
      </c>
      <c r="FX155" t="e">
        <f>'2.5.Трудоемкость'!HP16+"BYw!($="</f>
        <v>#VALUE!</v>
      </c>
      <c r="FY155" t="e">
        <f>'2.5.Трудоемкость'!HQ16+"BYw!($&gt;"</f>
        <v>#VALUE!</v>
      </c>
      <c r="FZ155" t="e">
        <f>'2.5.Трудоемкость'!HR16+"BYw!($?"</f>
        <v>#VALUE!</v>
      </c>
      <c r="GA155" t="e">
        <f>'2.5.Трудоемкость'!HS16+"BYw!($@"</f>
        <v>#VALUE!</v>
      </c>
      <c r="GB155" t="e">
        <f>'2.5.Трудоемкость'!HT16+"BYw!($A"</f>
        <v>#VALUE!</v>
      </c>
      <c r="GC155" t="e">
        <f>'2.5.Трудоемкость'!HU16+"BYw!($B"</f>
        <v>#VALUE!</v>
      </c>
      <c r="GD155" t="e">
        <f>'2.5.Трудоемкость'!HV16+"BYw!($C"</f>
        <v>#VALUE!</v>
      </c>
      <c r="GE155" t="e">
        <f>'2.5.Трудоемкость'!HW16+"BYw!($D"</f>
        <v>#VALUE!</v>
      </c>
      <c r="GF155" t="e">
        <f>'2.5.Трудоемкость'!HX16+"BYw!($E"</f>
        <v>#VALUE!</v>
      </c>
      <c r="GG155" t="e">
        <f>'2.5.Трудоемкость'!HY16+"BYw!($F"</f>
        <v>#VALUE!</v>
      </c>
      <c r="GH155" t="e">
        <f>'2.5.Трудоемкость'!HZ16+"BYw!($G"</f>
        <v>#VALUE!</v>
      </c>
      <c r="GI155" t="e">
        <f>'2.5.Трудоемкость'!IA16+"BYw!($H"</f>
        <v>#VALUE!</v>
      </c>
      <c r="GJ155" t="e">
        <f>'2.5.Трудоемкость'!IB16+"BYw!($I"</f>
        <v>#VALUE!</v>
      </c>
      <c r="GK155" t="e">
        <f>'2.5.Трудоемкость'!IC16+"BYw!($J"</f>
        <v>#VALUE!</v>
      </c>
      <c r="GL155" t="e">
        <f>'2.5.Трудоемкость'!ID16+"BYw!($K"</f>
        <v>#VALUE!</v>
      </c>
      <c r="GM155" t="e">
        <f>'2.5.Трудоемкость'!IE16+"BYw!($L"</f>
        <v>#VALUE!</v>
      </c>
      <c r="GN155" t="e">
        <f>'2.5.Трудоемкость'!IF16+"BYw!($M"</f>
        <v>#VALUE!</v>
      </c>
      <c r="GO155" t="e">
        <f>'2.5.Трудоемкость'!IG16+"BYw!($N"</f>
        <v>#VALUE!</v>
      </c>
      <c r="GP155" t="e">
        <f>'2.5.Трудоемкость'!IH16+"BYw!($O"</f>
        <v>#VALUE!</v>
      </c>
      <c r="GQ155" t="e">
        <f>'2.5.Трудоемкость'!II16+"BYw!($P"</f>
        <v>#VALUE!</v>
      </c>
      <c r="GR155" t="e">
        <f>'2.5.Трудоемкость'!IJ16+"BYw!($Q"</f>
        <v>#VALUE!</v>
      </c>
      <c r="GS155" t="e">
        <f>'2.5.Трудоемкость'!IK16+"BYw!($R"</f>
        <v>#VALUE!</v>
      </c>
      <c r="GT155" t="e">
        <f>'2.5.Трудоемкость'!IL16+"BYw!($S"</f>
        <v>#VALUE!</v>
      </c>
      <c r="GU155" t="e">
        <f>'2.5.Трудоемкость'!IM16+"BYw!($T"</f>
        <v>#VALUE!</v>
      </c>
      <c r="GV155" t="e">
        <f>'2.5.Трудоемкость'!IN16+"BYw!($U"</f>
        <v>#VALUE!</v>
      </c>
      <c r="GW155" t="e">
        <f>'2.5.Трудоемкость'!IO16+"BYw!($V"</f>
        <v>#VALUE!</v>
      </c>
      <c r="GX155" t="e">
        <f>'2.5.Трудоемкость'!IP16+"BYw!($W"</f>
        <v>#VALUE!</v>
      </c>
      <c r="GY155" t="e">
        <f>'2.5.Трудоемкость'!IQ16+"BYw!($X"</f>
        <v>#VALUE!</v>
      </c>
      <c r="GZ155" t="e">
        <f>'2.5.Трудоемкость'!IR16+"BYw!($Y"</f>
        <v>#VALUE!</v>
      </c>
      <c r="HA155" t="e">
        <f>'2.5.Трудоемкость'!IS16+"BYw!($Z"</f>
        <v>#VALUE!</v>
      </c>
      <c r="HB155" t="e">
        <f>'2.5.Трудоемкость'!IT16+"BYw!($["</f>
        <v>#VALUE!</v>
      </c>
      <c r="HC155" t="e">
        <f>'2.5.Трудоемкость'!IU16+"BYw!($\"</f>
        <v>#VALUE!</v>
      </c>
      <c r="HD155" t="e">
        <f>'2.5.Трудоемкость'!IV16+"BYw!($]"</f>
        <v>#VALUE!</v>
      </c>
      <c r="HE155" t="e">
        <f>'2.5.Трудоемкость'!IW16+"BYw!($^"</f>
        <v>#VALUE!</v>
      </c>
      <c r="HF155" t="e">
        <f>'2.5.Трудоемкость'!IX16+"BYw!($_"</f>
        <v>#VALUE!</v>
      </c>
      <c r="HG155" t="e">
        <f>'2.5.Трудоемкость'!IY16+"BYw!($`"</f>
        <v>#VALUE!</v>
      </c>
      <c r="HH155" t="e">
        <f>'2.5.Трудоемкость'!IZ16+"BYw!($a"</f>
        <v>#VALUE!</v>
      </c>
      <c r="HI155" t="e">
        <f>'2.5.Трудоемкость'!JA16+"BYw!($b"</f>
        <v>#VALUE!</v>
      </c>
      <c r="HJ155" t="e">
        <f>'2.5.Трудоемкость'!JB16+"BYw!($c"</f>
        <v>#VALUE!</v>
      </c>
      <c r="HK155" t="e">
        <f>'2.5.Трудоемкость'!JC16+"BYw!($d"</f>
        <v>#VALUE!</v>
      </c>
      <c r="HL155" t="e">
        <f>'2.5.Трудоемкость'!JD16+"BYw!($e"</f>
        <v>#VALUE!</v>
      </c>
      <c r="HM155" t="e">
        <f>'2.5.Трудоемкость'!JE16+"BYw!($f"</f>
        <v>#VALUE!</v>
      </c>
      <c r="HN155" t="e">
        <f>'2.5.Трудоемкость'!JF16+"BYw!($g"</f>
        <v>#VALUE!</v>
      </c>
      <c r="HO155" t="e">
        <f>'2.5.Трудоемкость'!JG16+"BYw!($h"</f>
        <v>#VALUE!</v>
      </c>
      <c r="HP155" t="e">
        <f>'2.5.Трудоемкость'!JH16+"BYw!($i"</f>
        <v>#VALUE!</v>
      </c>
      <c r="HQ155" t="e">
        <f>'2.5.Трудоемкость'!JI16+"BYw!($j"</f>
        <v>#VALUE!</v>
      </c>
      <c r="HR155" t="e">
        <f>'2.5.Трудоемкость'!JJ16+"BYw!($k"</f>
        <v>#VALUE!</v>
      </c>
      <c r="HS155" t="e">
        <f>'2.5.Трудоемкость'!JK16+"BYw!($l"</f>
        <v>#VALUE!</v>
      </c>
      <c r="HT155" t="e">
        <f>'2.5.Трудоемкость'!JL16+"BYw!($m"</f>
        <v>#VALUE!</v>
      </c>
      <c r="HU155" t="e">
        <f>'2.5.Трудоемкость'!JM16+"BYw!($n"</f>
        <v>#VALUE!</v>
      </c>
      <c r="HV155" t="e">
        <f>'2.5.Трудоемкость'!JN16+"BYw!($o"</f>
        <v>#VALUE!</v>
      </c>
      <c r="HW155" t="e">
        <f>'2.5.Трудоемкость'!JO16+"BYw!($p"</f>
        <v>#VALUE!</v>
      </c>
      <c r="HX155" t="e">
        <f>'2.5.Трудоемкость'!JP16+"BYw!($q"</f>
        <v>#VALUE!</v>
      </c>
      <c r="HY155" t="e">
        <f>'2.5.Трудоемкость'!JQ16+"BYw!($r"</f>
        <v>#VALUE!</v>
      </c>
      <c r="HZ155" t="e">
        <f>'2.5.Трудоемкость'!JR16+"BYw!($s"</f>
        <v>#VALUE!</v>
      </c>
      <c r="IA155" t="e">
        <f>'2.5.Трудоемкость'!JS16+"BYw!($t"</f>
        <v>#VALUE!</v>
      </c>
      <c r="IB155" t="e">
        <f>'2.5.Трудоемкость'!JT16+"BYw!($u"</f>
        <v>#VALUE!</v>
      </c>
      <c r="IC155" t="e">
        <f>'2.5.Трудоемкость'!JU16+"BYw!($v"</f>
        <v>#VALUE!</v>
      </c>
      <c r="ID155" t="e">
        <f>'2.5.Трудоемкость'!JV16+"BYw!($w"</f>
        <v>#VALUE!</v>
      </c>
      <c r="IE155" t="e">
        <f>'2.5.Трудоемкость'!JW16+"BYw!($x"</f>
        <v>#VALUE!</v>
      </c>
      <c r="IF155" t="e">
        <f>'2.5.Трудоемкость'!JX16+"BYw!($y"</f>
        <v>#VALUE!</v>
      </c>
      <c r="IG155" t="e">
        <f>'2.5.Трудоемкость'!JY16+"BYw!($z"</f>
        <v>#VALUE!</v>
      </c>
      <c r="IH155" t="e">
        <f>'2.5.Трудоемкость'!JZ16+"BYw!(${"</f>
        <v>#VALUE!</v>
      </c>
      <c r="II155" t="e">
        <f>'2.5.Трудоемкость'!KA16+"BYw!($|"</f>
        <v>#VALUE!</v>
      </c>
      <c r="IJ155" t="e">
        <f>'2.5.Трудоемкость'!KB16+"BYw!($}"</f>
        <v>#VALUE!</v>
      </c>
      <c r="IK155" t="e">
        <f>'2.5.Трудоемкость'!KC16+"BYw!($~"</f>
        <v>#VALUE!</v>
      </c>
      <c r="IL155" t="e">
        <f>'2.5.Трудоемкость'!KD16+"BYw!(%#"</f>
        <v>#VALUE!</v>
      </c>
      <c r="IM155" t="e">
        <f>'2.5.Трудоемкость'!KE16+"BYw!(%$"</f>
        <v>#VALUE!</v>
      </c>
      <c r="IN155" t="e">
        <f>'2.5.Трудоемкость'!KF16+"BYw!(%%"</f>
        <v>#VALUE!</v>
      </c>
      <c r="IO155" t="e">
        <f>'2.5.Трудоемкость'!KG16+"BYw!(%&amp;"</f>
        <v>#VALUE!</v>
      </c>
      <c r="IP155" t="e">
        <f>'2.5.Трудоемкость'!KH16+"BYw!(%'"</f>
        <v>#VALUE!</v>
      </c>
      <c r="IQ155" t="e">
        <f>'2.5.Трудоемкость'!KI16+"BYw!(%("</f>
        <v>#VALUE!</v>
      </c>
      <c r="IR155" t="e">
        <f>'2.5.Трудоемкость'!KJ16+"BYw!(%)"</f>
        <v>#VALUE!</v>
      </c>
      <c r="IS155" t="e">
        <f>'2.5.Трудоемкость'!KK16+"BYw!(%."</f>
        <v>#VALUE!</v>
      </c>
      <c r="IT155" t="e">
        <f>'2.5.Трудоемкость'!KL16+"BYw!(%/"</f>
        <v>#VALUE!</v>
      </c>
      <c r="IU155" t="e">
        <f>'2.5.Трудоемкость'!KM16+"BYw!(%0"</f>
        <v>#VALUE!</v>
      </c>
      <c r="IV155" t="e">
        <f>'2.5.Трудоемкость'!KN16+"BYw!(%1"</f>
        <v>#VALUE!</v>
      </c>
    </row>
    <row r="156" spans="6:256" x14ac:dyDescent="0.2">
      <c r="F156" t="e">
        <f>'2.5.Трудоемкость'!KO16+"BYw!(%2"</f>
        <v>#VALUE!</v>
      </c>
      <c r="G156" t="e">
        <f>'2.5.Трудоемкость'!KP16+"BYw!(%3"</f>
        <v>#VALUE!</v>
      </c>
      <c r="H156" t="e">
        <f>'2.5.Трудоемкость'!KQ16+"BYw!(%4"</f>
        <v>#VALUE!</v>
      </c>
      <c r="I156" t="e">
        <f>'2.5.Трудоемкость'!KR16+"BYw!(%5"</f>
        <v>#VALUE!</v>
      </c>
      <c r="J156" t="e">
        <f>'2.5.Трудоемкость'!KS16+"BYw!(%6"</f>
        <v>#VALUE!</v>
      </c>
      <c r="K156" t="e">
        <f>'2.5.Трудоемкость'!KT16+"BYw!(%7"</f>
        <v>#VALUE!</v>
      </c>
      <c r="L156" t="e">
        <f>'2.5.Трудоемкость'!KU16+"BYw!(%8"</f>
        <v>#VALUE!</v>
      </c>
      <c r="M156" t="e">
        <f>'2.5.Трудоемкость'!KV16+"BYw!(%9"</f>
        <v>#VALUE!</v>
      </c>
      <c r="N156" t="e">
        <f>'2.5.Трудоемкость'!KW16+"BYw!(%:"</f>
        <v>#VALUE!</v>
      </c>
      <c r="O156" t="e">
        <f>'2.5.Трудоемкость'!KX16+"BYw!(%;"</f>
        <v>#VALUE!</v>
      </c>
      <c r="P156" t="e">
        <f>'2.5.Трудоемкость'!KY16+"BYw!(%&lt;"</f>
        <v>#VALUE!</v>
      </c>
      <c r="Q156" t="e">
        <f>'2.5.Трудоемкость'!KZ16+"BYw!(%="</f>
        <v>#VALUE!</v>
      </c>
      <c r="R156" t="e">
        <f>'2.5.Трудоемкость'!LA16+"BYw!(%&gt;"</f>
        <v>#VALUE!</v>
      </c>
      <c r="S156" t="e">
        <f>'2.5.Трудоемкость'!LB16+"BYw!(%?"</f>
        <v>#VALUE!</v>
      </c>
      <c r="T156" t="e">
        <f>'2.5.Трудоемкость'!LC16+"BYw!(%@"</f>
        <v>#VALUE!</v>
      </c>
      <c r="U156" t="e">
        <f>'2.5.Трудоемкость'!LD16+"BYw!(%A"</f>
        <v>#VALUE!</v>
      </c>
      <c r="V156" t="e">
        <f>'2.5.Трудоемкость'!LE16+"BYw!(%B"</f>
        <v>#VALUE!</v>
      </c>
      <c r="W156" t="e">
        <f>'2.5.Трудоемкость'!LF16+"BYw!(%C"</f>
        <v>#VALUE!</v>
      </c>
      <c r="X156" t="e">
        <f>'2.5.Трудоемкость'!LG16+"BYw!(%D"</f>
        <v>#VALUE!</v>
      </c>
      <c r="Y156" t="e">
        <f>'2.5.Трудоемкость'!LH16+"BYw!(%E"</f>
        <v>#VALUE!</v>
      </c>
      <c r="Z156" t="e">
        <f>'2.5.Трудоемкость'!LI16+"BYw!(%F"</f>
        <v>#VALUE!</v>
      </c>
      <c r="AA156" t="e">
        <f>'2.5.Трудоемкость'!LJ16+"BYw!(%G"</f>
        <v>#VALUE!</v>
      </c>
      <c r="AB156" t="e">
        <f>'2.5.Трудоемкость'!LK16+"BYw!(%H"</f>
        <v>#VALUE!</v>
      </c>
      <c r="AC156" t="e">
        <f>'2.5.Трудоемкость'!LL16+"BYw!(%I"</f>
        <v>#VALUE!</v>
      </c>
      <c r="AD156" t="e">
        <f>'2.5.Трудоемкость'!LM16+"BYw!(%J"</f>
        <v>#VALUE!</v>
      </c>
      <c r="AE156" t="e">
        <f>'2.5.Трудоемкость'!LN16+"BYw!(%K"</f>
        <v>#VALUE!</v>
      </c>
      <c r="AF156" t="e">
        <f>'2.5.Трудоемкость'!LO16+"BYw!(%L"</f>
        <v>#VALUE!</v>
      </c>
      <c r="AG156" t="e">
        <f>'2.5.Трудоемкость'!LP16+"BYw!(%M"</f>
        <v>#VALUE!</v>
      </c>
      <c r="AH156" t="e">
        <f>'2.5.Трудоемкость'!LQ16+"BYw!(%N"</f>
        <v>#VALUE!</v>
      </c>
      <c r="AI156" t="e">
        <f>'2.5.Трудоемкость'!LR16+"BYw!(%O"</f>
        <v>#VALUE!</v>
      </c>
      <c r="AJ156" t="e">
        <f>'2.5.Трудоемкость'!LS16+"BYw!(%P"</f>
        <v>#VALUE!</v>
      </c>
      <c r="AK156" t="e">
        <f>'2.5.Трудоемкость'!LT16+"BYw!(%Q"</f>
        <v>#VALUE!</v>
      </c>
      <c r="AL156" t="e">
        <f>'2.5.Трудоемкость'!LU16+"BYw!(%R"</f>
        <v>#VALUE!</v>
      </c>
      <c r="AM156" t="e">
        <f>'2.5.Трудоемкость'!LV16+"BYw!(%S"</f>
        <v>#VALUE!</v>
      </c>
      <c r="AN156" t="e">
        <f>'2.5.Трудоемкость'!LW16+"BYw!(%T"</f>
        <v>#VALUE!</v>
      </c>
      <c r="AO156" t="e">
        <f>'2.5.Трудоемкость'!LX16+"BYw!(%U"</f>
        <v>#VALUE!</v>
      </c>
      <c r="AP156" t="e">
        <f>'2.5.Трудоемкость'!LY16+"BYw!(%V"</f>
        <v>#VALUE!</v>
      </c>
      <c r="AQ156" t="e">
        <f>'2.5.Трудоемкость'!LZ16+"BYw!(%W"</f>
        <v>#VALUE!</v>
      </c>
      <c r="AR156" t="e">
        <f>'2.5.Трудоемкость'!MA16+"BYw!(%X"</f>
        <v>#VALUE!</v>
      </c>
      <c r="AS156" t="e">
        <f>'2.5.Трудоемкость'!MB16+"BYw!(%Y"</f>
        <v>#VALUE!</v>
      </c>
      <c r="AT156" t="e">
        <f>'2.5.Трудоемкость'!MC16+"BYw!(%Z"</f>
        <v>#VALUE!</v>
      </c>
      <c r="AU156" t="e">
        <f>'2.5.Трудоемкость'!MD16+"BYw!(%["</f>
        <v>#VALUE!</v>
      </c>
      <c r="AV156" t="e">
        <f>'2.5.Трудоемкость'!ME16+"BYw!(%\"</f>
        <v>#VALUE!</v>
      </c>
      <c r="AW156" t="e">
        <f>'2.5.Трудоемкость'!MF16+"BYw!(%]"</f>
        <v>#VALUE!</v>
      </c>
      <c r="AX156" t="e">
        <f>'2.5.Трудоемкость'!MG16+"BYw!(%^"</f>
        <v>#VALUE!</v>
      </c>
      <c r="AY156" t="e">
        <f>'2.5.Трудоемкость'!MH16+"BYw!(%_"</f>
        <v>#VALUE!</v>
      </c>
      <c r="AZ156" t="e">
        <f>'2.5.Трудоемкость'!MI16+"BYw!(%`"</f>
        <v>#VALUE!</v>
      </c>
      <c r="BA156" t="e">
        <f>'2.5.Трудоемкость'!MJ16+"BYw!(%a"</f>
        <v>#VALUE!</v>
      </c>
      <c r="BB156" t="e">
        <f>'2.5.Трудоемкость'!MK16+"BYw!(%b"</f>
        <v>#VALUE!</v>
      </c>
      <c r="BC156" t="e">
        <f>'2.5.Трудоемкость'!ML16+"BYw!(%c"</f>
        <v>#VALUE!</v>
      </c>
      <c r="BD156" t="e">
        <f>'2.5.Трудоемкость'!MM16+"BYw!(%d"</f>
        <v>#VALUE!</v>
      </c>
      <c r="BE156" t="e">
        <f>'2.5.Трудоемкость'!MN16+"BYw!(%e"</f>
        <v>#VALUE!</v>
      </c>
      <c r="BF156" t="e">
        <f>'2.5.Трудоемкость'!MO16+"BYw!(%f"</f>
        <v>#VALUE!</v>
      </c>
      <c r="BG156" t="e">
        <f>'2.5.Трудоемкость'!MP16+"BYw!(%g"</f>
        <v>#VALUE!</v>
      </c>
      <c r="BH156" t="e">
        <f>'2.5.Трудоемкость'!MQ16+"BYw!(%h"</f>
        <v>#VALUE!</v>
      </c>
      <c r="BI156" t="e">
        <f>'2.5.Трудоемкость'!MR16+"BYw!(%i"</f>
        <v>#VALUE!</v>
      </c>
      <c r="BJ156" t="e">
        <f>'2.5.Трудоемкость'!MS16+"BYw!(%j"</f>
        <v>#VALUE!</v>
      </c>
      <c r="BK156" t="e">
        <f>'2.5.Трудоемкость'!MT16+"BYw!(%k"</f>
        <v>#VALUE!</v>
      </c>
      <c r="BL156" t="e">
        <f>'2.5.Трудоемкость'!MU16+"BYw!(%l"</f>
        <v>#VALUE!</v>
      </c>
      <c r="BM156" t="e">
        <f>'2.5.Трудоемкость'!MV16+"BYw!(%m"</f>
        <v>#VALUE!</v>
      </c>
      <c r="BN156" t="e">
        <f>'2.5.Трудоемкость'!MW16+"BYw!(%n"</f>
        <v>#VALUE!</v>
      </c>
      <c r="BO156" t="e">
        <f>'2.5.Трудоемкость'!MX16+"BYw!(%o"</f>
        <v>#VALUE!</v>
      </c>
      <c r="BP156" t="e">
        <f>'2.5.Трудоемкость'!MY16+"BYw!(%p"</f>
        <v>#VALUE!</v>
      </c>
      <c r="BQ156" t="e">
        <f>'2.5.Трудоемкость'!MZ16+"BYw!(%q"</f>
        <v>#VALUE!</v>
      </c>
      <c r="BR156" t="e">
        <f>'2.5.Трудоемкость'!NA16+"BYw!(%r"</f>
        <v>#VALUE!</v>
      </c>
      <c r="BS156" t="e">
        <f>'2.5.Трудоемкость'!NB16+"BYw!(%s"</f>
        <v>#VALUE!</v>
      </c>
      <c r="BT156" t="e">
        <f>'2.5.Трудоемкость'!NC16+"BYw!(%t"</f>
        <v>#VALUE!</v>
      </c>
      <c r="BU156" t="e">
        <f>'2.5.Трудоемкость'!ND16+"BYw!(%u"</f>
        <v>#VALUE!</v>
      </c>
      <c r="BV156" t="e">
        <f>'2.5.Трудоемкость'!NE16+"BYw!(%v"</f>
        <v>#VALUE!</v>
      </c>
      <c r="BW156" t="e">
        <f>'2.5.Трудоемкость'!NF16+"BYw!(%w"</f>
        <v>#VALUE!</v>
      </c>
      <c r="BX156" t="e">
        <f>'2.5.Трудоемкость'!NG16+"BYw!(%x"</f>
        <v>#VALUE!</v>
      </c>
      <c r="BY156" t="e">
        <f>'2.5.Трудоемкость'!NH16+"BYw!(%y"</f>
        <v>#VALUE!</v>
      </c>
      <c r="BZ156" t="e">
        <f>'2.5.Трудоемкость'!NI16+"BYw!(%z"</f>
        <v>#VALUE!</v>
      </c>
      <c r="CA156" t="e">
        <f>'2.5.Трудоемкость'!NJ16+"BYw!(%{"</f>
        <v>#VALUE!</v>
      </c>
      <c r="CB156" t="e">
        <f>'2.5.Трудоемкость'!NK16+"BYw!(%|"</f>
        <v>#VALUE!</v>
      </c>
      <c r="CC156" t="e">
        <f>'2.5.Трудоемкость'!NL16+"BYw!(%}"</f>
        <v>#VALUE!</v>
      </c>
      <c r="CD156" t="e">
        <f>'2.5.Трудоемкость'!NM16+"BYw!(%~"</f>
        <v>#VALUE!</v>
      </c>
      <c r="CE156" t="e">
        <f>'2.5.Трудоемкость'!NN16+"BYw!(&amp;#"</f>
        <v>#VALUE!</v>
      </c>
      <c r="CF156" t="e">
        <f>'2.5.Трудоемкость'!NO16+"BYw!(&amp;$"</f>
        <v>#VALUE!</v>
      </c>
      <c r="CG156" t="e">
        <f>'2.5.Трудоемкость'!NP16+"BYw!(&amp;%"</f>
        <v>#VALUE!</v>
      </c>
      <c r="CH156" t="e">
        <f>'2.5.Трудоемкость'!NQ16+"BYw!(&amp;&amp;"</f>
        <v>#VALUE!</v>
      </c>
      <c r="CI156" t="e">
        <f>'2.5.Трудоемкость'!NR16+"BYw!(&amp;'"</f>
        <v>#VALUE!</v>
      </c>
      <c r="CJ156" t="e">
        <f>'2.5.Трудоемкость'!NS16+"BYw!(&amp;("</f>
        <v>#VALUE!</v>
      </c>
      <c r="CK156" t="e">
        <f>'2.5.Трудоемкость'!NT16+"BYw!(&amp;)"</f>
        <v>#VALUE!</v>
      </c>
      <c r="CL156" t="e">
        <f>'2.5.Трудоемкость'!NU16+"BYw!(&amp;."</f>
        <v>#VALUE!</v>
      </c>
      <c r="CM156" t="e">
        <f>'2.5.Трудоемкость'!NV16+"BYw!(&amp;/"</f>
        <v>#VALUE!</v>
      </c>
      <c r="CN156" t="e">
        <f>'2.5.Трудоемкость'!NW16+"BYw!(&amp;0"</f>
        <v>#VALUE!</v>
      </c>
      <c r="CO156" t="e">
        <f>'2.5.Трудоемкость'!NX16+"BYw!(&amp;1"</f>
        <v>#VALUE!</v>
      </c>
      <c r="CP156" t="e">
        <f>'2.5.Трудоемкость'!NY16+"BYw!(&amp;2"</f>
        <v>#VALUE!</v>
      </c>
      <c r="CQ156" t="e">
        <f>'2.5.Трудоемкость'!NZ16+"BYw!(&amp;3"</f>
        <v>#VALUE!</v>
      </c>
      <c r="CR156" t="e">
        <f>'2.5.Трудоемкость'!OA16+"BYw!(&amp;4"</f>
        <v>#VALUE!</v>
      </c>
      <c r="CS156" t="e">
        <f>'2.5.Трудоемкость'!OB16+"BYw!(&amp;5"</f>
        <v>#VALUE!</v>
      </c>
      <c r="CT156" t="e">
        <f>'2.5.Трудоемкость'!OC16+"BYw!(&amp;6"</f>
        <v>#VALUE!</v>
      </c>
      <c r="CU156" t="e">
        <f>'2.5.Трудоемкость'!OD16+"BYw!(&amp;7"</f>
        <v>#VALUE!</v>
      </c>
      <c r="CV156" t="e">
        <f>'2.5.Трудоемкость'!OE16+"BYw!(&amp;8"</f>
        <v>#VALUE!</v>
      </c>
      <c r="CW156" t="e">
        <f>'2.5.Трудоемкость'!OF16+"BYw!(&amp;9"</f>
        <v>#VALUE!</v>
      </c>
      <c r="CX156" t="e">
        <f>'2.5.Трудоемкость'!OG16+"BYw!(&amp;:"</f>
        <v>#VALUE!</v>
      </c>
      <c r="CY156" t="e">
        <f>'2.5.Трудоемкость'!OH16+"BYw!(&amp;;"</f>
        <v>#VALUE!</v>
      </c>
      <c r="CZ156" t="e">
        <f>'2.5.Трудоемкость'!OI16+"BYw!(&amp;&lt;"</f>
        <v>#VALUE!</v>
      </c>
      <c r="DA156" t="e">
        <f>'2.5.Трудоемкость'!OJ16+"BYw!(&amp;="</f>
        <v>#VALUE!</v>
      </c>
      <c r="DB156" t="e">
        <f>'2.5.Трудоемкость'!OK16+"BYw!(&amp;&gt;"</f>
        <v>#VALUE!</v>
      </c>
      <c r="DC156" t="e">
        <f>'2.5.Трудоемкость'!OL16+"BYw!(&amp;?"</f>
        <v>#VALUE!</v>
      </c>
      <c r="DD156" t="e">
        <f>'2.5.Трудоемкость'!OM16+"BYw!(&amp;@"</f>
        <v>#VALUE!</v>
      </c>
      <c r="DE156" t="e">
        <f>'2.5.Трудоемкость'!ON16+"BYw!(&amp;A"</f>
        <v>#VALUE!</v>
      </c>
      <c r="DF156" t="e">
        <f>'2.5.Трудоемкость'!OO16+"BYw!(&amp;B"</f>
        <v>#VALUE!</v>
      </c>
      <c r="DG156" t="e">
        <f>'2.5.Трудоемкость'!OP16+"BYw!(&amp;C"</f>
        <v>#VALUE!</v>
      </c>
      <c r="DH156" t="e">
        <f>'2.5.Трудоемкость'!OQ16+"BYw!(&amp;D"</f>
        <v>#VALUE!</v>
      </c>
      <c r="DI156" t="e">
        <f>'2.5.Трудоемкость'!OR16+"BYw!(&amp;E"</f>
        <v>#VALUE!</v>
      </c>
      <c r="DJ156" t="e">
        <f>'2.5.Трудоемкость'!OS16+"BYw!(&amp;F"</f>
        <v>#VALUE!</v>
      </c>
      <c r="DK156" t="e">
        <f>'2.5.Трудоемкость'!OT16+"BYw!(&amp;G"</f>
        <v>#VALUE!</v>
      </c>
      <c r="DL156" t="e">
        <f>'2.5.Трудоемкость'!OU16+"BYw!(&amp;H"</f>
        <v>#VALUE!</v>
      </c>
      <c r="DM156" t="e">
        <f>'2.5.Трудоемкость'!OV16+"BYw!(&amp;I"</f>
        <v>#VALUE!</v>
      </c>
      <c r="DN156" t="e">
        <f>'2.5.Трудоемкость'!OW16+"BYw!(&amp;J"</f>
        <v>#VALUE!</v>
      </c>
      <c r="DO156" t="e">
        <f>'2.5.Трудоемкость'!OX16+"BYw!(&amp;K"</f>
        <v>#VALUE!</v>
      </c>
      <c r="DP156" t="e">
        <f>'2.5.Трудоемкость'!OY16+"BYw!(&amp;L"</f>
        <v>#VALUE!</v>
      </c>
      <c r="DQ156" t="e">
        <f>'2.5.Трудоемкость'!OZ16+"BYw!(&amp;M"</f>
        <v>#VALUE!</v>
      </c>
      <c r="DR156" t="e">
        <f>'2.5.Трудоемкость'!PA16+"BYw!(&amp;N"</f>
        <v>#VALUE!</v>
      </c>
      <c r="DS156" t="e">
        <f>'2.5.Трудоемкость'!PB16+"BYw!(&amp;O"</f>
        <v>#VALUE!</v>
      </c>
      <c r="DT156" t="e">
        <f>'2.5.Трудоемкость'!PC16+"BYw!(&amp;P"</f>
        <v>#VALUE!</v>
      </c>
      <c r="DU156" t="e">
        <f>'2.5.Трудоемкость'!PD16+"BYw!(&amp;Q"</f>
        <v>#VALUE!</v>
      </c>
      <c r="DV156" t="e">
        <f>'2.5.Трудоемкость'!PE16+"BYw!(&amp;R"</f>
        <v>#VALUE!</v>
      </c>
      <c r="DW156" t="e">
        <f>'2.5.Трудоемкость'!PF16+"BYw!(&amp;S"</f>
        <v>#VALUE!</v>
      </c>
      <c r="DX156" t="e">
        <f>'2.5.Трудоемкость'!PG16+"BYw!(&amp;T"</f>
        <v>#VALUE!</v>
      </c>
      <c r="DY156" t="e">
        <f>'2.5.Трудоемкость'!PH16+"BYw!(&amp;U"</f>
        <v>#VALUE!</v>
      </c>
      <c r="DZ156" t="e">
        <f>'2.5.Трудоемкость'!PI16+"BYw!(&amp;V"</f>
        <v>#VALUE!</v>
      </c>
      <c r="EA156" t="e">
        <f>'2.5.Трудоемкость'!PJ16+"BYw!(&amp;W"</f>
        <v>#VALUE!</v>
      </c>
      <c r="EB156" t="e">
        <f>'2.5.Трудоемкость'!PK16+"BYw!(&amp;X"</f>
        <v>#VALUE!</v>
      </c>
      <c r="EC156" t="e">
        <f>'2.5.Трудоемкость'!PL16+"BYw!(&amp;Y"</f>
        <v>#VALUE!</v>
      </c>
      <c r="ED156" t="e">
        <f>'2.5.Трудоемкость'!PM16+"BYw!(&amp;Z"</f>
        <v>#VALUE!</v>
      </c>
      <c r="EE156" t="e">
        <f>'2.5.Трудоемкость'!PN16+"BYw!(&amp;["</f>
        <v>#VALUE!</v>
      </c>
      <c r="EF156" t="e">
        <f>'2.5.Трудоемкость'!PO16+"BYw!(&amp;\"</f>
        <v>#VALUE!</v>
      </c>
      <c r="EG156" t="e">
        <f>'2.5.Трудоемкость'!PP16+"BYw!(&amp;]"</f>
        <v>#VALUE!</v>
      </c>
      <c r="EH156" t="e">
        <f>'2.5.Трудоемкость'!PQ16+"BYw!(&amp;^"</f>
        <v>#VALUE!</v>
      </c>
      <c r="EI156" t="e">
        <f>'2.5.Трудоемкость'!PR16+"BYw!(&amp;_"</f>
        <v>#VALUE!</v>
      </c>
      <c r="EJ156" t="e">
        <f>'2.5.Трудоемкость'!PS16+"BYw!(&amp;`"</f>
        <v>#VALUE!</v>
      </c>
      <c r="EK156" t="e">
        <f>'2.5.Трудоемкость'!PT16+"BYw!(&amp;a"</f>
        <v>#VALUE!</v>
      </c>
      <c r="EL156" t="e">
        <f>'2.5.Трудоемкость'!PU16+"BYw!(&amp;b"</f>
        <v>#VALUE!</v>
      </c>
      <c r="EM156" t="e">
        <f>'2.5.Трудоемкость'!PV16+"BYw!(&amp;c"</f>
        <v>#VALUE!</v>
      </c>
      <c r="EN156" t="e">
        <f>'2.5.Трудоемкость'!PW16+"BYw!(&amp;d"</f>
        <v>#VALUE!</v>
      </c>
      <c r="EO156" t="e">
        <f>'2.5.Трудоемкость'!PX16+"BYw!(&amp;e"</f>
        <v>#VALUE!</v>
      </c>
      <c r="EP156" t="e">
        <f>'2.5.Трудоемкость'!PY16+"BYw!(&amp;f"</f>
        <v>#VALUE!</v>
      </c>
      <c r="EQ156" t="e">
        <f>'2.5.Трудоемкость'!PZ16+"BYw!(&amp;g"</f>
        <v>#VALUE!</v>
      </c>
      <c r="ER156" t="e">
        <f>'2.5.Трудоемкость'!QA16+"BYw!(&amp;h"</f>
        <v>#VALUE!</v>
      </c>
      <c r="ES156" t="e">
        <f>'2.5.Трудоемкость'!QB16+"BYw!(&amp;i"</f>
        <v>#VALUE!</v>
      </c>
      <c r="ET156" t="e">
        <f>'2.5.Трудоемкость'!QC16+"BYw!(&amp;j"</f>
        <v>#VALUE!</v>
      </c>
      <c r="EU156" t="e">
        <f>'2.5.Трудоемкость'!QD16+"BYw!(&amp;k"</f>
        <v>#VALUE!</v>
      </c>
      <c r="EV156" t="e">
        <f>'2.5.Трудоемкость'!QE16+"BYw!(&amp;l"</f>
        <v>#VALUE!</v>
      </c>
      <c r="EW156" t="e">
        <f>'2.5.Трудоемкость'!QF16+"BYw!(&amp;m"</f>
        <v>#VALUE!</v>
      </c>
      <c r="EX156" t="e">
        <f>'2.5.Трудоемкость'!QG16+"BYw!(&amp;n"</f>
        <v>#VALUE!</v>
      </c>
      <c r="EY156" t="e">
        <f>'2.5.Трудоемкость'!QH16+"BYw!(&amp;o"</f>
        <v>#VALUE!</v>
      </c>
      <c r="EZ156" t="e">
        <f>'2.5.Трудоемкость'!QI16+"BYw!(&amp;p"</f>
        <v>#VALUE!</v>
      </c>
      <c r="FA156" t="e">
        <f>'2.5.Трудоемкость'!QJ16+"BYw!(&amp;q"</f>
        <v>#VALUE!</v>
      </c>
      <c r="FB156" t="e">
        <f>'2.5.Трудоемкость'!QK16+"BYw!(&amp;r"</f>
        <v>#VALUE!</v>
      </c>
      <c r="FC156" t="e">
        <f>'2.5.Трудоемкость'!QL16+"BYw!(&amp;s"</f>
        <v>#VALUE!</v>
      </c>
      <c r="FD156" t="e">
        <f>'2.5.Трудоемкость'!QM16+"BYw!(&amp;t"</f>
        <v>#VALUE!</v>
      </c>
      <c r="FE156" t="e">
        <f>'2.5.Трудоемкость'!QN16+"BYw!(&amp;u"</f>
        <v>#VALUE!</v>
      </c>
      <c r="FF156" t="e">
        <f>'2.5.Трудоемкость'!QO16+"BYw!(&amp;v"</f>
        <v>#VALUE!</v>
      </c>
      <c r="FG156" t="e">
        <f>'2.5.Трудоемкость'!QP16+"BYw!(&amp;w"</f>
        <v>#VALUE!</v>
      </c>
      <c r="FH156" t="e">
        <f>'2.5.Трудоемкость'!QQ16+"BYw!(&amp;x"</f>
        <v>#VALUE!</v>
      </c>
      <c r="FI156" t="e">
        <f>'2.5.Трудоемкость'!QR16+"BYw!(&amp;y"</f>
        <v>#VALUE!</v>
      </c>
      <c r="FJ156" t="e">
        <f>'2.5.Трудоемкость'!QS16+"BYw!(&amp;z"</f>
        <v>#VALUE!</v>
      </c>
      <c r="FK156" t="e">
        <f>'2.5.Трудоемкость'!QT16+"BYw!(&amp;{"</f>
        <v>#VALUE!</v>
      </c>
      <c r="FL156" t="e">
        <f>'2.5.Трудоемкость'!QU16+"BYw!(&amp;|"</f>
        <v>#VALUE!</v>
      </c>
      <c r="FM156" t="e">
        <f>'2.5.Трудоемкость'!QV16+"BYw!(&amp;}"</f>
        <v>#VALUE!</v>
      </c>
      <c r="FN156" t="e">
        <f>'2.5.Трудоемкость'!QW16+"BYw!(&amp;~"</f>
        <v>#VALUE!</v>
      </c>
      <c r="FO156" t="e">
        <f>'2.5.Трудоемкость'!QX16+"BYw!('#"</f>
        <v>#VALUE!</v>
      </c>
      <c r="FP156" t="e">
        <f>'2.5.Трудоемкость'!QY16+"BYw!('$"</f>
        <v>#VALUE!</v>
      </c>
      <c r="FQ156" t="e">
        <f>'2.5.Трудоемкость'!QZ16+"BYw!('%"</f>
        <v>#VALUE!</v>
      </c>
      <c r="FR156" t="e">
        <f>'2.5.Трудоемкость'!RA16+"BYw!('&amp;"</f>
        <v>#VALUE!</v>
      </c>
      <c r="FS156" t="e">
        <f>'2.5.Трудоемкость'!RB16+"BYw!(''"</f>
        <v>#VALUE!</v>
      </c>
      <c r="FT156" t="e">
        <f>'2.5.Трудоемкость'!RC16+"BYw!('("</f>
        <v>#VALUE!</v>
      </c>
      <c r="FU156" t="e">
        <f>'2.5.Трудоемкость'!RD16+"BYw!(')"</f>
        <v>#VALUE!</v>
      </c>
      <c r="FV156" t="e">
        <f>'2.5.Трудоемкость'!RE16+"BYw!('."</f>
        <v>#VALUE!</v>
      </c>
      <c r="FW156" t="e">
        <f>'2.5.Трудоемкость'!RF16+"BYw!('/"</f>
        <v>#VALUE!</v>
      </c>
      <c r="FX156" t="e">
        <f>'2.5.Трудоемкость'!RG16+"BYw!('0"</f>
        <v>#VALUE!</v>
      </c>
      <c r="FY156" t="e">
        <f>'2.5.Трудоемкость'!RH16+"BYw!('1"</f>
        <v>#VALUE!</v>
      </c>
      <c r="FZ156" t="e">
        <f>'2.5.Трудоемкость'!RI16+"BYw!('2"</f>
        <v>#VALUE!</v>
      </c>
      <c r="GA156" t="e">
        <f>'2.5.Трудоемкость'!RJ16+"BYw!('3"</f>
        <v>#VALUE!</v>
      </c>
      <c r="GB156" t="e">
        <f>'2.5.Трудоемкость'!RK16+"BYw!('4"</f>
        <v>#VALUE!</v>
      </c>
      <c r="GC156" t="e">
        <f>'2.5.Трудоемкость'!RL16+"BYw!('5"</f>
        <v>#VALUE!</v>
      </c>
      <c r="GD156" t="e">
        <f>'2.5.Трудоемкость'!RM16+"BYw!('6"</f>
        <v>#VALUE!</v>
      </c>
      <c r="GE156" t="e">
        <f>'2.5.Трудоемкость'!RN16+"BYw!('7"</f>
        <v>#VALUE!</v>
      </c>
      <c r="GF156" t="e">
        <f>'2.5.Трудоемкость'!RO16+"BYw!('8"</f>
        <v>#VALUE!</v>
      </c>
      <c r="GG156" t="e">
        <f>'2.5.Трудоемкость'!RP16+"BYw!('9"</f>
        <v>#VALUE!</v>
      </c>
      <c r="GH156" t="e">
        <f>'2.5.Трудоемкость'!RQ16+"BYw!(':"</f>
        <v>#VALUE!</v>
      </c>
      <c r="GI156" t="e">
        <f>'2.5.Трудоемкость'!RR16+"BYw!(';"</f>
        <v>#VALUE!</v>
      </c>
      <c r="GJ156" t="e">
        <f>'2.5.Трудоемкость'!RS16+"BYw!('&lt;"</f>
        <v>#VALUE!</v>
      </c>
      <c r="GK156" t="e">
        <f>'2.5.Трудоемкость'!RT16+"BYw!('="</f>
        <v>#VALUE!</v>
      </c>
      <c r="GL156" t="e">
        <f>'2.5.Трудоемкость'!RU16+"BYw!('&gt;"</f>
        <v>#VALUE!</v>
      </c>
      <c r="GM156" t="e">
        <f>'2.5.Трудоемкость'!RV16+"BYw!('?"</f>
        <v>#VALUE!</v>
      </c>
      <c r="GN156" t="e">
        <f>'2.5.Трудоемкость'!RW16+"BYw!('@"</f>
        <v>#VALUE!</v>
      </c>
      <c r="GO156" t="e">
        <f>'2.5.Трудоемкость'!RX16+"BYw!('A"</f>
        <v>#VALUE!</v>
      </c>
      <c r="GP156" t="e">
        <f>'2.5.Трудоемкость'!RY16+"BYw!('B"</f>
        <v>#VALUE!</v>
      </c>
      <c r="GQ156" t="e">
        <f>'2.5.Трудоемкость'!RZ16+"BYw!('C"</f>
        <v>#VALUE!</v>
      </c>
      <c r="GR156" t="e">
        <f>'2.5.Трудоемкость'!SA16+"BYw!('D"</f>
        <v>#VALUE!</v>
      </c>
      <c r="GS156" t="e">
        <f>'2.5.Трудоемкость'!SB16+"BYw!('E"</f>
        <v>#VALUE!</v>
      </c>
      <c r="GT156" t="e">
        <f>'2.5.Трудоемкость'!SC16+"BYw!('F"</f>
        <v>#VALUE!</v>
      </c>
      <c r="GU156" t="e">
        <f>'2.5.Трудоемкость'!SD16+"BYw!('G"</f>
        <v>#VALUE!</v>
      </c>
      <c r="GV156" t="e">
        <f>'2.5.Трудоемкость'!SE16+"BYw!('H"</f>
        <v>#VALUE!</v>
      </c>
      <c r="GW156" t="e">
        <f>'2.5.Трудоемкость'!SF16+"BYw!('I"</f>
        <v>#VALUE!</v>
      </c>
      <c r="GX156" t="e">
        <f>'2.5.Трудоемкость'!SG16+"BYw!('J"</f>
        <v>#VALUE!</v>
      </c>
      <c r="GY156" t="e">
        <f>'2.5.Трудоемкость'!SH16+"BYw!('K"</f>
        <v>#VALUE!</v>
      </c>
      <c r="GZ156" t="e">
        <f>'2.5.Трудоемкость'!SI16+"BYw!('L"</f>
        <v>#VALUE!</v>
      </c>
      <c r="HA156" t="e">
        <f>'2.5.Трудоемкость'!SJ16+"BYw!('M"</f>
        <v>#VALUE!</v>
      </c>
      <c r="HB156" t="e">
        <f>'2.5.Трудоемкость'!SK16+"BYw!('N"</f>
        <v>#VALUE!</v>
      </c>
      <c r="HC156" t="e">
        <f>'2.5.Трудоемкость'!SL16+"BYw!('O"</f>
        <v>#VALUE!</v>
      </c>
      <c r="HD156" t="e">
        <f>'2.5.Трудоемкость'!SM16+"BYw!('P"</f>
        <v>#VALUE!</v>
      </c>
      <c r="HE156" t="e">
        <f>'2.5.Трудоемкость'!SN16+"BYw!('Q"</f>
        <v>#VALUE!</v>
      </c>
      <c r="HF156" t="e">
        <f>'2.5.Трудоемкость'!SO16+"BYw!('R"</f>
        <v>#VALUE!</v>
      </c>
      <c r="HG156" t="e">
        <f>'2.5.Трудоемкость'!SP16+"BYw!('S"</f>
        <v>#VALUE!</v>
      </c>
      <c r="HH156" t="e">
        <f>'2.5.Трудоемкость'!SQ16+"BYw!('T"</f>
        <v>#VALUE!</v>
      </c>
      <c r="HI156" t="e">
        <f>'2.5.Трудоемкость'!SR16+"BYw!('U"</f>
        <v>#VALUE!</v>
      </c>
      <c r="HJ156" t="e">
        <f>'2.5.Трудоемкость'!SS16+"BYw!('V"</f>
        <v>#VALUE!</v>
      </c>
      <c r="HK156" t="e">
        <f>'2.5.Трудоемкость'!ST16+"BYw!('W"</f>
        <v>#VALUE!</v>
      </c>
      <c r="HL156" t="e">
        <f>'2.5.Трудоемкость'!SU16+"BYw!('X"</f>
        <v>#VALUE!</v>
      </c>
      <c r="HM156" t="e">
        <f>'2.5.Трудоемкость'!SV16+"BYw!('Y"</f>
        <v>#VALUE!</v>
      </c>
      <c r="HN156" t="e">
        <f>'2.5.Трудоемкость'!SW16+"BYw!('Z"</f>
        <v>#VALUE!</v>
      </c>
      <c r="HO156" t="e">
        <f>'2.5.Трудоемкость'!SX16+"BYw!('["</f>
        <v>#VALUE!</v>
      </c>
      <c r="HP156" t="e">
        <f>'2.5.Трудоемкость'!SY16+"BYw!('\"</f>
        <v>#VALUE!</v>
      </c>
      <c r="HQ156" t="e">
        <f>'2.5.Трудоемкость'!SZ16+"BYw!(']"</f>
        <v>#VALUE!</v>
      </c>
      <c r="HR156" t="e">
        <f>'2.5.Трудоемкость'!TA16+"BYw!('^"</f>
        <v>#VALUE!</v>
      </c>
      <c r="HS156" t="e">
        <f>'2.5.Трудоемкость'!TB16+"BYw!('_"</f>
        <v>#VALUE!</v>
      </c>
      <c r="HT156" t="e">
        <f>'2.5.Трудоемкость'!TC16+"BYw!('`"</f>
        <v>#VALUE!</v>
      </c>
      <c r="HU156" t="e">
        <f>'2.5.Трудоемкость'!TD16+"BYw!('a"</f>
        <v>#VALUE!</v>
      </c>
      <c r="HV156" t="e">
        <f>'2.5.Трудоемкость'!TE16+"BYw!('b"</f>
        <v>#VALUE!</v>
      </c>
      <c r="HW156" t="e">
        <f>'2.5.Трудоемкость'!TF16+"BYw!('c"</f>
        <v>#VALUE!</v>
      </c>
      <c r="HX156" t="e">
        <f>'2.5.Трудоемкость'!TG16+"BYw!('d"</f>
        <v>#VALUE!</v>
      </c>
      <c r="HY156" t="e">
        <f>'2.5.Трудоемкость'!TH16+"BYw!('e"</f>
        <v>#VALUE!</v>
      </c>
      <c r="HZ156" t="e">
        <f>'2.5.Трудоемкость'!TI16+"BYw!('f"</f>
        <v>#VALUE!</v>
      </c>
      <c r="IA156" t="e">
        <f>'2.5.Трудоемкость'!TJ16+"BYw!('g"</f>
        <v>#VALUE!</v>
      </c>
      <c r="IB156" t="e">
        <f>'2.5.Трудоемкость'!TK16+"BYw!('h"</f>
        <v>#VALUE!</v>
      </c>
      <c r="IC156" t="e">
        <f>'2.5.Трудоемкость'!TL16+"BYw!('i"</f>
        <v>#VALUE!</v>
      </c>
      <c r="ID156" t="e">
        <f>'2.5.Трудоемкость'!TM16+"BYw!('j"</f>
        <v>#VALUE!</v>
      </c>
      <c r="IE156" t="e">
        <f>'2.5.Трудоемкость'!TN16+"BYw!('k"</f>
        <v>#VALUE!</v>
      </c>
      <c r="IF156" t="e">
        <f>'2.5.Трудоемкость'!TO16+"BYw!('l"</f>
        <v>#VALUE!</v>
      </c>
      <c r="IG156" t="e">
        <f>'2.5.Трудоемкость'!TP16+"BYw!('m"</f>
        <v>#VALUE!</v>
      </c>
      <c r="IH156" t="e">
        <f>'2.5.Трудоемкость'!TQ16+"BYw!('n"</f>
        <v>#VALUE!</v>
      </c>
      <c r="II156" t="e">
        <f>'2.5.Трудоемкость'!TR16+"BYw!('o"</f>
        <v>#VALUE!</v>
      </c>
      <c r="IJ156" t="e">
        <f>'2.5.Трудоемкость'!TS16+"BYw!('p"</f>
        <v>#VALUE!</v>
      </c>
      <c r="IK156" t="e">
        <f>'2.5.Трудоемкость'!TT16+"BYw!('q"</f>
        <v>#VALUE!</v>
      </c>
      <c r="IL156" t="e">
        <f>'2.5.Трудоемкость'!TU16+"BYw!('r"</f>
        <v>#VALUE!</v>
      </c>
      <c r="IM156" t="e">
        <f>'2.5.Трудоемкость'!TV16+"BYw!('s"</f>
        <v>#VALUE!</v>
      </c>
      <c r="IN156" t="e">
        <f>'2.5.Трудоемкость'!TW16+"BYw!('t"</f>
        <v>#VALUE!</v>
      </c>
      <c r="IO156" t="e">
        <f>'2.5.Трудоемкость'!TX16+"BYw!('u"</f>
        <v>#VALUE!</v>
      </c>
      <c r="IP156" t="e">
        <f>'2.5.Трудоемкость'!TY16+"BYw!('v"</f>
        <v>#VALUE!</v>
      </c>
      <c r="IQ156" t="e">
        <f>'2.5.Трудоемкость'!TZ16+"BYw!('w"</f>
        <v>#VALUE!</v>
      </c>
      <c r="IR156" t="e">
        <f>'2.5.Трудоемкость'!UA16+"BYw!('x"</f>
        <v>#VALUE!</v>
      </c>
      <c r="IS156" t="e">
        <f>'2.5.Трудоемкость'!UB16+"BYw!('y"</f>
        <v>#VALUE!</v>
      </c>
      <c r="IT156" t="e">
        <f>'2.5.Трудоемкость'!UC16+"BYw!('z"</f>
        <v>#VALUE!</v>
      </c>
      <c r="IU156" t="e">
        <f>'2.5.Трудоемкость'!UD16+"BYw!('{"</f>
        <v>#VALUE!</v>
      </c>
      <c r="IV156" t="e">
        <f>'2.5.Трудоемкость'!UE16+"BYw!('|"</f>
        <v>#VALUE!</v>
      </c>
    </row>
    <row r="157" spans="6:256" x14ac:dyDescent="0.2">
      <c r="F157" t="e">
        <f>'2.5.Трудоемкость'!UF16+"BYw!('}"</f>
        <v>#VALUE!</v>
      </c>
      <c r="G157" t="e">
        <f>'2.5.Трудоемкость'!UG16+"BYw!('~"</f>
        <v>#VALUE!</v>
      </c>
      <c r="H157" t="e">
        <f>'2.5.Трудоемкость'!UH16+"BYw!((#"</f>
        <v>#VALUE!</v>
      </c>
      <c r="I157" t="e">
        <f>'2.5.Трудоемкость'!UI16+"BYw!(($"</f>
        <v>#VALUE!</v>
      </c>
      <c r="J157" t="e">
        <f>'2.5.Трудоемкость'!UJ16+"BYw!((%"</f>
        <v>#VALUE!</v>
      </c>
      <c r="K157" t="e">
        <f>'2.5.Трудоемкость'!UK16+"BYw!((&amp;"</f>
        <v>#VALUE!</v>
      </c>
      <c r="L157" t="e">
        <f>'2.5.Трудоемкость'!UL16+"BYw!(('"</f>
        <v>#VALUE!</v>
      </c>
      <c r="M157" t="e">
        <f>'2.5.Трудоемкость'!UM16+"BYw!((("</f>
        <v>#VALUE!</v>
      </c>
      <c r="N157" t="e">
        <f>'2.5.Трудоемкость'!UN16+"BYw!(()"</f>
        <v>#VALUE!</v>
      </c>
      <c r="O157" t="e">
        <f>'2.5.Трудоемкость'!UO16+"BYw!((."</f>
        <v>#VALUE!</v>
      </c>
      <c r="P157" t="e">
        <f>'2.5.Трудоемкость'!UP16+"BYw!((/"</f>
        <v>#VALUE!</v>
      </c>
      <c r="Q157" t="e">
        <f>'2.5.Трудоемкость'!UQ16+"BYw!((0"</f>
        <v>#VALUE!</v>
      </c>
      <c r="R157" t="e">
        <f>'2.5.Трудоемкость'!UR16+"BYw!((1"</f>
        <v>#VALUE!</v>
      </c>
      <c r="S157" t="e">
        <f>'2.5.Трудоемкость'!US16+"BYw!((2"</f>
        <v>#VALUE!</v>
      </c>
      <c r="T157" t="e">
        <f>'2.5.Трудоемкость'!UT16+"BYw!((3"</f>
        <v>#VALUE!</v>
      </c>
      <c r="U157" t="e">
        <f>'2.5.Трудоемкость'!UU16+"BYw!((4"</f>
        <v>#VALUE!</v>
      </c>
      <c r="V157" t="e">
        <f>'2.5.Трудоемкость'!UV16+"BYw!((5"</f>
        <v>#VALUE!</v>
      </c>
      <c r="W157" t="e">
        <f>'2.5.Трудоемкость'!UW16+"BYw!((6"</f>
        <v>#VALUE!</v>
      </c>
      <c r="X157" t="e">
        <f>'2.5.Трудоемкость'!UX16+"BYw!((7"</f>
        <v>#VALUE!</v>
      </c>
      <c r="Y157" t="e">
        <f>'2.5.Трудоемкость'!UY16+"BYw!((8"</f>
        <v>#VALUE!</v>
      </c>
      <c r="Z157" t="e">
        <f>'2.5.Трудоемкость'!UZ16+"BYw!((9"</f>
        <v>#VALUE!</v>
      </c>
      <c r="AA157" t="e">
        <f>'2.5.Трудоемкость'!VA16+"BYw!((:"</f>
        <v>#VALUE!</v>
      </c>
      <c r="AB157" t="e">
        <f>'2.5.Трудоемкость'!VB16+"BYw!((;"</f>
        <v>#VALUE!</v>
      </c>
      <c r="AC157" t="e">
        <f>'2.5.Трудоемкость'!VC16+"BYw!((&lt;"</f>
        <v>#VALUE!</v>
      </c>
      <c r="AD157" t="e">
        <f>'2.5.Трудоемкость'!VD16+"BYw!((="</f>
        <v>#VALUE!</v>
      </c>
      <c r="AE157" t="e">
        <f>'2.5.Трудоемкость'!VE16+"BYw!((&gt;"</f>
        <v>#VALUE!</v>
      </c>
      <c r="AF157" t="e">
        <f>'2.5.Трудоемкость'!VF16+"BYw!((?"</f>
        <v>#VALUE!</v>
      </c>
      <c r="AG157" t="e">
        <f>'2.5.Трудоемкость'!VG16+"BYw!((@"</f>
        <v>#VALUE!</v>
      </c>
      <c r="AH157" t="e">
        <f>'2.5.Трудоемкость'!VH16+"BYw!((A"</f>
        <v>#VALUE!</v>
      </c>
      <c r="AI157" t="e">
        <f>'2.5.Трудоемкость'!VI16+"BYw!((B"</f>
        <v>#VALUE!</v>
      </c>
      <c r="AJ157" t="e">
        <f>'2.5.Трудоемкость'!VJ16+"BYw!((C"</f>
        <v>#VALUE!</v>
      </c>
      <c r="AK157" t="e">
        <f>'2.5.Трудоемкость'!VK16+"BYw!((D"</f>
        <v>#VALUE!</v>
      </c>
      <c r="AL157" t="e">
        <f>'2.5.Трудоемкость'!VL16+"BYw!((E"</f>
        <v>#VALUE!</v>
      </c>
      <c r="AM157" t="e">
        <f>'2.5.Трудоемкость'!VM16+"BYw!((F"</f>
        <v>#VALUE!</v>
      </c>
      <c r="AN157" t="e">
        <f>'2.5.Трудоемкость'!VN16+"BYw!((G"</f>
        <v>#VALUE!</v>
      </c>
      <c r="AO157" t="e">
        <f>'2.5.Трудоемкость'!VO16+"BYw!((H"</f>
        <v>#VALUE!</v>
      </c>
      <c r="AP157" t="e">
        <f>'2.5.Трудоемкость'!VP16+"BYw!((I"</f>
        <v>#VALUE!</v>
      </c>
      <c r="AQ157" t="e">
        <f>'2.5.Трудоемкость'!VQ16+"BYw!((J"</f>
        <v>#VALUE!</v>
      </c>
      <c r="AR157" t="e">
        <f>'2.5.Трудоемкость'!VR16+"BYw!((K"</f>
        <v>#VALUE!</v>
      </c>
      <c r="AS157" t="e">
        <f>'2.5.Трудоемкость'!VS16+"BYw!((L"</f>
        <v>#VALUE!</v>
      </c>
      <c r="AT157" t="e">
        <f>'2.5.Трудоемкость'!VT16+"BYw!((M"</f>
        <v>#VALUE!</v>
      </c>
      <c r="AU157" t="e">
        <f>'2.5.Трудоемкость'!VU16+"BYw!((N"</f>
        <v>#VALUE!</v>
      </c>
      <c r="AV157" t="e">
        <f>'2.5.Трудоемкость'!VV16+"BYw!((O"</f>
        <v>#VALUE!</v>
      </c>
      <c r="AW157" t="e">
        <f>'2.5.Трудоемкость'!VW16+"BYw!((P"</f>
        <v>#VALUE!</v>
      </c>
      <c r="AX157" t="e">
        <f>'2.5.Трудоемкость'!VX16+"BYw!((Q"</f>
        <v>#VALUE!</v>
      </c>
      <c r="AY157" t="e">
        <f>'2.5.Трудоемкость'!VY16+"BYw!((R"</f>
        <v>#VALUE!</v>
      </c>
      <c r="AZ157" t="e">
        <f>'2.5.Трудоемкость'!VZ16+"BYw!((S"</f>
        <v>#VALUE!</v>
      </c>
      <c r="BA157" t="e">
        <f>'2.5.Трудоемкость'!WA16+"BYw!((T"</f>
        <v>#VALUE!</v>
      </c>
      <c r="BB157" t="e">
        <f>'2.5.Трудоемкость'!WB16+"BYw!((U"</f>
        <v>#VALUE!</v>
      </c>
      <c r="BC157" t="e">
        <f>'2.5.Трудоемкость'!WC16+"BYw!((V"</f>
        <v>#VALUE!</v>
      </c>
      <c r="BD157" t="e">
        <f>'2.5.Трудоемкость'!WD16+"BYw!((W"</f>
        <v>#VALUE!</v>
      </c>
      <c r="BE157" t="e">
        <f>'2.5.Трудоемкость'!WE16+"BYw!((X"</f>
        <v>#VALUE!</v>
      </c>
      <c r="BF157" t="e">
        <f>'2.5.Трудоемкость'!WF16+"BYw!((Y"</f>
        <v>#VALUE!</v>
      </c>
      <c r="BG157" t="e">
        <f>'2.5.Трудоемкость'!WG16+"BYw!((Z"</f>
        <v>#VALUE!</v>
      </c>
      <c r="BH157" t="e">
        <f>'2.5.Трудоемкость'!WH16+"BYw!((["</f>
        <v>#VALUE!</v>
      </c>
      <c r="BI157" t="e">
        <f>'2.5.Трудоемкость'!WI16+"BYw!((\"</f>
        <v>#VALUE!</v>
      </c>
      <c r="BJ157" t="e">
        <f>'2.5.Трудоемкость'!WJ16+"BYw!((]"</f>
        <v>#VALUE!</v>
      </c>
      <c r="BK157" t="e">
        <f>'2.5.Трудоемкость'!WK16+"BYw!((^"</f>
        <v>#VALUE!</v>
      </c>
      <c r="BL157" t="e">
        <f>'2.5.Трудоемкость'!WL16+"BYw!((_"</f>
        <v>#VALUE!</v>
      </c>
      <c r="BM157" t="e">
        <f>'2.5.Трудоемкость'!WM16+"BYw!((`"</f>
        <v>#VALUE!</v>
      </c>
      <c r="BN157" t="e">
        <f>'2.5.Трудоемкость'!WN16+"BYw!((a"</f>
        <v>#VALUE!</v>
      </c>
      <c r="BO157" t="e">
        <f>'2.5.Трудоемкость'!WO16+"BYw!((b"</f>
        <v>#VALUE!</v>
      </c>
      <c r="BP157" t="e">
        <f>'2.5.Трудоемкость'!WP16+"BYw!((c"</f>
        <v>#VALUE!</v>
      </c>
      <c r="BQ157" t="e">
        <f>'2.5.Трудоемкость'!WQ16+"BYw!((d"</f>
        <v>#VALUE!</v>
      </c>
      <c r="BR157" t="e">
        <f>'2.5.Трудоемкость'!WR16+"BYw!((e"</f>
        <v>#VALUE!</v>
      </c>
      <c r="BS157" t="e">
        <f>'2.5.Трудоемкость'!WS16+"BYw!((f"</f>
        <v>#VALUE!</v>
      </c>
      <c r="BT157" t="e">
        <f>'2.5.Трудоемкость'!WT16+"BYw!((g"</f>
        <v>#VALUE!</v>
      </c>
      <c r="BU157" t="e">
        <f>'2.5.Трудоемкость'!WU16+"BYw!((h"</f>
        <v>#VALUE!</v>
      </c>
      <c r="BV157" t="e">
        <f>'2.5.Трудоемкость'!WV16+"BYw!((i"</f>
        <v>#VALUE!</v>
      </c>
      <c r="BW157" t="e">
        <f>'2.5.Трудоемкость'!WW16+"BYw!((j"</f>
        <v>#VALUE!</v>
      </c>
      <c r="BX157" t="e">
        <f>'2.5.Трудоемкость'!WX16+"BYw!((k"</f>
        <v>#VALUE!</v>
      </c>
      <c r="BY157" t="e">
        <f>'2.5.Трудоемкость'!WY16+"BYw!((l"</f>
        <v>#VALUE!</v>
      </c>
      <c r="BZ157" t="e">
        <f>'2.5.Трудоемкость'!WZ16+"BYw!((m"</f>
        <v>#VALUE!</v>
      </c>
      <c r="CA157" t="e">
        <f>'2.5.Трудоемкость'!XA16+"BYw!((n"</f>
        <v>#VALUE!</v>
      </c>
      <c r="CB157" t="e">
        <f>'2.5.Трудоемкость'!XB16+"BYw!((o"</f>
        <v>#VALUE!</v>
      </c>
      <c r="CC157" t="e">
        <f>'2.5.Трудоемкость'!XC16+"BYw!((p"</f>
        <v>#VALUE!</v>
      </c>
      <c r="CD157" t="e">
        <f>'2.5.Трудоемкость'!XD16+"BYw!((q"</f>
        <v>#VALUE!</v>
      </c>
      <c r="CE157" t="e">
        <f>'2.5.Трудоемкость'!XE16+"BYw!((r"</f>
        <v>#VALUE!</v>
      </c>
      <c r="CF157" t="e">
        <f>'2.5.Трудоемкость'!XF16+"BYw!((s"</f>
        <v>#VALUE!</v>
      </c>
      <c r="CG157" t="e">
        <f>'2.5.Трудоемкость'!XG16+"BYw!((t"</f>
        <v>#VALUE!</v>
      </c>
      <c r="CH157" t="e">
        <f>'2.5.Трудоемкость'!XH16+"BYw!((u"</f>
        <v>#VALUE!</v>
      </c>
      <c r="CI157" t="e">
        <f>'2.5.Трудоемкость'!XI16+"BYw!((v"</f>
        <v>#VALUE!</v>
      </c>
      <c r="CJ157" t="e">
        <f>'2.5.Трудоемкость'!XJ16+"BYw!((w"</f>
        <v>#VALUE!</v>
      </c>
      <c r="CK157" t="e">
        <f>'2.5.Трудоемкость'!XK16+"BYw!((x"</f>
        <v>#VALUE!</v>
      </c>
      <c r="CL157" t="e">
        <f>'2.5.Трудоемкость'!XL16+"BYw!((y"</f>
        <v>#VALUE!</v>
      </c>
      <c r="CM157" t="e">
        <f>'2.5.Трудоемкость'!XM16+"BYw!((z"</f>
        <v>#VALUE!</v>
      </c>
      <c r="CN157" t="e">
        <f>'2.5.Трудоемкость'!XN16+"BYw!(({"</f>
        <v>#VALUE!</v>
      </c>
      <c r="CO157" t="e">
        <f>'2.5.Трудоемкость'!XO16+"BYw!((|"</f>
        <v>#VALUE!</v>
      </c>
      <c r="CP157" t="e">
        <f>'2.5.Трудоемкость'!XP16+"BYw!((}"</f>
        <v>#VALUE!</v>
      </c>
      <c r="CQ157" t="e">
        <f>'2.5.Трудоемкость'!XQ16+"BYw!((~"</f>
        <v>#VALUE!</v>
      </c>
      <c r="CR157" t="e">
        <f>'2.5.Трудоемкость'!XR16+"BYw!()#"</f>
        <v>#VALUE!</v>
      </c>
      <c r="CS157" t="e">
        <f>'2.5.Трудоемкость'!XS16+"BYw!()$"</f>
        <v>#VALUE!</v>
      </c>
      <c r="CT157" t="e">
        <f>'2.5.Трудоемкость'!XT16+"BYw!()%"</f>
        <v>#VALUE!</v>
      </c>
      <c r="CU157" t="e">
        <f>'2.5.Трудоемкость'!XU16+"BYw!()&amp;"</f>
        <v>#VALUE!</v>
      </c>
      <c r="CV157" t="e">
        <f>'2.5.Трудоемкость'!XV16+"BYw!()'"</f>
        <v>#VALUE!</v>
      </c>
      <c r="CW157" t="e">
        <f>'2.5.Трудоемкость'!XW16+"BYw!()("</f>
        <v>#VALUE!</v>
      </c>
      <c r="CX157" t="e">
        <f>'2.5.Трудоемкость'!XX16+"BYw!())"</f>
        <v>#VALUE!</v>
      </c>
      <c r="CY157" t="e">
        <f>'2.5.Трудоемкость'!XY16+"BYw!()."</f>
        <v>#VALUE!</v>
      </c>
      <c r="CZ157" t="e">
        <f>'2.5.Трудоемкость'!XZ16+"BYw!()/"</f>
        <v>#VALUE!</v>
      </c>
      <c r="DA157" t="e">
        <f>'2.5.Трудоемкость'!YA16+"BYw!()0"</f>
        <v>#VALUE!</v>
      </c>
      <c r="DB157" t="e">
        <f>'2.5.Трудоемкость'!YB16+"BYw!()1"</f>
        <v>#VALUE!</v>
      </c>
      <c r="DC157" t="e">
        <f>'2.5.Трудоемкость'!YC16+"BYw!()2"</f>
        <v>#VALUE!</v>
      </c>
      <c r="DD157" t="e">
        <f>'2.5.Трудоемкость'!YD16+"BYw!()3"</f>
        <v>#VALUE!</v>
      </c>
      <c r="DE157" t="e">
        <f>'2.5.Трудоемкость'!YE16+"BYw!()4"</f>
        <v>#VALUE!</v>
      </c>
      <c r="DF157" t="e">
        <f>'2.5.Трудоемкость'!YF16+"BYw!()5"</f>
        <v>#VALUE!</v>
      </c>
      <c r="DG157" t="e">
        <f>'2.5.Трудоемкость'!YG16+"BYw!()6"</f>
        <v>#VALUE!</v>
      </c>
      <c r="DH157" t="e">
        <f>'2.5.Трудоемкость'!YH16+"BYw!()7"</f>
        <v>#VALUE!</v>
      </c>
      <c r="DI157" t="e">
        <f>'2.5.Трудоемкость'!YI16+"BYw!()8"</f>
        <v>#VALUE!</v>
      </c>
      <c r="DJ157" t="e">
        <f>'2.5.Трудоемкость'!YJ16+"BYw!()9"</f>
        <v>#VALUE!</v>
      </c>
      <c r="DK157" t="e">
        <f>'2.5.Трудоемкость'!YK16+"BYw!():"</f>
        <v>#VALUE!</v>
      </c>
      <c r="DL157" t="e">
        <f>'2.5.Трудоемкость'!YL16+"BYw!();"</f>
        <v>#VALUE!</v>
      </c>
      <c r="DM157" t="e">
        <f>'2.5.Трудоемкость'!YM16+"BYw!()&lt;"</f>
        <v>#VALUE!</v>
      </c>
      <c r="DN157" t="e">
        <f>'2.5.Трудоемкость'!YN16+"BYw!()="</f>
        <v>#VALUE!</v>
      </c>
      <c r="DO157" t="e">
        <f>'2.5.Трудоемкость'!YO16+"BYw!()&gt;"</f>
        <v>#VALUE!</v>
      </c>
      <c r="DP157" t="e">
        <f>'2.5.Трудоемкость'!YP16+"BYw!()?"</f>
        <v>#VALUE!</v>
      </c>
      <c r="DQ157" t="e">
        <f>'2.5.Трудоемкость'!YQ16+"BYw!()@"</f>
        <v>#VALUE!</v>
      </c>
      <c r="DR157" t="e">
        <f>'2.5.Трудоемкость'!YR16+"BYw!()A"</f>
        <v>#VALUE!</v>
      </c>
      <c r="DS157" t="e">
        <f>'2.5.Трудоемкость'!YS16+"BYw!()B"</f>
        <v>#VALUE!</v>
      </c>
      <c r="DT157" t="e">
        <f>'2.5.Трудоемкость'!YT16+"BYw!()C"</f>
        <v>#VALUE!</v>
      </c>
      <c r="DU157" t="e">
        <f>'2.5.Трудоемкость'!YU16+"BYw!()D"</f>
        <v>#VALUE!</v>
      </c>
      <c r="DV157" t="e">
        <f>'2.5.Трудоемкость'!YV16+"BYw!()E"</f>
        <v>#VALUE!</v>
      </c>
      <c r="DW157" t="e">
        <f>'2.5.Трудоемкость'!YW16+"BYw!()F"</f>
        <v>#VALUE!</v>
      </c>
      <c r="DX157" t="e">
        <f>'2.5.Трудоемкость'!YX16+"BYw!()G"</f>
        <v>#VALUE!</v>
      </c>
      <c r="DY157" t="e">
        <f>'2.5.Трудоемкость'!YY16+"BYw!()H"</f>
        <v>#VALUE!</v>
      </c>
      <c r="DZ157" t="e">
        <f>'2.5.Трудоемкость'!YZ16+"BYw!()I"</f>
        <v>#VALUE!</v>
      </c>
      <c r="EA157" t="e">
        <f>'2.5.Трудоемкость'!ZA16+"BYw!()J"</f>
        <v>#VALUE!</v>
      </c>
      <c r="EB157" t="e">
        <f>'2.5.Трудоемкость'!ZB16+"BYw!()K"</f>
        <v>#VALUE!</v>
      </c>
      <c r="EC157" t="e">
        <f>'2.5.Трудоемкость'!ZC16+"BYw!()L"</f>
        <v>#VALUE!</v>
      </c>
      <c r="ED157" t="e">
        <f>'2.5.Трудоемкость'!ZD16+"BYw!()M"</f>
        <v>#VALUE!</v>
      </c>
      <c r="EE157" t="e">
        <f>'2.5.Трудоемкость'!ZE16+"BYw!()N"</f>
        <v>#VALUE!</v>
      </c>
      <c r="EF157" t="e">
        <f>'2.5.Трудоемкость'!ZF16+"BYw!()O"</f>
        <v>#VALUE!</v>
      </c>
      <c r="EG157" t="e">
        <f>'2.5.Трудоемкость'!ZG16+"BYw!()P"</f>
        <v>#VALUE!</v>
      </c>
      <c r="EH157" t="e">
        <f>'2.5.Трудоемкость'!ZH16+"BYw!()Q"</f>
        <v>#VALUE!</v>
      </c>
      <c r="EI157" t="e">
        <f>'2.5.Трудоемкость'!ZI16+"BYw!()R"</f>
        <v>#VALUE!</v>
      </c>
      <c r="EJ157" t="e">
        <f>'2.5.Трудоемкость'!ZJ16+"BYw!()S"</f>
        <v>#VALUE!</v>
      </c>
      <c r="EK157" t="e">
        <f>'2.5.Трудоемкость'!ZK16+"BYw!()T"</f>
        <v>#VALUE!</v>
      </c>
      <c r="EL157" t="e">
        <f>'2.5.Трудоемкость'!ZL16+"BYw!()U"</f>
        <v>#VALUE!</v>
      </c>
      <c r="EM157" t="e">
        <f>'2.5.Трудоемкость'!ZM16+"BYw!()V"</f>
        <v>#VALUE!</v>
      </c>
      <c r="EN157" t="e">
        <f>'2.5.Трудоемкость'!ZN16+"BYw!()W"</f>
        <v>#VALUE!</v>
      </c>
      <c r="EO157" t="e">
        <f>'2.5.Трудоемкость'!ZO16+"BYw!()X"</f>
        <v>#VALUE!</v>
      </c>
      <c r="EP157" t="e">
        <f>'2.5.Трудоемкость'!ZP16+"BYw!()Y"</f>
        <v>#VALUE!</v>
      </c>
      <c r="EQ157" t="e">
        <f>'2.5.Трудоемкость'!ZQ16+"BYw!()Z"</f>
        <v>#VALUE!</v>
      </c>
      <c r="ER157" t="e">
        <f>'2.5.Трудоемкость'!ZR16+"BYw!()["</f>
        <v>#VALUE!</v>
      </c>
      <c r="ES157" t="e">
        <f>'2.5.Трудоемкость'!ZS16+"BYw!()\"</f>
        <v>#VALUE!</v>
      </c>
      <c r="ET157" t="e">
        <f>'2.5.Трудоемкость'!ZT16+"BYw!()]"</f>
        <v>#VALUE!</v>
      </c>
      <c r="EU157" t="e">
        <f>'2.5.Трудоемкость'!ZU16+"BYw!()^"</f>
        <v>#VALUE!</v>
      </c>
      <c r="EV157" t="e">
        <f>'2.5.Трудоемкость'!ZV16+"BYw!()_"</f>
        <v>#VALUE!</v>
      </c>
      <c r="EW157" t="e">
        <f>'2.5.Трудоемкость'!ZW16+"BYw!()`"</f>
        <v>#VALUE!</v>
      </c>
      <c r="EX157" t="e">
        <f>'2.5.Трудоемкость'!ZX16+"BYw!()a"</f>
        <v>#VALUE!</v>
      </c>
      <c r="EY157" t="e">
        <f>'2.5.Трудоемкость'!ZY16+"BYw!()b"</f>
        <v>#VALUE!</v>
      </c>
      <c r="EZ157" t="e">
        <f>'2.5.Трудоемкость'!ZZ16+"BYw!()c"</f>
        <v>#VALUE!</v>
      </c>
      <c r="FA157" t="e">
        <f>'2.5.Трудоемкость'!AAA16+"BYw!()d"</f>
        <v>#VALUE!</v>
      </c>
      <c r="FB157" t="e">
        <f>'2.5.Трудоемкость'!AAB16+"BYw!()e"</f>
        <v>#VALUE!</v>
      </c>
      <c r="FC157" t="e">
        <f>'2.5.Трудоемкость'!AAC16+"BYw!()f"</f>
        <v>#VALUE!</v>
      </c>
      <c r="FD157" t="e">
        <f>'2.5.Трудоемкость'!AAD16+"BYw!()g"</f>
        <v>#VALUE!</v>
      </c>
      <c r="FE157" t="e">
        <f>'2.5.Трудоемкость'!AAE16+"BYw!()h"</f>
        <v>#VALUE!</v>
      </c>
      <c r="FF157" t="e">
        <f>'2.5.Трудоемкость'!AAF16+"BYw!()i"</f>
        <v>#VALUE!</v>
      </c>
      <c r="FG157" t="e">
        <f>'2.5.Трудоемкость'!AAG16+"BYw!()j"</f>
        <v>#VALUE!</v>
      </c>
      <c r="FH157" t="e">
        <f>'2.5.Трудоемкость'!AAH16+"BYw!()k"</f>
        <v>#VALUE!</v>
      </c>
      <c r="FI157" t="e">
        <f>'2.5.Трудоемкость'!AAI16+"BYw!()l"</f>
        <v>#VALUE!</v>
      </c>
      <c r="FJ157" t="e">
        <f>'2.5.Трудоемкость'!AAJ16+"BYw!()m"</f>
        <v>#VALUE!</v>
      </c>
      <c r="FK157" t="e">
        <f>'2.5.Трудоемкость'!AAK16+"BYw!()n"</f>
        <v>#VALUE!</v>
      </c>
      <c r="FL157" t="e">
        <f>'2.5.Трудоемкость'!AAL16+"BYw!()o"</f>
        <v>#VALUE!</v>
      </c>
      <c r="FM157" t="e">
        <f>'2.5.Трудоемкость'!AAM16+"BYw!()p"</f>
        <v>#VALUE!</v>
      </c>
      <c r="FN157" t="e">
        <f>'2.5.Трудоемкость'!AAN16+"BYw!()q"</f>
        <v>#VALUE!</v>
      </c>
      <c r="FO157" t="e">
        <f>'2.5.Трудоемкость'!AAO16+"BYw!()r"</f>
        <v>#VALUE!</v>
      </c>
      <c r="FP157" t="e">
        <f>'2.5.Трудоемкость'!AAP16+"BYw!()s"</f>
        <v>#VALUE!</v>
      </c>
      <c r="FQ157" t="e">
        <f>'2.5.Трудоемкость'!AAQ16+"BYw!()t"</f>
        <v>#VALUE!</v>
      </c>
      <c r="FR157" t="e">
        <f>'2.5.Трудоемкость'!AAR16+"BYw!()u"</f>
        <v>#VALUE!</v>
      </c>
      <c r="FS157" t="e">
        <f>'2.5.Трудоемкость'!AAS16+"BYw!()v"</f>
        <v>#VALUE!</v>
      </c>
      <c r="FT157" t="e">
        <f>'2.5.Трудоемкость'!AAT16+"BYw!()w"</f>
        <v>#VALUE!</v>
      </c>
      <c r="FU157" t="e">
        <f>'2.5.Трудоемкость'!AAU16+"BYw!()x"</f>
        <v>#VALUE!</v>
      </c>
      <c r="FV157" t="e">
        <f>'2.5.Трудоемкость'!AAV16+"BYw!()y"</f>
        <v>#VALUE!</v>
      </c>
      <c r="FW157" t="e">
        <f>'2.5.Трудоемкость'!AAW16+"BYw!()z"</f>
        <v>#VALUE!</v>
      </c>
      <c r="FX157" t="e">
        <f>'2.5.Трудоемкость'!AAX16+"BYw!(){"</f>
        <v>#VALUE!</v>
      </c>
      <c r="FY157" t="e">
        <f>'2.5.Трудоемкость'!AAY16+"BYw!()|"</f>
        <v>#VALUE!</v>
      </c>
      <c r="FZ157" t="e">
        <f>'2.5.Трудоемкость'!AAZ16+"BYw!()}"</f>
        <v>#VALUE!</v>
      </c>
      <c r="GA157" t="e">
        <f>'2.5.Трудоемкость'!ABA16+"BYw!()~"</f>
        <v>#VALUE!</v>
      </c>
      <c r="GB157" t="e">
        <f>'2.5.Трудоемкость'!ABB16+"BYw!(.#"</f>
        <v>#VALUE!</v>
      </c>
      <c r="GC157" t="e">
        <f>'2.5.Трудоемкость'!ABC16+"BYw!(.$"</f>
        <v>#VALUE!</v>
      </c>
      <c r="GD157" t="e">
        <f>'2.5.Трудоемкость'!ABD16+"BYw!(.%"</f>
        <v>#VALUE!</v>
      </c>
      <c r="GE157" t="e">
        <f>'2.5.Трудоемкость'!ABE16+"BYw!(.&amp;"</f>
        <v>#VALUE!</v>
      </c>
      <c r="GF157" t="e">
        <f>'2.5.Трудоемкость'!ABF16+"BYw!(.'"</f>
        <v>#VALUE!</v>
      </c>
      <c r="GG157" t="e">
        <f>'2.5.Трудоемкость'!ABG16+"BYw!(.("</f>
        <v>#VALUE!</v>
      </c>
      <c r="GH157" t="e">
        <f>'2.5.Трудоемкость'!ABH16+"BYw!(.)"</f>
        <v>#VALUE!</v>
      </c>
      <c r="GI157" t="e">
        <f>'2.5.Трудоемкость'!ABI16+"BYw!(.."</f>
        <v>#VALUE!</v>
      </c>
      <c r="GJ157" t="e">
        <f>'2.5.Трудоемкость'!ABJ16+"BYw!(./"</f>
        <v>#VALUE!</v>
      </c>
      <c r="GK157" t="e">
        <f>'2.5.Трудоемкость'!ABK16+"BYw!(.0"</f>
        <v>#VALUE!</v>
      </c>
      <c r="GL157" t="e">
        <f>'2.5.Трудоемкость'!ABL16+"BYw!(.1"</f>
        <v>#VALUE!</v>
      </c>
      <c r="GM157" t="e">
        <f>'2.5.Трудоемкость'!ABM16+"BYw!(.2"</f>
        <v>#VALUE!</v>
      </c>
      <c r="GN157" t="e">
        <f>'2.5.Трудоемкость'!ABN16+"BYw!(.3"</f>
        <v>#VALUE!</v>
      </c>
      <c r="GO157" t="e">
        <f>'2.5.Трудоемкость'!ABO16+"BYw!(.4"</f>
        <v>#VALUE!</v>
      </c>
      <c r="GP157" t="e">
        <f>'2.5.Трудоемкость'!ABP16+"BYw!(.5"</f>
        <v>#VALUE!</v>
      </c>
      <c r="GQ157" t="e">
        <f>'2.5.Трудоемкость'!ABQ16+"BYw!(.6"</f>
        <v>#VALUE!</v>
      </c>
      <c r="GR157" t="e">
        <f>'2.5.Трудоемкость'!ABR16+"BYw!(.7"</f>
        <v>#VALUE!</v>
      </c>
      <c r="GS157" t="e">
        <f>'2.5.Трудоемкость'!ABS16+"BYw!(.8"</f>
        <v>#VALUE!</v>
      </c>
      <c r="GT157" t="e">
        <f>'2.5.Трудоемкость'!ABT16+"BYw!(.9"</f>
        <v>#VALUE!</v>
      </c>
      <c r="GU157" t="e">
        <f>'2.5.Трудоемкость'!ABU16+"BYw!(.:"</f>
        <v>#VALUE!</v>
      </c>
      <c r="GV157" t="e">
        <f>'2.5.Трудоемкость'!ABV16+"BYw!(.;"</f>
        <v>#VALUE!</v>
      </c>
      <c r="GW157" t="e">
        <f>'2.5.Трудоемкость'!ABW16+"BYw!(.&lt;"</f>
        <v>#VALUE!</v>
      </c>
      <c r="GX157" t="e">
        <f>'2.5.Трудоемкость'!ABX16+"BYw!(.="</f>
        <v>#VALUE!</v>
      </c>
      <c r="GY157" t="e">
        <f>'2.5.Трудоемкость'!ABY16+"BYw!(.&gt;"</f>
        <v>#VALUE!</v>
      </c>
      <c r="GZ157" t="e">
        <f>'2.5.Трудоемкость'!ABZ16+"BYw!(.?"</f>
        <v>#VALUE!</v>
      </c>
      <c r="HA157" t="e">
        <f>'2.5.Трудоемкость'!ACA16+"BYw!(.@"</f>
        <v>#VALUE!</v>
      </c>
      <c r="HB157" t="e">
        <f>'2.5.Трудоемкость'!ACB16+"BYw!(.A"</f>
        <v>#VALUE!</v>
      </c>
      <c r="HC157" t="e">
        <f>'2.5.Трудоемкость'!ACC16+"BYw!(.B"</f>
        <v>#VALUE!</v>
      </c>
      <c r="HD157" t="e">
        <f>'2.5.Трудоемкость'!ACD16+"BYw!(.C"</f>
        <v>#VALUE!</v>
      </c>
      <c r="HE157" t="e">
        <f>'2.5.Трудоемкость'!ACE16+"BYw!(.D"</f>
        <v>#VALUE!</v>
      </c>
      <c r="HF157" t="e">
        <f>'2.5.Трудоемкость'!ACF16+"BYw!(.E"</f>
        <v>#VALUE!</v>
      </c>
      <c r="HG157" t="e">
        <f>'2.5.Трудоемкость'!ACG16+"BYw!(.F"</f>
        <v>#VALUE!</v>
      </c>
      <c r="HH157" t="e">
        <f>'2.5.Трудоемкость'!ACH16+"BYw!(.G"</f>
        <v>#VALUE!</v>
      </c>
      <c r="HI157" t="e">
        <f>'2.5.Трудоемкость'!ACI16+"BYw!(.H"</f>
        <v>#VALUE!</v>
      </c>
      <c r="HJ157" t="e">
        <f>'2.5.Трудоемкость'!ACJ16+"BYw!(.I"</f>
        <v>#VALUE!</v>
      </c>
      <c r="HK157" t="e">
        <f>'2.5.Трудоемкость'!ACK16+"BYw!(.J"</f>
        <v>#VALUE!</v>
      </c>
      <c r="HL157" t="e">
        <f>'2.5.Трудоемкость'!ACL16+"BYw!(.K"</f>
        <v>#VALUE!</v>
      </c>
      <c r="HM157" t="e">
        <f>'2.5.Трудоемкость'!ACM16+"BYw!(.L"</f>
        <v>#VALUE!</v>
      </c>
      <c r="HN157" t="e">
        <f>'2.5.Трудоемкость'!ACN16+"BYw!(.M"</f>
        <v>#VALUE!</v>
      </c>
      <c r="HO157" t="e">
        <f>'2.5.Трудоемкость'!ACO16+"BYw!(.N"</f>
        <v>#VALUE!</v>
      </c>
      <c r="HP157" t="e">
        <f>'2.5.Трудоемкость'!ACP16+"BYw!(.O"</f>
        <v>#VALUE!</v>
      </c>
      <c r="HQ157" t="e">
        <f>'2.5.Трудоемкость'!ACQ16+"BYw!(.P"</f>
        <v>#VALUE!</v>
      </c>
      <c r="HR157" t="e">
        <f>'2.5.Трудоемкость'!ACR16+"BYw!(.Q"</f>
        <v>#VALUE!</v>
      </c>
      <c r="HS157" t="e">
        <f>'2.5.Трудоемкость'!ACS16+"BYw!(.R"</f>
        <v>#VALUE!</v>
      </c>
      <c r="HT157" t="e">
        <f>'2.5.Трудоемкость'!ACT16+"BYw!(.S"</f>
        <v>#VALUE!</v>
      </c>
      <c r="HU157" t="e">
        <f>'2.5.Трудоемкость'!ACU16+"BYw!(.T"</f>
        <v>#VALUE!</v>
      </c>
      <c r="HV157" t="e">
        <f>'2.5.Трудоемкость'!ACV16+"BYw!(.U"</f>
        <v>#VALUE!</v>
      </c>
      <c r="HW157" t="e">
        <f>'2.5.Трудоемкость'!ACW16+"BYw!(.V"</f>
        <v>#VALUE!</v>
      </c>
      <c r="HX157" t="e">
        <f>'2.5.Трудоемкость'!ACX16+"BYw!(.W"</f>
        <v>#VALUE!</v>
      </c>
      <c r="HY157" t="e">
        <f>'2.5.Трудоемкость'!ACY16+"BYw!(.X"</f>
        <v>#VALUE!</v>
      </c>
      <c r="HZ157" t="e">
        <f>'2.5.Трудоемкость'!ACZ16+"BYw!(.Y"</f>
        <v>#VALUE!</v>
      </c>
      <c r="IA157" t="e">
        <f>'2.5.Трудоемкость'!ADA16+"BYw!(.Z"</f>
        <v>#VALUE!</v>
      </c>
      <c r="IB157" t="e">
        <f>'2.5.Трудоемкость'!ADB16+"BYw!(.["</f>
        <v>#VALUE!</v>
      </c>
      <c r="IC157" t="e">
        <f>'2.5.Трудоемкость'!ADC16+"BYw!(.\"</f>
        <v>#VALUE!</v>
      </c>
      <c r="ID157" t="e">
        <f>'2.5.Трудоемкость'!ADD16+"BYw!(.]"</f>
        <v>#VALUE!</v>
      </c>
      <c r="IE157" t="e">
        <f>'2.5.Трудоемкость'!ADE16+"BYw!(.^"</f>
        <v>#VALUE!</v>
      </c>
      <c r="IF157" t="e">
        <f>'2.5.Трудоемкость'!ADF16+"BYw!(._"</f>
        <v>#VALUE!</v>
      </c>
      <c r="IG157" t="e">
        <f>'2.5.Трудоемкость'!ADG16+"BYw!(.`"</f>
        <v>#VALUE!</v>
      </c>
      <c r="IH157" t="e">
        <f>'2.5.Трудоемкость'!ADH16+"BYw!(.a"</f>
        <v>#VALUE!</v>
      </c>
      <c r="II157" t="e">
        <f>'2.5.Трудоемкость'!ADI16+"BYw!(.b"</f>
        <v>#VALUE!</v>
      </c>
      <c r="IJ157" t="e">
        <f>'2.5.Трудоемкость'!ADJ16+"BYw!(.c"</f>
        <v>#VALUE!</v>
      </c>
      <c r="IK157" t="e">
        <f>'2.5.Трудоемкость'!ADK16+"BYw!(.d"</f>
        <v>#VALUE!</v>
      </c>
      <c r="IL157" t="e">
        <f>'2.5.Трудоемкость'!ADL16+"BYw!(.e"</f>
        <v>#VALUE!</v>
      </c>
      <c r="IM157" t="e">
        <f>'2.5.Трудоемкость'!ADM16+"BYw!(.f"</f>
        <v>#VALUE!</v>
      </c>
      <c r="IN157" t="e">
        <f>'2.5.Трудоемкость'!ADN16+"BYw!(.g"</f>
        <v>#VALUE!</v>
      </c>
      <c r="IO157" t="e">
        <f>'2.5.Трудоемкость'!ADO16+"BYw!(.h"</f>
        <v>#VALUE!</v>
      </c>
      <c r="IP157" t="e">
        <f>'2.5.Трудоемкость'!ADP16+"BYw!(.i"</f>
        <v>#VALUE!</v>
      </c>
      <c r="IQ157" t="e">
        <f>'2.5.Трудоемкость'!ADQ16+"BYw!(.j"</f>
        <v>#VALUE!</v>
      </c>
      <c r="IR157" t="e">
        <f>'2.5.Трудоемкость'!ADR16+"BYw!(.k"</f>
        <v>#VALUE!</v>
      </c>
      <c r="IS157" t="e">
        <f>'2.5.Трудоемкость'!ADS16+"BYw!(.l"</f>
        <v>#VALUE!</v>
      </c>
      <c r="IT157" t="e">
        <f>'2.5.Трудоемкость'!ADT16+"BYw!(.m"</f>
        <v>#VALUE!</v>
      </c>
      <c r="IU157" t="e">
        <f>'2.5.Трудоемкость'!ADU16+"BYw!(.n"</f>
        <v>#VALUE!</v>
      </c>
      <c r="IV157" t="e">
        <f>'2.5.Трудоемкость'!ADV16+"BYw!(.o"</f>
        <v>#VALUE!</v>
      </c>
    </row>
    <row r="158" spans="6:256" x14ac:dyDescent="0.2">
      <c r="F158" t="e">
        <f>'2.5.Трудоемкость'!ADW16+"BYw!(.p"</f>
        <v>#VALUE!</v>
      </c>
      <c r="G158" t="e">
        <f>'2.5.Трудоемкость'!ADX16+"BYw!(.q"</f>
        <v>#VALUE!</v>
      </c>
      <c r="H158" t="e">
        <f>'2.5.Трудоемкость'!ADY16+"BYw!(.r"</f>
        <v>#VALUE!</v>
      </c>
      <c r="I158" t="e">
        <f>'2.5.Трудоемкость'!ADZ16+"BYw!(.s"</f>
        <v>#VALUE!</v>
      </c>
      <c r="J158" t="e">
        <f>'2.5.Трудоемкость'!AEA16+"BYw!(.t"</f>
        <v>#VALUE!</v>
      </c>
      <c r="K158" t="e">
        <f>'2.5.Трудоемкость'!AEB16+"BYw!(.u"</f>
        <v>#VALUE!</v>
      </c>
      <c r="L158" t="e">
        <f>'2.5.Трудоемкость'!AEC16+"BYw!(.v"</f>
        <v>#VALUE!</v>
      </c>
      <c r="M158" t="e">
        <f>'2.5.Трудоемкость'!AED16+"BYw!(.w"</f>
        <v>#VALUE!</v>
      </c>
      <c r="N158" t="e">
        <f>'2.5.Трудоемкость'!AEE16+"BYw!(.x"</f>
        <v>#VALUE!</v>
      </c>
      <c r="O158" t="e">
        <f>'2.5.Трудоемкость'!AEF16+"BYw!(.y"</f>
        <v>#VALUE!</v>
      </c>
      <c r="P158" t="e">
        <f>'2.5.Трудоемкость'!AEG16+"BYw!(.z"</f>
        <v>#VALUE!</v>
      </c>
      <c r="Q158" t="e">
        <f>'2.5.Трудоемкость'!AEH16+"BYw!(.{"</f>
        <v>#VALUE!</v>
      </c>
      <c r="R158" t="e">
        <f>'2.5.Трудоемкость'!AEI16+"BYw!(.|"</f>
        <v>#VALUE!</v>
      </c>
      <c r="S158" t="e">
        <f>'2.5.Трудоемкость'!AEJ16+"BYw!(.}"</f>
        <v>#VALUE!</v>
      </c>
      <c r="T158" t="e">
        <f>'2.5.Трудоемкость'!AEK16+"BYw!(.~"</f>
        <v>#VALUE!</v>
      </c>
      <c r="U158" t="e">
        <f>'2.5.Трудоемкость'!AEL16+"BYw!(/#"</f>
        <v>#VALUE!</v>
      </c>
      <c r="V158" t="e">
        <f>'2.5.Трудоемкость'!AEM16+"BYw!(/$"</f>
        <v>#VALUE!</v>
      </c>
      <c r="W158" t="e">
        <f>'2.5.Трудоемкость'!AEN16+"BYw!(/%"</f>
        <v>#VALUE!</v>
      </c>
      <c r="X158" t="e">
        <f>'2.5.Трудоемкость'!AEO16+"BYw!(/&amp;"</f>
        <v>#VALUE!</v>
      </c>
      <c r="Y158" t="e">
        <f>'2.5.Трудоемкость'!AEP16+"BYw!(/'"</f>
        <v>#VALUE!</v>
      </c>
      <c r="Z158" t="e">
        <f>'2.5.Трудоемкость'!AEQ16+"BYw!(/("</f>
        <v>#VALUE!</v>
      </c>
      <c r="AA158" t="e">
        <f>'2.5.Трудоемкость'!AER16+"BYw!(/)"</f>
        <v>#VALUE!</v>
      </c>
      <c r="AB158" t="e">
        <f>'2.5.Трудоемкость'!AES16+"BYw!(/."</f>
        <v>#VALUE!</v>
      </c>
      <c r="AC158" t="e">
        <f>'2.5.Трудоемкость'!AET16+"BYw!(//"</f>
        <v>#VALUE!</v>
      </c>
      <c r="AD158" t="e">
        <f>'2.5.Трудоемкость'!AEU16+"BYw!(/0"</f>
        <v>#VALUE!</v>
      </c>
      <c r="AE158" t="e">
        <f>'2.5.Трудоемкость'!AEV16+"BYw!(/1"</f>
        <v>#VALUE!</v>
      </c>
      <c r="AF158" t="e">
        <f>'2.5.Трудоемкость'!AEW16+"BYw!(/2"</f>
        <v>#VALUE!</v>
      </c>
      <c r="AG158" t="e">
        <f>'2.5.Трудоемкость'!AEX16+"BYw!(/3"</f>
        <v>#VALUE!</v>
      </c>
      <c r="AH158" t="e">
        <f>'2.5.Трудоемкость'!AEY16+"BYw!(/4"</f>
        <v>#VALUE!</v>
      </c>
      <c r="AI158" t="e">
        <f>'2.5.Трудоемкость'!AEZ16+"BYw!(/5"</f>
        <v>#VALUE!</v>
      </c>
      <c r="AJ158" t="e">
        <f>'2.5.Трудоемкость'!AFA16+"BYw!(/6"</f>
        <v>#VALUE!</v>
      </c>
      <c r="AK158" t="e">
        <f>'2.5.Трудоемкость'!AFB16+"BYw!(/7"</f>
        <v>#VALUE!</v>
      </c>
      <c r="AL158" t="e">
        <f>'2.5.Трудоемкость'!AFC16+"BYw!(/8"</f>
        <v>#VALUE!</v>
      </c>
      <c r="AM158" t="e">
        <f>'2.5.Трудоемкость'!AFD16+"BYw!(/9"</f>
        <v>#VALUE!</v>
      </c>
      <c r="AN158" t="e">
        <f>'2.5.Трудоемкость'!AFE16+"BYw!(/:"</f>
        <v>#VALUE!</v>
      </c>
      <c r="AO158" t="e">
        <f>'2.5.Трудоемкость'!AFF16+"BYw!(/;"</f>
        <v>#VALUE!</v>
      </c>
      <c r="AP158" t="e">
        <f>'2.5.Трудоемкость'!AFG16+"BYw!(/&lt;"</f>
        <v>#VALUE!</v>
      </c>
      <c r="AQ158" t="e">
        <f>'2.5.Трудоемкость'!AFH16+"BYw!(/="</f>
        <v>#VALUE!</v>
      </c>
      <c r="AR158" t="e">
        <f>'2.5.Трудоемкость'!AFI16+"BYw!(/&gt;"</f>
        <v>#VALUE!</v>
      </c>
      <c r="AS158" t="e">
        <f>'2.5.Трудоемкость'!AFJ16+"BYw!(/?"</f>
        <v>#VALUE!</v>
      </c>
      <c r="AT158" t="e">
        <f>'2.5.Трудоемкость'!AFK16+"BYw!(/@"</f>
        <v>#VALUE!</v>
      </c>
      <c r="AU158" t="e">
        <f>'2.5.Трудоемкость'!AFL16+"BYw!(/A"</f>
        <v>#VALUE!</v>
      </c>
      <c r="AV158" t="e">
        <f>'2.5.Трудоемкость'!AFM16+"BYw!(/B"</f>
        <v>#VALUE!</v>
      </c>
      <c r="AW158" t="e">
        <f>'2.5.Трудоемкость'!AFN16+"BYw!(/C"</f>
        <v>#VALUE!</v>
      </c>
      <c r="AX158" t="e">
        <f>'2.5.Трудоемкость'!AFO16+"BYw!(/D"</f>
        <v>#VALUE!</v>
      </c>
      <c r="AY158" t="e">
        <f>'2.5.Трудоемкость'!AFP16+"BYw!(/E"</f>
        <v>#VALUE!</v>
      </c>
      <c r="AZ158" t="e">
        <f>'2.5.Трудоемкость'!AFQ16+"BYw!(/F"</f>
        <v>#VALUE!</v>
      </c>
      <c r="BA158" t="e">
        <f>'2.5.Трудоемкость'!AFR16+"BYw!(/G"</f>
        <v>#VALUE!</v>
      </c>
      <c r="BB158" t="e">
        <f>'2.5.Трудоемкость'!AFS16+"BYw!(/H"</f>
        <v>#VALUE!</v>
      </c>
      <c r="BC158" t="e">
        <f>'2.5.Трудоемкость'!AFT16+"BYw!(/I"</f>
        <v>#VALUE!</v>
      </c>
      <c r="BD158" t="e">
        <f>'2.5.Трудоемкость'!AFU16+"BYw!(/J"</f>
        <v>#VALUE!</v>
      </c>
      <c r="BE158" t="e">
        <f>'2.5.Трудоемкость'!AFV16+"BYw!(/K"</f>
        <v>#VALUE!</v>
      </c>
      <c r="BF158" t="e">
        <f>'2.5.Трудоемкость'!AFW16+"BYw!(/L"</f>
        <v>#VALUE!</v>
      </c>
      <c r="BG158" t="e">
        <f>'2.5.Трудоемкость'!AFX16+"BYw!(/M"</f>
        <v>#VALUE!</v>
      </c>
      <c r="BH158" t="e">
        <f>'2.5.Трудоемкость'!AFY16+"BYw!(/N"</f>
        <v>#VALUE!</v>
      </c>
      <c r="BI158" t="e">
        <f>'2.5.Трудоемкость'!AFZ16+"BYw!(/O"</f>
        <v>#VALUE!</v>
      </c>
      <c r="BJ158" t="e">
        <f>'2.5.Трудоемкость'!AGA16+"BYw!(/P"</f>
        <v>#VALUE!</v>
      </c>
      <c r="BK158" t="e">
        <f>'2.5.Трудоемкость'!AGB16+"BYw!(/Q"</f>
        <v>#VALUE!</v>
      </c>
      <c r="BL158" t="e">
        <f>'2.5.Трудоемкость'!AGC16+"BYw!(/R"</f>
        <v>#VALUE!</v>
      </c>
      <c r="BM158" t="e">
        <f>'2.5.Трудоемкость'!AGD16+"BYw!(/S"</f>
        <v>#VALUE!</v>
      </c>
      <c r="BN158" t="e">
        <f>'2.5.Трудоемкость'!AGE16+"BYw!(/T"</f>
        <v>#VALUE!</v>
      </c>
      <c r="BO158" t="e">
        <f>'2.5.Трудоемкость'!AGF16+"BYw!(/U"</f>
        <v>#VALUE!</v>
      </c>
      <c r="BP158" t="e">
        <f>'2.5.Трудоемкость'!AGG16+"BYw!(/V"</f>
        <v>#VALUE!</v>
      </c>
      <c r="BQ158" t="e">
        <f>'2.5.Трудоемкость'!AGH16+"BYw!(/W"</f>
        <v>#VALUE!</v>
      </c>
      <c r="BR158" t="e">
        <f>'2.5.Трудоемкость'!AGI16+"BYw!(/X"</f>
        <v>#VALUE!</v>
      </c>
      <c r="BS158" t="e">
        <f>'2.5.Трудоемкость'!AGJ16+"BYw!(/Y"</f>
        <v>#VALUE!</v>
      </c>
      <c r="BT158" t="e">
        <f>'2.5.Трудоемкость'!AGK16+"BYw!(/Z"</f>
        <v>#VALUE!</v>
      </c>
      <c r="BU158" t="e">
        <f>'2.5.Трудоемкость'!AGL16+"BYw!(/["</f>
        <v>#VALUE!</v>
      </c>
      <c r="BV158" t="e">
        <f>'2.5.Трудоемкость'!AGM16+"BYw!(/\"</f>
        <v>#VALUE!</v>
      </c>
      <c r="BW158" t="e">
        <f>'2.5.Трудоемкость'!AGN16+"BYw!(/]"</f>
        <v>#VALUE!</v>
      </c>
      <c r="BX158" t="e">
        <f>'2.5.Трудоемкость'!AGO16+"BYw!(/^"</f>
        <v>#VALUE!</v>
      </c>
      <c r="BY158" t="e">
        <f>'2.5.Трудоемкость'!AGP16+"BYw!(/_"</f>
        <v>#VALUE!</v>
      </c>
      <c r="BZ158" t="e">
        <f>'2.5.Трудоемкость'!AGQ16+"BYw!(/`"</f>
        <v>#VALUE!</v>
      </c>
      <c r="CA158" t="e">
        <f>'2.5.Трудоемкость'!AGR16+"BYw!(/a"</f>
        <v>#VALUE!</v>
      </c>
      <c r="CB158" t="e">
        <f>'2.5.Трудоемкость'!AGS16+"BYw!(/b"</f>
        <v>#VALUE!</v>
      </c>
      <c r="CC158" t="e">
        <f>'2.5.Трудоемкость'!AGT16+"BYw!(/c"</f>
        <v>#VALUE!</v>
      </c>
      <c r="CD158" t="e">
        <f>'2.5.Трудоемкость'!AGU16+"BYw!(/d"</f>
        <v>#VALUE!</v>
      </c>
      <c r="CE158" t="e">
        <f>'2.5.Трудоемкость'!AGV16+"BYw!(/e"</f>
        <v>#VALUE!</v>
      </c>
      <c r="CF158" t="e">
        <f>'2.5.Трудоемкость'!AGW16+"BYw!(/f"</f>
        <v>#VALUE!</v>
      </c>
      <c r="CG158" t="e">
        <f>'2.5.Трудоемкость'!AGX16+"BYw!(/g"</f>
        <v>#VALUE!</v>
      </c>
      <c r="CH158" t="e">
        <f>'2.5.Трудоемкость'!AGY16+"BYw!(/h"</f>
        <v>#VALUE!</v>
      </c>
      <c r="CI158" t="e">
        <f>'2.5.Трудоемкость'!AGZ16+"BYw!(/i"</f>
        <v>#VALUE!</v>
      </c>
      <c r="CJ158" t="e">
        <f>'2.5.Трудоемкость'!AHA16+"BYw!(/j"</f>
        <v>#VALUE!</v>
      </c>
      <c r="CK158" t="e">
        <f>'2.5.Трудоемкость'!AHB16+"BYw!(/k"</f>
        <v>#VALUE!</v>
      </c>
      <c r="CL158" t="e">
        <f>'2.5.Трудоемкость'!AHC16+"BYw!(/l"</f>
        <v>#VALUE!</v>
      </c>
      <c r="CM158" t="e">
        <f>'2.5.Трудоемкость'!AHD16+"BYw!(/m"</f>
        <v>#VALUE!</v>
      </c>
      <c r="CN158" t="e">
        <f>'2.5.Трудоемкость'!AHE16+"BYw!(/n"</f>
        <v>#VALUE!</v>
      </c>
      <c r="CO158" t="e">
        <f>'2.5.Трудоемкость'!AHF16+"BYw!(/o"</f>
        <v>#VALUE!</v>
      </c>
      <c r="CP158" t="e">
        <f>'2.5.Трудоемкость'!AHG16+"BYw!(/p"</f>
        <v>#VALUE!</v>
      </c>
      <c r="CQ158" t="e">
        <f>'2.5.Трудоемкость'!AHH16+"BYw!(/q"</f>
        <v>#VALUE!</v>
      </c>
      <c r="CR158" t="e">
        <f>'2.5.Трудоемкость'!AHI16+"BYw!(/r"</f>
        <v>#VALUE!</v>
      </c>
      <c r="CS158" t="e">
        <f>'2.5.Трудоемкость'!AHJ16+"BYw!(/s"</f>
        <v>#VALUE!</v>
      </c>
      <c r="CT158" t="e">
        <f>'2.5.Трудоемкость'!AHK16+"BYw!(/t"</f>
        <v>#VALUE!</v>
      </c>
      <c r="CU158" t="e">
        <f>'2.5.Трудоемкость'!AHL16+"BYw!(/u"</f>
        <v>#VALUE!</v>
      </c>
      <c r="CV158" t="e">
        <f>'2.5.Трудоемкость'!AHM16+"BYw!(/v"</f>
        <v>#VALUE!</v>
      </c>
      <c r="CW158" t="e">
        <f>'2.5.Трудоемкость'!AHN16+"BYw!(/w"</f>
        <v>#VALUE!</v>
      </c>
      <c r="CX158" t="e">
        <f>'2.5.Трудоемкость'!AHO16+"BYw!(/x"</f>
        <v>#VALUE!</v>
      </c>
      <c r="CY158" t="e">
        <f>'2.5.Трудоемкость'!AHP16+"BYw!(/y"</f>
        <v>#VALUE!</v>
      </c>
      <c r="CZ158" t="e">
        <f>'2.5.Трудоемкость'!AHQ16+"BYw!(/z"</f>
        <v>#VALUE!</v>
      </c>
      <c r="DA158" t="e">
        <f>'2.5.Трудоемкость'!AHR16+"BYw!(/{"</f>
        <v>#VALUE!</v>
      </c>
      <c r="DB158" t="e">
        <f>'2.5.Трудоемкость'!AHS16+"BYw!(/|"</f>
        <v>#VALUE!</v>
      </c>
      <c r="DC158" t="e">
        <f>'2.5.Трудоемкость'!AHT16+"BYw!(/}"</f>
        <v>#VALUE!</v>
      </c>
      <c r="DD158" t="e">
        <f>'2.5.Трудоемкость'!AHU16+"BYw!(/~"</f>
        <v>#VALUE!</v>
      </c>
      <c r="DE158" t="e">
        <f>'2.5.Трудоемкость'!AHV16+"BYw!(0#"</f>
        <v>#VALUE!</v>
      </c>
      <c r="DF158" t="e">
        <f>'2.5.Трудоемкость'!AHW16+"BYw!(0$"</f>
        <v>#VALUE!</v>
      </c>
      <c r="DG158" t="e">
        <f>'2.5.Трудоемкость'!AHX16+"BYw!(0%"</f>
        <v>#VALUE!</v>
      </c>
      <c r="DH158" t="e">
        <f>'2.5.Трудоемкость'!AHY16+"BYw!(0&amp;"</f>
        <v>#VALUE!</v>
      </c>
      <c r="DI158" t="e">
        <f>'2.5.Трудоемкость'!AHZ16+"BYw!(0'"</f>
        <v>#VALUE!</v>
      </c>
      <c r="DJ158" t="e">
        <f>'2.5.Трудоемкость'!AIA16+"BYw!(0("</f>
        <v>#VALUE!</v>
      </c>
      <c r="DK158" t="e">
        <f>'2.5.Трудоемкость'!AIB16+"BYw!(0)"</f>
        <v>#VALUE!</v>
      </c>
      <c r="DL158" t="e">
        <f>'2.5.Трудоемкость'!AIC16+"BYw!(0."</f>
        <v>#VALUE!</v>
      </c>
      <c r="DM158" t="e">
        <f>'2.5.Трудоемкость'!AID16+"BYw!(0/"</f>
        <v>#VALUE!</v>
      </c>
      <c r="DN158" t="e">
        <f>'2.5.Трудоемкость'!AIE16+"BYw!(00"</f>
        <v>#VALUE!</v>
      </c>
      <c r="DO158" t="e">
        <f>'2.5.Трудоемкость'!AIF16+"BYw!(01"</f>
        <v>#VALUE!</v>
      </c>
      <c r="DP158" t="e">
        <f>'2.5.Трудоемкость'!AIG16+"BYw!(02"</f>
        <v>#VALUE!</v>
      </c>
      <c r="DQ158" t="e">
        <f>'2.5.Трудоемкость'!AIH16+"BYw!(03"</f>
        <v>#VALUE!</v>
      </c>
      <c r="DR158" t="e">
        <f>'2.5.Трудоемкость'!AII16+"BYw!(04"</f>
        <v>#VALUE!</v>
      </c>
      <c r="DS158" t="e">
        <f>'2.5.Трудоемкость'!AIJ16+"BYw!(05"</f>
        <v>#VALUE!</v>
      </c>
      <c r="DT158" t="e">
        <f>'2.5.Трудоемкость'!AIK16+"BYw!(06"</f>
        <v>#VALUE!</v>
      </c>
      <c r="DU158" t="e">
        <f>'2.5.Трудоемкость'!AIL16+"BYw!(07"</f>
        <v>#VALUE!</v>
      </c>
      <c r="DV158" t="e">
        <f>'2.5.Трудоемкость'!AIM16+"BYw!(08"</f>
        <v>#VALUE!</v>
      </c>
      <c r="DW158" t="e">
        <f>'2.5.Трудоемкость'!AIN16+"BYw!(09"</f>
        <v>#VALUE!</v>
      </c>
      <c r="DX158" t="e">
        <f>'2.5.Трудоемкость'!AIO16+"BYw!(0:"</f>
        <v>#VALUE!</v>
      </c>
      <c r="DY158" t="e">
        <f>'2.5.Трудоемкость'!AIP16+"BYw!(0;"</f>
        <v>#VALUE!</v>
      </c>
      <c r="DZ158" t="e">
        <f>'2.5.Трудоемкость'!AIQ16+"BYw!(0&lt;"</f>
        <v>#VALUE!</v>
      </c>
      <c r="EA158" t="e">
        <f>'2.5.Трудоемкость'!AIR16+"BYw!(0="</f>
        <v>#VALUE!</v>
      </c>
      <c r="EB158" t="e">
        <f>'2.5.Трудоемкость'!AIS16+"BYw!(0&gt;"</f>
        <v>#VALUE!</v>
      </c>
      <c r="EC158" t="e">
        <f>'2.5.Трудоемкость'!AIT16+"BYw!(0?"</f>
        <v>#VALUE!</v>
      </c>
      <c r="ED158" t="e">
        <f>'2.5.Трудоемкость'!AIU16+"BYw!(0@"</f>
        <v>#VALUE!</v>
      </c>
      <c r="EE158" t="e">
        <f>'2.5.Трудоемкость'!AIV16+"BYw!(0A"</f>
        <v>#VALUE!</v>
      </c>
      <c r="EF158" t="e">
        <f>'2.5.Трудоемкость'!AIW16+"BYw!(0B"</f>
        <v>#VALUE!</v>
      </c>
      <c r="EG158" t="e">
        <f>'2.5.Трудоемкость'!AIX16+"BYw!(0C"</f>
        <v>#VALUE!</v>
      </c>
      <c r="EH158" t="e">
        <f>'2.5.Трудоемкость'!AIY16+"BYw!(0D"</f>
        <v>#VALUE!</v>
      </c>
      <c r="EI158" t="e">
        <f>'2.5.Трудоемкость'!AIZ16+"BYw!(0E"</f>
        <v>#VALUE!</v>
      </c>
      <c r="EJ158" t="e">
        <f>'2.5.Трудоемкость'!AJA16+"BYw!(0F"</f>
        <v>#VALUE!</v>
      </c>
      <c r="EK158" t="e">
        <f>'2.5.Трудоемкость'!AJB16+"BYw!(0G"</f>
        <v>#VALUE!</v>
      </c>
      <c r="EL158" t="e">
        <f>'2.5.Трудоемкость'!AJC16+"BYw!(0H"</f>
        <v>#VALUE!</v>
      </c>
      <c r="EM158" t="e">
        <f>'2.5.Трудоемкость'!AJD16+"BYw!(0I"</f>
        <v>#VALUE!</v>
      </c>
      <c r="EN158" t="e">
        <f>'2.5.Трудоемкость'!AJE16+"BYw!(0J"</f>
        <v>#VALUE!</v>
      </c>
      <c r="EO158" t="e">
        <f>'2.5.Трудоемкость'!AJF16+"BYw!(0K"</f>
        <v>#VALUE!</v>
      </c>
      <c r="EP158" t="e">
        <f>'2.5.Трудоемкость'!AJG16+"BYw!(0L"</f>
        <v>#VALUE!</v>
      </c>
      <c r="EQ158" t="e">
        <f>'2.5.Трудоемкость'!AJH16+"BYw!(0M"</f>
        <v>#VALUE!</v>
      </c>
      <c r="ER158" t="e">
        <f>'2.5.Трудоемкость'!AJI16+"BYw!(0N"</f>
        <v>#VALUE!</v>
      </c>
      <c r="ES158" t="e">
        <f>'2.5.Трудоемкость'!AJJ16+"BYw!(0O"</f>
        <v>#VALUE!</v>
      </c>
      <c r="ET158" t="e">
        <f>'2.5.Трудоемкость'!AJK16+"BYw!(0P"</f>
        <v>#VALUE!</v>
      </c>
      <c r="EU158" t="e">
        <f>'2.5.Трудоемкость'!AJL16+"BYw!(0Q"</f>
        <v>#VALUE!</v>
      </c>
      <c r="EV158" t="e">
        <f>'2.5.Трудоемкость'!AJM16+"BYw!(0R"</f>
        <v>#VALUE!</v>
      </c>
      <c r="EW158" t="e">
        <f>'2.5.Трудоемкость'!AJN16+"BYw!(0S"</f>
        <v>#VALUE!</v>
      </c>
      <c r="EX158" t="e">
        <f>'2.5.Трудоемкость'!AJO16+"BYw!(0T"</f>
        <v>#VALUE!</v>
      </c>
      <c r="EY158" t="e">
        <f>'2.5.Трудоемкость'!AJP16+"BYw!(0U"</f>
        <v>#VALUE!</v>
      </c>
      <c r="EZ158" t="e">
        <f>'2.5.Трудоемкость'!AJQ16+"BYw!(0V"</f>
        <v>#VALUE!</v>
      </c>
      <c r="FA158" t="e">
        <f>'2.5.Трудоемкость'!AJR16+"BYw!(0W"</f>
        <v>#VALUE!</v>
      </c>
      <c r="FB158" t="e">
        <f>'2.5.Трудоемкость'!AJS16+"BYw!(0X"</f>
        <v>#VALUE!</v>
      </c>
      <c r="FC158" t="e">
        <f>'2.5.Трудоемкость'!AJT16+"BYw!(0Y"</f>
        <v>#VALUE!</v>
      </c>
      <c r="FD158" t="e">
        <f>'2.5.Трудоемкость'!AJU16+"BYw!(0Z"</f>
        <v>#VALUE!</v>
      </c>
      <c r="FE158" t="e">
        <f>'2.5.Трудоемкость'!AJV16+"BYw!(0["</f>
        <v>#VALUE!</v>
      </c>
      <c r="FF158" t="e">
        <f>'2.5.Трудоемкость'!AJW16+"BYw!(0\"</f>
        <v>#VALUE!</v>
      </c>
      <c r="FG158" t="e">
        <f>'2.5.Трудоемкость'!AJX16+"BYw!(0]"</f>
        <v>#VALUE!</v>
      </c>
      <c r="FH158" t="e">
        <f>'2.5.Трудоемкость'!AJY16+"BYw!(0^"</f>
        <v>#VALUE!</v>
      </c>
      <c r="FI158" t="e">
        <f>'2.5.Трудоемкость'!AJZ16+"BYw!(0_"</f>
        <v>#VALUE!</v>
      </c>
      <c r="FJ158" t="e">
        <f>'2.5.Трудоемкость'!AKA16+"BYw!(0`"</f>
        <v>#VALUE!</v>
      </c>
      <c r="FK158" t="e">
        <f>'2.5.Трудоемкость'!AKB16+"BYw!(0a"</f>
        <v>#VALUE!</v>
      </c>
      <c r="FL158" t="e">
        <f>'2.5.Трудоемкость'!AKC16+"BYw!(0b"</f>
        <v>#VALUE!</v>
      </c>
      <c r="FM158" t="e">
        <f>'2.5.Трудоемкость'!AKD16+"BYw!(0c"</f>
        <v>#VALUE!</v>
      </c>
      <c r="FN158" t="e">
        <f>'2.5.Трудоемкость'!AKE16+"BYw!(0d"</f>
        <v>#VALUE!</v>
      </c>
      <c r="FO158" t="e">
        <f>'2.5.Трудоемкость'!AKF16+"BYw!(0e"</f>
        <v>#VALUE!</v>
      </c>
      <c r="FP158" t="e">
        <f>'2.5.Трудоемкость'!AKG16+"BYw!(0f"</f>
        <v>#VALUE!</v>
      </c>
      <c r="FQ158" t="e">
        <f>'2.5.Трудоемкость'!AKH16+"BYw!(0g"</f>
        <v>#VALUE!</v>
      </c>
      <c r="FR158" t="e">
        <f>'2.5.Трудоемкость'!AKI16+"BYw!(0h"</f>
        <v>#VALUE!</v>
      </c>
      <c r="FS158" t="e">
        <f>'2.5.Трудоемкость'!AKJ16+"BYw!(0i"</f>
        <v>#VALUE!</v>
      </c>
      <c r="FT158" t="e">
        <f>'2.5.Трудоемкость'!AKK16+"BYw!(0j"</f>
        <v>#VALUE!</v>
      </c>
      <c r="FU158" t="e">
        <f>'2.5.Трудоемкость'!AKL16+"BYw!(0k"</f>
        <v>#VALUE!</v>
      </c>
      <c r="FV158" t="e">
        <f>'2.5.Трудоемкость'!AKM16+"BYw!(0l"</f>
        <v>#VALUE!</v>
      </c>
      <c r="FW158" t="e">
        <f>'2.5.Трудоемкость'!AKN16+"BYw!(0m"</f>
        <v>#VALUE!</v>
      </c>
      <c r="FX158" t="e">
        <f>'2.5.Трудоемкость'!AKO16+"BYw!(0n"</f>
        <v>#VALUE!</v>
      </c>
      <c r="FY158" t="e">
        <f>'2.5.Трудоемкость'!AKP16+"BYw!(0o"</f>
        <v>#VALUE!</v>
      </c>
      <c r="FZ158" t="e">
        <f>'2.5.Трудоемкость'!AKQ16+"BYw!(0p"</f>
        <v>#VALUE!</v>
      </c>
      <c r="GA158" t="e">
        <f>'2.5.Трудоемкость'!AKR16+"BYw!(0q"</f>
        <v>#VALUE!</v>
      </c>
      <c r="GB158" t="e">
        <f>'2.5.Трудоемкость'!AKS16+"BYw!(0r"</f>
        <v>#VALUE!</v>
      </c>
      <c r="GC158" t="e">
        <f>'2.5.Трудоемкость'!AKT16+"BYw!(0s"</f>
        <v>#VALUE!</v>
      </c>
      <c r="GD158" t="e">
        <f>'2.5.Трудоемкость'!AKU16+"BYw!(0t"</f>
        <v>#VALUE!</v>
      </c>
      <c r="GE158" t="e">
        <f>'2.5.Трудоемкость'!AKV16+"BYw!(0u"</f>
        <v>#VALUE!</v>
      </c>
      <c r="GF158" t="e">
        <f>'2.5.Трудоемкость'!AKW16+"BYw!(0v"</f>
        <v>#VALUE!</v>
      </c>
      <c r="GG158" t="e">
        <f>'2.5.Трудоемкость'!AKX16+"BYw!(0w"</f>
        <v>#VALUE!</v>
      </c>
      <c r="GH158" t="e">
        <f>'2.5.Трудоемкость'!AKY16+"BYw!(0x"</f>
        <v>#VALUE!</v>
      </c>
      <c r="GI158" t="e">
        <f>'2.5.Трудоемкость'!AKZ16+"BYw!(0y"</f>
        <v>#VALUE!</v>
      </c>
      <c r="GJ158" t="e">
        <f>'2.5.Трудоемкость'!ALA16+"BYw!(0z"</f>
        <v>#VALUE!</v>
      </c>
      <c r="GK158" t="e">
        <f>'2.5.Трудоемкость'!ALB16+"BYw!(0{"</f>
        <v>#VALUE!</v>
      </c>
      <c r="GL158" t="e">
        <f>'2.5.Трудоемкость'!ALC16+"BYw!(0|"</f>
        <v>#VALUE!</v>
      </c>
      <c r="GM158" t="e">
        <f>'2.5.Трудоемкость'!ALD16+"BYw!(0}"</f>
        <v>#VALUE!</v>
      </c>
      <c r="GN158" t="e">
        <f>'2.5.Трудоемкость'!ALE16+"BYw!(0~"</f>
        <v>#VALUE!</v>
      </c>
      <c r="GO158" t="e">
        <f>'2.5.Трудоемкость'!ALF16+"BYw!(1#"</f>
        <v>#VALUE!</v>
      </c>
      <c r="GP158" t="e">
        <f>'2.5.Трудоемкость'!ALG16+"BYw!(1$"</f>
        <v>#VALUE!</v>
      </c>
      <c r="GQ158" t="e">
        <f>'2.5.Трудоемкость'!ALH16+"BYw!(1%"</f>
        <v>#VALUE!</v>
      </c>
      <c r="GR158" t="e">
        <f>'2.5.Трудоемкость'!ALI16+"BYw!(1&amp;"</f>
        <v>#VALUE!</v>
      </c>
      <c r="GS158" t="e">
        <f>'2.5.Трудоемкость'!ALJ16+"BYw!(1'"</f>
        <v>#VALUE!</v>
      </c>
      <c r="GT158" t="e">
        <f>'2.5.Трудоемкость'!ALK16+"BYw!(1("</f>
        <v>#VALUE!</v>
      </c>
      <c r="GU158" t="e">
        <f>'2.5.Трудоемкость'!ALL16+"BYw!(1)"</f>
        <v>#VALUE!</v>
      </c>
      <c r="GV158" t="e">
        <f>'2.5.Трудоемкость'!ALM16+"BYw!(1."</f>
        <v>#VALUE!</v>
      </c>
      <c r="GW158" t="e">
        <f>'2.5.Трудоемкость'!ALN16+"BYw!(1/"</f>
        <v>#VALUE!</v>
      </c>
      <c r="GX158" t="e">
        <f>'2.5.Трудоемкость'!ALO16+"BYw!(10"</f>
        <v>#VALUE!</v>
      </c>
      <c r="GY158" t="e">
        <f>'2.5.Трудоемкость'!ALP16+"BYw!(11"</f>
        <v>#VALUE!</v>
      </c>
      <c r="GZ158" t="e">
        <f>'2.5.Трудоемкость'!ALQ16+"BYw!(12"</f>
        <v>#VALUE!</v>
      </c>
      <c r="HA158" t="e">
        <f>'2.5.Трудоемкость'!ALR16+"BYw!(13"</f>
        <v>#VALUE!</v>
      </c>
      <c r="HB158" t="e">
        <f>'2.5.Трудоемкость'!ALS16+"BYw!(14"</f>
        <v>#VALUE!</v>
      </c>
      <c r="HC158" t="e">
        <f>'2.5.Трудоемкость'!ALT16+"BYw!(15"</f>
        <v>#VALUE!</v>
      </c>
      <c r="HD158" t="e">
        <f>'2.5.Трудоемкость'!ALU16+"BYw!(16"</f>
        <v>#VALUE!</v>
      </c>
      <c r="HE158" t="e">
        <f>'2.5.Трудоемкость'!ALV16+"BYw!(17"</f>
        <v>#VALUE!</v>
      </c>
      <c r="HF158" t="e">
        <f>'2.5.Трудоемкость'!ALW16+"BYw!(18"</f>
        <v>#VALUE!</v>
      </c>
      <c r="HG158" t="e">
        <f>'2.5.Трудоемкость'!ALX16+"BYw!(19"</f>
        <v>#VALUE!</v>
      </c>
      <c r="HH158" t="e">
        <f>'2.5.Трудоемкость'!ALY16+"BYw!(1:"</f>
        <v>#VALUE!</v>
      </c>
      <c r="HI158" t="e">
        <f>'2.5.Трудоемкость'!ALZ16+"BYw!(1;"</f>
        <v>#VALUE!</v>
      </c>
      <c r="HJ158" t="e">
        <f>'2.5.Трудоемкость'!AMA16+"BYw!(1&lt;"</f>
        <v>#VALUE!</v>
      </c>
      <c r="HK158" t="e">
        <f>'2.5.Трудоемкость'!AMB16+"BYw!(1="</f>
        <v>#VALUE!</v>
      </c>
      <c r="HL158" t="e">
        <f>'2.5.Трудоемкость'!AMC16+"BYw!(1&gt;"</f>
        <v>#VALUE!</v>
      </c>
      <c r="HM158" t="e">
        <f>'2.5.Трудоемкость'!AMD16+"BYw!(1?"</f>
        <v>#VALUE!</v>
      </c>
      <c r="HN158" t="e">
        <f>'2.5.Трудоемкость'!AME16+"BYw!(1@"</f>
        <v>#VALUE!</v>
      </c>
      <c r="HO158" t="e">
        <f>'2.5.Трудоемкость'!AMF16+"BYw!(1A"</f>
        <v>#VALUE!</v>
      </c>
      <c r="HP158" t="e">
        <f>'2.5.Трудоемкость'!AMG16+"BYw!(1B"</f>
        <v>#VALUE!</v>
      </c>
      <c r="HQ158" t="e">
        <f>'2.5.Трудоемкость'!AMH16+"BYw!(1C"</f>
        <v>#VALUE!</v>
      </c>
      <c r="HR158" t="e">
        <f>'2.5.Трудоемкость'!AMI16+"BYw!(1D"</f>
        <v>#VALUE!</v>
      </c>
      <c r="HS158" t="e">
        <f>'2.5.Трудоемкость'!AMJ16+"BYw!(1E"</f>
        <v>#VALUE!</v>
      </c>
      <c r="HT158" t="e">
        <f>'2.5.Трудоемкость'!A17+"BYw!(1F"</f>
        <v>#VALUE!</v>
      </c>
      <c r="HU158" t="e">
        <f>'2.5.Трудоемкость'!B17+"BYw!(1G"</f>
        <v>#VALUE!</v>
      </c>
      <c r="HV158" t="e">
        <f>'2.5.Трудоемкость'!C17+"BYw!(1H"</f>
        <v>#VALUE!</v>
      </c>
      <c r="HW158" t="e">
        <f>'2.5.Трудоемкость'!D17+"BYw!(1I"</f>
        <v>#VALUE!</v>
      </c>
      <c r="HX158" t="e">
        <f>'2.5.Трудоемкость'!E17+"BYw!(1J"</f>
        <v>#VALUE!</v>
      </c>
      <c r="HY158" t="e">
        <f>'2.5.Трудоемкость'!F17+"BYw!(1K"</f>
        <v>#VALUE!</v>
      </c>
      <c r="HZ158" t="e">
        <f>'2.5.Трудоемкость'!G17+"BYw!(1L"</f>
        <v>#VALUE!</v>
      </c>
      <c r="IA158" t="e">
        <f>'2.5.Трудоемкость'!H17+"BYw!(1M"</f>
        <v>#VALUE!</v>
      </c>
      <c r="IB158" t="e">
        <f>'2.5.Трудоемкость'!I17+"BYw!(1N"</f>
        <v>#VALUE!</v>
      </c>
      <c r="IC158" t="e">
        <f>'2.5.Трудоемкость'!J17+"BYw!(1O"</f>
        <v>#VALUE!</v>
      </c>
      <c r="ID158" t="e">
        <f>'2.5.Трудоемкость'!K17+"BYw!(1P"</f>
        <v>#VALUE!</v>
      </c>
      <c r="IE158" t="e">
        <f>'2.5.Трудоемкость'!L17+"BYw!(1Q"</f>
        <v>#VALUE!</v>
      </c>
      <c r="IF158" t="e">
        <f>'2.5.Трудоемкость'!M17+"BYw!(1R"</f>
        <v>#VALUE!</v>
      </c>
      <c r="IG158" t="e">
        <f>'2.5.Трудоемкость'!N17+"BYw!(1S"</f>
        <v>#VALUE!</v>
      </c>
      <c r="IH158" t="e">
        <f>'2.5.Трудоемкость'!O17+"BYw!(1T"</f>
        <v>#VALUE!</v>
      </c>
      <c r="II158" t="e">
        <f>'2.5.Трудоемкость'!P17+"BYw!(1U"</f>
        <v>#VALUE!</v>
      </c>
      <c r="IJ158" t="e">
        <f>'2.5.Трудоемкость'!Q17+"BYw!(1V"</f>
        <v>#VALUE!</v>
      </c>
      <c r="IK158" t="e">
        <f>'2.5.Трудоемкость'!R17+"BYw!(1W"</f>
        <v>#VALUE!</v>
      </c>
      <c r="IL158" t="e">
        <f>'2.5.Трудоемкость'!S17+"BYw!(1X"</f>
        <v>#VALUE!</v>
      </c>
      <c r="IM158" t="e">
        <f>'2.5.Трудоемкость'!T17+"BYw!(1Y"</f>
        <v>#VALUE!</v>
      </c>
      <c r="IN158" t="e">
        <f>'2.5.Трудоемкость'!U17+"BYw!(1Z"</f>
        <v>#VALUE!</v>
      </c>
      <c r="IO158" t="e">
        <f>'2.5.Трудоемкость'!V17+"BYw!(1["</f>
        <v>#VALUE!</v>
      </c>
      <c r="IP158" t="e">
        <f>'2.5.Трудоемкость'!W17+"BYw!(1\"</f>
        <v>#VALUE!</v>
      </c>
      <c r="IQ158" t="e">
        <f>'2.5.Трудоемкость'!X17+"BYw!(1]"</f>
        <v>#VALUE!</v>
      </c>
      <c r="IR158" t="e">
        <f>'2.5.Трудоемкость'!Y17+"BYw!(1^"</f>
        <v>#VALUE!</v>
      </c>
      <c r="IS158" t="e">
        <f>'2.5.Трудоемкость'!Z17+"BYw!(1_"</f>
        <v>#VALUE!</v>
      </c>
      <c r="IT158" t="e">
        <f>'2.5.Трудоемкость'!AA17+"BYw!(1`"</f>
        <v>#VALUE!</v>
      </c>
      <c r="IU158" t="e">
        <f>'2.5.Трудоемкость'!AB17+"BYw!(1a"</f>
        <v>#VALUE!</v>
      </c>
      <c r="IV158" t="e">
        <f>'2.5.Трудоемкость'!AC17+"BYw!(1b"</f>
        <v>#VALUE!</v>
      </c>
    </row>
    <row r="159" spans="6:256" x14ac:dyDescent="0.2">
      <c r="F159" t="e">
        <f>'2.5.Трудоемкость'!AD17+"BYw!(1c"</f>
        <v>#VALUE!</v>
      </c>
      <c r="G159" t="e">
        <f>'2.5.Трудоемкость'!AE17+"BYw!(1d"</f>
        <v>#VALUE!</v>
      </c>
      <c r="H159" t="e">
        <f>'2.5.Трудоемкость'!AF17+"BYw!(1e"</f>
        <v>#VALUE!</v>
      </c>
      <c r="I159" t="e">
        <f>'2.5.Трудоемкость'!AG17+"BYw!(1f"</f>
        <v>#VALUE!</v>
      </c>
      <c r="J159" t="e">
        <f>'2.5.Трудоемкость'!AH17+"BYw!(1g"</f>
        <v>#VALUE!</v>
      </c>
      <c r="K159" t="e">
        <f>'2.5.Трудоемкость'!AI17+"BYw!(1h"</f>
        <v>#VALUE!</v>
      </c>
      <c r="L159" t="e">
        <f>'2.5.Трудоемкость'!AJ17+"BYw!(1i"</f>
        <v>#VALUE!</v>
      </c>
      <c r="M159" t="e">
        <f>'2.5.Трудоемкость'!AK17+"BYw!(1j"</f>
        <v>#VALUE!</v>
      </c>
      <c r="N159" t="e">
        <f>'2.5.Трудоемкость'!AL17+"BYw!(1k"</f>
        <v>#VALUE!</v>
      </c>
      <c r="O159" t="e">
        <f>'2.5.Трудоемкость'!AM17+"BYw!(1l"</f>
        <v>#VALUE!</v>
      </c>
      <c r="P159" t="e">
        <f>'2.5.Трудоемкость'!AN17+"BYw!(1m"</f>
        <v>#VALUE!</v>
      </c>
      <c r="Q159" t="e">
        <f>'2.5.Трудоемкость'!AO17+"BYw!(1n"</f>
        <v>#VALUE!</v>
      </c>
      <c r="R159" t="e">
        <f>'2.5.Трудоемкость'!AP17+"BYw!(1o"</f>
        <v>#VALUE!</v>
      </c>
      <c r="S159" t="e">
        <f>'2.5.Трудоемкость'!AQ17+"BYw!(1p"</f>
        <v>#VALUE!</v>
      </c>
      <c r="T159" t="e">
        <f>'2.5.Трудоемкость'!AR17+"BYw!(1q"</f>
        <v>#VALUE!</v>
      </c>
      <c r="U159" t="e">
        <f>'2.5.Трудоемкость'!AS17+"BYw!(1r"</f>
        <v>#VALUE!</v>
      </c>
      <c r="V159" t="e">
        <f>'2.5.Трудоемкость'!AT17+"BYw!(1s"</f>
        <v>#VALUE!</v>
      </c>
      <c r="W159" t="e">
        <f>'2.5.Трудоемкость'!AU17+"BYw!(1t"</f>
        <v>#VALUE!</v>
      </c>
      <c r="X159" t="e">
        <f>'2.5.Трудоемкость'!AV17+"BYw!(1u"</f>
        <v>#VALUE!</v>
      </c>
      <c r="Y159" t="e">
        <f>'2.5.Трудоемкость'!AW17+"BYw!(1v"</f>
        <v>#VALUE!</v>
      </c>
      <c r="Z159" t="e">
        <f>'2.5.Трудоемкость'!AX17+"BYw!(1w"</f>
        <v>#VALUE!</v>
      </c>
      <c r="AA159" t="e">
        <f>'2.5.Трудоемкость'!AY17+"BYw!(1x"</f>
        <v>#VALUE!</v>
      </c>
      <c r="AB159" t="e">
        <f>'2.5.Трудоемкость'!AZ17+"BYw!(1y"</f>
        <v>#VALUE!</v>
      </c>
      <c r="AC159" t="e">
        <f>'2.5.Трудоемкость'!BA17+"BYw!(1z"</f>
        <v>#VALUE!</v>
      </c>
      <c r="AD159" t="e">
        <f>'2.5.Трудоемкость'!BB17+"BYw!(1{"</f>
        <v>#VALUE!</v>
      </c>
      <c r="AE159" t="e">
        <f>'2.5.Трудоемкость'!BC17+"BYw!(1|"</f>
        <v>#VALUE!</v>
      </c>
      <c r="AF159" t="e">
        <f>'2.5.Трудоемкость'!BD17+"BYw!(1}"</f>
        <v>#VALUE!</v>
      </c>
      <c r="AG159" t="e">
        <f>'2.5.Трудоемкость'!BE17+"BYw!(1~"</f>
        <v>#VALUE!</v>
      </c>
      <c r="AH159" t="e">
        <f>'2.5.Трудоемкость'!BF17+"BYw!(2#"</f>
        <v>#VALUE!</v>
      </c>
      <c r="AI159" t="e">
        <f>'2.5.Трудоемкость'!BG17+"BYw!(2$"</f>
        <v>#VALUE!</v>
      </c>
      <c r="AJ159" t="e">
        <f>'2.5.Трудоемкость'!BH17+"BYw!(2%"</f>
        <v>#VALUE!</v>
      </c>
      <c r="AK159" t="e">
        <f>'2.5.Трудоемкость'!BI17+"BYw!(2&amp;"</f>
        <v>#VALUE!</v>
      </c>
      <c r="AL159" t="e">
        <f>'2.5.Трудоемкость'!BJ17+"BYw!(2'"</f>
        <v>#VALUE!</v>
      </c>
      <c r="AM159" t="e">
        <f>'2.5.Трудоемкость'!BK17+"BYw!(2("</f>
        <v>#VALUE!</v>
      </c>
      <c r="AN159" t="e">
        <f>'2.5.Трудоемкость'!BL17+"BYw!(2)"</f>
        <v>#VALUE!</v>
      </c>
      <c r="AO159" t="e">
        <f>'2.5.Трудоемкость'!BM17+"BYw!(2."</f>
        <v>#VALUE!</v>
      </c>
      <c r="AP159" t="e">
        <f>'2.5.Трудоемкость'!BN17+"BYw!(2/"</f>
        <v>#VALUE!</v>
      </c>
      <c r="AQ159" t="e">
        <f>'2.5.Трудоемкость'!BO17+"BYw!(20"</f>
        <v>#VALUE!</v>
      </c>
      <c r="AR159" t="e">
        <f>'2.5.Трудоемкость'!BP17+"BYw!(21"</f>
        <v>#VALUE!</v>
      </c>
      <c r="AS159" t="e">
        <f>'2.5.Трудоемкость'!BQ17+"BYw!(22"</f>
        <v>#VALUE!</v>
      </c>
      <c r="AT159" t="e">
        <f>'2.5.Трудоемкость'!BR17+"BYw!(23"</f>
        <v>#VALUE!</v>
      </c>
      <c r="AU159" t="e">
        <f>'2.5.Трудоемкость'!BS17+"BYw!(24"</f>
        <v>#VALUE!</v>
      </c>
      <c r="AV159" t="e">
        <f>'2.5.Трудоемкость'!BT17+"BYw!(25"</f>
        <v>#VALUE!</v>
      </c>
      <c r="AW159" t="e">
        <f>'2.5.Трудоемкость'!BU17+"BYw!(26"</f>
        <v>#VALUE!</v>
      </c>
      <c r="AX159" t="e">
        <f>'2.5.Трудоемкость'!BV17+"BYw!(27"</f>
        <v>#VALUE!</v>
      </c>
      <c r="AY159" t="e">
        <f>'2.5.Трудоемкость'!BW17+"BYw!(28"</f>
        <v>#VALUE!</v>
      </c>
      <c r="AZ159" t="e">
        <f>'2.5.Трудоемкость'!BX17+"BYw!(29"</f>
        <v>#VALUE!</v>
      </c>
      <c r="BA159" t="e">
        <f>'2.5.Трудоемкость'!BY17+"BYw!(2:"</f>
        <v>#VALUE!</v>
      </c>
      <c r="BB159" t="e">
        <f>'2.5.Трудоемкость'!BZ17+"BYw!(2;"</f>
        <v>#VALUE!</v>
      </c>
      <c r="BC159" t="e">
        <f>'2.5.Трудоемкость'!CA17+"BYw!(2&lt;"</f>
        <v>#VALUE!</v>
      </c>
      <c r="BD159" t="e">
        <f>'2.5.Трудоемкость'!CB17+"BYw!(2="</f>
        <v>#VALUE!</v>
      </c>
      <c r="BE159" t="e">
        <f>'2.5.Трудоемкость'!CC17+"BYw!(2&gt;"</f>
        <v>#VALUE!</v>
      </c>
      <c r="BF159" t="e">
        <f>'2.5.Трудоемкость'!CD17+"BYw!(2?"</f>
        <v>#VALUE!</v>
      </c>
      <c r="BG159" t="e">
        <f>'2.5.Трудоемкость'!CE17+"BYw!(2@"</f>
        <v>#VALUE!</v>
      </c>
      <c r="BH159" t="e">
        <f>'2.5.Трудоемкость'!CF17+"BYw!(2A"</f>
        <v>#VALUE!</v>
      </c>
      <c r="BI159" t="e">
        <f>'2.5.Трудоемкость'!CG17+"BYw!(2B"</f>
        <v>#VALUE!</v>
      </c>
      <c r="BJ159" t="e">
        <f>'2.5.Трудоемкость'!CH17+"BYw!(2C"</f>
        <v>#VALUE!</v>
      </c>
      <c r="BK159" t="e">
        <f>'2.5.Трудоемкость'!CI17+"BYw!(2D"</f>
        <v>#VALUE!</v>
      </c>
      <c r="BL159" t="e">
        <f>'2.5.Трудоемкость'!CJ17+"BYw!(2E"</f>
        <v>#VALUE!</v>
      </c>
      <c r="BM159" t="e">
        <f>'2.5.Трудоемкость'!CK17+"BYw!(2F"</f>
        <v>#VALUE!</v>
      </c>
      <c r="BN159" t="e">
        <f>'2.5.Трудоемкость'!CL17+"BYw!(2G"</f>
        <v>#VALUE!</v>
      </c>
      <c r="BO159" t="e">
        <f>'2.5.Трудоемкость'!CM17+"BYw!(2H"</f>
        <v>#VALUE!</v>
      </c>
      <c r="BP159" t="e">
        <f>'2.5.Трудоемкость'!CN17+"BYw!(2I"</f>
        <v>#VALUE!</v>
      </c>
      <c r="BQ159" t="e">
        <f>'2.5.Трудоемкость'!CO17+"BYw!(2J"</f>
        <v>#VALUE!</v>
      </c>
      <c r="BR159" t="e">
        <f>'2.5.Трудоемкость'!CP17+"BYw!(2K"</f>
        <v>#VALUE!</v>
      </c>
      <c r="BS159" t="e">
        <f>'2.5.Трудоемкость'!CQ17+"BYw!(2L"</f>
        <v>#VALUE!</v>
      </c>
      <c r="BT159" t="e">
        <f>'2.5.Трудоемкость'!CR17+"BYw!(2M"</f>
        <v>#VALUE!</v>
      </c>
      <c r="BU159" t="e">
        <f>'2.5.Трудоемкость'!CS17+"BYw!(2N"</f>
        <v>#VALUE!</v>
      </c>
      <c r="BV159" t="e">
        <f>'2.5.Трудоемкость'!CT17+"BYw!(2O"</f>
        <v>#VALUE!</v>
      </c>
      <c r="BW159" t="e">
        <f>'2.5.Трудоемкость'!CU17+"BYw!(2P"</f>
        <v>#VALUE!</v>
      </c>
      <c r="BX159" t="e">
        <f>'2.5.Трудоемкость'!CV17+"BYw!(2Q"</f>
        <v>#VALUE!</v>
      </c>
      <c r="BY159" t="e">
        <f>'2.5.Трудоемкость'!CW17+"BYw!(2R"</f>
        <v>#VALUE!</v>
      </c>
      <c r="BZ159" t="e">
        <f>'2.5.Трудоемкость'!CX17+"BYw!(2S"</f>
        <v>#VALUE!</v>
      </c>
      <c r="CA159" t="e">
        <f>'2.5.Трудоемкость'!CY17+"BYw!(2T"</f>
        <v>#VALUE!</v>
      </c>
      <c r="CB159" t="e">
        <f>'2.5.Трудоемкость'!CZ17+"BYw!(2U"</f>
        <v>#VALUE!</v>
      </c>
      <c r="CC159" t="e">
        <f>'2.5.Трудоемкость'!DA17+"BYw!(2V"</f>
        <v>#VALUE!</v>
      </c>
      <c r="CD159" t="e">
        <f>'2.5.Трудоемкость'!DB17+"BYw!(2W"</f>
        <v>#VALUE!</v>
      </c>
      <c r="CE159" t="e">
        <f>'2.5.Трудоемкость'!DC17+"BYw!(2X"</f>
        <v>#VALUE!</v>
      </c>
      <c r="CF159" t="e">
        <f>'2.5.Трудоемкость'!DD17+"BYw!(2Y"</f>
        <v>#VALUE!</v>
      </c>
      <c r="CG159" t="e">
        <f>'2.5.Трудоемкость'!DE17+"BYw!(2Z"</f>
        <v>#VALUE!</v>
      </c>
      <c r="CH159" t="e">
        <f>'2.5.Трудоемкость'!DF17+"BYw!(2["</f>
        <v>#VALUE!</v>
      </c>
      <c r="CI159" t="e">
        <f>'2.5.Трудоемкость'!DG17+"BYw!(2\"</f>
        <v>#VALUE!</v>
      </c>
      <c r="CJ159" t="e">
        <f>'2.5.Трудоемкость'!DH17+"BYw!(2]"</f>
        <v>#VALUE!</v>
      </c>
      <c r="CK159" t="e">
        <f>'2.5.Трудоемкость'!DI17+"BYw!(2^"</f>
        <v>#VALUE!</v>
      </c>
      <c r="CL159" t="e">
        <f>'2.5.Трудоемкость'!DJ17+"BYw!(2_"</f>
        <v>#VALUE!</v>
      </c>
      <c r="CM159" t="e">
        <f>'2.5.Трудоемкость'!DK17+"BYw!(2`"</f>
        <v>#VALUE!</v>
      </c>
      <c r="CN159" t="e">
        <f>'2.5.Трудоемкость'!DL17+"BYw!(2a"</f>
        <v>#VALUE!</v>
      </c>
      <c r="CO159" t="e">
        <f>'2.5.Трудоемкость'!DM17+"BYw!(2b"</f>
        <v>#VALUE!</v>
      </c>
      <c r="CP159" t="e">
        <f>'2.5.Трудоемкость'!DN17+"BYw!(2c"</f>
        <v>#VALUE!</v>
      </c>
      <c r="CQ159" t="e">
        <f>'2.5.Трудоемкость'!DO17+"BYw!(2d"</f>
        <v>#VALUE!</v>
      </c>
      <c r="CR159" t="e">
        <f>'2.5.Трудоемкость'!DP17+"BYw!(2e"</f>
        <v>#VALUE!</v>
      </c>
      <c r="CS159" t="e">
        <f>'2.5.Трудоемкость'!DQ17+"BYw!(2f"</f>
        <v>#VALUE!</v>
      </c>
      <c r="CT159" t="e">
        <f>'2.5.Трудоемкость'!DR17+"BYw!(2g"</f>
        <v>#VALUE!</v>
      </c>
      <c r="CU159" t="e">
        <f>'2.5.Трудоемкость'!DS17+"BYw!(2h"</f>
        <v>#VALUE!</v>
      </c>
      <c r="CV159" t="e">
        <f>'2.5.Трудоемкость'!DT17+"BYw!(2i"</f>
        <v>#VALUE!</v>
      </c>
      <c r="CW159" t="e">
        <f>'2.5.Трудоемкость'!DU17+"BYw!(2j"</f>
        <v>#VALUE!</v>
      </c>
      <c r="CX159" t="e">
        <f>'2.5.Трудоемкость'!DV17+"BYw!(2k"</f>
        <v>#VALUE!</v>
      </c>
      <c r="CY159" t="e">
        <f>'2.5.Трудоемкость'!DW17+"BYw!(2l"</f>
        <v>#VALUE!</v>
      </c>
      <c r="CZ159" t="e">
        <f>'2.5.Трудоемкость'!DX17+"BYw!(2m"</f>
        <v>#VALUE!</v>
      </c>
      <c r="DA159" t="e">
        <f>'2.5.Трудоемкость'!DY17+"BYw!(2n"</f>
        <v>#VALUE!</v>
      </c>
      <c r="DB159" t="e">
        <f>'2.5.Трудоемкость'!DZ17+"BYw!(2o"</f>
        <v>#VALUE!</v>
      </c>
      <c r="DC159" t="e">
        <f>'2.5.Трудоемкость'!EA17+"BYw!(2p"</f>
        <v>#VALUE!</v>
      </c>
      <c r="DD159" t="e">
        <f>'2.5.Трудоемкость'!EB17+"BYw!(2q"</f>
        <v>#VALUE!</v>
      </c>
      <c r="DE159" t="e">
        <f>'2.5.Трудоемкость'!EC17+"BYw!(2r"</f>
        <v>#VALUE!</v>
      </c>
      <c r="DF159" t="e">
        <f>'2.5.Трудоемкость'!ED17+"BYw!(2s"</f>
        <v>#VALUE!</v>
      </c>
      <c r="DG159" t="e">
        <f>'2.5.Трудоемкость'!EE17+"BYw!(2t"</f>
        <v>#VALUE!</v>
      </c>
      <c r="DH159" t="e">
        <f>'2.5.Трудоемкость'!EF17+"BYw!(2u"</f>
        <v>#VALUE!</v>
      </c>
      <c r="DI159" t="e">
        <f>'2.5.Трудоемкость'!EG17+"BYw!(2v"</f>
        <v>#VALUE!</v>
      </c>
      <c r="DJ159" t="e">
        <f>'2.5.Трудоемкость'!EH17+"BYw!(2w"</f>
        <v>#VALUE!</v>
      </c>
      <c r="DK159" t="e">
        <f>'2.5.Трудоемкость'!EI17+"BYw!(2x"</f>
        <v>#VALUE!</v>
      </c>
      <c r="DL159" t="e">
        <f>'2.5.Трудоемкость'!EJ17+"BYw!(2y"</f>
        <v>#VALUE!</v>
      </c>
      <c r="DM159" t="e">
        <f>'2.5.Трудоемкость'!EK17+"BYw!(2z"</f>
        <v>#VALUE!</v>
      </c>
      <c r="DN159" t="e">
        <f>'2.5.Трудоемкость'!EL17+"BYw!(2{"</f>
        <v>#VALUE!</v>
      </c>
      <c r="DO159" t="e">
        <f>'2.5.Трудоемкость'!EM17+"BYw!(2|"</f>
        <v>#VALUE!</v>
      </c>
      <c r="DP159" t="e">
        <f>'2.5.Трудоемкость'!EN17+"BYw!(2}"</f>
        <v>#VALUE!</v>
      </c>
      <c r="DQ159" t="e">
        <f>'2.5.Трудоемкость'!EO17+"BYw!(2~"</f>
        <v>#VALUE!</v>
      </c>
      <c r="DR159" t="e">
        <f>'2.5.Трудоемкость'!EP17+"BYw!(3#"</f>
        <v>#VALUE!</v>
      </c>
      <c r="DS159" t="e">
        <f>'2.5.Трудоемкость'!EQ17+"BYw!(3$"</f>
        <v>#VALUE!</v>
      </c>
      <c r="DT159" t="e">
        <f>'2.5.Трудоемкость'!ER17+"BYw!(3%"</f>
        <v>#VALUE!</v>
      </c>
      <c r="DU159" t="e">
        <f>'2.5.Трудоемкость'!ES17+"BYw!(3&amp;"</f>
        <v>#VALUE!</v>
      </c>
      <c r="DV159" t="e">
        <f>'2.5.Трудоемкость'!ET17+"BYw!(3'"</f>
        <v>#VALUE!</v>
      </c>
      <c r="DW159" t="e">
        <f>'2.5.Трудоемкость'!EU17+"BYw!(3("</f>
        <v>#VALUE!</v>
      </c>
      <c r="DX159" t="e">
        <f>'2.5.Трудоемкость'!EV17+"BYw!(3)"</f>
        <v>#VALUE!</v>
      </c>
      <c r="DY159" t="e">
        <f>'2.5.Трудоемкость'!EW17+"BYw!(3."</f>
        <v>#VALUE!</v>
      </c>
      <c r="DZ159" t="e">
        <f>'2.5.Трудоемкость'!EX17+"BYw!(3/"</f>
        <v>#VALUE!</v>
      </c>
      <c r="EA159" t="e">
        <f>'2.5.Трудоемкость'!EY17+"BYw!(30"</f>
        <v>#VALUE!</v>
      </c>
      <c r="EB159" t="e">
        <f>'2.5.Трудоемкость'!EZ17+"BYw!(31"</f>
        <v>#VALUE!</v>
      </c>
      <c r="EC159" t="e">
        <f>'2.5.Трудоемкость'!FA17+"BYw!(32"</f>
        <v>#VALUE!</v>
      </c>
      <c r="ED159" t="e">
        <f>'2.5.Трудоемкость'!FB17+"BYw!(33"</f>
        <v>#VALUE!</v>
      </c>
      <c r="EE159" t="e">
        <f>'2.5.Трудоемкость'!FC17+"BYw!(34"</f>
        <v>#VALUE!</v>
      </c>
      <c r="EF159" t="e">
        <f>'2.5.Трудоемкость'!FD17+"BYw!(35"</f>
        <v>#VALUE!</v>
      </c>
      <c r="EG159" t="e">
        <f>'2.5.Трудоемкость'!FE17+"BYw!(36"</f>
        <v>#VALUE!</v>
      </c>
      <c r="EH159" t="e">
        <f>'2.5.Трудоемкость'!FF17+"BYw!(37"</f>
        <v>#VALUE!</v>
      </c>
      <c r="EI159" t="e">
        <f>'2.5.Трудоемкость'!FG17+"BYw!(38"</f>
        <v>#VALUE!</v>
      </c>
      <c r="EJ159" t="e">
        <f>'2.5.Трудоемкость'!FH17+"BYw!(39"</f>
        <v>#VALUE!</v>
      </c>
      <c r="EK159" t="e">
        <f>'2.5.Трудоемкость'!FI17+"BYw!(3:"</f>
        <v>#VALUE!</v>
      </c>
      <c r="EL159" t="e">
        <f>'2.5.Трудоемкость'!FJ17+"BYw!(3;"</f>
        <v>#VALUE!</v>
      </c>
      <c r="EM159" t="e">
        <f>'2.5.Трудоемкость'!FK17+"BYw!(3&lt;"</f>
        <v>#VALUE!</v>
      </c>
      <c r="EN159" t="e">
        <f>'2.5.Трудоемкость'!FL17+"BYw!(3="</f>
        <v>#VALUE!</v>
      </c>
      <c r="EO159" t="e">
        <f>'2.5.Трудоемкость'!FM17+"BYw!(3&gt;"</f>
        <v>#VALUE!</v>
      </c>
      <c r="EP159" t="e">
        <f>'2.5.Трудоемкость'!FN17+"BYw!(3?"</f>
        <v>#VALUE!</v>
      </c>
      <c r="EQ159" t="e">
        <f>'2.5.Трудоемкость'!FO17+"BYw!(3@"</f>
        <v>#VALUE!</v>
      </c>
      <c r="ER159" t="e">
        <f>'2.5.Трудоемкость'!FP17+"BYw!(3A"</f>
        <v>#VALUE!</v>
      </c>
      <c r="ES159" t="e">
        <f>'2.5.Трудоемкость'!FQ17+"BYw!(3B"</f>
        <v>#VALUE!</v>
      </c>
      <c r="ET159" t="e">
        <f>'2.5.Трудоемкость'!FR17+"BYw!(3C"</f>
        <v>#VALUE!</v>
      </c>
      <c r="EU159" t="e">
        <f>'2.5.Трудоемкость'!FS17+"BYw!(3D"</f>
        <v>#VALUE!</v>
      </c>
      <c r="EV159" t="e">
        <f>'2.5.Трудоемкость'!FT17+"BYw!(3E"</f>
        <v>#VALUE!</v>
      </c>
      <c r="EW159" t="e">
        <f>'2.5.Трудоемкость'!FU17+"BYw!(3F"</f>
        <v>#VALUE!</v>
      </c>
      <c r="EX159" t="e">
        <f>'2.5.Трудоемкость'!FV17+"BYw!(3G"</f>
        <v>#VALUE!</v>
      </c>
      <c r="EY159" t="e">
        <f>'2.5.Трудоемкость'!FW17+"BYw!(3H"</f>
        <v>#VALUE!</v>
      </c>
      <c r="EZ159" t="e">
        <f>'2.5.Трудоемкость'!FX17+"BYw!(3I"</f>
        <v>#VALUE!</v>
      </c>
      <c r="FA159" t="e">
        <f>'2.5.Трудоемкость'!FY17+"BYw!(3J"</f>
        <v>#VALUE!</v>
      </c>
      <c r="FB159" t="e">
        <f>'2.5.Трудоемкость'!FZ17+"BYw!(3K"</f>
        <v>#VALUE!</v>
      </c>
      <c r="FC159" t="e">
        <f>'2.5.Трудоемкость'!GA17+"BYw!(3L"</f>
        <v>#VALUE!</v>
      </c>
      <c r="FD159" t="e">
        <f>'2.5.Трудоемкость'!GB17+"BYw!(3M"</f>
        <v>#VALUE!</v>
      </c>
      <c r="FE159" t="e">
        <f>'2.5.Трудоемкость'!GC17+"BYw!(3N"</f>
        <v>#VALUE!</v>
      </c>
      <c r="FF159" t="e">
        <f>'2.5.Трудоемкость'!GD17+"BYw!(3O"</f>
        <v>#VALUE!</v>
      </c>
      <c r="FG159" t="e">
        <f>'2.5.Трудоемкость'!GE17+"BYw!(3P"</f>
        <v>#VALUE!</v>
      </c>
      <c r="FH159" t="e">
        <f>'2.5.Трудоемкость'!GF17+"BYw!(3Q"</f>
        <v>#VALUE!</v>
      </c>
      <c r="FI159" t="e">
        <f>'2.5.Трудоемкость'!GG17+"BYw!(3R"</f>
        <v>#VALUE!</v>
      </c>
      <c r="FJ159" t="e">
        <f>'2.5.Трудоемкость'!GH17+"BYw!(3S"</f>
        <v>#VALUE!</v>
      </c>
      <c r="FK159" t="e">
        <f>'2.5.Трудоемкость'!GI17+"BYw!(3T"</f>
        <v>#VALUE!</v>
      </c>
      <c r="FL159" t="e">
        <f>'2.5.Трудоемкость'!GJ17+"BYw!(3U"</f>
        <v>#VALUE!</v>
      </c>
      <c r="FM159" t="e">
        <f>'2.5.Трудоемкость'!GK17+"BYw!(3V"</f>
        <v>#VALUE!</v>
      </c>
      <c r="FN159" t="e">
        <f>'2.5.Трудоемкость'!GL17+"BYw!(3W"</f>
        <v>#VALUE!</v>
      </c>
      <c r="FO159" t="e">
        <f>'2.5.Трудоемкость'!GM17+"BYw!(3X"</f>
        <v>#VALUE!</v>
      </c>
      <c r="FP159" t="e">
        <f>'2.5.Трудоемкость'!GN17+"BYw!(3Y"</f>
        <v>#VALUE!</v>
      </c>
      <c r="FQ159" t="e">
        <f>'2.5.Трудоемкость'!GO17+"BYw!(3Z"</f>
        <v>#VALUE!</v>
      </c>
      <c r="FR159" t="e">
        <f>'2.5.Трудоемкость'!GP17+"BYw!(3["</f>
        <v>#VALUE!</v>
      </c>
      <c r="FS159" t="e">
        <f>'2.5.Трудоемкость'!GQ17+"BYw!(3\"</f>
        <v>#VALUE!</v>
      </c>
      <c r="FT159" t="e">
        <f>'2.5.Трудоемкость'!GR17+"BYw!(3]"</f>
        <v>#VALUE!</v>
      </c>
      <c r="FU159" t="e">
        <f>'2.5.Трудоемкость'!GS17+"BYw!(3^"</f>
        <v>#VALUE!</v>
      </c>
      <c r="FV159" t="e">
        <f>'2.5.Трудоемкость'!GT17+"BYw!(3_"</f>
        <v>#VALUE!</v>
      </c>
      <c r="FW159" t="e">
        <f>'2.5.Трудоемкость'!GU17+"BYw!(3`"</f>
        <v>#VALUE!</v>
      </c>
      <c r="FX159" t="e">
        <f>'2.5.Трудоемкость'!GV17+"BYw!(3a"</f>
        <v>#VALUE!</v>
      </c>
      <c r="FY159" t="e">
        <f>'2.5.Трудоемкость'!GW17+"BYw!(3b"</f>
        <v>#VALUE!</v>
      </c>
      <c r="FZ159" t="e">
        <f>'2.5.Трудоемкость'!GX17+"BYw!(3c"</f>
        <v>#VALUE!</v>
      </c>
      <c r="GA159" t="e">
        <f>'2.5.Трудоемкость'!GY17+"BYw!(3d"</f>
        <v>#VALUE!</v>
      </c>
      <c r="GB159" t="e">
        <f>'2.5.Трудоемкость'!GZ17+"BYw!(3e"</f>
        <v>#VALUE!</v>
      </c>
      <c r="GC159" t="e">
        <f>'2.5.Трудоемкость'!HA17+"BYw!(3f"</f>
        <v>#VALUE!</v>
      </c>
      <c r="GD159" t="e">
        <f>'2.5.Трудоемкость'!HB17+"BYw!(3g"</f>
        <v>#VALUE!</v>
      </c>
      <c r="GE159" t="e">
        <f>'2.5.Трудоемкость'!HC17+"BYw!(3h"</f>
        <v>#VALUE!</v>
      </c>
      <c r="GF159" t="e">
        <f>'2.5.Трудоемкость'!HD17+"BYw!(3i"</f>
        <v>#VALUE!</v>
      </c>
      <c r="GG159" t="e">
        <f>'2.5.Трудоемкость'!HE17+"BYw!(3j"</f>
        <v>#VALUE!</v>
      </c>
      <c r="GH159" t="e">
        <f>'2.5.Трудоемкость'!HF17+"BYw!(3k"</f>
        <v>#VALUE!</v>
      </c>
      <c r="GI159" t="e">
        <f>'2.5.Трудоемкость'!HG17+"BYw!(3l"</f>
        <v>#VALUE!</v>
      </c>
      <c r="GJ159" t="e">
        <f>'2.5.Трудоемкость'!HH17+"BYw!(3m"</f>
        <v>#VALUE!</v>
      </c>
      <c r="GK159" t="e">
        <f>'2.5.Трудоемкость'!HI17+"BYw!(3n"</f>
        <v>#VALUE!</v>
      </c>
      <c r="GL159" t="e">
        <f>'2.5.Трудоемкость'!HJ17+"BYw!(3o"</f>
        <v>#VALUE!</v>
      </c>
      <c r="GM159" t="e">
        <f>'2.5.Трудоемкость'!HK17+"BYw!(3p"</f>
        <v>#VALUE!</v>
      </c>
      <c r="GN159" t="e">
        <f>'2.5.Трудоемкость'!HL17+"BYw!(3q"</f>
        <v>#VALUE!</v>
      </c>
      <c r="GO159" t="e">
        <f>'2.5.Трудоемкость'!HM17+"BYw!(3r"</f>
        <v>#VALUE!</v>
      </c>
      <c r="GP159" t="e">
        <f>'2.5.Трудоемкость'!HN17+"BYw!(3s"</f>
        <v>#VALUE!</v>
      </c>
      <c r="GQ159" t="e">
        <f>'2.5.Трудоемкость'!HO17+"BYw!(3t"</f>
        <v>#VALUE!</v>
      </c>
      <c r="GR159" t="e">
        <f>'2.5.Трудоемкость'!HP17+"BYw!(3u"</f>
        <v>#VALUE!</v>
      </c>
      <c r="GS159" t="e">
        <f>'2.5.Трудоемкость'!HQ17+"BYw!(3v"</f>
        <v>#VALUE!</v>
      </c>
      <c r="GT159" t="e">
        <f>'2.5.Трудоемкость'!HR17+"BYw!(3w"</f>
        <v>#VALUE!</v>
      </c>
      <c r="GU159" t="e">
        <f>'2.5.Трудоемкость'!HS17+"BYw!(3x"</f>
        <v>#VALUE!</v>
      </c>
      <c r="GV159" t="e">
        <f>'2.5.Трудоемкость'!HT17+"BYw!(3y"</f>
        <v>#VALUE!</v>
      </c>
      <c r="GW159" t="e">
        <f>'2.5.Трудоемкость'!HU17+"BYw!(3z"</f>
        <v>#VALUE!</v>
      </c>
      <c r="GX159" t="e">
        <f>'2.5.Трудоемкость'!HV17+"BYw!(3{"</f>
        <v>#VALUE!</v>
      </c>
      <c r="GY159" t="e">
        <f>'2.5.Трудоемкость'!HW17+"BYw!(3|"</f>
        <v>#VALUE!</v>
      </c>
      <c r="GZ159" t="e">
        <f>'2.5.Трудоемкость'!HX17+"BYw!(3}"</f>
        <v>#VALUE!</v>
      </c>
      <c r="HA159" t="e">
        <f>'2.5.Трудоемкость'!HY17+"BYw!(3~"</f>
        <v>#VALUE!</v>
      </c>
      <c r="HB159" t="e">
        <f>'2.5.Трудоемкость'!HZ17+"BYw!(4#"</f>
        <v>#VALUE!</v>
      </c>
      <c r="HC159" t="e">
        <f>'2.5.Трудоемкость'!IA17+"BYw!(4$"</f>
        <v>#VALUE!</v>
      </c>
      <c r="HD159" t="e">
        <f>'2.5.Трудоемкость'!IB17+"BYw!(4%"</f>
        <v>#VALUE!</v>
      </c>
      <c r="HE159" t="e">
        <f>'2.5.Трудоемкость'!IC17+"BYw!(4&amp;"</f>
        <v>#VALUE!</v>
      </c>
      <c r="HF159" t="e">
        <f>'2.5.Трудоемкость'!ID17+"BYw!(4'"</f>
        <v>#VALUE!</v>
      </c>
      <c r="HG159" t="e">
        <f>'2.5.Трудоемкость'!IE17+"BYw!(4("</f>
        <v>#VALUE!</v>
      </c>
      <c r="HH159" t="e">
        <f>'2.5.Трудоемкость'!IF17+"BYw!(4)"</f>
        <v>#VALUE!</v>
      </c>
      <c r="HI159" t="e">
        <f>'2.5.Трудоемкость'!IG17+"BYw!(4."</f>
        <v>#VALUE!</v>
      </c>
      <c r="HJ159" t="e">
        <f>'2.5.Трудоемкость'!IH17+"BYw!(4/"</f>
        <v>#VALUE!</v>
      </c>
      <c r="HK159" t="e">
        <f>'2.5.Трудоемкость'!II17+"BYw!(40"</f>
        <v>#VALUE!</v>
      </c>
      <c r="HL159" t="e">
        <f>'2.5.Трудоемкость'!IJ17+"BYw!(41"</f>
        <v>#VALUE!</v>
      </c>
      <c r="HM159" t="e">
        <f>'2.5.Трудоемкость'!IK17+"BYw!(42"</f>
        <v>#VALUE!</v>
      </c>
      <c r="HN159" t="e">
        <f>'2.5.Трудоемкость'!IL17+"BYw!(43"</f>
        <v>#VALUE!</v>
      </c>
      <c r="HO159" t="e">
        <f>'2.5.Трудоемкость'!IM17+"BYw!(44"</f>
        <v>#VALUE!</v>
      </c>
      <c r="HP159" t="e">
        <f>'2.5.Трудоемкость'!IN17+"BYw!(45"</f>
        <v>#VALUE!</v>
      </c>
      <c r="HQ159" t="e">
        <f>'2.5.Трудоемкость'!IO17+"BYw!(46"</f>
        <v>#VALUE!</v>
      </c>
      <c r="HR159" t="e">
        <f>'2.5.Трудоемкость'!IP17+"BYw!(47"</f>
        <v>#VALUE!</v>
      </c>
      <c r="HS159" t="e">
        <f>'2.5.Трудоемкость'!IQ17+"BYw!(48"</f>
        <v>#VALUE!</v>
      </c>
      <c r="HT159" t="e">
        <f>'2.5.Трудоемкость'!IR17+"BYw!(49"</f>
        <v>#VALUE!</v>
      </c>
      <c r="HU159" t="e">
        <f>'2.5.Трудоемкость'!IS17+"BYw!(4:"</f>
        <v>#VALUE!</v>
      </c>
      <c r="HV159" t="e">
        <f>'2.5.Трудоемкость'!IT17+"BYw!(4;"</f>
        <v>#VALUE!</v>
      </c>
      <c r="HW159" t="e">
        <f>'2.5.Трудоемкость'!IU17+"BYw!(4&lt;"</f>
        <v>#VALUE!</v>
      </c>
      <c r="HX159" t="e">
        <f>'2.5.Трудоемкость'!IV17+"BYw!(4="</f>
        <v>#VALUE!</v>
      </c>
      <c r="HY159" t="e">
        <f>'2.5.Трудоемкость'!IW17+"BYw!(4&gt;"</f>
        <v>#VALUE!</v>
      </c>
      <c r="HZ159" t="e">
        <f>'2.5.Трудоемкость'!IX17+"BYw!(4?"</f>
        <v>#VALUE!</v>
      </c>
      <c r="IA159" t="e">
        <f>'2.5.Трудоемкость'!IY17+"BYw!(4@"</f>
        <v>#VALUE!</v>
      </c>
      <c r="IB159" t="e">
        <f>'2.5.Трудоемкость'!IZ17+"BYw!(4A"</f>
        <v>#VALUE!</v>
      </c>
      <c r="IC159" t="e">
        <f>'2.5.Трудоемкость'!JA17+"BYw!(4B"</f>
        <v>#VALUE!</v>
      </c>
      <c r="ID159" t="e">
        <f>'2.5.Трудоемкость'!JB17+"BYw!(4C"</f>
        <v>#VALUE!</v>
      </c>
      <c r="IE159" t="e">
        <f>'2.5.Трудоемкость'!JC17+"BYw!(4D"</f>
        <v>#VALUE!</v>
      </c>
      <c r="IF159" t="e">
        <f>'2.5.Трудоемкость'!JD17+"BYw!(4E"</f>
        <v>#VALUE!</v>
      </c>
      <c r="IG159" t="e">
        <f>'2.5.Трудоемкость'!JE17+"BYw!(4F"</f>
        <v>#VALUE!</v>
      </c>
      <c r="IH159" t="e">
        <f>'2.5.Трудоемкость'!JF17+"BYw!(4G"</f>
        <v>#VALUE!</v>
      </c>
      <c r="II159" t="e">
        <f>'2.5.Трудоемкость'!JG17+"BYw!(4H"</f>
        <v>#VALUE!</v>
      </c>
      <c r="IJ159" t="e">
        <f>'2.5.Трудоемкость'!JH17+"BYw!(4I"</f>
        <v>#VALUE!</v>
      </c>
      <c r="IK159" t="e">
        <f>'2.5.Трудоемкость'!JI17+"BYw!(4J"</f>
        <v>#VALUE!</v>
      </c>
      <c r="IL159" t="e">
        <f>'2.5.Трудоемкость'!JJ17+"BYw!(4K"</f>
        <v>#VALUE!</v>
      </c>
      <c r="IM159" t="e">
        <f>'2.5.Трудоемкость'!JK17+"BYw!(4L"</f>
        <v>#VALUE!</v>
      </c>
      <c r="IN159" t="e">
        <f>'2.5.Трудоемкость'!JL17+"BYw!(4M"</f>
        <v>#VALUE!</v>
      </c>
      <c r="IO159" t="e">
        <f>'2.5.Трудоемкость'!JM17+"BYw!(4N"</f>
        <v>#VALUE!</v>
      </c>
      <c r="IP159" t="e">
        <f>'2.5.Трудоемкость'!JN17+"BYw!(4O"</f>
        <v>#VALUE!</v>
      </c>
      <c r="IQ159" t="e">
        <f>'2.5.Трудоемкость'!JO17+"BYw!(4P"</f>
        <v>#VALUE!</v>
      </c>
      <c r="IR159" t="e">
        <f>'2.5.Трудоемкость'!JP17+"BYw!(4Q"</f>
        <v>#VALUE!</v>
      </c>
      <c r="IS159" t="e">
        <f>'2.5.Трудоемкость'!JQ17+"BYw!(4R"</f>
        <v>#VALUE!</v>
      </c>
      <c r="IT159" t="e">
        <f>'2.5.Трудоемкость'!JR17+"BYw!(4S"</f>
        <v>#VALUE!</v>
      </c>
      <c r="IU159" t="e">
        <f>'2.5.Трудоемкость'!JS17+"BYw!(4T"</f>
        <v>#VALUE!</v>
      </c>
      <c r="IV159" t="e">
        <f>'2.5.Трудоемкость'!JT17+"BYw!(4U"</f>
        <v>#VALUE!</v>
      </c>
    </row>
    <row r="160" spans="6:256" x14ac:dyDescent="0.2">
      <c r="F160" t="e">
        <f>'2.5.Трудоемкость'!JU17+"BYw!(4V"</f>
        <v>#VALUE!</v>
      </c>
      <c r="G160" t="e">
        <f>'2.5.Трудоемкость'!JV17+"BYw!(4W"</f>
        <v>#VALUE!</v>
      </c>
      <c r="H160" t="e">
        <f>'2.5.Трудоемкость'!JW17+"BYw!(4X"</f>
        <v>#VALUE!</v>
      </c>
      <c r="I160" t="e">
        <f>'2.5.Трудоемкость'!JX17+"BYw!(4Y"</f>
        <v>#VALUE!</v>
      </c>
      <c r="J160" t="e">
        <f>'2.5.Трудоемкость'!JY17+"BYw!(4Z"</f>
        <v>#VALUE!</v>
      </c>
      <c r="K160" t="e">
        <f>'2.5.Трудоемкость'!JZ17+"BYw!(4["</f>
        <v>#VALUE!</v>
      </c>
      <c r="L160" t="e">
        <f>'2.5.Трудоемкость'!KA17+"BYw!(4\"</f>
        <v>#VALUE!</v>
      </c>
      <c r="M160" t="e">
        <f>'2.5.Трудоемкость'!KB17+"BYw!(4]"</f>
        <v>#VALUE!</v>
      </c>
      <c r="N160" t="e">
        <f>'2.5.Трудоемкость'!KC17+"BYw!(4^"</f>
        <v>#VALUE!</v>
      </c>
      <c r="O160" t="e">
        <f>'2.5.Трудоемкость'!KD17+"BYw!(4_"</f>
        <v>#VALUE!</v>
      </c>
      <c r="P160" t="e">
        <f>'2.5.Трудоемкость'!KE17+"BYw!(4`"</f>
        <v>#VALUE!</v>
      </c>
      <c r="Q160" t="e">
        <f>'2.5.Трудоемкость'!KF17+"BYw!(4a"</f>
        <v>#VALUE!</v>
      </c>
      <c r="R160" t="e">
        <f>'2.5.Трудоемкость'!KG17+"BYw!(4b"</f>
        <v>#VALUE!</v>
      </c>
      <c r="S160" t="e">
        <f>'2.5.Трудоемкость'!KH17+"BYw!(4c"</f>
        <v>#VALUE!</v>
      </c>
      <c r="T160" t="e">
        <f>'2.5.Трудоемкость'!KI17+"BYw!(4d"</f>
        <v>#VALUE!</v>
      </c>
      <c r="U160" t="e">
        <f>'2.5.Трудоемкость'!KJ17+"BYw!(4e"</f>
        <v>#VALUE!</v>
      </c>
      <c r="V160" t="e">
        <f>'2.5.Трудоемкость'!KK17+"BYw!(4f"</f>
        <v>#VALUE!</v>
      </c>
      <c r="W160" t="e">
        <f>'2.5.Трудоемкость'!KL17+"BYw!(4g"</f>
        <v>#VALUE!</v>
      </c>
      <c r="X160" t="e">
        <f>'2.5.Трудоемкость'!KM17+"BYw!(4h"</f>
        <v>#VALUE!</v>
      </c>
      <c r="Y160" t="e">
        <f>'2.5.Трудоемкость'!KN17+"BYw!(4i"</f>
        <v>#VALUE!</v>
      </c>
      <c r="Z160" t="e">
        <f>'2.5.Трудоемкость'!KO17+"BYw!(4j"</f>
        <v>#VALUE!</v>
      </c>
      <c r="AA160" t="e">
        <f>'2.5.Трудоемкость'!KP17+"BYw!(4k"</f>
        <v>#VALUE!</v>
      </c>
      <c r="AB160" t="e">
        <f>'2.5.Трудоемкость'!KQ17+"BYw!(4l"</f>
        <v>#VALUE!</v>
      </c>
      <c r="AC160" t="e">
        <f>'2.5.Трудоемкость'!KR17+"BYw!(4m"</f>
        <v>#VALUE!</v>
      </c>
      <c r="AD160" t="e">
        <f>'2.5.Трудоемкость'!KS17+"BYw!(4n"</f>
        <v>#VALUE!</v>
      </c>
      <c r="AE160" t="e">
        <f>'2.5.Трудоемкость'!KT17+"BYw!(4o"</f>
        <v>#VALUE!</v>
      </c>
      <c r="AF160" t="e">
        <f>'2.5.Трудоемкость'!KU17+"BYw!(4p"</f>
        <v>#VALUE!</v>
      </c>
      <c r="AG160" t="e">
        <f>'2.5.Трудоемкость'!KV17+"BYw!(4q"</f>
        <v>#VALUE!</v>
      </c>
      <c r="AH160" t="e">
        <f>'2.5.Трудоемкость'!KW17+"BYw!(4r"</f>
        <v>#VALUE!</v>
      </c>
      <c r="AI160" t="e">
        <f>'2.5.Трудоемкость'!KX17+"BYw!(4s"</f>
        <v>#VALUE!</v>
      </c>
      <c r="AJ160" t="e">
        <f>'2.5.Трудоемкость'!KY17+"BYw!(4t"</f>
        <v>#VALUE!</v>
      </c>
      <c r="AK160" t="e">
        <f>'2.5.Трудоемкость'!KZ17+"BYw!(4u"</f>
        <v>#VALUE!</v>
      </c>
      <c r="AL160" t="e">
        <f>'2.5.Трудоемкость'!LA17+"BYw!(4v"</f>
        <v>#VALUE!</v>
      </c>
      <c r="AM160" t="e">
        <f>'2.5.Трудоемкость'!LB17+"BYw!(4w"</f>
        <v>#VALUE!</v>
      </c>
      <c r="AN160" t="e">
        <f>'2.5.Трудоемкость'!LC17+"BYw!(4x"</f>
        <v>#VALUE!</v>
      </c>
      <c r="AO160" t="e">
        <f>'2.5.Трудоемкость'!LD17+"BYw!(4y"</f>
        <v>#VALUE!</v>
      </c>
      <c r="AP160" t="e">
        <f>'2.5.Трудоемкость'!LE17+"BYw!(4z"</f>
        <v>#VALUE!</v>
      </c>
      <c r="AQ160" t="e">
        <f>'2.5.Трудоемкость'!LF17+"BYw!(4{"</f>
        <v>#VALUE!</v>
      </c>
      <c r="AR160" t="e">
        <f>'2.5.Трудоемкость'!LG17+"BYw!(4|"</f>
        <v>#VALUE!</v>
      </c>
      <c r="AS160" t="e">
        <f>'2.5.Трудоемкость'!LH17+"BYw!(4}"</f>
        <v>#VALUE!</v>
      </c>
      <c r="AT160" t="e">
        <f>'2.5.Трудоемкость'!LI17+"BYw!(4~"</f>
        <v>#VALUE!</v>
      </c>
      <c r="AU160" t="e">
        <f>'2.5.Трудоемкость'!LJ17+"BYw!(5#"</f>
        <v>#VALUE!</v>
      </c>
      <c r="AV160" t="e">
        <f>'2.5.Трудоемкость'!LK17+"BYw!(5$"</f>
        <v>#VALUE!</v>
      </c>
      <c r="AW160" t="e">
        <f>'2.5.Трудоемкость'!LL17+"BYw!(5%"</f>
        <v>#VALUE!</v>
      </c>
      <c r="AX160" t="e">
        <f>'2.5.Трудоемкость'!LM17+"BYw!(5&amp;"</f>
        <v>#VALUE!</v>
      </c>
      <c r="AY160" t="e">
        <f>'2.5.Трудоемкость'!LN17+"BYw!(5'"</f>
        <v>#VALUE!</v>
      </c>
      <c r="AZ160" t="e">
        <f>'2.5.Трудоемкость'!LO17+"BYw!(5("</f>
        <v>#VALUE!</v>
      </c>
      <c r="BA160" t="e">
        <f>'2.5.Трудоемкость'!LP17+"BYw!(5)"</f>
        <v>#VALUE!</v>
      </c>
      <c r="BB160" t="e">
        <f>'2.5.Трудоемкость'!LQ17+"BYw!(5."</f>
        <v>#VALUE!</v>
      </c>
      <c r="BC160" t="e">
        <f>'2.5.Трудоемкость'!LR17+"BYw!(5/"</f>
        <v>#VALUE!</v>
      </c>
      <c r="BD160" t="e">
        <f>'2.5.Трудоемкость'!LS17+"BYw!(50"</f>
        <v>#VALUE!</v>
      </c>
      <c r="BE160" t="e">
        <f>'2.5.Трудоемкость'!LT17+"BYw!(51"</f>
        <v>#VALUE!</v>
      </c>
      <c r="BF160" t="e">
        <f>'2.5.Трудоемкость'!LU17+"BYw!(52"</f>
        <v>#VALUE!</v>
      </c>
      <c r="BG160" t="e">
        <f>'2.5.Трудоемкость'!LV17+"BYw!(53"</f>
        <v>#VALUE!</v>
      </c>
      <c r="BH160" t="e">
        <f>'2.5.Трудоемкость'!LW17+"BYw!(54"</f>
        <v>#VALUE!</v>
      </c>
      <c r="BI160" t="e">
        <f>'2.5.Трудоемкость'!LX17+"BYw!(55"</f>
        <v>#VALUE!</v>
      </c>
      <c r="BJ160" t="e">
        <f>'2.5.Трудоемкость'!LY17+"BYw!(56"</f>
        <v>#VALUE!</v>
      </c>
      <c r="BK160" t="e">
        <f>'2.5.Трудоемкость'!LZ17+"BYw!(57"</f>
        <v>#VALUE!</v>
      </c>
      <c r="BL160" t="e">
        <f>'2.5.Трудоемкость'!MA17+"BYw!(58"</f>
        <v>#VALUE!</v>
      </c>
      <c r="BM160" t="e">
        <f>'2.5.Трудоемкость'!MB17+"BYw!(59"</f>
        <v>#VALUE!</v>
      </c>
      <c r="BN160" t="e">
        <f>'2.5.Трудоемкость'!MC17+"BYw!(5:"</f>
        <v>#VALUE!</v>
      </c>
      <c r="BO160" t="e">
        <f>'2.5.Трудоемкость'!MD17+"BYw!(5;"</f>
        <v>#VALUE!</v>
      </c>
      <c r="BP160" t="e">
        <f>'2.5.Трудоемкость'!ME17+"BYw!(5&lt;"</f>
        <v>#VALUE!</v>
      </c>
      <c r="BQ160" t="e">
        <f>'2.5.Трудоемкость'!MF17+"BYw!(5="</f>
        <v>#VALUE!</v>
      </c>
      <c r="BR160" t="e">
        <f>'2.5.Трудоемкость'!MG17+"BYw!(5&gt;"</f>
        <v>#VALUE!</v>
      </c>
      <c r="BS160" t="e">
        <f>'2.5.Трудоемкость'!MH17+"BYw!(5?"</f>
        <v>#VALUE!</v>
      </c>
      <c r="BT160" t="e">
        <f>'2.5.Трудоемкость'!MI17+"BYw!(5@"</f>
        <v>#VALUE!</v>
      </c>
      <c r="BU160" t="e">
        <f>'2.5.Трудоемкость'!MJ17+"BYw!(5A"</f>
        <v>#VALUE!</v>
      </c>
      <c r="BV160" t="e">
        <f>'2.5.Трудоемкость'!MK17+"BYw!(5B"</f>
        <v>#VALUE!</v>
      </c>
      <c r="BW160" t="e">
        <f>'2.5.Трудоемкость'!ML17+"BYw!(5C"</f>
        <v>#VALUE!</v>
      </c>
      <c r="BX160" t="e">
        <f>'2.5.Трудоемкость'!MM17+"BYw!(5D"</f>
        <v>#VALUE!</v>
      </c>
      <c r="BY160" t="e">
        <f>'2.5.Трудоемкость'!MN17+"BYw!(5E"</f>
        <v>#VALUE!</v>
      </c>
      <c r="BZ160" t="e">
        <f>'2.5.Трудоемкость'!MO17+"BYw!(5F"</f>
        <v>#VALUE!</v>
      </c>
      <c r="CA160" t="e">
        <f>'2.5.Трудоемкость'!MP17+"BYw!(5G"</f>
        <v>#VALUE!</v>
      </c>
      <c r="CB160" t="e">
        <f>'2.5.Трудоемкость'!MQ17+"BYw!(5H"</f>
        <v>#VALUE!</v>
      </c>
      <c r="CC160" t="e">
        <f>'2.5.Трудоемкость'!MR17+"BYw!(5I"</f>
        <v>#VALUE!</v>
      </c>
      <c r="CD160" t="e">
        <f>'2.5.Трудоемкость'!MS17+"BYw!(5J"</f>
        <v>#VALUE!</v>
      </c>
      <c r="CE160" t="e">
        <f>'2.5.Трудоемкость'!MT17+"BYw!(5K"</f>
        <v>#VALUE!</v>
      </c>
      <c r="CF160" t="e">
        <f>'2.5.Трудоемкость'!MU17+"BYw!(5L"</f>
        <v>#VALUE!</v>
      </c>
      <c r="CG160" t="e">
        <f>'2.5.Трудоемкость'!MV17+"BYw!(5M"</f>
        <v>#VALUE!</v>
      </c>
      <c r="CH160" t="e">
        <f>'2.5.Трудоемкость'!MW17+"BYw!(5N"</f>
        <v>#VALUE!</v>
      </c>
      <c r="CI160" t="e">
        <f>'2.5.Трудоемкость'!MX17+"BYw!(5O"</f>
        <v>#VALUE!</v>
      </c>
      <c r="CJ160" t="e">
        <f>'2.5.Трудоемкость'!MY17+"BYw!(5P"</f>
        <v>#VALUE!</v>
      </c>
      <c r="CK160" t="e">
        <f>'2.5.Трудоемкость'!MZ17+"BYw!(5Q"</f>
        <v>#VALUE!</v>
      </c>
      <c r="CL160" t="e">
        <f>'2.5.Трудоемкость'!NA17+"BYw!(5R"</f>
        <v>#VALUE!</v>
      </c>
      <c r="CM160" t="e">
        <f>'2.5.Трудоемкость'!NB17+"BYw!(5S"</f>
        <v>#VALUE!</v>
      </c>
      <c r="CN160" t="e">
        <f>'2.5.Трудоемкость'!NC17+"BYw!(5T"</f>
        <v>#VALUE!</v>
      </c>
      <c r="CO160" t="e">
        <f>'2.5.Трудоемкость'!ND17+"BYw!(5U"</f>
        <v>#VALUE!</v>
      </c>
      <c r="CP160" t="e">
        <f>'2.5.Трудоемкость'!NE17+"BYw!(5V"</f>
        <v>#VALUE!</v>
      </c>
      <c r="CQ160" t="e">
        <f>'2.5.Трудоемкость'!NF17+"BYw!(5W"</f>
        <v>#VALUE!</v>
      </c>
      <c r="CR160" t="e">
        <f>'2.5.Трудоемкость'!NG17+"BYw!(5X"</f>
        <v>#VALUE!</v>
      </c>
      <c r="CS160" t="e">
        <f>'2.5.Трудоемкость'!NH17+"BYw!(5Y"</f>
        <v>#VALUE!</v>
      </c>
      <c r="CT160" t="e">
        <f>'2.5.Трудоемкость'!NI17+"BYw!(5Z"</f>
        <v>#VALUE!</v>
      </c>
      <c r="CU160" t="e">
        <f>'2.5.Трудоемкость'!NJ17+"BYw!(5["</f>
        <v>#VALUE!</v>
      </c>
      <c r="CV160" t="e">
        <f>'2.5.Трудоемкость'!NK17+"BYw!(5\"</f>
        <v>#VALUE!</v>
      </c>
      <c r="CW160" t="e">
        <f>'2.5.Трудоемкость'!NL17+"BYw!(5]"</f>
        <v>#VALUE!</v>
      </c>
      <c r="CX160" t="e">
        <f>'2.5.Трудоемкость'!NM17+"BYw!(5^"</f>
        <v>#VALUE!</v>
      </c>
      <c r="CY160" t="e">
        <f>'2.5.Трудоемкость'!NN17+"BYw!(5_"</f>
        <v>#VALUE!</v>
      </c>
      <c r="CZ160" t="e">
        <f>'2.5.Трудоемкость'!NO17+"BYw!(5`"</f>
        <v>#VALUE!</v>
      </c>
      <c r="DA160" t="e">
        <f>'2.5.Трудоемкость'!NP17+"BYw!(5a"</f>
        <v>#VALUE!</v>
      </c>
      <c r="DB160" t="e">
        <f>'2.5.Трудоемкость'!NQ17+"BYw!(5b"</f>
        <v>#VALUE!</v>
      </c>
      <c r="DC160" t="e">
        <f>'2.5.Трудоемкость'!NR17+"BYw!(5c"</f>
        <v>#VALUE!</v>
      </c>
      <c r="DD160" t="e">
        <f>'2.5.Трудоемкость'!NS17+"BYw!(5d"</f>
        <v>#VALUE!</v>
      </c>
      <c r="DE160" t="e">
        <f>'2.5.Трудоемкость'!NT17+"BYw!(5e"</f>
        <v>#VALUE!</v>
      </c>
      <c r="DF160" t="e">
        <f>'2.5.Трудоемкость'!NU17+"BYw!(5f"</f>
        <v>#VALUE!</v>
      </c>
      <c r="DG160" t="e">
        <f>'2.5.Трудоемкость'!NV17+"BYw!(5g"</f>
        <v>#VALUE!</v>
      </c>
      <c r="DH160" t="e">
        <f>'2.5.Трудоемкость'!NW17+"BYw!(5h"</f>
        <v>#VALUE!</v>
      </c>
      <c r="DI160" t="e">
        <f>'2.5.Трудоемкость'!NX17+"BYw!(5i"</f>
        <v>#VALUE!</v>
      </c>
      <c r="DJ160" t="e">
        <f>'2.5.Трудоемкость'!NY17+"BYw!(5j"</f>
        <v>#VALUE!</v>
      </c>
      <c r="DK160" t="e">
        <f>'2.5.Трудоемкость'!NZ17+"BYw!(5k"</f>
        <v>#VALUE!</v>
      </c>
      <c r="DL160" t="e">
        <f>'2.5.Трудоемкость'!OA17+"BYw!(5l"</f>
        <v>#VALUE!</v>
      </c>
      <c r="DM160" t="e">
        <f>'2.5.Трудоемкость'!OB17+"BYw!(5m"</f>
        <v>#VALUE!</v>
      </c>
      <c r="DN160" t="e">
        <f>'2.5.Трудоемкость'!OC17+"BYw!(5n"</f>
        <v>#VALUE!</v>
      </c>
      <c r="DO160" t="e">
        <f>'2.5.Трудоемкость'!OD17+"BYw!(5o"</f>
        <v>#VALUE!</v>
      </c>
      <c r="DP160" t="e">
        <f>'2.5.Трудоемкость'!OE17+"BYw!(5p"</f>
        <v>#VALUE!</v>
      </c>
      <c r="DQ160" t="e">
        <f>'2.5.Трудоемкость'!OF17+"BYw!(5q"</f>
        <v>#VALUE!</v>
      </c>
      <c r="DR160" t="e">
        <f>'2.5.Трудоемкость'!OG17+"BYw!(5r"</f>
        <v>#VALUE!</v>
      </c>
      <c r="DS160" t="e">
        <f>'2.5.Трудоемкость'!OH17+"BYw!(5s"</f>
        <v>#VALUE!</v>
      </c>
      <c r="DT160" t="e">
        <f>'2.5.Трудоемкость'!OI17+"BYw!(5t"</f>
        <v>#VALUE!</v>
      </c>
      <c r="DU160" t="e">
        <f>'2.5.Трудоемкость'!OJ17+"BYw!(5u"</f>
        <v>#VALUE!</v>
      </c>
      <c r="DV160" t="e">
        <f>'2.5.Трудоемкость'!OK17+"BYw!(5v"</f>
        <v>#VALUE!</v>
      </c>
      <c r="DW160" t="e">
        <f>'2.5.Трудоемкость'!OL17+"BYw!(5w"</f>
        <v>#VALUE!</v>
      </c>
      <c r="DX160" t="e">
        <f>'2.5.Трудоемкость'!OM17+"BYw!(5x"</f>
        <v>#VALUE!</v>
      </c>
      <c r="DY160" t="e">
        <f>'2.5.Трудоемкость'!ON17+"BYw!(5y"</f>
        <v>#VALUE!</v>
      </c>
      <c r="DZ160" t="e">
        <f>'2.5.Трудоемкость'!OO17+"BYw!(5z"</f>
        <v>#VALUE!</v>
      </c>
      <c r="EA160" t="e">
        <f>'2.5.Трудоемкость'!OP17+"BYw!(5{"</f>
        <v>#VALUE!</v>
      </c>
      <c r="EB160" t="e">
        <f>'2.5.Трудоемкость'!OQ17+"BYw!(5|"</f>
        <v>#VALUE!</v>
      </c>
      <c r="EC160" t="e">
        <f>'2.5.Трудоемкость'!OR17+"BYw!(5}"</f>
        <v>#VALUE!</v>
      </c>
      <c r="ED160" t="e">
        <f>'2.5.Трудоемкость'!OS17+"BYw!(5~"</f>
        <v>#VALUE!</v>
      </c>
      <c r="EE160" t="e">
        <f>'2.5.Трудоемкость'!OT17+"BYw!(6#"</f>
        <v>#VALUE!</v>
      </c>
      <c r="EF160" t="e">
        <f>'2.5.Трудоемкость'!OU17+"BYw!(6$"</f>
        <v>#VALUE!</v>
      </c>
      <c r="EG160" t="e">
        <f>'2.5.Трудоемкость'!OV17+"BYw!(6%"</f>
        <v>#VALUE!</v>
      </c>
      <c r="EH160" t="e">
        <f>'2.5.Трудоемкость'!OW17+"BYw!(6&amp;"</f>
        <v>#VALUE!</v>
      </c>
      <c r="EI160" t="e">
        <f>'2.5.Трудоемкость'!OX17+"BYw!(6'"</f>
        <v>#VALUE!</v>
      </c>
      <c r="EJ160" t="e">
        <f>'2.5.Трудоемкость'!OY17+"BYw!(6("</f>
        <v>#VALUE!</v>
      </c>
      <c r="EK160" t="e">
        <f>'2.5.Трудоемкость'!OZ17+"BYw!(6)"</f>
        <v>#VALUE!</v>
      </c>
      <c r="EL160" t="e">
        <f>'2.5.Трудоемкость'!PA17+"BYw!(6."</f>
        <v>#VALUE!</v>
      </c>
      <c r="EM160" t="e">
        <f>'2.5.Трудоемкость'!PB17+"BYw!(6/"</f>
        <v>#VALUE!</v>
      </c>
      <c r="EN160" t="e">
        <f>'2.5.Трудоемкость'!PC17+"BYw!(60"</f>
        <v>#VALUE!</v>
      </c>
      <c r="EO160" t="e">
        <f>'2.5.Трудоемкость'!PD17+"BYw!(61"</f>
        <v>#VALUE!</v>
      </c>
      <c r="EP160" t="e">
        <f>'2.5.Трудоемкость'!PE17+"BYw!(62"</f>
        <v>#VALUE!</v>
      </c>
      <c r="EQ160" t="e">
        <f>'2.5.Трудоемкость'!PF17+"BYw!(63"</f>
        <v>#VALUE!</v>
      </c>
      <c r="ER160" t="e">
        <f>'2.5.Трудоемкость'!PG17+"BYw!(64"</f>
        <v>#VALUE!</v>
      </c>
      <c r="ES160" t="e">
        <f>'2.5.Трудоемкость'!PH17+"BYw!(65"</f>
        <v>#VALUE!</v>
      </c>
      <c r="ET160" t="e">
        <f>'2.5.Трудоемкость'!PI17+"BYw!(66"</f>
        <v>#VALUE!</v>
      </c>
      <c r="EU160" t="e">
        <f>'2.5.Трудоемкость'!PJ17+"BYw!(67"</f>
        <v>#VALUE!</v>
      </c>
      <c r="EV160" t="e">
        <f>'2.5.Трудоемкость'!PK17+"BYw!(68"</f>
        <v>#VALUE!</v>
      </c>
      <c r="EW160" t="e">
        <f>'2.5.Трудоемкость'!PL17+"BYw!(69"</f>
        <v>#VALUE!</v>
      </c>
      <c r="EX160" t="e">
        <f>'2.5.Трудоемкость'!PM17+"BYw!(6:"</f>
        <v>#VALUE!</v>
      </c>
      <c r="EY160" t="e">
        <f>'2.5.Трудоемкость'!PN17+"BYw!(6;"</f>
        <v>#VALUE!</v>
      </c>
      <c r="EZ160" t="e">
        <f>'2.5.Трудоемкость'!PO17+"BYw!(6&lt;"</f>
        <v>#VALUE!</v>
      </c>
      <c r="FA160" t="e">
        <f>'2.5.Трудоемкость'!PP17+"BYw!(6="</f>
        <v>#VALUE!</v>
      </c>
      <c r="FB160" t="e">
        <f>'2.5.Трудоемкость'!PQ17+"BYw!(6&gt;"</f>
        <v>#VALUE!</v>
      </c>
      <c r="FC160" t="e">
        <f>'2.5.Трудоемкость'!PR17+"BYw!(6?"</f>
        <v>#VALUE!</v>
      </c>
      <c r="FD160" t="e">
        <f>'2.5.Трудоемкость'!PS17+"BYw!(6@"</f>
        <v>#VALUE!</v>
      </c>
      <c r="FE160" t="e">
        <f>'2.5.Трудоемкость'!PT17+"BYw!(6A"</f>
        <v>#VALUE!</v>
      </c>
      <c r="FF160" t="e">
        <f>'2.5.Трудоемкость'!PU17+"BYw!(6B"</f>
        <v>#VALUE!</v>
      </c>
      <c r="FG160" t="e">
        <f>'2.5.Трудоемкость'!PV17+"BYw!(6C"</f>
        <v>#VALUE!</v>
      </c>
      <c r="FH160" t="e">
        <f>'2.5.Трудоемкость'!PW17+"BYw!(6D"</f>
        <v>#VALUE!</v>
      </c>
      <c r="FI160" t="e">
        <f>'2.5.Трудоемкость'!PX17+"BYw!(6E"</f>
        <v>#VALUE!</v>
      </c>
      <c r="FJ160" t="e">
        <f>'2.5.Трудоемкость'!PY17+"BYw!(6F"</f>
        <v>#VALUE!</v>
      </c>
      <c r="FK160" t="e">
        <f>'2.5.Трудоемкость'!PZ17+"BYw!(6G"</f>
        <v>#VALUE!</v>
      </c>
      <c r="FL160" t="e">
        <f>'2.5.Трудоемкость'!QA17+"BYw!(6H"</f>
        <v>#VALUE!</v>
      </c>
      <c r="FM160" t="e">
        <f>'2.5.Трудоемкость'!QB17+"BYw!(6I"</f>
        <v>#VALUE!</v>
      </c>
      <c r="FN160" t="e">
        <f>'2.5.Трудоемкость'!QC17+"BYw!(6J"</f>
        <v>#VALUE!</v>
      </c>
      <c r="FO160" t="e">
        <f>'2.5.Трудоемкость'!QD17+"BYw!(6K"</f>
        <v>#VALUE!</v>
      </c>
      <c r="FP160" t="e">
        <f>'2.5.Трудоемкость'!QE17+"BYw!(6L"</f>
        <v>#VALUE!</v>
      </c>
      <c r="FQ160" t="e">
        <f>'2.5.Трудоемкость'!QF17+"BYw!(6M"</f>
        <v>#VALUE!</v>
      </c>
      <c r="FR160" t="e">
        <f>'2.5.Трудоемкость'!QG17+"BYw!(6N"</f>
        <v>#VALUE!</v>
      </c>
      <c r="FS160" t="e">
        <f>'2.5.Трудоемкость'!QH17+"BYw!(6O"</f>
        <v>#VALUE!</v>
      </c>
      <c r="FT160" t="e">
        <f>'2.5.Трудоемкость'!QI17+"BYw!(6P"</f>
        <v>#VALUE!</v>
      </c>
      <c r="FU160" t="e">
        <f>'2.5.Трудоемкость'!QJ17+"BYw!(6Q"</f>
        <v>#VALUE!</v>
      </c>
      <c r="FV160" t="e">
        <f>'2.5.Трудоемкость'!QK17+"BYw!(6R"</f>
        <v>#VALUE!</v>
      </c>
      <c r="FW160" t="e">
        <f>'2.5.Трудоемкость'!QL17+"BYw!(6S"</f>
        <v>#VALUE!</v>
      </c>
      <c r="FX160" t="e">
        <f>'2.5.Трудоемкость'!QM17+"BYw!(6T"</f>
        <v>#VALUE!</v>
      </c>
      <c r="FY160" t="e">
        <f>'2.5.Трудоемкость'!QN17+"BYw!(6U"</f>
        <v>#VALUE!</v>
      </c>
      <c r="FZ160" t="e">
        <f>'2.5.Трудоемкость'!QO17+"BYw!(6V"</f>
        <v>#VALUE!</v>
      </c>
      <c r="GA160" t="e">
        <f>'2.5.Трудоемкость'!QP17+"BYw!(6W"</f>
        <v>#VALUE!</v>
      </c>
      <c r="GB160" t="e">
        <f>'2.5.Трудоемкость'!QQ17+"BYw!(6X"</f>
        <v>#VALUE!</v>
      </c>
      <c r="GC160" t="e">
        <f>'2.5.Трудоемкость'!QR17+"BYw!(6Y"</f>
        <v>#VALUE!</v>
      </c>
      <c r="GD160" t="e">
        <f>'2.5.Трудоемкость'!QS17+"BYw!(6Z"</f>
        <v>#VALUE!</v>
      </c>
      <c r="GE160" t="e">
        <f>'2.5.Трудоемкость'!QT17+"BYw!(6["</f>
        <v>#VALUE!</v>
      </c>
      <c r="GF160" t="e">
        <f>'2.5.Трудоемкость'!QU17+"BYw!(6\"</f>
        <v>#VALUE!</v>
      </c>
      <c r="GG160" t="e">
        <f>'2.5.Трудоемкость'!QV17+"BYw!(6]"</f>
        <v>#VALUE!</v>
      </c>
      <c r="GH160" t="e">
        <f>'2.5.Трудоемкость'!QW17+"BYw!(6^"</f>
        <v>#VALUE!</v>
      </c>
      <c r="GI160" t="e">
        <f>'2.5.Трудоемкость'!QX17+"BYw!(6_"</f>
        <v>#VALUE!</v>
      </c>
      <c r="GJ160" t="e">
        <f>'2.5.Трудоемкость'!QY17+"BYw!(6`"</f>
        <v>#VALUE!</v>
      </c>
      <c r="GK160" t="e">
        <f>'2.5.Трудоемкость'!QZ17+"BYw!(6a"</f>
        <v>#VALUE!</v>
      </c>
      <c r="GL160" t="e">
        <f>'2.5.Трудоемкость'!RA17+"BYw!(6b"</f>
        <v>#VALUE!</v>
      </c>
      <c r="GM160" t="e">
        <f>'2.5.Трудоемкость'!RB17+"BYw!(6c"</f>
        <v>#VALUE!</v>
      </c>
      <c r="GN160" t="e">
        <f>'2.5.Трудоемкость'!RC17+"BYw!(6d"</f>
        <v>#VALUE!</v>
      </c>
      <c r="GO160" t="e">
        <f>'2.5.Трудоемкость'!RD17+"BYw!(6e"</f>
        <v>#VALUE!</v>
      </c>
      <c r="GP160" t="e">
        <f>'2.5.Трудоемкость'!RE17+"BYw!(6f"</f>
        <v>#VALUE!</v>
      </c>
      <c r="GQ160" t="e">
        <f>'2.5.Трудоемкость'!RF17+"BYw!(6g"</f>
        <v>#VALUE!</v>
      </c>
      <c r="GR160" t="e">
        <f>'2.5.Трудоемкость'!RG17+"BYw!(6h"</f>
        <v>#VALUE!</v>
      </c>
      <c r="GS160" t="e">
        <f>'2.5.Трудоемкость'!RH17+"BYw!(6i"</f>
        <v>#VALUE!</v>
      </c>
      <c r="GT160" t="e">
        <f>'2.5.Трудоемкость'!RI17+"BYw!(6j"</f>
        <v>#VALUE!</v>
      </c>
      <c r="GU160" t="e">
        <f>'2.5.Трудоемкость'!RJ17+"BYw!(6k"</f>
        <v>#VALUE!</v>
      </c>
      <c r="GV160" t="e">
        <f>'2.5.Трудоемкость'!RK17+"BYw!(6l"</f>
        <v>#VALUE!</v>
      </c>
      <c r="GW160" t="e">
        <f>'2.5.Трудоемкость'!RL17+"BYw!(6m"</f>
        <v>#VALUE!</v>
      </c>
      <c r="GX160" t="e">
        <f>'2.5.Трудоемкость'!RM17+"BYw!(6n"</f>
        <v>#VALUE!</v>
      </c>
      <c r="GY160" t="e">
        <f>'2.5.Трудоемкость'!RN17+"BYw!(6o"</f>
        <v>#VALUE!</v>
      </c>
      <c r="GZ160" t="e">
        <f>'2.5.Трудоемкость'!RO17+"BYw!(6p"</f>
        <v>#VALUE!</v>
      </c>
      <c r="HA160" t="e">
        <f>'2.5.Трудоемкость'!RP17+"BYw!(6q"</f>
        <v>#VALUE!</v>
      </c>
      <c r="HB160" t="e">
        <f>'2.5.Трудоемкость'!RQ17+"BYw!(6r"</f>
        <v>#VALUE!</v>
      </c>
      <c r="HC160" t="e">
        <f>'2.5.Трудоемкость'!RR17+"BYw!(6s"</f>
        <v>#VALUE!</v>
      </c>
      <c r="HD160" t="e">
        <f>'2.5.Трудоемкость'!RS17+"BYw!(6t"</f>
        <v>#VALUE!</v>
      </c>
      <c r="HE160" t="e">
        <f>'2.5.Трудоемкость'!RT17+"BYw!(6u"</f>
        <v>#VALUE!</v>
      </c>
      <c r="HF160" t="e">
        <f>'2.5.Трудоемкость'!RU17+"BYw!(6v"</f>
        <v>#VALUE!</v>
      </c>
      <c r="HG160" t="e">
        <f>'2.5.Трудоемкость'!RV17+"BYw!(6w"</f>
        <v>#VALUE!</v>
      </c>
      <c r="HH160" t="e">
        <f>'2.5.Трудоемкость'!RW17+"BYw!(6x"</f>
        <v>#VALUE!</v>
      </c>
      <c r="HI160" t="e">
        <f>'2.5.Трудоемкость'!RX17+"BYw!(6y"</f>
        <v>#VALUE!</v>
      </c>
      <c r="HJ160" t="e">
        <f>'2.5.Трудоемкость'!RY17+"BYw!(6z"</f>
        <v>#VALUE!</v>
      </c>
      <c r="HK160" t="e">
        <f>'2.5.Трудоемкость'!RZ17+"BYw!(6{"</f>
        <v>#VALUE!</v>
      </c>
      <c r="HL160" t="e">
        <f>'2.5.Трудоемкость'!SA17+"BYw!(6|"</f>
        <v>#VALUE!</v>
      </c>
      <c r="HM160" t="e">
        <f>'2.5.Трудоемкость'!SB17+"BYw!(6}"</f>
        <v>#VALUE!</v>
      </c>
      <c r="HN160" t="e">
        <f>'2.5.Трудоемкость'!SC17+"BYw!(6~"</f>
        <v>#VALUE!</v>
      </c>
      <c r="HO160" t="e">
        <f>'2.5.Трудоемкость'!SD17+"BYw!(7#"</f>
        <v>#VALUE!</v>
      </c>
      <c r="HP160" t="e">
        <f>'2.5.Трудоемкость'!SE17+"BYw!(7$"</f>
        <v>#VALUE!</v>
      </c>
      <c r="HQ160" t="e">
        <f>'2.5.Трудоемкость'!SF17+"BYw!(7%"</f>
        <v>#VALUE!</v>
      </c>
      <c r="HR160" t="e">
        <f>'2.5.Трудоемкость'!SG17+"BYw!(7&amp;"</f>
        <v>#VALUE!</v>
      </c>
      <c r="HS160" t="e">
        <f>'2.5.Трудоемкость'!SH17+"BYw!(7'"</f>
        <v>#VALUE!</v>
      </c>
      <c r="HT160" t="e">
        <f>'2.5.Трудоемкость'!SI17+"BYw!(7("</f>
        <v>#VALUE!</v>
      </c>
      <c r="HU160" t="e">
        <f>'2.5.Трудоемкость'!SJ17+"BYw!(7)"</f>
        <v>#VALUE!</v>
      </c>
      <c r="HV160" t="e">
        <f>'2.5.Трудоемкость'!SK17+"BYw!(7."</f>
        <v>#VALUE!</v>
      </c>
      <c r="HW160" t="e">
        <f>'2.5.Трудоемкость'!SL17+"BYw!(7/"</f>
        <v>#VALUE!</v>
      </c>
      <c r="HX160" t="e">
        <f>'2.5.Трудоемкость'!SM17+"BYw!(70"</f>
        <v>#VALUE!</v>
      </c>
      <c r="HY160" t="e">
        <f>'2.5.Трудоемкость'!SN17+"BYw!(71"</f>
        <v>#VALUE!</v>
      </c>
      <c r="HZ160" t="e">
        <f>'2.5.Трудоемкость'!SO17+"BYw!(72"</f>
        <v>#VALUE!</v>
      </c>
      <c r="IA160" t="e">
        <f>'2.5.Трудоемкость'!SP17+"BYw!(73"</f>
        <v>#VALUE!</v>
      </c>
      <c r="IB160" t="e">
        <f>'2.5.Трудоемкость'!SQ17+"BYw!(74"</f>
        <v>#VALUE!</v>
      </c>
      <c r="IC160" t="e">
        <f>'2.5.Трудоемкость'!SR17+"BYw!(75"</f>
        <v>#VALUE!</v>
      </c>
      <c r="ID160" t="e">
        <f>'2.5.Трудоемкость'!SS17+"BYw!(76"</f>
        <v>#VALUE!</v>
      </c>
      <c r="IE160" t="e">
        <f>'2.5.Трудоемкость'!ST17+"BYw!(77"</f>
        <v>#VALUE!</v>
      </c>
      <c r="IF160" t="e">
        <f>'2.5.Трудоемкость'!SU17+"BYw!(78"</f>
        <v>#VALUE!</v>
      </c>
      <c r="IG160" t="e">
        <f>'2.5.Трудоемкость'!SV17+"BYw!(79"</f>
        <v>#VALUE!</v>
      </c>
      <c r="IH160" t="e">
        <f>'2.5.Трудоемкость'!SW17+"BYw!(7:"</f>
        <v>#VALUE!</v>
      </c>
      <c r="II160" t="e">
        <f>'2.5.Трудоемкость'!SX17+"BYw!(7;"</f>
        <v>#VALUE!</v>
      </c>
      <c r="IJ160" t="e">
        <f>'2.5.Трудоемкость'!SY17+"BYw!(7&lt;"</f>
        <v>#VALUE!</v>
      </c>
      <c r="IK160" t="e">
        <f>'2.5.Трудоемкость'!SZ17+"BYw!(7="</f>
        <v>#VALUE!</v>
      </c>
      <c r="IL160" t="e">
        <f>'2.5.Трудоемкость'!TA17+"BYw!(7&gt;"</f>
        <v>#VALUE!</v>
      </c>
      <c r="IM160" t="e">
        <f>'2.5.Трудоемкость'!TB17+"BYw!(7?"</f>
        <v>#VALUE!</v>
      </c>
      <c r="IN160" t="e">
        <f>'2.5.Трудоемкость'!TC17+"BYw!(7@"</f>
        <v>#VALUE!</v>
      </c>
      <c r="IO160" t="e">
        <f>'2.5.Трудоемкость'!TD17+"BYw!(7A"</f>
        <v>#VALUE!</v>
      </c>
      <c r="IP160" t="e">
        <f>'2.5.Трудоемкость'!TE17+"BYw!(7B"</f>
        <v>#VALUE!</v>
      </c>
      <c r="IQ160" t="e">
        <f>'2.5.Трудоемкость'!TF17+"BYw!(7C"</f>
        <v>#VALUE!</v>
      </c>
      <c r="IR160" t="e">
        <f>'2.5.Трудоемкость'!TG17+"BYw!(7D"</f>
        <v>#VALUE!</v>
      </c>
      <c r="IS160" t="e">
        <f>'2.5.Трудоемкость'!TH17+"BYw!(7E"</f>
        <v>#VALUE!</v>
      </c>
      <c r="IT160" t="e">
        <f>'2.5.Трудоемкость'!TI17+"BYw!(7F"</f>
        <v>#VALUE!</v>
      </c>
      <c r="IU160" t="e">
        <f>'2.5.Трудоемкость'!TJ17+"BYw!(7G"</f>
        <v>#VALUE!</v>
      </c>
      <c r="IV160" t="e">
        <f>'2.5.Трудоемкость'!TK17+"BYw!(7H"</f>
        <v>#VALUE!</v>
      </c>
    </row>
    <row r="161" spans="6:256" x14ac:dyDescent="0.2">
      <c r="F161" t="e">
        <f>'2.5.Трудоемкость'!TL17+"BYw!(7I"</f>
        <v>#VALUE!</v>
      </c>
      <c r="G161" t="e">
        <f>'2.5.Трудоемкость'!TM17+"BYw!(7J"</f>
        <v>#VALUE!</v>
      </c>
      <c r="H161" t="e">
        <f>'2.5.Трудоемкость'!TN17+"BYw!(7K"</f>
        <v>#VALUE!</v>
      </c>
      <c r="I161" t="e">
        <f>'2.5.Трудоемкость'!TO17+"BYw!(7L"</f>
        <v>#VALUE!</v>
      </c>
      <c r="J161" t="e">
        <f>'2.5.Трудоемкость'!TP17+"BYw!(7M"</f>
        <v>#VALUE!</v>
      </c>
      <c r="K161" t="e">
        <f>'2.5.Трудоемкость'!TQ17+"BYw!(7N"</f>
        <v>#VALUE!</v>
      </c>
      <c r="L161" t="e">
        <f>'2.5.Трудоемкость'!TR17+"BYw!(7O"</f>
        <v>#VALUE!</v>
      </c>
      <c r="M161" t="e">
        <f>'2.5.Трудоемкость'!TS17+"BYw!(7P"</f>
        <v>#VALUE!</v>
      </c>
      <c r="N161" t="e">
        <f>'2.5.Трудоемкость'!TT17+"BYw!(7Q"</f>
        <v>#VALUE!</v>
      </c>
      <c r="O161" t="e">
        <f>'2.5.Трудоемкость'!TU17+"BYw!(7R"</f>
        <v>#VALUE!</v>
      </c>
      <c r="P161" t="e">
        <f>'2.5.Трудоемкость'!TV17+"BYw!(7S"</f>
        <v>#VALUE!</v>
      </c>
      <c r="Q161" t="e">
        <f>'2.5.Трудоемкость'!TW17+"BYw!(7T"</f>
        <v>#VALUE!</v>
      </c>
      <c r="R161" t="e">
        <f>'2.5.Трудоемкость'!TX17+"BYw!(7U"</f>
        <v>#VALUE!</v>
      </c>
      <c r="S161" t="e">
        <f>'2.5.Трудоемкость'!TY17+"BYw!(7V"</f>
        <v>#VALUE!</v>
      </c>
      <c r="T161" t="e">
        <f>'2.5.Трудоемкость'!TZ17+"BYw!(7W"</f>
        <v>#VALUE!</v>
      </c>
      <c r="U161" t="e">
        <f>'2.5.Трудоемкость'!UA17+"BYw!(7X"</f>
        <v>#VALUE!</v>
      </c>
      <c r="V161" t="e">
        <f>'2.5.Трудоемкость'!UB17+"BYw!(7Y"</f>
        <v>#VALUE!</v>
      </c>
      <c r="W161" t="e">
        <f>'2.5.Трудоемкость'!UC17+"BYw!(7Z"</f>
        <v>#VALUE!</v>
      </c>
      <c r="X161" t="e">
        <f>'2.5.Трудоемкость'!UD17+"BYw!(7["</f>
        <v>#VALUE!</v>
      </c>
      <c r="Y161" t="e">
        <f>'2.5.Трудоемкость'!UE17+"BYw!(7\"</f>
        <v>#VALUE!</v>
      </c>
      <c r="Z161" t="e">
        <f>'2.5.Трудоемкость'!UF17+"BYw!(7]"</f>
        <v>#VALUE!</v>
      </c>
      <c r="AA161" t="e">
        <f>'2.5.Трудоемкость'!UG17+"BYw!(7^"</f>
        <v>#VALUE!</v>
      </c>
      <c r="AB161" t="e">
        <f>'2.5.Трудоемкость'!UH17+"BYw!(7_"</f>
        <v>#VALUE!</v>
      </c>
      <c r="AC161" t="e">
        <f>'2.5.Трудоемкость'!UI17+"BYw!(7`"</f>
        <v>#VALUE!</v>
      </c>
      <c r="AD161" t="e">
        <f>'2.5.Трудоемкость'!UJ17+"BYw!(7a"</f>
        <v>#VALUE!</v>
      </c>
      <c r="AE161" t="e">
        <f>'2.5.Трудоемкость'!UK17+"BYw!(7b"</f>
        <v>#VALUE!</v>
      </c>
      <c r="AF161" t="e">
        <f>'2.5.Трудоемкость'!UL17+"BYw!(7c"</f>
        <v>#VALUE!</v>
      </c>
      <c r="AG161" t="e">
        <f>'2.5.Трудоемкость'!UM17+"BYw!(7d"</f>
        <v>#VALUE!</v>
      </c>
      <c r="AH161" t="e">
        <f>'2.5.Трудоемкость'!UN17+"BYw!(7e"</f>
        <v>#VALUE!</v>
      </c>
      <c r="AI161" t="e">
        <f>'2.5.Трудоемкость'!UO17+"BYw!(7f"</f>
        <v>#VALUE!</v>
      </c>
      <c r="AJ161" t="e">
        <f>'2.5.Трудоемкость'!UP17+"BYw!(7g"</f>
        <v>#VALUE!</v>
      </c>
      <c r="AK161" t="e">
        <f>'2.5.Трудоемкость'!UQ17+"BYw!(7h"</f>
        <v>#VALUE!</v>
      </c>
      <c r="AL161" t="e">
        <f>'2.5.Трудоемкость'!UR17+"BYw!(7i"</f>
        <v>#VALUE!</v>
      </c>
      <c r="AM161" t="e">
        <f>'2.5.Трудоемкость'!US17+"BYw!(7j"</f>
        <v>#VALUE!</v>
      </c>
      <c r="AN161" t="e">
        <f>'2.5.Трудоемкость'!UT17+"BYw!(7k"</f>
        <v>#VALUE!</v>
      </c>
      <c r="AO161" t="e">
        <f>'2.5.Трудоемкость'!UU17+"BYw!(7l"</f>
        <v>#VALUE!</v>
      </c>
      <c r="AP161" t="e">
        <f>'2.5.Трудоемкость'!UV17+"BYw!(7m"</f>
        <v>#VALUE!</v>
      </c>
      <c r="AQ161" t="e">
        <f>'2.5.Трудоемкость'!UW17+"BYw!(7n"</f>
        <v>#VALUE!</v>
      </c>
      <c r="AR161" t="e">
        <f>'2.5.Трудоемкость'!UX17+"BYw!(7o"</f>
        <v>#VALUE!</v>
      </c>
      <c r="AS161" t="e">
        <f>'2.5.Трудоемкость'!UY17+"BYw!(7p"</f>
        <v>#VALUE!</v>
      </c>
      <c r="AT161" t="e">
        <f>'2.5.Трудоемкость'!UZ17+"BYw!(7q"</f>
        <v>#VALUE!</v>
      </c>
      <c r="AU161" t="e">
        <f>'2.5.Трудоемкость'!VA17+"BYw!(7r"</f>
        <v>#VALUE!</v>
      </c>
      <c r="AV161" t="e">
        <f>'2.5.Трудоемкость'!VB17+"BYw!(7s"</f>
        <v>#VALUE!</v>
      </c>
      <c r="AW161" t="e">
        <f>'2.5.Трудоемкость'!VC17+"BYw!(7t"</f>
        <v>#VALUE!</v>
      </c>
      <c r="AX161" t="e">
        <f>'2.5.Трудоемкость'!VD17+"BYw!(7u"</f>
        <v>#VALUE!</v>
      </c>
      <c r="AY161" t="e">
        <f>'2.5.Трудоемкость'!VE17+"BYw!(7v"</f>
        <v>#VALUE!</v>
      </c>
      <c r="AZ161" t="e">
        <f>'2.5.Трудоемкость'!VF17+"BYw!(7w"</f>
        <v>#VALUE!</v>
      </c>
      <c r="BA161" t="e">
        <f>'2.5.Трудоемкость'!VG17+"BYw!(7x"</f>
        <v>#VALUE!</v>
      </c>
      <c r="BB161" t="e">
        <f>'2.5.Трудоемкость'!VH17+"BYw!(7y"</f>
        <v>#VALUE!</v>
      </c>
      <c r="BC161" t="e">
        <f>'2.5.Трудоемкость'!VI17+"BYw!(7z"</f>
        <v>#VALUE!</v>
      </c>
      <c r="BD161" t="e">
        <f>'2.5.Трудоемкость'!VJ17+"BYw!(7{"</f>
        <v>#VALUE!</v>
      </c>
      <c r="BE161" t="e">
        <f>'2.5.Трудоемкость'!VK17+"BYw!(7|"</f>
        <v>#VALUE!</v>
      </c>
      <c r="BF161" t="e">
        <f>'2.5.Трудоемкость'!VL17+"BYw!(7}"</f>
        <v>#VALUE!</v>
      </c>
      <c r="BG161" t="e">
        <f>'2.5.Трудоемкость'!VM17+"BYw!(7~"</f>
        <v>#VALUE!</v>
      </c>
      <c r="BH161" t="e">
        <f>'2.5.Трудоемкость'!VN17+"BYw!(8#"</f>
        <v>#VALUE!</v>
      </c>
      <c r="BI161" t="e">
        <f>'2.5.Трудоемкость'!VO17+"BYw!(8$"</f>
        <v>#VALUE!</v>
      </c>
      <c r="BJ161" t="e">
        <f>'2.5.Трудоемкость'!VP17+"BYw!(8%"</f>
        <v>#VALUE!</v>
      </c>
      <c r="BK161" t="e">
        <f>'2.5.Трудоемкость'!VQ17+"BYw!(8&amp;"</f>
        <v>#VALUE!</v>
      </c>
      <c r="BL161" t="e">
        <f>'2.5.Трудоемкость'!VR17+"BYw!(8'"</f>
        <v>#VALUE!</v>
      </c>
      <c r="BM161" t="e">
        <f>'2.5.Трудоемкость'!VS17+"BYw!(8("</f>
        <v>#VALUE!</v>
      </c>
      <c r="BN161" t="e">
        <f>'2.5.Трудоемкость'!VT17+"BYw!(8)"</f>
        <v>#VALUE!</v>
      </c>
      <c r="BO161" t="e">
        <f>'2.5.Трудоемкость'!VU17+"BYw!(8."</f>
        <v>#VALUE!</v>
      </c>
      <c r="BP161" t="e">
        <f>'2.5.Трудоемкость'!VV17+"BYw!(8/"</f>
        <v>#VALUE!</v>
      </c>
      <c r="BQ161" t="e">
        <f>'2.5.Трудоемкость'!VW17+"BYw!(80"</f>
        <v>#VALUE!</v>
      </c>
      <c r="BR161" t="e">
        <f>'2.5.Трудоемкость'!VX17+"BYw!(81"</f>
        <v>#VALUE!</v>
      </c>
      <c r="BS161" t="e">
        <f>'2.5.Трудоемкость'!VY17+"BYw!(82"</f>
        <v>#VALUE!</v>
      </c>
      <c r="BT161" t="e">
        <f>'2.5.Трудоемкость'!VZ17+"BYw!(83"</f>
        <v>#VALUE!</v>
      </c>
      <c r="BU161" t="e">
        <f>'2.5.Трудоемкость'!WA17+"BYw!(84"</f>
        <v>#VALUE!</v>
      </c>
      <c r="BV161" t="e">
        <f>'2.5.Трудоемкость'!WB17+"BYw!(85"</f>
        <v>#VALUE!</v>
      </c>
      <c r="BW161" t="e">
        <f>'2.5.Трудоемкость'!WC17+"BYw!(86"</f>
        <v>#VALUE!</v>
      </c>
      <c r="BX161" t="e">
        <f>'2.5.Трудоемкость'!WD17+"BYw!(87"</f>
        <v>#VALUE!</v>
      </c>
      <c r="BY161" t="e">
        <f>'2.5.Трудоемкость'!WE17+"BYw!(88"</f>
        <v>#VALUE!</v>
      </c>
      <c r="BZ161" t="e">
        <f>'2.5.Трудоемкость'!WF17+"BYw!(89"</f>
        <v>#VALUE!</v>
      </c>
      <c r="CA161" t="e">
        <f>'2.5.Трудоемкость'!WG17+"BYw!(8:"</f>
        <v>#VALUE!</v>
      </c>
      <c r="CB161" t="e">
        <f>'2.5.Трудоемкость'!WH17+"BYw!(8;"</f>
        <v>#VALUE!</v>
      </c>
      <c r="CC161" t="e">
        <f>'2.5.Трудоемкость'!WI17+"BYw!(8&lt;"</f>
        <v>#VALUE!</v>
      </c>
      <c r="CD161" t="e">
        <f>'2.5.Трудоемкость'!WJ17+"BYw!(8="</f>
        <v>#VALUE!</v>
      </c>
      <c r="CE161" t="e">
        <f>'2.5.Трудоемкость'!WK17+"BYw!(8&gt;"</f>
        <v>#VALUE!</v>
      </c>
      <c r="CF161" t="e">
        <f>'2.5.Трудоемкость'!WL17+"BYw!(8?"</f>
        <v>#VALUE!</v>
      </c>
      <c r="CG161" t="e">
        <f>'2.5.Трудоемкость'!WM17+"BYw!(8@"</f>
        <v>#VALUE!</v>
      </c>
      <c r="CH161" t="e">
        <f>'2.5.Трудоемкость'!WN17+"BYw!(8A"</f>
        <v>#VALUE!</v>
      </c>
      <c r="CI161" t="e">
        <f>'2.5.Трудоемкость'!WO17+"BYw!(8B"</f>
        <v>#VALUE!</v>
      </c>
      <c r="CJ161" t="e">
        <f>'2.5.Трудоемкость'!WP17+"BYw!(8C"</f>
        <v>#VALUE!</v>
      </c>
      <c r="CK161" t="e">
        <f>'2.5.Трудоемкость'!WQ17+"BYw!(8D"</f>
        <v>#VALUE!</v>
      </c>
      <c r="CL161" t="e">
        <f>'2.5.Трудоемкость'!WR17+"BYw!(8E"</f>
        <v>#VALUE!</v>
      </c>
      <c r="CM161" t="e">
        <f>'2.5.Трудоемкость'!WS17+"BYw!(8F"</f>
        <v>#VALUE!</v>
      </c>
      <c r="CN161" t="e">
        <f>'2.5.Трудоемкость'!WT17+"BYw!(8G"</f>
        <v>#VALUE!</v>
      </c>
      <c r="CO161" t="e">
        <f>'2.5.Трудоемкость'!WU17+"BYw!(8H"</f>
        <v>#VALUE!</v>
      </c>
      <c r="CP161" t="e">
        <f>'2.5.Трудоемкость'!WV17+"BYw!(8I"</f>
        <v>#VALUE!</v>
      </c>
      <c r="CQ161" t="e">
        <f>'2.5.Трудоемкость'!WW17+"BYw!(8J"</f>
        <v>#VALUE!</v>
      </c>
      <c r="CR161" t="e">
        <f>'2.5.Трудоемкость'!WX17+"BYw!(8K"</f>
        <v>#VALUE!</v>
      </c>
      <c r="CS161" t="e">
        <f>'2.5.Трудоемкость'!WY17+"BYw!(8L"</f>
        <v>#VALUE!</v>
      </c>
      <c r="CT161" t="e">
        <f>'2.5.Трудоемкость'!WZ17+"BYw!(8M"</f>
        <v>#VALUE!</v>
      </c>
      <c r="CU161" t="e">
        <f>'2.5.Трудоемкость'!XA17+"BYw!(8N"</f>
        <v>#VALUE!</v>
      </c>
      <c r="CV161" t="e">
        <f>'2.5.Трудоемкость'!XB17+"BYw!(8O"</f>
        <v>#VALUE!</v>
      </c>
      <c r="CW161" t="e">
        <f>'2.5.Трудоемкость'!XC17+"BYw!(8P"</f>
        <v>#VALUE!</v>
      </c>
      <c r="CX161" t="e">
        <f>'2.5.Трудоемкость'!XD17+"BYw!(8Q"</f>
        <v>#VALUE!</v>
      </c>
      <c r="CY161" t="e">
        <f>'2.5.Трудоемкость'!XE17+"BYw!(8R"</f>
        <v>#VALUE!</v>
      </c>
      <c r="CZ161" t="e">
        <f>'2.5.Трудоемкость'!XF17+"BYw!(8S"</f>
        <v>#VALUE!</v>
      </c>
      <c r="DA161" t="e">
        <f>'2.5.Трудоемкость'!XG17+"BYw!(8T"</f>
        <v>#VALUE!</v>
      </c>
      <c r="DB161" t="e">
        <f>'2.5.Трудоемкость'!XH17+"BYw!(8U"</f>
        <v>#VALUE!</v>
      </c>
      <c r="DC161" t="e">
        <f>'2.5.Трудоемкость'!XI17+"BYw!(8V"</f>
        <v>#VALUE!</v>
      </c>
      <c r="DD161" t="e">
        <f>'2.5.Трудоемкость'!XJ17+"BYw!(8W"</f>
        <v>#VALUE!</v>
      </c>
      <c r="DE161" t="e">
        <f>'2.5.Трудоемкость'!XK17+"BYw!(8X"</f>
        <v>#VALUE!</v>
      </c>
      <c r="DF161" t="e">
        <f>'2.5.Трудоемкость'!XL17+"BYw!(8Y"</f>
        <v>#VALUE!</v>
      </c>
      <c r="DG161" t="e">
        <f>'2.5.Трудоемкость'!XM17+"BYw!(8Z"</f>
        <v>#VALUE!</v>
      </c>
      <c r="DH161" t="e">
        <f>'2.5.Трудоемкость'!XN17+"BYw!(8["</f>
        <v>#VALUE!</v>
      </c>
      <c r="DI161" t="e">
        <f>'2.5.Трудоемкость'!XO17+"BYw!(8\"</f>
        <v>#VALUE!</v>
      </c>
      <c r="DJ161" t="e">
        <f>'2.5.Трудоемкость'!XP17+"BYw!(8]"</f>
        <v>#VALUE!</v>
      </c>
      <c r="DK161" t="e">
        <f>'2.5.Трудоемкость'!XQ17+"BYw!(8^"</f>
        <v>#VALUE!</v>
      </c>
      <c r="DL161" t="e">
        <f>'2.5.Трудоемкость'!XR17+"BYw!(8_"</f>
        <v>#VALUE!</v>
      </c>
      <c r="DM161" t="e">
        <f>'2.5.Трудоемкость'!XS17+"BYw!(8`"</f>
        <v>#VALUE!</v>
      </c>
      <c r="DN161" t="e">
        <f>'2.5.Трудоемкость'!XT17+"BYw!(8a"</f>
        <v>#VALUE!</v>
      </c>
      <c r="DO161" t="e">
        <f>'2.5.Трудоемкость'!XU17+"BYw!(8b"</f>
        <v>#VALUE!</v>
      </c>
      <c r="DP161" t="e">
        <f>'2.5.Трудоемкость'!XV17+"BYw!(8c"</f>
        <v>#VALUE!</v>
      </c>
      <c r="DQ161" t="e">
        <f>'2.5.Трудоемкость'!XW17+"BYw!(8d"</f>
        <v>#VALUE!</v>
      </c>
      <c r="DR161" t="e">
        <f>'2.5.Трудоемкость'!XX17+"BYw!(8e"</f>
        <v>#VALUE!</v>
      </c>
      <c r="DS161" t="e">
        <f>'2.5.Трудоемкость'!XY17+"BYw!(8f"</f>
        <v>#VALUE!</v>
      </c>
      <c r="DT161" t="e">
        <f>'2.5.Трудоемкость'!XZ17+"BYw!(8g"</f>
        <v>#VALUE!</v>
      </c>
      <c r="DU161" t="e">
        <f>'2.5.Трудоемкость'!YA17+"BYw!(8h"</f>
        <v>#VALUE!</v>
      </c>
      <c r="DV161" t="e">
        <f>'2.5.Трудоемкость'!YB17+"BYw!(8i"</f>
        <v>#VALUE!</v>
      </c>
      <c r="DW161" t="e">
        <f>'2.5.Трудоемкость'!YC17+"BYw!(8j"</f>
        <v>#VALUE!</v>
      </c>
      <c r="DX161" t="e">
        <f>'2.5.Трудоемкость'!YD17+"BYw!(8k"</f>
        <v>#VALUE!</v>
      </c>
      <c r="DY161" t="e">
        <f>'2.5.Трудоемкость'!YE17+"BYw!(8l"</f>
        <v>#VALUE!</v>
      </c>
      <c r="DZ161" t="e">
        <f>'2.5.Трудоемкость'!YF17+"BYw!(8m"</f>
        <v>#VALUE!</v>
      </c>
      <c r="EA161" t="e">
        <f>'2.5.Трудоемкость'!YG17+"BYw!(8n"</f>
        <v>#VALUE!</v>
      </c>
      <c r="EB161" t="e">
        <f>'2.5.Трудоемкость'!YH17+"BYw!(8o"</f>
        <v>#VALUE!</v>
      </c>
      <c r="EC161" t="e">
        <f>'2.5.Трудоемкость'!YI17+"BYw!(8p"</f>
        <v>#VALUE!</v>
      </c>
      <c r="ED161" t="e">
        <f>'2.5.Трудоемкость'!YJ17+"BYw!(8q"</f>
        <v>#VALUE!</v>
      </c>
      <c r="EE161" t="e">
        <f>'2.5.Трудоемкость'!YK17+"BYw!(8r"</f>
        <v>#VALUE!</v>
      </c>
      <c r="EF161" t="e">
        <f>'2.5.Трудоемкость'!YL17+"BYw!(8s"</f>
        <v>#VALUE!</v>
      </c>
      <c r="EG161" t="e">
        <f>'2.5.Трудоемкость'!YM17+"BYw!(8t"</f>
        <v>#VALUE!</v>
      </c>
      <c r="EH161" t="e">
        <f>'2.5.Трудоемкость'!YN17+"BYw!(8u"</f>
        <v>#VALUE!</v>
      </c>
      <c r="EI161" t="e">
        <f>'2.5.Трудоемкость'!YO17+"BYw!(8v"</f>
        <v>#VALUE!</v>
      </c>
      <c r="EJ161" t="e">
        <f>'2.5.Трудоемкость'!YP17+"BYw!(8w"</f>
        <v>#VALUE!</v>
      </c>
      <c r="EK161" t="e">
        <f>'2.5.Трудоемкость'!YQ17+"BYw!(8x"</f>
        <v>#VALUE!</v>
      </c>
      <c r="EL161" t="e">
        <f>'2.5.Трудоемкость'!YR17+"BYw!(8y"</f>
        <v>#VALUE!</v>
      </c>
      <c r="EM161" t="e">
        <f>'2.5.Трудоемкость'!YS17+"BYw!(8z"</f>
        <v>#VALUE!</v>
      </c>
      <c r="EN161" t="e">
        <f>'2.5.Трудоемкость'!YT17+"BYw!(8{"</f>
        <v>#VALUE!</v>
      </c>
      <c r="EO161" t="e">
        <f>'2.5.Трудоемкость'!YU17+"BYw!(8|"</f>
        <v>#VALUE!</v>
      </c>
      <c r="EP161" t="e">
        <f>'2.5.Трудоемкость'!YV17+"BYw!(8}"</f>
        <v>#VALUE!</v>
      </c>
      <c r="EQ161" t="e">
        <f>'2.5.Трудоемкость'!YW17+"BYw!(8~"</f>
        <v>#VALUE!</v>
      </c>
      <c r="ER161" t="e">
        <f>'2.5.Трудоемкость'!YX17+"BYw!(9#"</f>
        <v>#VALUE!</v>
      </c>
      <c r="ES161" t="e">
        <f>'2.5.Трудоемкость'!YY17+"BYw!(9$"</f>
        <v>#VALUE!</v>
      </c>
      <c r="ET161" t="e">
        <f>'2.5.Трудоемкость'!YZ17+"BYw!(9%"</f>
        <v>#VALUE!</v>
      </c>
      <c r="EU161" t="e">
        <f>'2.5.Трудоемкость'!ZA17+"BYw!(9&amp;"</f>
        <v>#VALUE!</v>
      </c>
      <c r="EV161" t="e">
        <f>'2.5.Трудоемкость'!ZB17+"BYw!(9'"</f>
        <v>#VALUE!</v>
      </c>
      <c r="EW161" t="e">
        <f>'2.5.Трудоемкость'!ZC17+"BYw!(9("</f>
        <v>#VALUE!</v>
      </c>
      <c r="EX161" t="e">
        <f>'2.5.Трудоемкость'!ZD17+"BYw!(9)"</f>
        <v>#VALUE!</v>
      </c>
      <c r="EY161" t="e">
        <f>'2.5.Трудоемкость'!ZE17+"BYw!(9."</f>
        <v>#VALUE!</v>
      </c>
      <c r="EZ161" t="e">
        <f>'2.5.Трудоемкость'!ZF17+"BYw!(9/"</f>
        <v>#VALUE!</v>
      </c>
      <c r="FA161" t="e">
        <f>'2.5.Трудоемкость'!ZG17+"BYw!(90"</f>
        <v>#VALUE!</v>
      </c>
      <c r="FB161" t="e">
        <f>'2.5.Трудоемкость'!ZH17+"BYw!(91"</f>
        <v>#VALUE!</v>
      </c>
      <c r="FC161" t="e">
        <f>'2.5.Трудоемкость'!ZI17+"BYw!(92"</f>
        <v>#VALUE!</v>
      </c>
      <c r="FD161" t="e">
        <f>'2.5.Трудоемкость'!ZJ17+"BYw!(93"</f>
        <v>#VALUE!</v>
      </c>
      <c r="FE161" t="e">
        <f>'2.5.Трудоемкость'!ZK17+"BYw!(94"</f>
        <v>#VALUE!</v>
      </c>
      <c r="FF161" t="e">
        <f>'2.5.Трудоемкость'!ZL17+"BYw!(95"</f>
        <v>#VALUE!</v>
      </c>
      <c r="FG161" t="e">
        <f>'2.5.Трудоемкость'!ZM17+"BYw!(96"</f>
        <v>#VALUE!</v>
      </c>
      <c r="FH161" t="e">
        <f>'2.5.Трудоемкость'!ZN17+"BYw!(97"</f>
        <v>#VALUE!</v>
      </c>
      <c r="FI161" t="e">
        <f>'2.5.Трудоемкость'!ZO17+"BYw!(98"</f>
        <v>#VALUE!</v>
      </c>
      <c r="FJ161" t="e">
        <f>'2.5.Трудоемкость'!ZP17+"BYw!(99"</f>
        <v>#VALUE!</v>
      </c>
      <c r="FK161" t="e">
        <f>'2.5.Трудоемкость'!ZQ17+"BYw!(9:"</f>
        <v>#VALUE!</v>
      </c>
      <c r="FL161" t="e">
        <f>'2.5.Трудоемкость'!ZR17+"BYw!(9;"</f>
        <v>#VALUE!</v>
      </c>
      <c r="FM161" t="e">
        <f>'2.5.Трудоемкость'!ZS17+"BYw!(9&lt;"</f>
        <v>#VALUE!</v>
      </c>
      <c r="FN161" t="e">
        <f>'2.5.Трудоемкость'!ZT17+"BYw!(9="</f>
        <v>#VALUE!</v>
      </c>
      <c r="FO161" t="e">
        <f>'2.5.Трудоемкость'!ZU17+"BYw!(9&gt;"</f>
        <v>#VALUE!</v>
      </c>
      <c r="FP161" t="e">
        <f>'2.5.Трудоемкость'!ZV17+"BYw!(9?"</f>
        <v>#VALUE!</v>
      </c>
      <c r="FQ161" t="e">
        <f>'2.5.Трудоемкость'!ZW17+"BYw!(9@"</f>
        <v>#VALUE!</v>
      </c>
      <c r="FR161" t="e">
        <f>'2.5.Трудоемкость'!ZX17+"BYw!(9A"</f>
        <v>#VALUE!</v>
      </c>
      <c r="FS161" t="e">
        <f>'2.5.Трудоемкость'!ZY17+"BYw!(9B"</f>
        <v>#VALUE!</v>
      </c>
      <c r="FT161" t="e">
        <f>'2.5.Трудоемкость'!ZZ17+"BYw!(9C"</f>
        <v>#VALUE!</v>
      </c>
      <c r="FU161" t="e">
        <f>'2.5.Трудоемкость'!AAA17+"BYw!(9D"</f>
        <v>#VALUE!</v>
      </c>
      <c r="FV161" t="e">
        <f>'2.5.Трудоемкость'!AAB17+"BYw!(9E"</f>
        <v>#VALUE!</v>
      </c>
      <c r="FW161" t="e">
        <f>'2.5.Трудоемкость'!AAC17+"BYw!(9F"</f>
        <v>#VALUE!</v>
      </c>
      <c r="FX161" t="e">
        <f>'2.5.Трудоемкость'!AAD17+"BYw!(9G"</f>
        <v>#VALUE!</v>
      </c>
      <c r="FY161" t="e">
        <f>'2.5.Трудоемкость'!AAE17+"BYw!(9H"</f>
        <v>#VALUE!</v>
      </c>
      <c r="FZ161" t="e">
        <f>'2.5.Трудоемкость'!AAF17+"BYw!(9I"</f>
        <v>#VALUE!</v>
      </c>
      <c r="GA161" t="e">
        <f>'2.5.Трудоемкость'!AAG17+"BYw!(9J"</f>
        <v>#VALUE!</v>
      </c>
      <c r="GB161" t="e">
        <f>'2.5.Трудоемкость'!AAH17+"BYw!(9K"</f>
        <v>#VALUE!</v>
      </c>
      <c r="GC161" t="e">
        <f>'2.5.Трудоемкость'!AAI17+"BYw!(9L"</f>
        <v>#VALUE!</v>
      </c>
      <c r="GD161" t="e">
        <f>'2.5.Трудоемкость'!AAJ17+"BYw!(9M"</f>
        <v>#VALUE!</v>
      </c>
      <c r="GE161" t="e">
        <f>'2.5.Трудоемкость'!AAK17+"BYw!(9N"</f>
        <v>#VALUE!</v>
      </c>
      <c r="GF161" t="e">
        <f>'2.5.Трудоемкость'!AAL17+"BYw!(9O"</f>
        <v>#VALUE!</v>
      </c>
      <c r="GG161" t="e">
        <f>'2.5.Трудоемкость'!AAM17+"BYw!(9P"</f>
        <v>#VALUE!</v>
      </c>
      <c r="GH161" t="e">
        <f>'2.5.Трудоемкость'!AAN17+"BYw!(9Q"</f>
        <v>#VALUE!</v>
      </c>
      <c r="GI161" t="e">
        <f>'2.5.Трудоемкость'!AAO17+"BYw!(9R"</f>
        <v>#VALUE!</v>
      </c>
      <c r="GJ161" t="e">
        <f>'2.5.Трудоемкость'!AAP17+"BYw!(9S"</f>
        <v>#VALUE!</v>
      </c>
      <c r="GK161" t="e">
        <f>'2.5.Трудоемкость'!AAQ17+"BYw!(9T"</f>
        <v>#VALUE!</v>
      </c>
      <c r="GL161" t="e">
        <f>'2.5.Трудоемкость'!AAR17+"BYw!(9U"</f>
        <v>#VALUE!</v>
      </c>
      <c r="GM161" t="e">
        <f>'2.5.Трудоемкость'!AAS17+"BYw!(9V"</f>
        <v>#VALUE!</v>
      </c>
      <c r="GN161" t="e">
        <f>'2.5.Трудоемкость'!AAT17+"BYw!(9W"</f>
        <v>#VALUE!</v>
      </c>
      <c r="GO161" t="e">
        <f>'2.5.Трудоемкость'!AAU17+"BYw!(9X"</f>
        <v>#VALUE!</v>
      </c>
      <c r="GP161" t="e">
        <f>'2.5.Трудоемкость'!AAV17+"BYw!(9Y"</f>
        <v>#VALUE!</v>
      </c>
      <c r="GQ161" t="e">
        <f>'2.5.Трудоемкость'!AAW17+"BYw!(9Z"</f>
        <v>#VALUE!</v>
      </c>
      <c r="GR161" t="e">
        <f>'2.5.Трудоемкость'!AAX17+"BYw!(9["</f>
        <v>#VALUE!</v>
      </c>
      <c r="GS161" t="e">
        <f>'2.5.Трудоемкость'!AAY17+"BYw!(9\"</f>
        <v>#VALUE!</v>
      </c>
      <c r="GT161" t="e">
        <f>'2.5.Трудоемкость'!AAZ17+"BYw!(9]"</f>
        <v>#VALUE!</v>
      </c>
      <c r="GU161" t="e">
        <f>'2.5.Трудоемкость'!ABA17+"BYw!(9^"</f>
        <v>#VALUE!</v>
      </c>
      <c r="GV161" t="e">
        <f>'2.5.Трудоемкость'!ABB17+"BYw!(9_"</f>
        <v>#VALUE!</v>
      </c>
      <c r="GW161" t="e">
        <f>'2.5.Трудоемкость'!ABC17+"BYw!(9`"</f>
        <v>#VALUE!</v>
      </c>
      <c r="GX161" t="e">
        <f>'2.5.Трудоемкость'!ABD17+"BYw!(9a"</f>
        <v>#VALUE!</v>
      </c>
      <c r="GY161" t="e">
        <f>'2.5.Трудоемкость'!ABE17+"BYw!(9b"</f>
        <v>#VALUE!</v>
      </c>
      <c r="GZ161" t="e">
        <f>'2.5.Трудоемкость'!ABF17+"BYw!(9c"</f>
        <v>#VALUE!</v>
      </c>
      <c r="HA161" t="e">
        <f>'2.5.Трудоемкость'!ABG17+"BYw!(9d"</f>
        <v>#VALUE!</v>
      </c>
      <c r="HB161" t="e">
        <f>'2.5.Трудоемкость'!ABH17+"BYw!(9e"</f>
        <v>#VALUE!</v>
      </c>
      <c r="HC161" t="e">
        <f>'2.5.Трудоемкость'!ABI17+"BYw!(9f"</f>
        <v>#VALUE!</v>
      </c>
      <c r="HD161" t="e">
        <f>'2.5.Трудоемкость'!ABJ17+"BYw!(9g"</f>
        <v>#VALUE!</v>
      </c>
      <c r="HE161" t="e">
        <f>'2.5.Трудоемкость'!ABK17+"BYw!(9h"</f>
        <v>#VALUE!</v>
      </c>
      <c r="HF161" t="e">
        <f>'2.5.Трудоемкость'!ABL17+"BYw!(9i"</f>
        <v>#VALUE!</v>
      </c>
      <c r="HG161" t="e">
        <f>'2.5.Трудоемкость'!ABM17+"BYw!(9j"</f>
        <v>#VALUE!</v>
      </c>
      <c r="HH161" t="e">
        <f>'2.5.Трудоемкость'!ABN17+"BYw!(9k"</f>
        <v>#VALUE!</v>
      </c>
      <c r="HI161" t="e">
        <f>'2.5.Трудоемкость'!ABO17+"BYw!(9l"</f>
        <v>#VALUE!</v>
      </c>
      <c r="HJ161" t="e">
        <f>'2.5.Трудоемкость'!ABP17+"BYw!(9m"</f>
        <v>#VALUE!</v>
      </c>
      <c r="HK161" t="e">
        <f>'2.5.Трудоемкость'!ABQ17+"BYw!(9n"</f>
        <v>#VALUE!</v>
      </c>
      <c r="HL161" t="e">
        <f>'2.5.Трудоемкость'!ABR17+"BYw!(9o"</f>
        <v>#VALUE!</v>
      </c>
      <c r="HM161" t="e">
        <f>'2.5.Трудоемкость'!ABS17+"BYw!(9p"</f>
        <v>#VALUE!</v>
      </c>
      <c r="HN161" t="e">
        <f>'2.5.Трудоемкость'!ABT17+"BYw!(9q"</f>
        <v>#VALUE!</v>
      </c>
      <c r="HO161" t="e">
        <f>'2.5.Трудоемкость'!ABU17+"BYw!(9r"</f>
        <v>#VALUE!</v>
      </c>
      <c r="HP161" t="e">
        <f>'2.5.Трудоемкость'!ABV17+"BYw!(9s"</f>
        <v>#VALUE!</v>
      </c>
      <c r="HQ161" t="e">
        <f>'2.5.Трудоемкость'!ABW17+"BYw!(9t"</f>
        <v>#VALUE!</v>
      </c>
      <c r="HR161" t="e">
        <f>'2.5.Трудоемкость'!ABX17+"BYw!(9u"</f>
        <v>#VALUE!</v>
      </c>
      <c r="HS161" t="e">
        <f>'2.5.Трудоемкость'!ABY17+"BYw!(9v"</f>
        <v>#VALUE!</v>
      </c>
      <c r="HT161" t="e">
        <f>'2.5.Трудоемкость'!ABZ17+"BYw!(9w"</f>
        <v>#VALUE!</v>
      </c>
      <c r="HU161" t="e">
        <f>'2.5.Трудоемкость'!ACA17+"BYw!(9x"</f>
        <v>#VALUE!</v>
      </c>
      <c r="HV161" t="e">
        <f>'2.5.Трудоемкость'!ACB17+"BYw!(9y"</f>
        <v>#VALUE!</v>
      </c>
      <c r="HW161" t="e">
        <f>'2.5.Трудоемкость'!ACC17+"BYw!(9z"</f>
        <v>#VALUE!</v>
      </c>
      <c r="HX161" t="e">
        <f>'2.5.Трудоемкость'!ACD17+"BYw!(9{"</f>
        <v>#VALUE!</v>
      </c>
      <c r="HY161" t="e">
        <f>'2.5.Трудоемкость'!ACE17+"BYw!(9|"</f>
        <v>#VALUE!</v>
      </c>
      <c r="HZ161" t="e">
        <f>'2.5.Трудоемкость'!ACF17+"BYw!(9}"</f>
        <v>#VALUE!</v>
      </c>
      <c r="IA161" t="e">
        <f>'2.5.Трудоемкость'!ACG17+"BYw!(9~"</f>
        <v>#VALUE!</v>
      </c>
      <c r="IB161" t="e">
        <f>'2.5.Трудоемкость'!ACH17+"BYw!(:#"</f>
        <v>#VALUE!</v>
      </c>
      <c r="IC161" t="e">
        <f>'2.5.Трудоемкость'!ACI17+"BYw!(:$"</f>
        <v>#VALUE!</v>
      </c>
      <c r="ID161" t="e">
        <f>'2.5.Трудоемкость'!ACJ17+"BYw!(:%"</f>
        <v>#VALUE!</v>
      </c>
      <c r="IE161" t="e">
        <f>'2.5.Трудоемкость'!ACK17+"BYw!(:&amp;"</f>
        <v>#VALUE!</v>
      </c>
      <c r="IF161" t="e">
        <f>'2.5.Трудоемкость'!ACL17+"BYw!(:'"</f>
        <v>#VALUE!</v>
      </c>
      <c r="IG161" t="e">
        <f>'2.5.Трудоемкость'!ACM17+"BYw!(:("</f>
        <v>#VALUE!</v>
      </c>
      <c r="IH161" t="e">
        <f>'2.5.Трудоемкость'!ACN17+"BYw!(:)"</f>
        <v>#VALUE!</v>
      </c>
      <c r="II161" t="e">
        <f>'2.5.Трудоемкость'!ACO17+"BYw!(:."</f>
        <v>#VALUE!</v>
      </c>
      <c r="IJ161" t="e">
        <f>'2.5.Трудоемкость'!ACP17+"BYw!(:/"</f>
        <v>#VALUE!</v>
      </c>
      <c r="IK161" t="e">
        <f>'2.5.Трудоемкость'!ACQ17+"BYw!(:0"</f>
        <v>#VALUE!</v>
      </c>
      <c r="IL161" t="e">
        <f>'2.5.Трудоемкость'!ACR17+"BYw!(:1"</f>
        <v>#VALUE!</v>
      </c>
      <c r="IM161" t="e">
        <f>'2.5.Трудоемкость'!ACS17+"BYw!(:2"</f>
        <v>#VALUE!</v>
      </c>
      <c r="IN161" t="e">
        <f>'2.5.Трудоемкость'!ACT17+"BYw!(:3"</f>
        <v>#VALUE!</v>
      </c>
      <c r="IO161" t="e">
        <f>'2.5.Трудоемкость'!ACU17+"BYw!(:4"</f>
        <v>#VALUE!</v>
      </c>
      <c r="IP161" t="e">
        <f>'2.5.Трудоемкость'!ACV17+"BYw!(:5"</f>
        <v>#VALUE!</v>
      </c>
      <c r="IQ161" t="e">
        <f>'2.5.Трудоемкость'!ACW17+"BYw!(:6"</f>
        <v>#VALUE!</v>
      </c>
      <c r="IR161" t="e">
        <f>'2.5.Трудоемкость'!ACX17+"BYw!(:7"</f>
        <v>#VALUE!</v>
      </c>
      <c r="IS161" t="e">
        <f>'2.5.Трудоемкость'!ACY17+"BYw!(:8"</f>
        <v>#VALUE!</v>
      </c>
      <c r="IT161" t="e">
        <f>'2.5.Трудоемкость'!ACZ17+"BYw!(:9"</f>
        <v>#VALUE!</v>
      </c>
      <c r="IU161" t="e">
        <f>'2.5.Трудоемкость'!ADA17+"BYw!(::"</f>
        <v>#VALUE!</v>
      </c>
      <c r="IV161" t="e">
        <f>'2.5.Трудоемкость'!ADB17+"BYw!(:;"</f>
        <v>#VALUE!</v>
      </c>
    </row>
    <row r="162" spans="6:256" x14ac:dyDescent="0.2">
      <c r="F162" t="e">
        <f>'2.5.Трудоемкость'!ADC17+"BYw!(:&lt;"</f>
        <v>#VALUE!</v>
      </c>
      <c r="G162" t="e">
        <f>'2.5.Трудоемкость'!ADD17+"BYw!(:="</f>
        <v>#VALUE!</v>
      </c>
      <c r="H162" t="e">
        <f>'2.5.Трудоемкость'!ADE17+"BYw!(:&gt;"</f>
        <v>#VALUE!</v>
      </c>
      <c r="I162" t="e">
        <f>'2.5.Трудоемкость'!ADF17+"BYw!(:?"</f>
        <v>#VALUE!</v>
      </c>
      <c r="J162" t="e">
        <f>'2.5.Трудоемкость'!ADG17+"BYw!(:@"</f>
        <v>#VALUE!</v>
      </c>
      <c r="K162" t="e">
        <f>'2.5.Трудоемкость'!ADH17+"BYw!(:A"</f>
        <v>#VALUE!</v>
      </c>
      <c r="L162" t="e">
        <f>'2.5.Трудоемкость'!ADI17+"BYw!(:B"</f>
        <v>#VALUE!</v>
      </c>
      <c r="M162" t="e">
        <f>'2.5.Трудоемкость'!ADJ17+"BYw!(:C"</f>
        <v>#VALUE!</v>
      </c>
      <c r="N162" t="e">
        <f>'2.5.Трудоемкость'!ADK17+"BYw!(:D"</f>
        <v>#VALUE!</v>
      </c>
      <c r="O162" t="e">
        <f>'2.5.Трудоемкость'!ADL17+"BYw!(:E"</f>
        <v>#VALUE!</v>
      </c>
      <c r="P162" t="e">
        <f>'2.5.Трудоемкость'!ADM17+"BYw!(:F"</f>
        <v>#VALUE!</v>
      </c>
      <c r="Q162" t="e">
        <f>'2.5.Трудоемкость'!ADN17+"BYw!(:G"</f>
        <v>#VALUE!</v>
      </c>
      <c r="R162" t="e">
        <f>'2.5.Трудоемкость'!ADO17+"BYw!(:H"</f>
        <v>#VALUE!</v>
      </c>
      <c r="S162" t="e">
        <f>'2.5.Трудоемкость'!ADP17+"BYw!(:I"</f>
        <v>#VALUE!</v>
      </c>
      <c r="T162" t="e">
        <f>'2.5.Трудоемкость'!ADQ17+"BYw!(:J"</f>
        <v>#VALUE!</v>
      </c>
      <c r="U162" t="e">
        <f>'2.5.Трудоемкость'!ADR17+"BYw!(:K"</f>
        <v>#VALUE!</v>
      </c>
      <c r="V162" t="e">
        <f>'2.5.Трудоемкость'!ADS17+"BYw!(:L"</f>
        <v>#VALUE!</v>
      </c>
      <c r="W162" t="e">
        <f>'2.5.Трудоемкость'!ADT17+"BYw!(:M"</f>
        <v>#VALUE!</v>
      </c>
      <c r="X162" t="e">
        <f>'2.5.Трудоемкость'!ADU17+"BYw!(:N"</f>
        <v>#VALUE!</v>
      </c>
      <c r="Y162" t="e">
        <f>'2.5.Трудоемкость'!ADV17+"BYw!(:O"</f>
        <v>#VALUE!</v>
      </c>
      <c r="Z162" t="e">
        <f>'2.5.Трудоемкость'!ADW17+"BYw!(:P"</f>
        <v>#VALUE!</v>
      </c>
      <c r="AA162" t="e">
        <f>'2.5.Трудоемкость'!ADX17+"BYw!(:Q"</f>
        <v>#VALUE!</v>
      </c>
      <c r="AB162" t="e">
        <f>'2.5.Трудоемкость'!ADY17+"BYw!(:R"</f>
        <v>#VALUE!</v>
      </c>
      <c r="AC162" t="e">
        <f>'2.5.Трудоемкость'!ADZ17+"BYw!(:S"</f>
        <v>#VALUE!</v>
      </c>
      <c r="AD162" t="e">
        <f>'2.5.Трудоемкость'!AEA17+"BYw!(:T"</f>
        <v>#VALUE!</v>
      </c>
      <c r="AE162" t="e">
        <f>'2.5.Трудоемкость'!AEB17+"BYw!(:U"</f>
        <v>#VALUE!</v>
      </c>
      <c r="AF162" t="e">
        <f>'2.5.Трудоемкость'!AEC17+"BYw!(:V"</f>
        <v>#VALUE!</v>
      </c>
      <c r="AG162" t="e">
        <f>'2.5.Трудоемкость'!AED17+"BYw!(:W"</f>
        <v>#VALUE!</v>
      </c>
      <c r="AH162" t="e">
        <f>'2.5.Трудоемкость'!AEE17+"BYw!(:X"</f>
        <v>#VALUE!</v>
      </c>
      <c r="AI162" t="e">
        <f>'2.5.Трудоемкость'!AEF17+"BYw!(:Y"</f>
        <v>#VALUE!</v>
      </c>
      <c r="AJ162" t="e">
        <f>'2.5.Трудоемкость'!AEG17+"BYw!(:Z"</f>
        <v>#VALUE!</v>
      </c>
      <c r="AK162" t="e">
        <f>'2.5.Трудоемкость'!AEH17+"BYw!(:["</f>
        <v>#VALUE!</v>
      </c>
      <c r="AL162" t="e">
        <f>'2.5.Трудоемкость'!AEI17+"BYw!(:\"</f>
        <v>#VALUE!</v>
      </c>
      <c r="AM162" t="e">
        <f>'2.5.Трудоемкость'!AEJ17+"BYw!(:]"</f>
        <v>#VALUE!</v>
      </c>
      <c r="AN162" t="e">
        <f>'2.5.Трудоемкость'!AEK17+"BYw!(:^"</f>
        <v>#VALUE!</v>
      </c>
      <c r="AO162" t="e">
        <f>'2.5.Трудоемкость'!AEL17+"BYw!(:_"</f>
        <v>#VALUE!</v>
      </c>
      <c r="AP162" t="e">
        <f>'2.5.Трудоемкость'!AEM17+"BYw!(:`"</f>
        <v>#VALUE!</v>
      </c>
      <c r="AQ162" t="e">
        <f>'2.5.Трудоемкость'!AEN17+"BYw!(:a"</f>
        <v>#VALUE!</v>
      </c>
      <c r="AR162" t="e">
        <f>'2.5.Трудоемкость'!AEO17+"BYw!(:b"</f>
        <v>#VALUE!</v>
      </c>
      <c r="AS162" t="e">
        <f>'2.5.Трудоемкость'!AEP17+"BYw!(:c"</f>
        <v>#VALUE!</v>
      </c>
      <c r="AT162" t="e">
        <f>'2.5.Трудоемкость'!AEQ17+"BYw!(:d"</f>
        <v>#VALUE!</v>
      </c>
      <c r="AU162" t="e">
        <f>'2.5.Трудоемкость'!AER17+"BYw!(:e"</f>
        <v>#VALUE!</v>
      </c>
      <c r="AV162" t="e">
        <f>'2.5.Трудоемкость'!AES17+"BYw!(:f"</f>
        <v>#VALUE!</v>
      </c>
      <c r="AW162" t="e">
        <f>'2.5.Трудоемкость'!AET17+"BYw!(:g"</f>
        <v>#VALUE!</v>
      </c>
      <c r="AX162" t="e">
        <f>'2.5.Трудоемкость'!AEU17+"BYw!(:h"</f>
        <v>#VALUE!</v>
      </c>
      <c r="AY162" t="e">
        <f>'2.5.Трудоемкость'!AEV17+"BYw!(:i"</f>
        <v>#VALUE!</v>
      </c>
      <c r="AZ162" t="e">
        <f>'2.5.Трудоемкость'!AEW17+"BYw!(:j"</f>
        <v>#VALUE!</v>
      </c>
      <c r="BA162" t="e">
        <f>'2.5.Трудоемкость'!AEX17+"BYw!(:k"</f>
        <v>#VALUE!</v>
      </c>
      <c r="BB162" t="e">
        <f>'2.5.Трудоемкость'!AEY17+"BYw!(:l"</f>
        <v>#VALUE!</v>
      </c>
      <c r="BC162" t="e">
        <f>'2.5.Трудоемкость'!AEZ17+"BYw!(:m"</f>
        <v>#VALUE!</v>
      </c>
      <c r="BD162" t="e">
        <f>'2.5.Трудоемкость'!AFA17+"BYw!(:n"</f>
        <v>#VALUE!</v>
      </c>
      <c r="BE162" t="e">
        <f>'2.5.Трудоемкость'!AFB17+"BYw!(:o"</f>
        <v>#VALUE!</v>
      </c>
      <c r="BF162" t="e">
        <f>'2.5.Трудоемкость'!AFC17+"BYw!(:p"</f>
        <v>#VALUE!</v>
      </c>
      <c r="BG162" t="e">
        <f>'2.5.Трудоемкость'!AFD17+"BYw!(:q"</f>
        <v>#VALUE!</v>
      </c>
      <c r="BH162" t="e">
        <f>'2.5.Трудоемкость'!AFE17+"BYw!(:r"</f>
        <v>#VALUE!</v>
      </c>
      <c r="BI162" t="e">
        <f>'2.5.Трудоемкость'!AFF17+"BYw!(:s"</f>
        <v>#VALUE!</v>
      </c>
      <c r="BJ162" t="e">
        <f>'2.5.Трудоемкость'!AFG17+"BYw!(:t"</f>
        <v>#VALUE!</v>
      </c>
      <c r="BK162" t="e">
        <f>'2.5.Трудоемкость'!AFH17+"BYw!(:u"</f>
        <v>#VALUE!</v>
      </c>
      <c r="BL162" t="e">
        <f>'2.5.Трудоемкость'!AFI17+"BYw!(:v"</f>
        <v>#VALUE!</v>
      </c>
      <c r="BM162" t="e">
        <f>'2.5.Трудоемкость'!AFJ17+"BYw!(:w"</f>
        <v>#VALUE!</v>
      </c>
      <c r="BN162" t="e">
        <f>'2.5.Трудоемкость'!AFK17+"BYw!(:x"</f>
        <v>#VALUE!</v>
      </c>
      <c r="BO162" t="e">
        <f>'2.5.Трудоемкость'!AFL17+"BYw!(:y"</f>
        <v>#VALUE!</v>
      </c>
      <c r="BP162" t="e">
        <f>'2.5.Трудоемкость'!AFM17+"BYw!(:z"</f>
        <v>#VALUE!</v>
      </c>
      <c r="BQ162" t="e">
        <f>'2.5.Трудоемкость'!AFN17+"BYw!(:{"</f>
        <v>#VALUE!</v>
      </c>
      <c r="BR162" t="e">
        <f>'2.5.Трудоемкость'!AFO17+"BYw!(:|"</f>
        <v>#VALUE!</v>
      </c>
      <c r="BS162" t="e">
        <f>'2.5.Трудоемкость'!AFP17+"BYw!(:}"</f>
        <v>#VALUE!</v>
      </c>
      <c r="BT162" t="e">
        <f>'2.5.Трудоемкость'!AFQ17+"BYw!(:~"</f>
        <v>#VALUE!</v>
      </c>
      <c r="BU162" t="e">
        <f>'2.5.Трудоемкость'!AFR17+"BYw!(;#"</f>
        <v>#VALUE!</v>
      </c>
      <c r="BV162" t="e">
        <f>'2.5.Трудоемкость'!AFS17+"BYw!(;$"</f>
        <v>#VALUE!</v>
      </c>
      <c r="BW162" t="e">
        <f>'2.5.Трудоемкость'!AFT17+"BYw!(;%"</f>
        <v>#VALUE!</v>
      </c>
      <c r="BX162" t="e">
        <f>'2.5.Трудоемкость'!AFU17+"BYw!(;&amp;"</f>
        <v>#VALUE!</v>
      </c>
      <c r="BY162" t="e">
        <f>'2.5.Трудоемкость'!AFV17+"BYw!(;'"</f>
        <v>#VALUE!</v>
      </c>
      <c r="BZ162" t="e">
        <f>'2.5.Трудоемкость'!AFW17+"BYw!(;("</f>
        <v>#VALUE!</v>
      </c>
      <c r="CA162" t="e">
        <f>'2.5.Трудоемкость'!AFX17+"BYw!(;)"</f>
        <v>#VALUE!</v>
      </c>
      <c r="CB162" t="e">
        <f>'2.5.Трудоемкость'!AFY17+"BYw!(;."</f>
        <v>#VALUE!</v>
      </c>
      <c r="CC162" t="e">
        <f>'2.5.Трудоемкость'!AFZ17+"BYw!(;/"</f>
        <v>#VALUE!</v>
      </c>
      <c r="CD162" t="e">
        <f>'2.5.Трудоемкость'!AGA17+"BYw!(;0"</f>
        <v>#VALUE!</v>
      </c>
      <c r="CE162" t="e">
        <f>'2.5.Трудоемкость'!AGB17+"BYw!(;1"</f>
        <v>#VALUE!</v>
      </c>
      <c r="CF162" t="e">
        <f>'2.5.Трудоемкость'!AGC17+"BYw!(;2"</f>
        <v>#VALUE!</v>
      </c>
      <c r="CG162" t="e">
        <f>'2.5.Трудоемкость'!AGD17+"BYw!(;3"</f>
        <v>#VALUE!</v>
      </c>
      <c r="CH162" t="e">
        <f>'2.5.Трудоемкость'!AGE17+"BYw!(;4"</f>
        <v>#VALUE!</v>
      </c>
      <c r="CI162" t="e">
        <f>'2.5.Трудоемкость'!AGF17+"BYw!(;5"</f>
        <v>#VALUE!</v>
      </c>
      <c r="CJ162" t="e">
        <f>'2.5.Трудоемкость'!AGG17+"BYw!(;6"</f>
        <v>#VALUE!</v>
      </c>
      <c r="CK162" t="e">
        <f>'2.5.Трудоемкость'!AGH17+"BYw!(;7"</f>
        <v>#VALUE!</v>
      </c>
      <c r="CL162" t="e">
        <f>'2.5.Трудоемкость'!AGI17+"BYw!(;8"</f>
        <v>#VALUE!</v>
      </c>
      <c r="CM162" t="e">
        <f>'2.5.Трудоемкость'!AGJ17+"BYw!(;9"</f>
        <v>#VALUE!</v>
      </c>
      <c r="CN162" t="e">
        <f>'2.5.Трудоемкость'!AGK17+"BYw!(;:"</f>
        <v>#VALUE!</v>
      </c>
      <c r="CO162" t="e">
        <f>'2.5.Трудоемкость'!AGL17+"BYw!(;;"</f>
        <v>#VALUE!</v>
      </c>
      <c r="CP162" t="e">
        <f>'2.5.Трудоемкость'!AGM17+"BYw!(;&lt;"</f>
        <v>#VALUE!</v>
      </c>
      <c r="CQ162" t="e">
        <f>'2.5.Трудоемкость'!AGN17+"BYw!(;="</f>
        <v>#VALUE!</v>
      </c>
      <c r="CR162" t="e">
        <f>'2.5.Трудоемкость'!AGO17+"BYw!(;&gt;"</f>
        <v>#VALUE!</v>
      </c>
      <c r="CS162" t="e">
        <f>'2.5.Трудоемкость'!AGP17+"BYw!(;?"</f>
        <v>#VALUE!</v>
      </c>
      <c r="CT162" t="e">
        <f>'2.5.Трудоемкость'!AGQ17+"BYw!(;@"</f>
        <v>#VALUE!</v>
      </c>
      <c r="CU162" t="e">
        <f>'2.5.Трудоемкость'!AGR17+"BYw!(;A"</f>
        <v>#VALUE!</v>
      </c>
      <c r="CV162" t="e">
        <f>'2.5.Трудоемкость'!AGS17+"BYw!(;B"</f>
        <v>#VALUE!</v>
      </c>
      <c r="CW162" t="e">
        <f>'2.5.Трудоемкость'!AGT17+"BYw!(;C"</f>
        <v>#VALUE!</v>
      </c>
      <c r="CX162" t="e">
        <f>'2.5.Трудоемкость'!AGU17+"BYw!(;D"</f>
        <v>#VALUE!</v>
      </c>
      <c r="CY162" t="e">
        <f>'2.5.Трудоемкость'!AGV17+"BYw!(;E"</f>
        <v>#VALUE!</v>
      </c>
      <c r="CZ162" t="e">
        <f>'2.5.Трудоемкость'!AGW17+"BYw!(;F"</f>
        <v>#VALUE!</v>
      </c>
      <c r="DA162" t="e">
        <f>'2.5.Трудоемкость'!AGX17+"BYw!(;G"</f>
        <v>#VALUE!</v>
      </c>
      <c r="DB162" t="e">
        <f>'2.5.Трудоемкость'!AGY17+"BYw!(;H"</f>
        <v>#VALUE!</v>
      </c>
      <c r="DC162" t="e">
        <f>'2.5.Трудоемкость'!AGZ17+"BYw!(;I"</f>
        <v>#VALUE!</v>
      </c>
      <c r="DD162" t="e">
        <f>'2.5.Трудоемкость'!AHA17+"BYw!(;J"</f>
        <v>#VALUE!</v>
      </c>
      <c r="DE162" t="e">
        <f>'2.5.Трудоемкость'!AHB17+"BYw!(;K"</f>
        <v>#VALUE!</v>
      </c>
      <c r="DF162" t="e">
        <f>'2.5.Трудоемкость'!AHC17+"BYw!(;L"</f>
        <v>#VALUE!</v>
      </c>
      <c r="DG162" t="e">
        <f>'2.5.Трудоемкость'!AHD17+"BYw!(;M"</f>
        <v>#VALUE!</v>
      </c>
      <c r="DH162" t="e">
        <f>'2.5.Трудоемкость'!AHE17+"BYw!(;N"</f>
        <v>#VALUE!</v>
      </c>
      <c r="DI162" t="e">
        <f>'2.5.Трудоемкость'!AHF17+"BYw!(;O"</f>
        <v>#VALUE!</v>
      </c>
      <c r="DJ162" t="e">
        <f>'2.5.Трудоемкость'!AHG17+"BYw!(;P"</f>
        <v>#VALUE!</v>
      </c>
      <c r="DK162" t="e">
        <f>'2.5.Трудоемкость'!AHH17+"BYw!(;Q"</f>
        <v>#VALUE!</v>
      </c>
      <c r="DL162" t="e">
        <f>'2.5.Трудоемкость'!AHI17+"BYw!(;R"</f>
        <v>#VALUE!</v>
      </c>
      <c r="DM162" t="e">
        <f>'2.5.Трудоемкость'!AHJ17+"BYw!(;S"</f>
        <v>#VALUE!</v>
      </c>
      <c r="DN162" t="e">
        <f>'2.5.Трудоемкость'!AHK17+"BYw!(;T"</f>
        <v>#VALUE!</v>
      </c>
      <c r="DO162" t="e">
        <f>'2.5.Трудоемкость'!AHL17+"BYw!(;U"</f>
        <v>#VALUE!</v>
      </c>
      <c r="DP162" t="e">
        <f>'2.5.Трудоемкость'!AHM17+"BYw!(;V"</f>
        <v>#VALUE!</v>
      </c>
      <c r="DQ162" t="e">
        <f>'2.5.Трудоемкость'!AHN17+"BYw!(;W"</f>
        <v>#VALUE!</v>
      </c>
      <c r="DR162" t="e">
        <f>'2.5.Трудоемкость'!AHO17+"BYw!(;X"</f>
        <v>#VALUE!</v>
      </c>
      <c r="DS162" t="e">
        <f>'2.5.Трудоемкость'!AHP17+"BYw!(;Y"</f>
        <v>#VALUE!</v>
      </c>
      <c r="DT162" t="e">
        <f>'2.5.Трудоемкость'!AHQ17+"BYw!(;Z"</f>
        <v>#VALUE!</v>
      </c>
      <c r="DU162" t="e">
        <f>'2.5.Трудоемкость'!AHR17+"BYw!(;["</f>
        <v>#VALUE!</v>
      </c>
      <c r="DV162" t="e">
        <f>'2.5.Трудоемкость'!AHS17+"BYw!(;\"</f>
        <v>#VALUE!</v>
      </c>
      <c r="DW162" t="e">
        <f>'2.5.Трудоемкость'!AHT17+"BYw!(;]"</f>
        <v>#VALUE!</v>
      </c>
      <c r="DX162" t="e">
        <f>'2.5.Трудоемкость'!AHU17+"BYw!(;^"</f>
        <v>#VALUE!</v>
      </c>
      <c r="DY162" t="e">
        <f>'2.5.Трудоемкость'!AHV17+"BYw!(;_"</f>
        <v>#VALUE!</v>
      </c>
      <c r="DZ162" t="e">
        <f>'2.5.Трудоемкость'!AHW17+"BYw!(;`"</f>
        <v>#VALUE!</v>
      </c>
      <c r="EA162" t="e">
        <f>'2.5.Трудоемкость'!AHX17+"BYw!(;a"</f>
        <v>#VALUE!</v>
      </c>
      <c r="EB162" t="e">
        <f>'2.5.Трудоемкость'!AHY17+"BYw!(;b"</f>
        <v>#VALUE!</v>
      </c>
      <c r="EC162" t="e">
        <f>'2.5.Трудоемкость'!AHZ17+"BYw!(;c"</f>
        <v>#VALUE!</v>
      </c>
      <c r="ED162" t="e">
        <f>'2.5.Трудоемкость'!AIA17+"BYw!(;d"</f>
        <v>#VALUE!</v>
      </c>
      <c r="EE162" t="e">
        <f>'2.5.Трудоемкость'!AIB17+"BYw!(;e"</f>
        <v>#VALUE!</v>
      </c>
      <c r="EF162" t="e">
        <f>'2.5.Трудоемкость'!AIC17+"BYw!(;f"</f>
        <v>#VALUE!</v>
      </c>
      <c r="EG162" t="e">
        <f>'2.5.Трудоемкость'!AID17+"BYw!(;g"</f>
        <v>#VALUE!</v>
      </c>
      <c r="EH162" t="e">
        <f>'2.5.Трудоемкость'!AIE17+"BYw!(;h"</f>
        <v>#VALUE!</v>
      </c>
      <c r="EI162" t="e">
        <f>'2.5.Трудоемкость'!AIF17+"BYw!(;i"</f>
        <v>#VALUE!</v>
      </c>
      <c r="EJ162" t="e">
        <f>'2.5.Трудоемкость'!AIG17+"BYw!(;j"</f>
        <v>#VALUE!</v>
      </c>
      <c r="EK162" t="e">
        <f>'2.5.Трудоемкость'!AIH17+"BYw!(;k"</f>
        <v>#VALUE!</v>
      </c>
      <c r="EL162" t="e">
        <f>'2.5.Трудоемкость'!AII17+"BYw!(;l"</f>
        <v>#VALUE!</v>
      </c>
      <c r="EM162" t="e">
        <f>'2.5.Трудоемкость'!AIJ17+"BYw!(;m"</f>
        <v>#VALUE!</v>
      </c>
      <c r="EN162" t="e">
        <f>'2.5.Трудоемкость'!AIK17+"BYw!(;n"</f>
        <v>#VALUE!</v>
      </c>
      <c r="EO162" t="e">
        <f>'2.5.Трудоемкость'!AIL17+"BYw!(;o"</f>
        <v>#VALUE!</v>
      </c>
      <c r="EP162" t="e">
        <f>'2.5.Трудоемкость'!AIM17+"BYw!(;p"</f>
        <v>#VALUE!</v>
      </c>
      <c r="EQ162" t="e">
        <f>'2.5.Трудоемкость'!AIN17+"BYw!(;q"</f>
        <v>#VALUE!</v>
      </c>
      <c r="ER162" t="e">
        <f>'2.5.Трудоемкость'!AIO17+"BYw!(;r"</f>
        <v>#VALUE!</v>
      </c>
      <c r="ES162" t="e">
        <f>'2.5.Трудоемкость'!AIP17+"BYw!(;s"</f>
        <v>#VALUE!</v>
      </c>
      <c r="ET162" t="e">
        <f>'2.5.Трудоемкость'!AIQ17+"BYw!(;t"</f>
        <v>#VALUE!</v>
      </c>
      <c r="EU162" t="e">
        <f>'2.5.Трудоемкость'!AIR17+"BYw!(;u"</f>
        <v>#VALUE!</v>
      </c>
      <c r="EV162" t="e">
        <f>'2.5.Трудоемкость'!AIS17+"BYw!(;v"</f>
        <v>#VALUE!</v>
      </c>
      <c r="EW162" t="e">
        <f>'2.5.Трудоемкость'!AIT17+"BYw!(;w"</f>
        <v>#VALUE!</v>
      </c>
      <c r="EX162" t="e">
        <f>'2.5.Трудоемкость'!AIU17+"BYw!(;x"</f>
        <v>#VALUE!</v>
      </c>
      <c r="EY162" t="e">
        <f>'2.5.Трудоемкость'!AIV17+"BYw!(;y"</f>
        <v>#VALUE!</v>
      </c>
      <c r="EZ162" t="e">
        <f>'2.5.Трудоемкость'!AIW17+"BYw!(;z"</f>
        <v>#VALUE!</v>
      </c>
      <c r="FA162" t="e">
        <f>'2.5.Трудоемкость'!AIX17+"BYw!(;{"</f>
        <v>#VALUE!</v>
      </c>
      <c r="FB162" t="e">
        <f>'2.5.Трудоемкость'!AIY17+"BYw!(;|"</f>
        <v>#VALUE!</v>
      </c>
      <c r="FC162" t="e">
        <f>'2.5.Трудоемкость'!AIZ17+"BYw!(;}"</f>
        <v>#VALUE!</v>
      </c>
      <c r="FD162" t="e">
        <f>'2.5.Трудоемкость'!AJA17+"BYw!(;~"</f>
        <v>#VALUE!</v>
      </c>
      <c r="FE162" t="e">
        <f>'2.5.Трудоемкость'!AJB17+"BYw!(&lt;#"</f>
        <v>#VALUE!</v>
      </c>
      <c r="FF162" t="e">
        <f>'2.5.Трудоемкость'!AJC17+"BYw!(&lt;$"</f>
        <v>#VALUE!</v>
      </c>
      <c r="FG162" t="e">
        <f>'2.5.Трудоемкость'!AJD17+"BYw!(&lt;%"</f>
        <v>#VALUE!</v>
      </c>
      <c r="FH162" t="e">
        <f>'2.5.Трудоемкость'!AJE17+"BYw!(&lt;&amp;"</f>
        <v>#VALUE!</v>
      </c>
      <c r="FI162" t="e">
        <f>'2.5.Трудоемкость'!AJF17+"BYw!(&lt;'"</f>
        <v>#VALUE!</v>
      </c>
      <c r="FJ162" t="e">
        <f>'2.5.Трудоемкость'!AJG17+"BYw!(&lt;("</f>
        <v>#VALUE!</v>
      </c>
      <c r="FK162" t="e">
        <f>'2.5.Трудоемкость'!AJH17+"BYw!(&lt;)"</f>
        <v>#VALUE!</v>
      </c>
      <c r="FL162" t="e">
        <f>'2.5.Трудоемкость'!AJI17+"BYw!(&lt;."</f>
        <v>#VALUE!</v>
      </c>
      <c r="FM162" t="e">
        <f>'2.5.Трудоемкость'!AJJ17+"BYw!(&lt;/"</f>
        <v>#VALUE!</v>
      </c>
      <c r="FN162" t="e">
        <f>'2.5.Трудоемкость'!AJK17+"BYw!(&lt;0"</f>
        <v>#VALUE!</v>
      </c>
      <c r="FO162" t="e">
        <f>'2.5.Трудоемкость'!AJL17+"BYw!(&lt;1"</f>
        <v>#VALUE!</v>
      </c>
      <c r="FP162" t="e">
        <f>'2.5.Трудоемкость'!AJM17+"BYw!(&lt;2"</f>
        <v>#VALUE!</v>
      </c>
      <c r="FQ162" t="e">
        <f>'2.5.Трудоемкость'!AJN17+"BYw!(&lt;3"</f>
        <v>#VALUE!</v>
      </c>
      <c r="FR162" t="e">
        <f>'2.5.Трудоемкость'!AJO17+"BYw!(&lt;4"</f>
        <v>#VALUE!</v>
      </c>
      <c r="FS162" t="e">
        <f>'2.5.Трудоемкость'!AJP17+"BYw!(&lt;5"</f>
        <v>#VALUE!</v>
      </c>
      <c r="FT162" t="e">
        <f>'2.5.Трудоемкость'!AJQ17+"BYw!(&lt;6"</f>
        <v>#VALUE!</v>
      </c>
      <c r="FU162" t="e">
        <f>'2.5.Трудоемкость'!AJR17+"BYw!(&lt;7"</f>
        <v>#VALUE!</v>
      </c>
      <c r="FV162" t="e">
        <f>'2.5.Трудоемкость'!AJS17+"BYw!(&lt;8"</f>
        <v>#VALUE!</v>
      </c>
      <c r="FW162" t="e">
        <f>'2.5.Трудоемкость'!AJT17+"BYw!(&lt;9"</f>
        <v>#VALUE!</v>
      </c>
      <c r="FX162" t="e">
        <f>'2.5.Трудоемкость'!AJU17+"BYw!(&lt;:"</f>
        <v>#VALUE!</v>
      </c>
      <c r="FY162" t="e">
        <f>'2.5.Трудоемкость'!AJV17+"BYw!(&lt;;"</f>
        <v>#VALUE!</v>
      </c>
      <c r="FZ162" t="e">
        <f>'2.5.Трудоемкость'!AJW17+"BYw!(&lt;&lt;"</f>
        <v>#VALUE!</v>
      </c>
      <c r="GA162" t="e">
        <f>'2.5.Трудоемкость'!AJX17+"BYw!(&lt;="</f>
        <v>#VALUE!</v>
      </c>
      <c r="GB162" t="e">
        <f>'2.5.Трудоемкость'!AJY17+"BYw!(&lt;&gt;"</f>
        <v>#VALUE!</v>
      </c>
      <c r="GC162" t="e">
        <f>'2.5.Трудоемкость'!AJZ17+"BYw!(&lt;?"</f>
        <v>#VALUE!</v>
      </c>
      <c r="GD162" t="e">
        <f>'2.5.Трудоемкость'!AKA17+"BYw!(&lt;@"</f>
        <v>#VALUE!</v>
      </c>
      <c r="GE162" t="e">
        <f>'2.5.Трудоемкость'!AKB17+"BYw!(&lt;A"</f>
        <v>#VALUE!</v>
      </c>
      <c r="GF162" t="e">
        <f>'2.5.Трудоемкость'!AKC17+"BYw!(&lt;B"</f>
        <v>#VALUE!</v>
      </c>
      <c r="GG162" t="e">
        <f>'2.5.Трудоемкость'!AKD17+"BYw!(&lt;C"</f>
        <v>#VALUE!</v>
      </c>
      <c r="GH162" t="e">
        <f>'2.5.Трудоемкость'!AKE17+"BYw!(&lt;D"</f>
        <v>#VALUE!</v>
      </c>
      <c r="GI162" t="e">
        <f>'2.5.Трудоемкость'!AKF17+"BYw!(&lt;E"</f>
        <v>#VALUE!</v>
      </c>
      <c r="GJ162" t="e">
        <f>'2.5.Трудоемкость'!AKG17+"BYw!(&lt;F"</f>
        <v>#VALUE!</v>
      </c>
      <c r="GK162" t="e">
        <f>'2.5.Трудоемкость'!AKH17+"BYw!(&lt;G"</f>
        <v>#VALUE!</v>
      </c>
      <c r="GL162" t="e">
        <f>'2.5.Трудоемкость'!AKI17+"BYw!(&lt;H"</f>
        <v>#VALUE!</v>
      </c>
      <c r="GM162" t="e">
        <f>'2.5.Трудоемкость'!AKJ17+"BYw!(&lt;I"</f>
        <v>#VALUE!</v>
      </c>
      <c r="GN162" t="e">
        <f>'2.5.Трудоемкость'!AKK17+"BYw!(&lt;J"</f>
        <v>#VALUE!</v>
      </c>
      <c r="GO162" t="e">
        <f>'2.5.Трудоемкость'!AKL17+"BYw!(&lt;K"</f>
        <v>#VALUE!</v>
      </c>
      <c r="GP162" t="e">
        <f>'2.5.Трудоемкость'!AKM17+"BYw!(&lt;L"</f>
        <v>#VALUE!</v>
      </c>
      <c r="GQ162" t="e">
        <f>'2.5.Трудоемкость'!AKN17+"BYw!(&lt;M"</f>
        <v>#VALUE!</v>
      </c>
      <c r="GR162" t="e">
        <f>'2.5.Трудоемкость'!AKO17+"BYw!(&lt;N"</f>
        <v>#VALUE!</v>
      </c>
      <c r="GS162" t="e">
        <f>'2.5.Трудоемкость'!AKP17+"BYw!(&lt;O"</f>
        <v>#VALUE!</v>
      </c>
      <c r="GT162" t="e">
        <f>'2.5.Трудоемкость'!AKQ17+"BYw!(&lt;P"</f>
        <v>#VALUE!</v>
      </c>
      <c r="GU162" t="e">
        <f>'2.5.Трудоемкость'!AKR17+"BYw!(&lt;Q"</f>
        <v>#VALUE!</v>
      </c>
      <c r="GV162" t="e">
        <f>'2.5.Трудоемкость'!AKS17+"BYw!(&lt;R"</f>
        <v>#VALUE!</v>
      </c>
      <c r="GW162" t="e">
        <f>'2.5.Трудоемкость'!AKT17+"BYw!(&lt;S"</f>
        <v>#VALUE!</v>
      </c>
      <c r="GX162" t="e">
        <f>'2.5.Трудоемкость'!AKU17+"BYw!(&lt;T"</f>
        <v>#VALUE!</v>
      </c>
      <c r="GY162" t="e">
        <f>'2.5.Трудоемкость'!AKV17+"BYw!(&lt;U"</f>
        <v>#VALUE!</v>
      </c>
      <c r="GZ162" t="e">
        <f>'2.5.Трудоемкость'!AKW17+"BYw!(&lt;V"</f>
        <v>#VALUE!</v>
      </c>
      <c r="HA162" t="e">
        <f>'2.5.Трудоемкость'!AKX17+"BYw!(&lt;W"</f>
        <v>#VALUE!</v>
      </c>
      <c r="HB162" t="e">
        <f>'2.5.Трудоемкость'!AKY17+"BYw!(&lt;X"</f>
        <v>#VALUE!</v>
      </c>
      <c r="HC162" t="e">
        <f>'2.5.Трудоемкость'!AKZ17+"BYw!(&lt;Y"</f>
        <v>#VALUE!</v>
      </c>
      <c r="HD162" t="e">
        <f>'2.5.Трудоемкость'!ALA17+"BYw!(&lt;Z"</f>
        <v>#VALUE!</v>
      </c>
      <c r="HE162" t="e">
        <f>'2.5.Трудоемкость'!ALB17+"BYw!(&lt;["</f>
        <v>#VALUE!</v>
      </c>
      <c r="HF162" t="e">
        <f>'2.5.Трудоемкость'!ALC17+"BYw!(&lt;\"</f>
        <v>#VALUE!</v>
      </c>
      <c r="HG162" t="e">
        <f>'2.5.Трудоемкость'!ALD17+"BYw!(&lt;]"</f>
        <v>#VALUE!</v>
      </c>
      <c r="HH162" t="e">
        <f>'2.5.Трудоемкость'!ALE17+"BYw!(&lt;^"</f>
        <v>#VALUE!</v>
      </c>
      <c r="HI162" t="e">
        <f>'2.5.Трудоемкость'!ALF17+"BYw!(&lt;_"</f>
        <v>#VALUE!</v>
      </c>
      <c r="HJ162" t="e">
        <f>'2.5.Трудоемкость'!ALG17+"BYw!(&lt;`"</f>
        <v>#VALUE!</v>
      </c>
      <c r="HK162" t="e">
        <f>'2.5.Трудоемкость'!ALH17+"BYw!(&lt;a"</f>
        <v>#VALUE!</v>
      </c>
      <c r="HL162" t="e">
        <f>'2.5.Трудоемкость'!ALI17+"BYw!(&lt;b"</f>
        <v>#VALUE!</v>
      </c>
      <c r="HM162" t="e">
        <f>'2.5.Трудоемкость'!ALJ17+"BYw!(&lt;c"</f>
        <v>#VALUE!</v>
      </c>
      <c r="HN162" t="e">
        <f>'2.5.Трудоемкость'!ALK17+"BYw!(&lt;d"</f>
        <v>#VALUE!</v>
      </c>
      <c r="HO162" t="e">
        <f>'2.5.Трудоемкость'!ALL17+"BYw!(&lt;e"</f>
        <v>#VALUE!</v>
      </c>
      <c r="HP162" t="e">
        <f>'2.5.Трудоемкость'!ALM17+"BYw!(&lt;f"</f>
        <v>#VALUE!</v>
      </c>
      <c r="HQ162" t="e">
        <f>'2.5.Трудоемкость'!ALN17+"BYw!(&lt;g"</f>
        <v>#VALUE!</v>
      </c>
      <c r="HR162" t="e">
        <f>'2.5.Трудоемкость'!ALO17+"BYw!(&lt;h"</f>
        <v>#VALUE!</v>
      </c>
      <c r="HS162" t="e">
        <f>'2.5.Трудоемкость'!ALP17+"BYw!(&lt;i"</f>
        <v>#VALUE!</v>
      </c>
      <c r="HT162" t="e">
        <f>'2.5.Трудоемкость'!ALQ17+"BYw!(&lt;j"</f>
        <v>#VALUE!</v>
      </c>
      <c r="HU162" t="e">
        <f>'2.5.Трудоемкость'!ALR17+"BYw!(&lt;k"</f>
        <v>#VALUE!</v>
      </c>
      <c r="HV162" t="e">
        <f>'2.5.Трудоемкость'!ALS17+"BYw!(&lt;l"</f>
        <v>#VALUE!</v>
      </c>
      <c r="HW162" t="e">
        <f>'2.5.Трудоемкость'!ALT17+"BYw!(&lt;m"</f>
        <v>#VALUE!</v>
      </c>
      <c r="HX162" t="e">
        <f>'2.5.Трудоемкость'!ALU17+"BYw!(&lt;n"</f>
        <v>#VALUE!</v>
      </c>
      <c r="HY162" t="e">
        <f>'2.5.Трудоемкость'!ALV17+"BYw!(&lt;o"</f>
        <v>#VALUE!</v>
      </c>
      <c r="HZ162" t="e">
        <f>'2.5.Трудоемкость'!ALW17+"BYw!(&lt;p"</f>
        <v>#VALUE!</v>
      </c>
      <c r="IA162" t="e">
        <f>'2.5.Трудоемкость'!ALX17+"BYw!(&lt;q"</f>
        <v>#VALUE!</v>
      </c>
      <c r="IB162" t="e">
        <f>'2.5.Трудоемкость'!ALY17+"BYw!(&lt;r"</f>
        <v>#VALUE!</v>
      </c>
      <c r="IC162" t="e">
        <f>'2.5.Трудоемкость'!ALZ17+"BYw!(&lt;s"</f>
        <v>#VALUE!</v>
      </c>
      <c r="ID162" t="e">
        <f>'2.5.Трудоемкость'!AMA17+"BYw!(&lt;t"</f>
        <v>#VALUE!</v>
      </c>
      <c r="IE162" t="e">
        <f>'2.5.Трудоемкость'!AMB17+"BYw!(&lt;u"</f>
        <v>#VALUE!</v>
      </c>
      <c r="IF162" t="e">
        <f>'2.5.Трудоемкость'!AMC17+"BYw!(&lt;v"</f>
        <v>#VALUE!</v>
      </c>
      <c r="IG162" t="e">
        <f>'2.5.Трудоемкость'!AMD17+"BYw!(&lt;w"</f>
        <v>#VALUE!</v>
      </c>
      <c r="IH162" t="e">
        <f>'2.5.Трудоемкость'!AME17+"BYw!(&lt;x"</f>
        <v>#VALUE!</v>
      </c>
      <c r="II162" t="e">
        <f>'2.5.Трудоемкость'!AMF17+"BYw!(&lt;y"</f>
        <v>#VALUE!</v>
      </c>
      <c r="IJ162" t="e">
        <f>'2.5.Трудоемкость'!AMG17+"BYw!(&lt;z"</f>
        <v>#VALUE!</v>
      </c>
      <c r="IK162" t="e">
        <f>'2.5.Трудоемкость'!AMH17+"BYw!(&lt;{"</f>
        <v>#VALUE!</v>
      </c>
      <c r="IL162" t="e">
        <f>'2.5.Трудоемкость'!AMI17+"BYw!(&lt;|"</f>
        <v>#VALUE!</v>
      </c>
      <c r="IM162" t="e">
        <f>'2.5.Трудоемкость'!AMJ17+"BYw!(&lt;}"</f>
        <v>#VALUE!</v>
      </c>
      <c r="IN162" t="e">
        <f>'2.5.Трудоемкость'!A18+"BYw!(&lt;~"</f>
        <v>#VALUE!</v>
      </c>
      <c r="IO162" t="e">
        <f>'2.5.Трудоемкость'!B18+"BYw!(=#"</f>
        <v>#VALUE!</v>
      </c>
      <c r="IP162" t="e">
        <f>'2.5.Трудоемкость'!C18+"BYw!(=$"</f>
        <v>#VALUE!</v>
      </c>
      <c r="IQ162" t="e">
        <f>'2.5.Трудоемкость'!D18+"BYw!(=%"</f>
        <v>#VALUE!</v>
      </c>
      <c r="IR162" t="e">
        <f>'2.5.Трудоемкость'!E18+"BYw!(=&amp;"</f>
        <v>#VALUE!</v>
      </c>
      <c r="IS162" t="e">
        <f>'2.5.Трудоемкость'!F18+"BYw!(='"</f>
        <v>#VALUE!</v>
      </c>
      <c r="IT162" t="e">
        <f>'2.5.Трудоемкость'!G18+"BYw!(=("</f>
        <v>#VALUE!</v>
      </c>
      <c r="IU162" t="e">
        <f>'2.5.Трудоемкость'!H18+"BYw!(=)"</f>
        <v>#VALUE!</v>
      </c>
      <c r="IV162" t="e">
        <f>'2.5.Трудоемкость'!I18+"BYw!(=."</f>
        <v>#VALUE!</v>
      </c>
    </row>
    <row r="163" spans="6:256" x14ac:dyDescent="0.2">
      <c r="F163" t="e">
        <f>'2.5.Трудоемкость'!J18+"BYw!(=/"</f>
        <v>#VALUE!</v>
      </c>
      <c r="G163" t="e">
        <f>'2.5.Трудоемкость'!K18+"BYw!(=0"</f>
        <v>#VALUE!</v>
      </c>
      <c r="H163" t="e">
        <f>'2.5.Трудоемкость'!L18+"BYw!(=1"</f>
        <v>#VALUE!</v>
      </c>
      <c r="I163" t="e">
        <f>'2.5.Трудоемкость'!M18+"BYw!(=2"</f>
        <v>#VALUE!</v>
      </c>
      <c r="J163" t="e">
        <f>'2.5.Трудоемкость'!N18+"BYw!(=3"</f>
        <v>#VALUE!</v>
      </c>
      <c r="K163" t="e">
        <f>'2.5.Трудоемкость'!O18+"BYw!(=4"</f>
        <v>#VALUE!</v>
      </c>
      <c r="L163" t="e">
        <f>'2.5.Трудоемкость'!P18+"BYw!(=5"</f>
        <v>#VALUE!</v>
      </c>
      <c r="M163" t="e">
        <f>'2.5.Трудоемкость'!Q18+"BYw!(=6"</f>
        <v>#VALUE!</v>
      </c>
      <c r="N163" t="e">
        <f>'2.5.Трудоемкость'!R18+"BYw!(=7"</f>
        <v>#VALUE!</v>
      </c>
      <c r="O163" t="e">
        <f>'2.5.Трудоемкость'!S18+"BYw!(=8"</f>
        <v>#VALUE!</v>
      </c>
      <c r="P163" t="e">
        <f>'2.5.Трудоемкость'!T18+"BYw!(=9"</f>
        <v>#VALUE!</v>
      </c>
      <c r="Q163" t="e">
        <f>'2.5.Трудоемкость'!U18+"BYw!(=:"</f>
        <v>#VALUE!</v>
      </c>
      <c r="R163" t="e">
        <f>'2.5.Трудоемкость'!V18+"BYw!(=;"</f>
        <v>#VALUE!</v>
      </c>
      <c r="S163" t="e">
        <f>'2.5.Трудоемкость'!W18+"BYw!(=&lt;"</f>
        <v>#VALUE!</v>
      </c>
      <c r="T163" t="e">
        <f>'2.5.Трудоемкость'!X18+"BYw!(=="</f>
        <v>#VALUE!</v>
      </c>
      <c r="U163" t="e">
        <f>'2.5.Трудоемкость'!Y18+"BYw!(=&gt;"</f>
        <v>#VALUE!</v>
      </c>
      <c r="V163" t="e">
        <f>'2.5.Трудоемкость'!Z18+"BYw!(=?"</f>
        <v>#VALUE!</v>
      </c>
      <c r="W163" t="e">
        <f>'2.5.Трудоемкость'!AA18+"BYw!(=@"</f>
        <v>#VALUE!</v>
      </c>
      <c r="X163" t="e">
        <f>'2.5.Трудоемкость'!AB18+"BYw!(=A"</f>
        <v>#VALUE!</v>
      </c>
      <c r="Y163" t="e">
        <f>'2.5.Трудоемкость'!AC18+"BYw!(=B"</f>
        <v>#VALUE!</v>
      </c>
      <c r="Z163" t="e">
        <f>'2.5.Трудоемкость'!AD18+"BYw!(=C"</f>
        <v>#VALUE!</v>
      </c>
      <c r="AA163" t="e">
        <f>'2.5.Трудоемкость'!AE18+"BYw!(=D"</f>
        <v>#VALUE!</v>
      </c>
      <c r="AB163" t="e">
        <f>'2.5.Трудоемкость'!AF18+"BYw!(=E"</f>
        <v>#VALUE!</v>
      </c>
      <c r="AC163" t="e">
        <f>'2.5.Трудоемкость'!AG18+"BYw!(=F"</f>
        <v>#VALUE!</v>
      </c>
      <c r="AD163" t="e">
        <f>'2.5.Трудоемкость'!AH18+"BYw!(=G"</f>
        <v>#VALUE!</v>
      </c>
      <c r="AE163" t="e">
        <f>'2.5.Трудоемкость'!AI18+"BYw!(=H"</f>
        <v>#VALUE!</v>
      </c>
      <c r="AF163" t="e">
        <f>'2.5.Трудоемкость'!AJ18+"BYw!(=I"</f>
        <v>#VALUE!</v>
      </c>
      <c r="AG163" t="e">
        <f>'2.5.Трудоемкость'!AK18+"BYw!(=J"</f>
        <v>#VALUE!</v>
      </c>
      <c r="AH163" t="e">
        <f>'2.5.Трудоемкость'!AL18+"BYw!(=K"</f>
        <v>#VALUE!</v>
      </c>
      <c r="AI163" t="e">
        <f>'2.5.Трудоемкость'!AM18+"BYw!(=L"</f>
        <v>#VALUE!</v>
      </c>
      <c r="AJ163" t="e">
        <f>'2.5.Трудоемкость'!AN18+"BYw!(=M"</f>
        <v>#VALUE!</v>
      </c>
      <c r="AK163" t="e">
        <f>'2.5.Трудоемкость'!AO18+"BYw!(=N"</f>
        <v>#VALUE!</v>
      </c>
      <c r="AL163" t="e">
        <f>'2.5.Трудоемкость'!AP18+"BYw!(=O"</f>
        <v>#VALUE!</v>
      </c>
      <c r="AM163" t="e">
        <f>'2.5.Трудоемкость'!AQ18+"BYw!(=P"</f>
        <v>#VALUE!</v>
      </c>
      <c r="AN163" t="e">
        <f>'2.5.Трудоемкость'!AR18+"BYw!(=Q"</f>
        <v>#VALUE!</v>
      </c>
      <c r="AO163" t="e">
        <f>'2.5.Трудоемкость'!AS18+"BYw!(=R"</f>
        <v>#VALUE!</v>
      </c>
      <c r="AP163" t="e">
        <f>'2.5.Трудоемкость'!AT18+"BYw!(=S"</f>
        <v>#VALUE!</v>
      </c>
      <c r="AQ163" t="e">
        <f>'2.5.Трудоемкость'!AU18+"BYw!(=T"</f>
        <v>#VALUE!</v>
      </c>
      <c r="AR163" t="e">
        <f>'2.5.Трудоемкость'!AV18+"BYw!(=U"</f>
        <v>#VALUE!</v>
      </c>
      <c r="AS163" t="e">
        <f>'2.5.Трудоемкость'!AW18+"BYw!(=V"</f>
        <v>#VALUE!</v>
      </c>
      <c r="AT163" t="e">
        <f>'2.5.Трудоемкость'!AX18+"BYw!(=W"</f>
        <v>#VALUE!</v>
      </c>
      <c r="AU163" t="e">
        <f>'2.5.Трудоемкость'!AY18+"BYw!(=X"</f>
        <v>#VALUE!</v>
      </c>
      <c r="AV163" t="e">
        <f>'2.5.Трудоемкость'!AZ18+"BYw!(=Y"</f>
        <v>#VALUE!</v>
      </c>
      <c r="AW163" t="e">
        <f>'2.5.Трудоемкость'!BA18+"BYw!(=Z"</f>
        <v>#VALUE!</v>
      </c>
      <c r="AX163" t="e">
        <f>'2.5.Трудоемкость'!BB18+"BYw!(=["</f>
        <v>#VALUE!</v>
      </c>
      <c r="AY163" t="e">
        <f>'2.5.Трудоемкость'!BC18+"BYw!(=\"</f>
        <v>#VALUE!</v>
      </c>
      <c r="AZ163" t="e">
        <f>'2.5.Трудоемкость'!BD18+"BYw!(=]"</f>
        <v>#VALUE!</v>
      </c>
      <c r="BA163" t="e">
        <f>'2.5.Трудоемкость'!BE18+"BYw!(=^"</f>
        <v>#VALUE!</v>
      </c>
      <c r="BB163" t="e">
        <f>'2.5.Трудоемкость'!BF18+"BYw!(=_"</f>
        <v>#VALUE!</v>
      </c>
      <c r="BC163" t="e">
        <f>'2.5.Трудоемкость'!BG18+"BYw!(=`"</f>
        <v>#VALUE!</v>
      </c>
      <c r="BD163" t="e">
        <f>'2.5.Трудоемкость'!BH18+"BYw!(=a"</f>
        <v>#VALUE!</v>
      </c>
      <c r="BE163" t="e">
        <f>'2.5.Трудоемкость'!BI18+"BYw!(=b"</f>
        <v>#VALUE!</v>
      </c>
      <c r="BF163" t="e">
        <f>'2.5.Трудоемкость'!BJ18+"BYw!(=c"</f>
        <v>#VALUE!</v>
      </c>
      <c r="BG163" t="e">
        <f>'2.5.Трудоемкость'!BK18+"BYw!(=d"</f>
        <v>#VALUE!</v>
      </c>
      <c r="BH163" t="e">
        <f>'2.5.Трудоемкость'!BL18+"BYw!(=e"</f>
        <v>#VALUE!</v>
      </c>
      <c r="BI163" t="e">
        <f>'2.5.Трудоемкость'!BM18+"BYw!(=f"</f>
        <v>#VALUE!</v>
      </c>
      <c r="BJ163" t="e">
        <f>'2.5.Трудоемкость'!BN18+"BYw!(=g"</f>
        <v>#VALUE!</v>
      </c>
      <c r="BK163" t="e">
        <f>'2.5.Трудоемкость'!BO18+"BYw!(=h"</f>
        <v>#VALUE!</v>
      </c>
      <c r="BL163" t="e">
        <f>'2.5.Трудоемкость'!BP18+"BYw!(=i"</f>
        <v>#VALUE!</v>
      </c>
      <c r="BM163" t="e">
        <f>'2.5.Трудоемкость'!BQ18+"BYw!(=j"</f>
        <v>#VALUE!</v>
      </c>
      <c r="BN163" t="e">
        <f>'2.5.Трудоемкость'!BR18+"BYw!(=k"</f>
        <v>#VALUE!</v>
      </c>
      <c r="BO163" t="e">
        <f>'2.5.Трудоемкость'!BS18+"BYw!(=l"</f>
        <v>#VALUE!</v>
      </c>
      <c r="BP163" t="e">
        <f>'2.5.Трудоемкость'!BT18+"BYw!(=m"</f>
        <v>#VALUE!</v>
      </c>
      <c r="BQ163" t="e">
        <f>'2.5.Трудоемкость'!BU18+"BYw!(=n"</f>
        <v>#VALUE!</v>
      </c>
      <c r="BR163" t="e">
        <f>'2.5.Трудоемкость'!BV18+"BYw!(=o"</f>
        <v>#VALUE!</v>
      </c>
      <c r="BS163" t="e">
        <f>'2.5.Трудоемкость'!BW18+"BYw!(=p"</f>
        <v>#VALUE!</v>
      </c>
      <c r="BT163" t="e">
        <f>'2.5.Трудоемкость'!BX18+"BYw!(=q"</f>
        <v>#VALUE!</v>
      </c>
      <c r="BU163" t="e">
        <f>'2.5.Трудоемкость'!BY18+"BYw!(=r"</f>
        <v>#VALUE!</v>
      </c>
      <c r="BV163" t="e">
        <f>'2.5.Трудоемкость'!BZ18+"BYw!(=s"</f>
        <v>#VALUE!</v>
      </c>
      <c r="BW163" t="e">
        <f>'2.5.Трудоемкость'!CA18+"BYw!(=t"</f>
        <v>#VALUE!</v>
      </c>
      <c r="BX163" t="e">
        <f>'2.5.Трудоемкость'!CB18+"BYw!(=u"</f>
        <v>#VALUE!</v>
      </c>
      <c r="BY163" t="e">
        <f>'2.5.Трудоемкость'!CC18+"BYw!(=v"</f>
        <v>#VALUE!</v>
      </c>
      <c r="BZ163" t="e">
        <f>'2.5.Трудоемкость'!CD18+"BYw!(=w"</f>
        <v>#VALUE!</v>
      </c>
      <c r="CA163" t="e">
        <f>'2.5.Трудоемкость'!CE18+"BYw!(=x"</f>
        <v>#VALUE!</v>
      </c>
      <c r="CB163" t="e">
        <f>'2.5.Трудоемкость'!CF18+"BYw!(=y"</f>
        <v>#VALUE!</v>
      </c>
      <c r="CC163" t="e">
        <f>'2.5.Трудоемкость'!CG18+"BYw!(=z"</f>
        <v>#VALUE!</v>
      </c>
      <c r="CD163" t="e">
        <f>'2.5.Трудоемкость'!CH18+"BYw!(={"</f>
        <v>#VALUE!</v>
      </c>
      <c r="CE163" t="e">
        <f>'2.5.Трудоемкость'!CI18+"BYw!(=|"</f>
        <v>#VALUE!</v>
      </c>
      <c r="CF163" t="e">
        <f>'2.5.Трудоемкость'!CJ18+"BYw!(=}"</f>
        <v>#VALUE!</v>
      </c>
      <c r="CG163" t="e">
        <f>'2.5.Трудоемкость'!CK18+"BYw!(=~"</f>
        <v>#VALUE!</v>
      </c>
      <c r="CH163" t="e">
        <f>'2.5.Трудоемкость'!CL18+"BYw!(&gt;#"</f>
        <v>#VALUE!</v>
      </c>
      <c r="CI163" t="e">
        <f>'2.5.Трудоемкость'!CM18+"BYw!(&gt;$"</f>
        <v>#VALUE!</v>
      </c>
      <c r="CJ163" t="e">
        <f>'2.5.Трудоемкость'!CN18+"BYw!(&gt;%"</f>
        <v>#VALUE!</v>
      </c>
      <c r="CK163" t="e">
        <f>'2.5.Трудоемкость'!CO18+"BYw!(&gt;&amp;"</f>
        <v>#VALUE!</v>
      </c>
      <c r="CL163" t="e">
        <f>'2.5.Трудоемкость'!CP18+"BYw!(&gt;'"</f>
        <v>#VALUE!</v>
      </c>
      <c r="CM163" t="e">
        <f>'2.5.Трудоемкость'!CQ18+"BYw!(&gt;("</f>
        <v>#VALUE!</v>
      </c>
      <c r="CN163" t="e">
        <f>'2.5.Трудоемкость'!CR18+"BYw!(&gt;)"</f>
        <v>#VALUE!</v>
      </c>
      <c r="CO163" t="e">
        <f>'2.5.Трудоемкость'!CS18+"BYw!(&gt;."</f>
        <v>#VALUE!</v>
      </c>
      <c r="CP163" t="e">
        <f>'2.5.Трудоемкость'!CT18+"BYw!(&gt;/"</f>
        <v>#VALUE!</v>
      </c>
      <c r="CQ163" t="e">
        <f>'2.5.Трудоемкость'!CU18+"BYw!(&gt;0"</f>
        <v>#VALUE!</v>
      </c>
      <c r="CR163" t="e">
        <f>'2.5.Трудоемкость'!CV18+"BYw!(&gt;1"</f>
        <v>#VALUE!</v>
      </c>
      <c r="CS163" t="e">
        <f>'2.5.Трудоемкость'!CW18+"BYw!(&gt;2"</f>
        <v>#VALUE!</v>
      </c>
      <c r="CT163" t="e">
        <f>'2.5.Трудоемкость'!CX18+"BYw!(&gt;3"</f>
        <v>#VALUE!</v>
      </c>
      <c r="CU163" t="e">
        <f>'2.5.Трудоемкость'!CY18+"BYw!(&gt;4"</f>
        <v>#VALUE!</v>
      </c>
      <c r="CV163" t="e">
        <f>'2.5.Трудоемкость'!CZ18+"BYw!(&gt;5"</f>
        <v>#VALUE!</v>
      </c>
      <c r="CW163" t="e">
        <f>'2.5.Трудоемкость'!DA18+"BYw!(&gt;6"</f>
        <v>#VALUE!</v>
      </c>
      <c r="CX163" t="e">
        <f>'2.5.Трудоемкость'!DB18+"BYw!(&gt;7"</f>
        <v>#VALUE!</v>
      </c>
      <c r="CY163" t="e">
        <f>'2.5.Трудоемкость'!DC18+"BYw!(&gt;8"</f>
        <v>#VALUE!</v>
      </c>
      <c r="CZ163" t="e">
        <f>'2.5.Трудоемкость'!DD18+"BYw!(&gt;9"</f>
        <v>#VALUE!</v>
      </c>
      <c r="DA163" t="e">
        <f>'2.5.Трудоемкость'!DE18+"BYw!(&gt;:"</f>
        <v>#VALUE!</v>
      </c>
      <c r="DB163" t="e">
        <f>'2.5.Трудоемкость'!DF18+"BYw!(&gt;;"</f>
        <v>#VALUE!</v>
      </c>
      <c r="DC163" t="e">
        <f>'2.5.Трудоемкость'!DG18+"BYw!(&gt;&lt;"</f>
        <v>#VALUE!</v>
      </c>
      <c r="DD163" t="e">
        <f>'2.5.Трудоемкость'!DH18+"BYw!(&gt;="</f>
        <v>#VALUE!</v>
      </c>
      <c r="DE163" t="e">
        <f>'2.5.Трудоемкость'!DI18+"BYw!(&gt;&gt;"</f>
        <v>#VALUE!</v>
      </c>
      <c r="DF163" t="e">
        <f>'2.5.Трудоемкость'!DJ18+"BYw!(&gt;?"</f>
        <v>#VALUE!</v>
      </c>
      <c r="DG163" t="e">
        <f>'2.5.Трудоемкость'!DK18+"BYw!(&gt;@"</f>
        <v>#VALUE!</v>
      </c>
      <c r="DH163" t="e">
        <f>'2.5.Трудоемкость'!DL18+"BYw!(&gt;A"</f>
        <v>#VALUE!</v>
      </c>
      <c r="DI163" t="e">
        <f>'2.5.Трудоемкость'!DM18+"BYw!(&gt;B"</f>
        <v>#VALUE!</v>
      </c>
      <c r="DJ163" t="e">
        <f>'2.5.Трудоемкость'!DN18+"BYw!(&gt;C"</f>
        <v>#VALUE!</v>
      </c>
      <c r="DK163" t="e">
        <f>'2.5.Трудоемкость'!DO18+"BYw!(&gt;D"</f>
        <v>#VALUE!</v>
      </c>
      <c r="DL163" t="e">
        <f>'2.5.Трудоемкость'!DP18+"BYw!(&gt;E"</f>
        <v>#VALUE!</v>
      </c>
      <c r="DM163" t="e">
        <f>'2.5.Трудоемкость'!DQ18+"BYw!(&gt;F"</f>
        <v>#VALUE!</v>
      </c>
      <c r="DN163" t="e">
        <f>'2.5.Трудоемкость'!DR18+"BYw!(&gt;G"</f>
        <v>#VALUE!</v>
      </c>
      <c r="DO163" t="e">
        <f>'2.5.Трудоемкость'!DS18+"BYw!(&gt;H"</f>
        <v>#VALUE!</v>
      </c>
      <c r="DP163" t="e">
        <f>'2.5.Трудоемкость'!DT18+"BYw!(&gt;I"</f>
        <v>#VALUE!</v>
      </c>
      <c r="DQ163" t="e">
        <f>'2.5.Трудоемкость'!DU18+"BYw!(&gt;J"</f>
        <v>#VALUE!</v>
      </c>
      <c r="DR163" t="e">
        <f>'2.5.Трудоемкость'!DV18+"BYw!(&gt;K"</f>
        <v>#VALUE!</v>
      </c>
      <c r="DS163" t="e">
        <f>'2.5.Трудоемкость'!DW18+"BYw!(&gt;L"</f>
        <v>#VALUE!</v>
      </c>
      <c r="DT163" t="e">
        <f>'2.5.Трудоемкость'!DX18+"BYw!(&gt;M"</f>
        <v>#VALUE!</v>
      </c>
      <c r="DU163" t="e">
        <f>'2.5.Трудоемкость'!DY18+"BYw!(&gt;N"</f>
        <v>#VALUE!</v>
      </c>
      <c r="DV163" t="e">
        <f>'2.5.Трудоемкость'!DZ18+"BYw!(&gt;O"</f>
        <v>#VALUE!</v>
      </c>
      <c r="DW163" t="e">
        <f>'2.5.Трудоемкость'!EA18+"BYw!(&gt;P"</f>
        <v>#VALUE!</v>
      </c>
      <c r="DX163" t="e">
        <f>'2.5.Трудоемкость'!EB18+"BYw!(&gt;Q"</f>
        <v>#VALUE!</v>
      </c>
      <c r="DY163" t="e">
        <f>'2.5.Трудоемкость'!EC18+"BYw!(&gt;R"</f>
        <v>#VALUE!</v>
      </c>
      <c r="DZ163" t="e">
        <f>'2.5.Трудоемкость'!ED18+"BYw!(&gt;S"</f>
        <v>#VALUE!</v>
      </c>
      <c r="EA163" t="e">
        <f>'2.5.Трудоемкость'!EE18+"BYw!(&gt;T"</f>
        <v>#VALUE!</v>
      </c>
      <c r="EB163" t="e">
        <f>'2.5.Трудоемкость'!EF18+"BYw!(&gt;U"</f>
        <v>#VALUE!</v>
      </c>
      <c r="EC163" t="e">
        <f>'2.5.Трудоемкость'!EG18+"BYw!(&gt;V"</f>
        <v>#VALUE!</v>
      </c>
      <c r="ED163" t="e">
        <f>'2.5.Трудоемкость'!EH18+"BYw!(&gt;W"</f>
        <v>#VALUE!</v>
      </c>
      <c r="EE163" t="e">
        <f>'2.5.Трудоемкость'!EI18+"BYw!(&gt;X"</f>
        <v>#VALUE!</v>
      </c>
      <c r="EF163" t="e">
        <f>'2.5.Трудоемкость'!EJ18+"BYw!(&gt;Y"</f>
        <v>#VALUE!</v>
      </c>
      <c r="EG163" t="e">
        <f>'2.5.Трудоемкость'!EK18+"BYw!(&gt;Z"</f>
        <v>#VALUE!</v>
      </c>
      <c r="EH163" t="e">
        <f>'2.5.Трудоемкость'!EL18+"BYw!(&gt;["</f>
        <v>#VALUE!</v>
      </c>
      <c r="EI163" t="e">
        <f>'2.5.Трудоемкость'!EM18+"BYw!(&gt;\"</f>
        <v>#VALUE!</v>
      </c>
      <c r="EJ163" t="e">
        <f>'2.5.Трудоемкость'!EN18+"BYw!(&gt;]"</f>
        <v>#VALUE!</v>
      </c>
      <c r="EK163" t="e">
        <f>'2.5.Трудоемкость'!EO18+"BYw!(&gt;^"</f>
        <v>#VALUE!</v>
      </c>
      <c r="EL163" t="e">
        <f>'2.5.Трудоемкость'!EP18+"BYw!(&gt;_"</f>
        <v>#VALUE!</v>
      </c>
      <c r="EM163" t="e">
        <f>'2.5.Трудоемкость'!EQ18+"BYw!(&gt;`"</f>
        <v>#VALUE!</v>
      </c>
      <c r="EN163" t="e">
        <f>'2.5.Трудоемкость'!ER18+"BYw!(&gt;a"</f>
        <v>#VALUE!</v>
      </c>
      <c r="EO163" t="e">
        <f>'2.5.Трудоемкость'!ES18+"BYw!(&gt;b"</f>
        <v>#VALUE!</v>
      </c>
      <c r="EP163" t="e">
        <f>'2.5.Трудоемкость'!ET18+"BYw!(&gt;c"</f>
        <v>#VALUE!</v>
      </c>
      <c r="EQ163" t="e">
        <f>'2.5.Трудоемкость'!EU18+"BYw!(&gt;d"</f>
        <v>#VALUE!</v>
      </c>
      <c r="ER163" t="e">
        <f>'2.5.Трудоемкость'!EV18+"BYw!(&gt;e"</f>
        <v>#VALUE!</v>
      </c>
      <c r="ES163" t="e">
        <f>'2.5.Трудоемкость'!EW18+"BYw!(&gt;f"</f>
        <v>#VALUE!</v>
      </c>
      <c r="ET163" t="e">
        <f>'2.5.Трудоемкость'!EX18+"BYw!(&gt;g"</f>
        <v>#VALUE!</v>
      </c>
      <c r="EU163" t="e">
        <f>'2.5.Трудоемкость'!EY18+"BYw!(&gt;h"</f>
        <v>#VALUE!</v>
      </c>
      <c r="EV163" t="e">
        <f>'2.5.Трудоемкость'!EZ18+"BYw!(&gt;i"</f>
        <v>#VALUE!</v>
      </c>
      <c r="EW163" t="e">
        <f>'2.5.Трудоемкость'!FA18+"BYw!(&gt;j"</f>
        <v>#VALUE!</v>
      </c>
      <c r="EX163" t="e">
        <f>'2.5.Трудоемкость'!FB18+"BYw!(&gt;k"</f>
        <v>#VALUE!</v>
      </c>
      <c r="EY163" t="e">
        <f>'2.5.Трудоемкость'!FC18+"BYw!(&gt;l"</f>
        <v>#VALUE!</v>
      </c>
      <c r="EZ163" t="e">
        <f>'2.5.Трудоемкость'!FD18+"BYw!(&gt;m"</f>
        <v>#VALUE!</v>
      </c>
      <c r="FA163" t="e">
        <f>'2.5.Трудоемкость'!FE18+"BYw!(&gt;n"</f>
        <v>#VALUE!</v>
      </c>
      <c r="FB163" t="e">
        <f>'2.5.Трудоемкость'!FF18+"BYw!(&gt;o"</f>
        <v>#VALUE!</v>
      </c>
      <c r="FC163" t="e">
        <f>'2.5.Трудоемкость'!FG18+"BYw!(&gt;p"</f>
        <v>#VALUE!</v>
      </c>
      <c r="FD163" t="e">
        <f>'2.5.Трудоемкость'!FH18+"BYw!(&gt;q"</f>
        <v>#VALUE!</v>
      </c>
      <c r="FE163" t="e">
        <f>'2.5.Трудоемкость'!FI18+"BYw!(&gt;r"</f>
        <v>#VALUE!</v>
      </c>
      <c r="FF163" t="e">
        <f>'2.5.Трудоемкость'!FJ18+"BYw!(&gt;s"</f>
        <v>#VALUE!</v>
      </c>
      <c r="FG163" t="e">
        <f>'2.5.Трудоемкость'!FK18+"BYw!(&gt;t"</f>
        <v>#VALUE!</v>
      </c>
      <c r="FH163" t="e">
        <f>'2.5.Трудоемкость'!FL18+"BYw!(&gt;u"</f>
        <v>#VALUE!</v>
      </c>
      <c r="FI163" t="e">
        <f>'2.5.Трудоемкость'!FM18+"BYw!(&gt;v"</f>
        <v>#VALUE!</v>
      </c>
      <c r="FJ163" t="e">
        <f>'2.5.Трудоемкость'!FN18+"BYw!(&gt;w"</f>
        <v>#VALUE!</v>
      </c>
      <c r="FK163" t="e">
        <f>'2.5.Трудоемкость'!FO18+"BYw!(&gt;x"</f>
        <v>#VALUE!</v>
      </c>
      <c r="FL163" t="e">
        <f>'2.5.Трудоемкость'!FP18+"BYw!(&gt;y"</f>
        <v>#VALUE!</v>
      </c>
      <c r="FM163" t="e">
        <f>'2.5.Трудоемкость'!FQ18+"BYw!(&gt;z"</f>
        <v>#VALUE!</v>
      </c>
      <c r="FN163" t="e">
        <f>'2.5.Трудоемкость'!FR18+"BYw!(&gt;{"</f>
        <v>#VALUE!</v>
      </c>
      <c r="FO163" t="e">
        <f>'2.5.Трудоемкость'!FS18+"BYw!(&gt;|"</f>
        <v>#VALUE!</v>
      </c>
      <c r="FP163" t="e">
        <f>'2.5.Трудоемкость'!FT18+"BYw!(&gt;}"</f>
        <v>#VALUE!</v>
      </c>
      <c r="FQ163" t="e">
        <f>'2.5.Трудоемкость'!FU18+"BYw!(&gt;~"</f>
        <v>#VALUE!</v>
      </c>
      <c r="FR163" t="e">
        <f>'2.5.Трудоемкость'!FV18+"BYw!(?#"</f>
        <v>#VALUE!</v>
      </c>
      <c r="FS163" t="e">
        <f>'2.5.Трудоемкость'!FW18+"BYw!(?$"</f>
        <v>#VALUE!</v>
      </c>
      <c r="FT163" t="e">
        <f>'2.5.Трудоемкость'!FX18+"BYw!(?%"</f>
        <v>#VALUE!</v>
      </c>
      <c r="FU163" t="e">
        <f>'2.5.Трудоемкость'!FY18+"BYw!(?&amp;"</f>
        <v>#VALUE!</v>
      </c>
      <c r="FV163" t="e">
        <f>'2.5.Трудоемкость'!FZ18+"BYw!(?'"</f>
        <v>#VALUE!</v>
      </c>
      <c r="FW163" t="e">
        <f>'2.5.Трудоемкость'!GA18+"BYw!(?("</f>
        <v>#VALUE!</v>
      </c>
      <c r="FX163" t="e">
        <f>'2.5.Трудоемкость'!GB18+"BYw!(?)"</f>
        <v>#VALUE!</v>
      </c>
      <c r="FY163" t="e">
        <f>'2.5.Трудоемкость'!GC18+"BYw!(?."</f>
        <v>#VALUE!</v>
      </c>
      <c r="FZ163" t="e">
        <f>'2.5.Трудоемкость'!GD18+"BYw!(?/"</f>
        <v>#VALUE!</v>
      </c>
      <c r="GA163" t="e">
        <f>'2.5.Трудоемкость'!GE18+"BYw!(?0"</f>
        <v>#VALUE!</v>
      </c>
      <c r="GB163" t="e">
        <f>'2.5.Трудоемкость'!GF18+"BYw!(?1"</f>
        <v>#VALUE!</v>
      </c>
      <c r="GC163" t="e">
        <f>'2.5.Трудоемкость'!GG18+"BYw!(?2"</f>
        <v>#VALUE!</v>
      </c>
      <c r="GD163" t="e">
        <f>'2.5.Трудоемкость'!GH18+"BYw!(?3"</f>
        <v>#VALUE!</v>
      </c>
      <c r="GE163" t="e">
        <f>'2.5.Трудоемкость'!GI18+"BYw!(?4"</f>
        <v>#VALUE!</v>
      </c>
      <c r="GF163" t="e">
        <f>'2.5.Трудоемкость'!GJ18+"BYw!(?5"</f>
        <v>#VALUE!</v>
      </c>
      <c r="GG163" t="e">
        <f>'2.5.Трудоемкость'!GK18+"BYw!(?6"</f>
        <v>#VALUE!</v>
      </c>
      <c r="GH163" t="e">
        <f>'2.5.Трудоемкость'!GL18+"BYw!(?7"</f>
        <v>#VALUE!</v>
      </c>
      <c r="GI163" t="e">
        <f>'2.5.Трудоемкость'!GM18+"BYw!(?8"</f>
        <v>#VALUE!</v>
      </c>
      <c r="GJ163" t="e">
        <f>'2.5.Трудоемкость'!GN18+"BYw!(?9"</f>
        <v>#VALUE!</v>
      </c>
      <c r="GK163" t="e">
        <f>'2.5.Трудоемкость'!GO18+"BYw!(?:"</f>
        <v>#VALUE!</v>
      </c>
      <c r="GL163" t="e">
        <f>'2.5.Трудоемкость'!GP18+"BYw!(?;"</f>
        <v>#VALUE!</v>
      </c>
      <c r="GM163" t="e">
        <f>'2.5.Трудоемкость'!GQ18+"BYw!(?&lt;"</f>
        <v>#VALUE!</v>
      </c>
      <c r="GN163" t="e">
        <f>'2.5.Трудоемкость'!GR18+"BYw!(?="</f>
        <v>#VALUE!</v>
      </c>
      <c r="GO163" t="e">
        <f>'2.5.Трудоемкость'!GS18+"BYw!(?&gt;"</f>
        <v>#VALUE!</v>
      </c>
      <c r="GP163" t="e">
        <f>'2.5.Трудоемкость'!GT18+"BYw!(??"</f>
        <v>#VALUE!</v>
      </c>
      <c r="GQ163" t="e">
        <f>'2.5.Трудоемкость'!GU18+"BYw!(?@"</f>
        <v>#VALUE!</v>
      </c>
      <c r="GR163" t="e">
        <f>'2.5.Трудоемкость'!GV18+"BYw!(?A"</f>
        <v>#VALUE!</v>
      </c>
      <c r="GS163" t="e">
        <f>'2.5.Трудоемкость'!GW18+"BYw!(?B"</f>
        <v>#VALUE!</v>
      </c>
      <c r="GT163" t="e">
        <f>'2.5.Трудоемкость'!GX18+"BYw!(?C"</f>
        <v>#VALUE!</v>
      </c>
      <c r="GU163" t="e">
        <f>'2.5.Трудоемкость'!GY18+"BYw!(?D"</f>
        <v>#VALUE!</v>
      </c>
      <c r="GV163" t="e">
        <f>'2.5.Трудоемкость'!GZ18+"BYw!(?E"</f>
        <v>#VALUE!</v>
      </c>
      <c r="GW163" t="e">
        <f>'2.5.Трудоемкость'!HA18+"BYw!(?F"</f>
        <v>#VALUE!</v>
      </c>
      <c r="GX163" t="e">
        <f>'2.5.Трудоемкость'!HB18+"BYw!(?G"</f>
        <v>#VALUE!</v>
      </c>
      <c r="GY163" t="e">
        <f>'2.5.Трудоемкость'!HC18+"BYw!(?H"</f>
        <v>#VALUE!</v>
      </c>
      <c r="GZ163" t="e">
        <f>'2.5.Трудоемкость'!HD18+"BYw!(?I"</f>
        <v>#VALUE!</v>
      </c>
      <c r="HA163" t="e">
        <f>'2.5.Трудоемкость'!HE18+"BYw!(?J"</f>
        <v>#VALUE!</v>
      </c>
      <c r="HB163" t="e">
        <f>'2.5.Трудоемкость'!HF18+"BYw!(?K"</f>
        <v>#VALUE!</v>
      </c>
      <c r="HC163" t="e">
        <f>'2.5.Трудоемкость'!HG18+"BYw!(?L"</f>
        <v>#VALUE!</v>
      </c>
      <c r="HD163" t="e">
        <f>'2.5.Трудоемкость'!HH18+"BYw!(?M"</f>
        <v>#VALUE!</v>
      </c>
      <c r="HE163" t="e">
        <f>'2.5.Трудоемкость'!HI18+"BYw!(?N"</f>
        <v>#VALUE!</v>
      </c>
      <c r="HF163" t="e">
        <f>'2.5.Трудоемкость'!HJ18+"BYw!(?O"</f>
        <v>#VALUE!</v>
      </c>
      <c r="HG163" t="e">
        <f>'2.5.Трудоемкость'!HK18+"BYw!(?P"</f>
        <v>#VALUE!</v>
      </c>
      <c r="HH163" t="e">
        <f>'2.5.Трудоемкость'!HL18+"BYw!(?Q"</f>
        <v>#VALUE!</v>
      </c>
      <c r="HI163" t="e">
        <f>'2.5.Трудоемкость'!HM18+"BYw!(?R"</f>
        <v>#VALUE!</v>
      </c>
      <c r="HJ163" t="e">
        <f>'2.5.Трудоемкость'!HN18+"BYw!(?S"</f>
        <v>#VALUE!</v>
      </c>
      <c r="HK163" t="e">
        <f>'2.5.Трудоемкость'!HO18+"BYw!(?T"</f>
        <v>#VALUE!</v>
      </c>
      <c r="HL163" t="e">
        <f>'2.5.Трудоемкость'!HP18+"BYw!(?U"</f>
        <v>#VALUE!</v>
      </c>
      <c r="HM163" t="e">
        <f>'2.5.Трудоемкость'!HQ18+"BYw!(?V"</f>
        <v>#VALUE!</v>
      </c>
      <c r="HN163" t="e">
        <f>'2.5.Трудоемкость'!HR18+"BYw!(?W"</f>
        <v>#VALUE!</v>
      </c>
      <c r="HO163" t="e">
        <f>'2.5.Трудоемкость'!HS18+"BYw!(?X"</f>
        <v>#VALUE!</v>
      </c>
      <c r="HP163" t="e">
        <f>'2.5.Трудоемкость'!HT18+"BYw!(?Y"</f>
        <v>#VALUE!</v>
      </c>
      <c r="HQ163" t="e">
        <f>'2.5.Трудоемкость'!HU18+"BYw!(?Z"</f>
        <v>#VALUE!</v>
      </c>
      <c r="HR163" t="e">
        <f>'2.5.Трудоемкость'!HV18+"BYw!(?["</f>
        <v>#VALUE!</v>
      </c>
      <c r="HS163" t="e">
        <f>'2.5.Трудоемкость'!HW18+"BYw!(?\"</f>
        <v>#VALUE!</v>
      </c>
      <c r="HT163" t="e">
        <f>'2.5.Трудоемкость'!HX18+"BYw!(?]"</f>
        <v>#VALUE!</v>
      </c>
      <c r="HU163" t="e">
        <f>'2.5.Трудоемкость'!HY18+"BYw!(?^"</f>
        <v>#VALUE!</v>
      </c>
      <c r="HV163" t="e">
        <f>'2.5.Трудоемкость'!HZ18+"BYw!(?_"</f>
        <v>#VALUE!</v>
      </c>
      <c r="HW163" t="e">
        <f>'2.5.Трудоемкость'!IA18+"BYw!(?`"</f>
        <v>#VALUE!</v>
      </c>
      <c r="HX163" t="e">
        <f>'2.5.Трудоемкость'!IB18+"BYw!(?a"</f>
        <v>#VALUE!</v>
      </c>
      <c r="HY163" t="e">
        <f>'2.5.Трудоемкость'!IC18+"BYw!(?b"</f>
        <v>#VALUE!</v>
      </c>
      <c r="HZ163" t="e">
        <f>'2.5.Трудоемкость'!ID18+"BYw!(?c"</f>
        <v>#VALUE!</v>
      </c>
      <c r="IA163" t="e">
        <f>'2.5.Трудоемкость'!IE18+"BYw!(?d"</f>
        <v>#VALUE!</v>
      </c>
      <c r="IB163" t="e">
        <f>'2.5.Трудоемкость'!IF18+"BYw!(?e"</f>
        <v>#VALUE!</v>
      </c>
      <c r="IC163" t="e">
        <f>'2.5.Трудоемкость'!IG18+"BYw!(?f"</f>
        <v>#VALUE!</v>
      </c>
      <c r="ID163" t="e">
        <f>'2.5.Трудоемкость'!IH18+"BYw!(?g"</f>
        <v>#VALUE!</v>
      </c>
      <c r="IE163" t="e">
        <f>'2.5.Трудоемкость'!II18+"BYw!(?h"</f>
        <v>#VALUE!</v>
      </c>
      <c r="IF163" t="e">
        <f>'2.5.Трудоемкость'!IJ18+"BYw!(?i"</f>
        <v>#VALUE!</v>
      </c>
      <c r="IG163" t="e">
        <f>'2.5.Трудоемкость'!IK18+"BYw!(?j"</f>
        <v>#VALUE!</v>
      </c>
      <c r="IH163" t="e">
        <f>'2.5.Трудоемкость'!IL18+"BYw!(?k"</f>
        <v>#VALUE!</v>
      </c>
      <c r="II163" t="e">
        <f>'2.5.Трудоемкость'!IM18+"BYw!(?l"</f>
        <v>#VALUE!</v>
      </c>
      <c r="IJ163" t="e">
        <f>'2.5.Трудоемкость'!IN18+"BYw!(?m"</f>
        <v>#VALUE!</v>
      </c>
      <c r="IK163" t="e">
        <f>'2.5.Трудоемкость'!IO18+"BYw!(?n"</f>
        <v>#VALUE!</v>
      </c>
      <c r="IL163" t="e">
        <f>'2.5.Трудоемкость'!IP18+"BYw!(?o"</f>
        <v>#VALUE!</v>
      </c>
      <c r="IM163" t="e">
        <f>'2.5.Трудоемкость'!IQ18+"BYw!(?p"</f>
        <v>#VALUE!</v>
      </c>
      <c r="IN163" t="e">
        <f>'2.5.Трудоемкость'!IR18+"BYw!(?q"</f>
        <v>#VALUE!</v>
      </c>
      <c r="IO163" t="e">
        <f>'2.5.Трудоемкость'!IS18+"BYw!(?r"</f>
        <v>#VALUE!</v>
      </c>
      <c r="IP163" t="e">
        <f>'2.5.Трудоемкость'!IT18+"BYw!(?s"</f>
        <v>#VALUE!</v>
      </c>
      <c r="IQ163" t="e">
        <f>'2.5.Трудоемкость'!IU18+"BYw!(?t"</f>
        <v>#VALUE!</v>
      </c>
      <c r="IR163" t="e">
        <f>'2.5.Трудоемкость'!IV18+"BYw!(?u"</f>
        <v>#VALUE!</v>
      </c>
      <c r="IS163" t="e">
        <f>'2.5.Трудоемкость'!IW18+"BYw!(?v"</f>
        <v>#VALUE!</v>
      </c>
      <c r="IT163" t="e">
        <f>'2.5.Трудоемкость'!IX18+"BYw!(?w"</f>
        <v>#VALUE!</v>
      </c>
      <c r="IU163" t="e">
        <f>'2.5.Трудоемкость'!IY18+"BYw!(?x"</f>
        <v>#VALUE!</v>
      </c>
      <c r="IV163" t="e">
        <f>'2.5.Трудоемкость'!IZ18+"BYw!(?y"</f>
        <v>#VALUE!</v>
      </c>
    </row>
    <row r="164" spans="6:256" x14ac:dyDescent="0.2">
      <c r="F164" t="e">
        <f>'2.5.Трудоемкость'!JA18+"BYw!(?z"</f>
        <v>#VALUE!</v>
      </c>
      <c r="G164" t="e">
        <f>'2.5.Трудоемкость'!JB18+"BYw!(?{"</f>
        <v>#VALUE!</v>
      </c>
      <c r="H164" t="e">
        <f>'2.5.Трудоемкость'!JC18+"BYw!(?|"</f>
        <v>#VALUE!</v>
      </c>
      <c r="I164" t="e">
        <f>'2.5.Трудоемкость'!JD18+"BYw!(?}"</f>
        <v>#VALUE!</v>
      </c>
      <c r="J164" t="e">
        <f>'2.5.Трудоемкость'!JE18+"BYw!(?~"</f>
        <v>#VALUE!</v>
      </c>
      <c r="K164" t="e">
        <f>'2.5.Трудоемкость'!JF18+"BYw!(@#"</f>
        <v>#VALUE!</v>
      </c>
      <c r="L164" t="e">
        <f>'2.5.Трудоемкость'!JG18+"BYw!(@$"</f>
        <v>#VALUE!</v>
      </c>
      <c r="M164" t="e">
        <f>'2.5.Трудоемкость'!JH18+"BYw!(@%"</f>
        <v>#VALUE!</v>
      </c>
      <c r="N164" t="e">
        <f>'2.5.Трудоемкость'!JI18+"BYw!(@&amp;"</f>
        <v>#VALUE!</v>
      </c>
      <c r="O164" t="e">
        <f>'2.5.Трудоемкость'!JJ18+"BYw!(@'"</f>
        <v>#VALUE!</v>
      </c>
      <c r="P164" t="e">
        <f>'2.5.Трудоемкость'!JK18+"BYw!(@("</f>
        <v>#VALUE!</v>
      </c>
      <c r="Q164" t="e">
        <f>'2.5.Трудоемкость'!JL18+"BYw!(@)"</f>
        <v>#VALUE!</v>
      </c>
      <c r="R164" t="e">
        <f>'2.5.Трудоемкость'!JM18+"BYw!(@."</f>
        <v>#VALUE!</v>
      </c>
      <c r="S164" t="e">
        <f>'2.5.Трудоемкость'!JN18+"BYw!(@/"</f>
        <v>#VALUE!</v>
      </c>
      <c r="T164" t="e">
        <f>'2.5.Трудоемкость'!JO18+"BYw!(@0"</f>
        <v>#VALUE!</v>
      </c>
      <c r="U164" t="e">
        <f>'2.5.Трудоемкость'!JP18+"BYw!(@1"</f>
        <v>#VALUE!</v>
      </c>
      <c r="V164" t="e">
        <f>'2.5.Трудоемкость'!JQ18+"BYw!(@2"</f>
        <v>#VALUE!</v>
      </c>
      <c r="W164" t="e">
        <f>'2.5.Трудоемкость'!JR18+"BYw!(@3"</f>
        <v>#VALUE!</v>
      </c>
      <c r="X164" t="e">
        <f>'2.5.Трудоемкость'!JS18+"BYw!(@4"</f>
        <v>#VALUE!</v>
      </c>
      <c r="Y164" t="e">
        <f>'2.5.Трудоемкость'!JT18+"BYw!(@5"</f>
        <v>#VALUE!</v>
      </c>
      <c r="Z164" t="e">
        <f>'2.5.Трудоемкость'!JU18+"BYw!(@6"</f>
        <v>#VALUE!</v>
      </c>
      <c r="AA164" t="e">
        <f>'2.5.Трудоемкость'!JV18+"BYw!(@7"</f>
        <v>#VALUE!</v>
      </c>
      <c r="AB164" t="e">
        <f>'2.5.Трудоемкость'!JW18+"BYw!(@8"</f>
        <v>#VALUE!</v>
      </c>
      <c r="AC164" t="e">
        <f>'2.5.Трудоемкость'!JX18+"BYw!(@9"</f>
        <v>#VALUE!</v>
      </c>
      <c r="AD164" t="e">
        <f>'2.5.Трудоемкость'!JY18+"BYw!(@:"</f>
        <v>#VALUE!</v>
      </c>
      <c r="AE164" t="e">
        <f>'2.5.Трудоемкость'!JZ18+"BYw!(@;"</f>
        <v>#VALUE!</v>
      </c>
      <c r="AF164" t="e">
        <f>'2.5.Трудоемкость'!KA18+"BYw!(@&lt;"</f>
        <v>#VALUE!</v>
      </c>
      <c r="AG164" t="e">
        <f>'2.5.Трудоемкость'!KB18+"BYw!(@="</f>
        <v>#VALUE!</v>
      </c>
      <c r="AH164" t="e">
        <f>'2.5.Трудоемкость'!KC18+"BYw!(@&gt;"</f>
        <v>#VALUE!</v>
      </c>
      <c r="AI164" t="e">
        <f>'2.5.Трудоемкость'!KD18+"BYw!(@?"</f>
        <v>#VALUE!</v>
      </c>
      <c r="AJ164" t="e">
        <f>'2.5.Трудоемкость'!KE18+"BYw!(@@"</f>
        <v>#VALUE!</v>
      </c>
      <c r="AK164" t="e">
        <f>'2.5.Трудоемкость'!KF18+"BYw!(@A"</f>
        <v>#VALUE!</v>
      </c>
      <c r="AL164" t="e">
        <f>'2.5.Трудоемкость'!KG18+"BYw!(@B"</f>
        <v>#VALUE!</v>
      </c>
      <c r="AM164" t="e">
        <f>'2.5.Трудоемкость'!KH18+"BYw!(@C"</f>
        <v>#VALUE!</v>
      </c>
      <c r="AN164" t="e">
        <f>'2.5.Трудоемкость'!KI18+"BYw!(@D"</f>
        <v>#VALUE!</v>
      </c>
      <c r="AO164" t="e">
        <f>'2.5.Трудоемкость'!KJ18+"BYw!(@E"</f>
        <v>#VALUE!</v>
      </c>
      <c r="AP164" t="e">
        <f>'2.5.Трудоемкость'!KK18+"BYw!(@F"</f>
        <v>#VALUE!</v>
      </c>
      <c r="AQ164" t="e">
        <f>'2.5.Трудоемкость'!KL18+"BYw!(@G"</f>
        <v>#VALUE!</v>
      </c>
      <c r="AR164" t="e">
        <f>'2.5.Трудоемкость'!KM18+"BYw!(@H"</f>
        <v>#VALUE!</v>
      </c>
      <c r="AS164" t="e">
        <f>'2.5.Трудоемкость'!KN18+"BYw!(@I"</f>
        <v>#VALUE!</v>
      </c>
      <c r="AT164" t="e">
        <f>'2.5.Трудоемкость'!KO18+"BYw!(@J"</f>
        <v>#VALUE!</v>
      </c>
      <c r="AU164" t="e">
        <f>'2.5.Трудоемкость'!KP18+"BYw!(@K"</f>
        <v>#VALUE!</v>
      </c>
      <c r="AV164" t="e">
        <f>'2.5.Трудоемкость'!KQ18+"BYw!(@L"</f>
        <v>#VALUE!</v>
      </c>
      <c r="AW164" t="e">
        <f>'2.5.Трудоемкость'!KR18+"BYw!(@M"</f>
        <v>#VALUE!</v>
      </c>
      <c r="AX164" t="e">
        <f>'2.5.Трудоемкость'!KS18+"BYw!(@N"</f>
        <v>#VALUE!</v>
      </c>
      <c r="AY164" t="e">
        <f>'2.5.Трудоемкость'!KT18+"BYw!(@O"</f>
        <v>#VALUE!</v>
      </c>
      <c r="AZ164" t="e">
        <f>'2.5.Трудоемкость'!KU18+"BYw!(@P"</f>
        <v>#VALUE!</v>
      </c>
      <c r="BA164" t="e">
        <f>'2.5.Трудоемкость'!KV18+"BYw!(@Q"</f>
        <v>#VALUE!</v>
      </c>
      <c r="BB164" t="e">
        <f>'2.5.Трудоемкость'!KW18+"BYw!(@R"</f>
        <v>#VALUE!</v>
      </c>
      <c r="BC164" t="e">
        <f>'2.5.Трудоемкость'!KX18+"BYw!(@S"</f>
        <v>#VALUE!</v>
      </c>
      <c r="BD164" t="e">
        <f>'2.5.Трудоемкость'!KY18+"BYw!(@T"</f>
        <v>#VALUE!</v>
      </c>
      <c r="BE164" t="e">
        <f>'2.5.Трудоемкость'!KZ18+"BYw!(@U"</f>
        <v>#VALUE!</v>
      </c>
      <c r="BF164" t="e">
        <f>'2.5.Трудоемкость'!LA18+"BYw!(@V"</f>
        <v>#VALUE!</v>
      </c>
      <c r="BG164" t="e">
        <f>'2.5.Трудоемкость'!LB18+"BYw!(@W"</f>
        <v>#VALUE!</v>
      </c>
      <c r="BH164" t="e">
        <f>'2.5.Трудоемкость'!LC18+"BYw!(@X"</f>
        <v>#VALUE!</v>
      </c>
      <c r="BI164" t="e">
        <f>'2.5.Трудоемкость'!LD18+"BYw!(@Y"</f>
        <v>#VALUE!</v>
      </c>
      <c r="BJ164" t="e">
        <f>'2.5.Трудоемкость'!LE18+"BYw!(@Z"</f>
        <v>#VALUE!</v>
      </c>
      <c r="BK164" t="e">
        <f>'2.5.Трудоемкость'!LF18+"BYw!(@["</f>
        <v>#VALUE!</v>
      </c>
      <c r="BL164" t="e">
        <f>'2.5.Трудоемкость'!LG18+"BYw!(@\"</f>
        <v>#VALUE!</v>
      </c>
      <c r="BM164" t="e">
        <f>'2.5.Трудоемкость'!LH18+"BYw!(@]"</f>
        <v>#VALUE!</v>
      </c>
      <c r="BN164" t="e">
        <f>'2.5.Трудоемкость'!LI18+"BYw!(@^"</f>
        <v>#VALUE!</v>
      </c>
      <c r="BO164" t="e">
        <f>'2.5.Трудоемкость'!LJ18+"BYw!(@_"</f>
        <v>#VALUE!</v>
      </c>
      <c r="BP164" t="e">
        <f>'2.5.Трудоемкость'!LK18+"BYw!(@`"</f>
        <v>#VALUE!</v>
      </c>
      <c r="BQ164" t="e">
        <f>'2.5.Трудоемкость'!LL18+"BYw!(@a"</f>
        <v>#VALUE!</v>
      </c>
      <c r="BR164" t="e">
        <f>'2.5.Трудоемкость'!LM18+"BYw!(@b"</f>
        <v>#VALUE!</v>
      </c>
      <c r="BS164" t="e">
        <f>'2.5.Трудоемкость'!LN18+"BYw!(@c"</f>
        <v>#VALUE!</v>
      </c>
      <c r="BT164" t="e">
        <f>'2.5.Трудоемкость'!LO18+"BYw!(@d"</f>
        <v>#VALUE!</v>
      </c>
      <c r="BU164" t="e">
        <f>'2.5.Трудоемкость'!LP18+"BYw!(@e"</f>
        <v>#VALUE!</v>
      </c>
      <c r="BV164" t="e">
        <f>'2.5.Трудоемкость'!LQ18+"BYw!(@f"</f>
        <v>#VALUE!</v>
      </c>
      <c r="BW164" t="e">
        <f>'2.5.Трудоемкость'!LR18+"BYw!(@g"</f>
        <v>#VALUE!</v>
      </c>
      <c r="BX164" t="e">
        <f>'2.5.Трудоемкость'!LS18+"BYw!(@h"</f>
        <v>#VALUE!</v>
      </c>
      <c r="BY164" t="e">
        <f>'2.5.Трудоемкость'!LT18+"BYw!(@i"</f>
        <v>#VALUE!</v>
      </c>
      <c r="BZ164" t="e">
        <f>'2.5.Трудоемкость'!LU18+"BYw!(@j"</f>
        <v>#VALUE!</v>
      </c>
      <c r="CA164" t="e">
        <f>'2.5.Трудоемкость'!LV18+"BYw!(@k"</f>
        <v>#VALUE!</v>
      </c>
      <c r="CB164" t="e">
        <f>'2.5.Трудоемкость'!LW18+"BYw!(@l"</f>
        <v>#VALUE!</v>
      </c>
      <c r="CC164" t="e">
        <f>'2.5.Трудоемкость'!LX18+"BYw!(@m"</f>
        <v>#VALUE!</v>
      </c>
      <c r="CD164" t="e">
        <f>'2.5.Трудоемкость'!LY18+"BYw!(@n"</f>
        <v>#VALUE!</v>
      </c>
      <c r="CE164" t="e">
        <f>'2.5.Трудоемкость'!LZ18+"BYw!(@o"</f>
        <v>#VALUE!</v>
      </c>
      <c r="CF164" t="e">
        <f>'2.5.Трудоемкость'!MA18+"BYw!(@p"</f>
        <v>#VALUE!</v>
      </c>
      <c r="CG164" t="e">
        <f>'2.5.Трудоемкость'!MB18+"BYw!(@q"</f>
        <v>#VALUE!</v>
      </c>
      <c r="CH164" t="e">
        <f>'2.5.Трудоемкость'!MC18+"BYw!(@r"</f>
        <v>#VALUE!</v>
      </c>
      <c r="CI164" t="e">
        <f>'2.5.Трудоемкость'!MD18+"BYw!(@s"</f>
        <v>#VALUE!</v>
      </c>
      <c r="CJ164" t="e">
        <f>'2.5.Трудоемкость'!ME18+"BYw!(@t"</f>
        <v>#VALUE!</v>
      </c>
      <c r="CK164" t="e">
        <f>'2.5.Трудоемкость'!MF18+"BYw!(@u"</f>
        <v>#VALUE!</v>
      </c>
      <c r="CL164" t="e">
        <f>'2.5.Трудоемкость'!MG18+"BYw!(@v"</f>
        <v>#VALUE!</v>
      </c>
      <c r="CM164" t="e">
        <f>'2.5.Трудоемкость'!MH18+"BYw!(@w"</f>
        <v>#VALUE!</v>
      </c>
      <c r="CN164" t="e">
        <f>'2.5.Трудоемкость'!MI18+"BYw!(@x"</f>
        <v>#VALUE!</v>
      </c>
      <c r="CO164" t="e">
        <f>'2.5.Трудоемкость'!MJ18+"BYw!(@y"</f>
        <v>#VALUE!</v>
      </c>
      <c r="CP164" t="e">
        <f>'2.5.Трудоемкость'!MK18+"BYw!(@z"</f>
        <v>#VALUE!</v>
      </c>
      <c r="CQ164" t="e">
        <f>'2.5.Трудоемкость'!ML18+"BYw!(@{"</f>
        <v>#VALUE!</v>
      </c>
      <c r="CR164" t="e">
        <f>'2.5.Трудоемкость'!MM18+"BYw!(@|"</f>
        <v>#VALUE!</v>
      </c>
      <c r="CS164" t="e">
        <f>'2.5.Трудоемкость'!MN18+"BYw!(@}"</f>
        <v>#VALUE!</v>
      </c>
      <c r="CT164" t="e">
        <f>'2.5.Трудоемкость'!MO18+"BYw!(@~"</f>
        <v>#VALUE!</v>
      </c>
      <c r="CU164" t="e">
        <f>'2.5.Трудоемкость'!MP18+"BYw!(A#"</f>
        <v>#VALUE!</v>
      </c>
      <c r="CV164" t="e">
        <f>'2.5.Трудоемкость'!MQ18+"BYw!(A$"</f>
        <v>#VALUE!</v>
      </c>
      <c r="CW164" t="e">
        <f>'2.5.Трудоемкость'!MR18+"BYw!(A%"</f>
        <v>#VALUE!</v>
      </c>
      <c r="CX164" t="e">
        <f>'2.5.Трудоемкость'!MS18+"BYw!(A&amp;"</f>
        <v>#VALUE!</v>
      </c>
      <c r="CY164" t="e">
        <f>'2.5.Трудоемкость'!MT18+"BYw!(A'"</f>
        <v>#VALUE!</v>
      </c>
      <c r="CZ164" t="e">
        <f>'2.5.Трудоемкость'!MU18+"BYw!(A("</f>
        <v>#VALUE!</v>
      </c>
      <c r="DA164" t="e">
        <f>'2.5.Трудоемкость'!MV18+"BYw!(A)"</f>
        <v>#VALUE!</v>
      </c>
      <c r="DB164" t="e">
        <f>'2.5.Трудоемкость'!MW18+"BYw!(A."</f>
        <v>#VALUE!</v>
      </c>
      <c r="DC164" t="e">
        <f>'2.5.Трудоемкость'!MX18+"BYw!(A/"</f>
        <v>#VALUE!</v>
      </c>
      <c r="DD164" t="e">
        <f>'2.5.Трудоемкость'!MY18+"BYw!(A0"</f>
        <v>#VALUE!</v>
      </c>
      <c r="DE164" t="e">
        <f>'2.5.Трудоемкость'!MZ18+"BYw!(A1"</f>
        <v>#VALUE!</v>
      </c>
      <c r="DF164" t="e">
        <f>'2.5.Трудоемкость'!NA18+"BYw!(A2"</f>
        <v>#VALUE!</v>
      </c>
      <c r="DG164" t="e">
        <f>'2.5.Трудоемкость'!NB18+"BYw!(A3"</f>
        <v>#VALUE!</v>
      </c>
      <c r="DH164" t="e">
        <f>'2.5.Трудоемкость'!NC18+"BYw!(A4"</f>
        <v>#VALUE!</v>
      </c>
      <c r="DI164" t="e">
        <f>'2.5.Трудоемкость'!ND18+"BYw!(A5"</f>
        <v>#VALUE!</v>
      </c>
      <c r="DJ164" t="e">
        <f>'2.5.Трудоемкость'!NE18+"BYw!(A6"</f>
        <v>#VALUE!</v>
      </c>
      <c r="DK164" t="e">
        <f>'2.5.Трудоемкость'!NF18+"BYw!(A7"</f>
        <v>#VALUE!</v>
      </c>
      <c r="DL164" t="e">
        <f>'2.5.Трудоемкость'!NG18+"BYw!(A8"</f>
        <v>#VALUE!</v>
      </c>
      <c r="DM164" t="e">
        <f>'2.5.Трудоемкость'!NH18+"BYw!(A9"</f>
        <v>#VALUE!</v>
      </c>
      <c r="DN164" t="e">
        <f>'2.5.Трудоемкость'!NI18+"BYw!(A:"</f>
        <v>#VALUE!</v>
      </c>
      <c r="DO164" t="e">
        <f>'2.5.Трудоемкость'!NJ18+"BYw!(A;"</f>
        <v>#VALUE!</v>
      </c>
      <c r="DP164" t="e">
        <f>'2.5.Трудоемкость'!NK18+"BYw!(A&lt;"</f>
        <v>#VALUE!</v>
      </c>
      <c r="DQ164" t="e">
        <f>'2.5.Трудоемкость'!NL18+"BYw!(A="</f>
        <v>#VALUE!</v>
      </c>
      <c r="DR164" t="e">
        <f>'2.5.Трудоемкость'!NM18+"BYw!(A&gt;"</f>
        <v>#VALUE!</v>
      </c>
      <c r="DS164" t="e">
        <f>'2.5.Трудоемкость'!NN18+"BYw!(A?"</f>
        <v>#VALUE!</v>
      </c>
      <c r="DT164" t="e">
        <f>'2.5.Трудоемкость'!NO18+"BYw!(A@"</f>
        <v>#VALUE!</v>
      </c>
      <c r="DU164" t="e">
        <f>'2.5.Трудоемкость'!NP18+"BYw!(AA"</f>
        <v>#VALUE!</v>
      </c>
      <c r="DV164" t="e">
        <f>'2.5.Трудоемкость'!NQ18+"BYw!(AB"</f>
        <v>#VALUE!</v>
      </c>
      <c r="DW164" t="e">
        <f>'2.5.Трудоемкость'!NR18+"BYw!(AC"</f>
        <v>#VALUE!</v>
      </c>
      <c r="DX164" t="e">
        <f>'2.5.Трудоемкость'!NS18+"BYw!(AD"</f>
        <v>#VALUE!</v>
      </c>
      <c r="DY164" t="e">
        <f>'2.5.Трудоемкость'!NT18+"BYw!(AE"</f>
        <v>#VALUE!</v>
      </c>
      <c r="DZ164" t="e">
        <f>'2.5.Трудоемкость'!NU18+"BYw!(AF"</f>
        <v>#VALUE!</v>
      </c>
      <c r="EA164" t="e">
        <f>'2.5.Трудоемкость'!NV18+"BYw!(AG"</f>
        <v>#VALUE!</v>
      </c>
      <c r="EB164" t="e">
        <f>'2.5.Трудоемкость'!NW18+"BYw!(AH"</f>
        <v>#VALUE!</v>
      </c>
      <c r="EC164" t="e">
        <f>'2.5.Трудоемкость'!NX18+"BYw!(AI"</f>
        <v>#VALUE!</v>
      </c>
      <c r="ED164" t="e">
        <f>'2.5.Трудоемкость'!NY18+"BYw!(AJ"</f>
        <v>#VALUE!</v>
      </c>
      <c r="EE164" t="e">
        <f>'2.5.Трудоемкость'!NZ18+"BYw!(AK"</f>
        <v>#VALUE!</v>
      </c>
      <c r="EF164" t="e">
        <f>'2.5.Трудоемкость'!OA18+"BYw!(AL"</f>
        <v>#VALUE!</v>
      </c>
      <c r="EG164" t="e">
        <f>'2.5.Трудоемкость'!OB18+"BYw!(AM"</f>
        <v>#VALUE!</v>
      </c>
      <c r="EH164" t="e">
        <f>'2.5.Трудоемкость'!OC18+"BYw!(AN"</f>
        <v>#VALUE!</v>
      </c>
      <c r="EI164" t="e">
        <f>'2.5.Трудоемкость'!OD18+"BYw!(AO"</f>
        <v>#VALUE!</v>
      </c>
      <c r="EJ164" t="e">
        <f>'2.5.Трудоемкость'!OE18+"BYw!(AP"</f>
        <v>#VALUE!</v>
      </c>
      <c r="EK164" t="e">
        <f>'2.5.Трудоемкость'!OF18+"BYw!(AQ"</f>
        <v>#VALUE!</v>
      </c>
      <c r="EL164" t="e">
        <f>'2.5.Трудоемкость'!OG18+"BYw!(AR"</f>
        <v>#VALUE!</v>
      </c>
      <c r="EM164" t="e">
        <f>'2.5.Трудоемкость'!OH18+"BYw!(AS"</f>
        <v>#VALUE!</v>
      </c>
      <c r="EN164" t="e">
        <f>'2.5.Трудоемкость'!OI18+"BYw!(AT"</f>
        <v>#VALUE!</v>
      </c>
      <c r="EO164" t="e">
        <f>'2.5.Трудоемкость'!OJ18+"BYw!(AU"</f>
        <v>#VALUE!</v>
      </c>
      <c r="EP164" t="e">
        <f>'2.5.Трудоемкость'!OK18+"BYw!(AV"</f>
        <v>#VALUE!</v>
      </c>
      <c r="EQ164" t="e">
        <f>'2.5.Трудоемкость'!OL18+"BYw!(AW"</f>
        <v>#VALUE!</v>
      </c>
      <c r="ER164" t="e">
        <f>'2.5.Трудоемкость'!OM18+"BYw!(AX"</f>
        <v>#VALUE!</v>
      </c>
      <c r="ES164" t="e">
        <f>'2.5.Трудоемкость'!ON18+"BYw!(AY"</f>
        <v>#VALUE!</v>
      </c>
      <c r="ET164" t="e">
        <f>'2.5.Трудоемкость'!OO18+"BYw!(AZ"</f>
        <v>#VALUE!</v>
      </c>
      <c r="EU164" t="e">
        <f>'2.5.Трудоемкость'!OP18+"BYw!(A["</f>
        <v>#VALUE!</v>
      </c>
      <c r="EV164" t="e">
        <f>'2.5.Трудоемкость'!OQ18+"BYw!(A\"</f>
        <v>#VALUE!</v>
      </c>
      <c r="EW164" t="e">
        <f>'2.5.Трудоемкость'!OR18+"BYw!(A]"</f>
        <v>#VALUE!</v>
      </c>
      <c r="EX164" t="e">
        <f>'2.5.Трудоемкость'!OS18+"BYw!(A^"</f>
        <v>#VALUE!</v>
      </c>
      <c r="EY164" t="e">
        <f>'2.5.Трудоемкость'!OT18+"BYw!(A_"</f>
        <v>#VALUE!</v>
      </c>
      <c r="EZ164" t="e">
        <f>'2.5.Трудоемкость'!OU18+"BYw!(A`"</f>
        <v>#VALUE!</v>
      </c>
      <c r="FA164" t="e">
        <f>'2.5.Трудоемкость'!OV18+"BYw!(Aa"</f>
        <v>#VALUE!</v>
      </c>
      <c r="FB164" t="e">
        <f>'2.5.Трудоемкость'!OW18+"BYw!(Ab"</f>
        <v>#VALUE!</v>
      </c>
      <c r="FC164" t="e">
        <f>'2.5.Трудоемкость'!OX18+"BYw!(Ac"</f>
        <v>#VALUE!</v>
      </c>
      <c r="FD164" t="e">
        <f>'2.5.Трудоемкость'!OY18+"BYw!(Ad"</f>
        <v>#VALUE!</v>
      </c>
      <c r="FE164" t="e">
        <f>'2.5.Трудоемкость'!OZ18+"BYw!(Ae"</f>
        <v>#VALUE!</v>
      </c>
      <c r="FF164" t="e">
        <f>'2.5.Трудоемкость'!PA18+"BYw!(Af"</f>
        <v>#VALUE!</v>
      </c>
      <c r="FG164" t="e">
        <f>'2.5.Трудоемкость'!PB18+"BYw!(Ag"</f>
        <v>#VALUE!</v>
      </c>
      <c r="FH164" t="e">
        <f>'2.5.Трудоемкость'!PC18+"BYw!(Ah"</f>
        <v>#VALUE!</v>
      </c>
      <c r="FI164" t="e">
        <f>'2.5.Трудоемкость'!PD18+"BYw!(Ai"</f>
        <v>#VALUE!</v>
      </c>
      <c r="FJ164" t="e">
        <f>'2.5.Трудоемкость'!PE18+"BYw!(Aj"</f>
        <v>#VALUE!</v>
      </c>
      <c r="FK164" t="e">
        <f>'2.5.Трудоемкость'!PF18+"BYw!(Ak"</f>
        <v>#VALUE!</v>
      </c>
      <c r="FL164" t="e">
        <f>'2.5.Трудоемкость'!PG18+"BYw!(Al"</f>
        <v>#VALUE!</v>
      </c>
      <c r="FM164" t="e">
        <f>'2.5.Трудоемкость'!PH18+"BYw!(Am"</f>
        <v>#VALUE!</v>
      </c>
      <c r="FN164" t="e">
        <f>'2.5.Трудоемкость'!PI18+"BYw!(An"</f>
        <v>#VALUE!</v>
      </c>
      <c r="FO164" t="e">
        <f>'2.5.Трудоемкость'!PJ18+"BYw!(Ao"</f>
        <v>#VALUE!</v>
      </c>
      <c r="FP164" t="e">
        <f>'2.5.Трудоемкость'!PK18+"BYw!(Ap"</f>
        <v>#VALUE!</v>
      </c>
      <c r="FQ164" t="e">
        <f>'2.5.Трудоемкость'!PL18+"BYw!(Aq"</f>
        <v>#VALUE!</v>
      </c>
      <c r="FR164" t="e">
        <f>'2.5.Трудоемкость'!PM18+"BYw!(Ar"</f>
        <v>#VALUE!</v>
      </c>
      <c r="FS164" t="e">
        <f>'2.5.Трудоемкость'!PN18+"BYw!(As"</f>
        <v>#VALUE!</v>
      </c>
      <c r="FT164" t="e">
        <f>'2.5.Трудоемкость'!PO18+"BYw!(At"</f>
        <v>#VALUE!</v>
      </c>
      <c r="FU164" t="e">
        <f>'2.5.Трудоемкость'!PP18+"BYw!(Au"</f>
        <v>#VALUE!</v>
      </c>
      <c r="FV164" t="e">
        <f>'2.5.Трудоемкость'!PQ18+"BYw!(Av"</f>
        <v>#VALUE!</v>
      </c>
      <c r="FW164" t="e">
        <f>'2.5.Трудоемкость'!PR18+"BYw!(Aw"</f>
        <v>#VALUE!</v>
      </c>
      <c r="FX164" t="e">
        <f>'2.5.Трудоемкость'!PS18+"BYw!(Ax"</f>
        <v>#VALUE!</v>
      </c>
      <c r="FY164" t="e">
        <f>'2.5.Трудоемкость'!PT18+"BYw!(Ay"</f>
        <v>#VALUE!</v>
      </c>
      <c r="FZ164" t="e">
        <f>'2.5.Трудоемкость'!PU18+"BYw!(Az"</f>
        <v>#VALUE!</v>
      </c>
      <c r="GA164" t="e">
        <f>'2.5.Трудоемкость'!PV18+"BYw!(A{"</f>
        <v>#VALUE!</v>
      </c>
      <c r="GB164" t="e">
        <f>'2.5.Трудоемкость'!PW18+"BYw!(A|"</f>
        <v>#VALUE!</v>
      </c>
      <c r="GC164" t="e">
        <f>'2.5.Трудоемкость'!PX18+"BYw!(A}"</f>
        <v>#VALUE!</v>
      </c>
      <c r="GD164" t="e">
        <f>'2.5.Трудоемкость'!PY18+"BYw!(A~"</f>
        <v>#VALUE!</v>
      </c>
      <c r="GE164" t="e">
        <f>'2.5.Трудоемкость'!PZ18+"BYw!(B#"</f>
        <v>#VALUE!</v>
      </c>
      <c r="GF164" t="e">
        <f>'2.5.Трудоемкость'!QA18+"BYw!(B$"</f>
        <v>#VALUE!</v>
      </c>
      <c r="GG164" t="e">
        <f>'2.5.Трудоемкость'!QB18+"BYw!(B%"</f>
        <v>#VALUE!</v>
      </c>
      <c r="GH164" t="e">
        <f>'2.5.Трудоемкость'!QC18+"BYw!(B&amp;"</f>
        <v>#VALUE!</v>
      </c>
      <c r="GI164" t="e">
        <f>'2.5.Трудоемкость'!QD18+"BYw!(B'"</f>
        <v>#VALUE!</v>
      </c>
      <c r="GJ164" t="e">
        <f>'2.5.Трудоемкость'!QE18+"BYw!(B("</f>
        <v>#VALUE!</v>
      </c>
      <c r="GK164" t="e">
        <f>'2.5.Трудоемкость'!QF18+"BYw!(B)"</f>
        <v>#VALUE!</v>
      </c>
      <c r="GL164" t="e">
        <f>'2.5.Трудоемкость'!QG18+"BYw!(B."</f>
        <v>#VALUE!</v>
      </c>
      <c r="GM164" t="e">
        <f>'2.5.Трудоемкость'!QH18+"BYw!(B/"</f>
        <v>#VALUE!</v>
      </c>
      <c r="GN164" t="e">
        <f>'2.5.Трудоемкость'!QI18+"BYw!(B0"</f>
        <v>#VALUE!</v>
      </c>
      <c r="GO164" t="e">
        <f>'2.5.Трудоемкость'!QJ18+"BYw!(B1"</f>
        <v>#VALUE!</v>
      </c>
      <c r="GP164" t="e">
        <f>'2.5.Трудоемкость'!QK18+"BYw!(B2"</f>
        <v>#VALUE!</v>
      </c>
      <c r="GQ164" t="e">
        <f>'2.5.Трудоемкость'!QL18+"BYw!(B3"</f>
        <v>#VALUE!</v>
      </c>
      <c r="GR164" t="e">
        <f>'2.5.Трудоемкость'!QM18+"BYw!(B4"</f>
        <v>#VALUE!</v>
      </c>
      <c r="GS164" t="e">
        <f>'2.5.Трудоемкость'!QN18+"BYw!(B5"</f>
        <v>#VALUE!</v>
      </c>
      <c r="GT164" t="e">
        <f>'2.5.Трудоемкость'!QO18+"BYw!(B6"</f>
        <v>#VALUE!</v>
      </c>
      <c r="GU164" t="e">
        <f>'2.5.Трудоемкость'!QP18+"BYw!(B7"</f>
        <v>#VALUE!</v>
      </c>
      <c r="GV164" t="e">
        <f>'2.5.Трудоемкость'!QQ18+"BYw!(B8"</f>
        <v>#VALUE!</v>
      </c>
      <c r="GW164" t="e">
        <f>'2.5.Трудоемкость'!QR18+"BYw!(B9"</f>
        <v>#VALUE!</v>
      </c>
      <c r="GX164" t="e">
        <f>'2.5.Трудоемкость'!QS18+"BYw!(B:"</f>
        <v>#VALUE!</v>
      </c>
      <c r="GY164" t="e">
        <f>'2.5.Трудоемкость'!QT18+"BYw!(B;"</f>
        <v>#VALUE!</v>
      </c>
      <c r="GZ164" t="e">
        <f>'2.5.Трудоемкость'!QU18+"BYw!(B&lt;"</f>
        <v>#VALUE!</v>
      </c>
      <c r="HA164" t="e">
        <f>'2.5.Трудоемкость'!QV18+"BYw!(B="</f>
        <v>#VALUE!</v>
      </c>
      <c r="HB164" t="e">
        <f>'2.5.Трудоемкость'!QW18+"BYw!(B&gt;"</f>
        <v>#VALUE!</v>
      </c>
      <c r="HC164" t="e">
        <f>'2.5.Трудоемкость'!QX18+"BYw!(B?"</f>
        <v>#VALUE!</v>
      </c>
      <c r="HD164" t="e">
        <f>'2.5.Трудоемкость'!QY18+"BYw!(B@"</f>
        <v>#VALUE!</v>
      </c>
      <c r="HE164" t="e">
        <f>'2.5.Трудоемкость'!QZ18+"BYw!(BA"</f>
        <v>#VALUE!</v>
      </c>
      <c r="HF164" t="e">
        <f>'2.5.Трудоемкость'!RA18+"BYw!(BB"</f>
        <v>#VALUE!</v>
      </c>
      <c r="HG164" t="e">
        <f>'2.5.Трудоемкость'!RB18+"BYw!(BC"</f>
        <v>#VALUE!</v>
      </c>
      <c r="HH164" t="e">
        <f>'2.5.Трудоемкость'!RC18+"BYw!(BD"</f>
        <v>#VALUE!</v>
      </c>
      <c r="HI164" t="e">
        <f>'2.5.Трудоемкость'!RD18+"BYw!(BE"</f>
        <v>#VALUE!</v>
      </c>
      <c r="HJ164" t="e">
        <f>'2.5.Трудоемкость'!RE18+"BYw!(BF"</f>
        <v>#VALUE!</v>
      </c>
      <c r="HK164" t="e">
        <f>'2.5.Трудоемкость'!RF18+"BYw!(BG"</f>
        <v>#VALUE!</v>
      </c>
      <c r="HL164" t="e">
        <f>'2.5.Трудоемкость'!RG18+"BYw!(BH"</f>
        <v>#VALUE!</v>
      </c>
      <c r="HM164" t="e">
        <f>'2.5.Трудоемкость'!RH18+"BYw!(BI"</f>
        <v>#VALUE!</v>
      </c>
      <c r="HN164" t="e">
        <f>'2.5.Трудоемкость'!RI18+"BYw!(BJ"</f>
        <v>#VALUE!</v>
      </c>
      <c r="HO164" t="e">
        <f>'2.5.Трудоемкость'!RJ18+"BYw!(BK"</f>
        <v>#VALUE!</v>
      </c>
      <c r="HP164" t="e">
        <f>'2.5.Трудоемкость'!RK18+"BYw!(BL"</f>
        <v>#VALUE!</v>
      </c>
      <c r="HQ164" t="e">
        <f>'2.5.Трудоемкость'!RL18+"BYw!(BM"</f>
        <v>#VALUE!</v>
      </c>
      <c r="HR164" t="e">
        <f>'2.5.Трудоемкость'!RM18+"BYw!(BN"</f>
        <v>#VALUE!</v>
      </c>
      <c r="HS164" t="e">
        <f>'2.5.Трудоемкость'!RN18+"BYw!(BO"</f>
        <v>#VALUE!</v>
      </c>
      <c r="HT164" t="e">
        <f>'2.5.Трудоемкость'!RO18+"BYw!(BP"</f>
        <v>#VALUE!</v>
      </c>
      <c r="HU164" t="e">
        <f>'2.5.Трудоемкость'!RP18+"BYw!(BQ"</f>
        <v>#VALUE!</v>
      </c>
      <c r="HV164" t="e">
        <f>'2.5.Трудоемкость'!RQ18+"BYw!(BR"</f>
        <v>#VALUE!</v>
      </c>
      <c r="HW164" t="e">
        <f>'2.5.Трудоемкость'!RR18+"BYw!(BS"</f>
        <v>#VALUE!</v>
      </c>
      <c r="HX164" t="e">
        <f>'2.5.Трудоемкость'!RS18+"BYw!(BT"</f>
        <v>#VALUE!</v>
      </c>
      <c r="HY164" t="e">
        <f>'2.5.Трудоемкость'!RT18+"BYw!(BU"</f>
        <v>#VALUE!</v>
      </c>
      <c r="HZ164" t="e">
        <f>'2.5.Трудоемкость'!RU18+"BYw!(BV"</f>
        <v>#VALUE!</v>
      </c>
      <c r="IA164" t="e">
        <f>'2.5.Трудоемкость'!RV18+"BYw!(BW"</f>
        <v>#VALUE!</v>
      </c>
      <c r="IB164" t="e">
        <f>'2.5.Трудоемкость'!RW18+"BYw!(BX"</f>
        <v>#VALUE!</v>
      </c>
      <c r="IC164" t="e">
        <f>'2.5.Трудоемкость'!RX18+"BYw!(BY"</f>
        <v>#VALUE!</v>
      </c>
      <c r="ID164" t="e">
        <f>'2.5.Трудоемкость'!RY18+"BYw!(BZ"</f>
        <v>#VALUE!</v>
      </c>
      <c r="IE164" t="e">
        <f>'2.5.Трудоемкость'!RZ18+"BYw!(B["</f>
        <v>#VALUE!</v>
      </c>
      <c r="IF164" t="e">
        <f>'2.5.Трудоемкость'!SA18+"BYw!(B\"</f>
        <v>#VALUE!</v>
      </c>
      <c r="IG164" t="e">
        <f>'2.5.Трудоемкость'!SB18+"BYw!(B]"</f>
        <v>#VALUE!</v>
      </c>
      <c r="IH164" t="e">
        <f>'2.5.Трудоемкость'!SC18+"BYw!(B^"</f>
        <v>#VALUE!</v>
      </c>
      <c r="II164" t="e">
        <f>'2.5.Трудоемкость'!SD18+"BYw!(B_"</f>
        <v>#VALUE!</v>
      </c>
      <c r="IJ164" t="e">
        <f>'2.5.Трудоемкость'!SE18+"BYw!(B`"</f>
        <v>#VALUE!</v>
      </c>
      <c r="IK164" t="e">
        <f>'2.5.Трудоемкость'!SF18+"BYw!(Ba"</f>
        <v>#VALUE!</v>
      </c>
      <c r="IL164" t="e">
        <f>'2.5.Трудоемкость'!SG18+"BYw!(Bb"</f>
        <v>#VALUE!</v>
      </c>
      <c r="IM164" t="e">
        <f>'2.5.Трудоемкость'!SH18+"BYw!(Bc"</f>
        <v>#VALUE!</v>
      </c>
      <c r="IN164" t="e">
        <f>'2.5.Трудоемкость'!SI18+"BYw!(Bd"</f>
        <v>#VALUE!</v>
      </c>
      <c r="IO164" t="e">
        <f>'2.5.Трудоемкость'!SJ18+"BYw!(Be"</f>
        <v>#VALUE!</v>
      </c>
      <c r="IP164" t="e">
        <f>'2.5.Трудоемкость'!SK18+"BYw!(Bf"</f>
        <v>#VALUE!</v>
      </c>
      <c r="IQ164" t="e">
        <f>'2.5.Трудоемкость'!SL18+"BYw!(Bg"</f>
        <v>#VALUE!</v>
      </c>
      <c r="IR164" t="e">
        <f>'2.5.Трудоемкость'!SM18+"BYw!(Bh"</f>
        <v>#VALUE!</v>
      </c>
      <c r="IS164" t="e">
        <f>'2.5.Трудоемкость'!SN18+"BYw!(Bi"</f>
        <v>#VALUE!</v>
      </c>
      <c r="IT164" t="e">
        <f>'2.5.Трудоемкость'!SO18+"BYw!(Bj"</f>
        <v>#VALUE!</v>
      </c>
      <c r="IU164" t="e">
        <f>'2.5.Трудоемкость'!SP18+"BYw!(Bk"</f>
        <v>#VALUE!</v>
      </c>
      <c r="IV164" t="e">
        <f>'2.5.Трудоемкость'!SQ18+"BYw!(Bl"</f>
        <v>#VALUE!</v>
      </c>
    </row>
    <row r="165" spans="6:256" x14ac:dyDescent="0.2">
      <c r="F165" t="e">
        <f>'2.5.Трудоемкость'!SR18+"BYw!(Bm"</f>
        <v>#VALUE!</v>
      </c>
      <c r="G165" t="e">
        <f>'2.5.Трудоемкость'!SS18+"BYw!(Bn"</f>
        <v>#VALUE!</v>
      </c>
      <c r="H165" t="e">
        <f>'2.5.Трудоемкость'!ST18+"BYw!(Bo"</f>
        <v>#VALUE!</v>
      </c>
      <c r="I165" t="e">
        <f>'2.5.Трудоемкость'!SU18+"BYw!(Bp"</f>
        <v>#VALUE!</v>
      </c>
      <c r="J165" t="e">
        <f>'2.5.Трудоемкость'!SV18+"BYw!(Bq"</f>
        <v>#VALUE!</v>
      </c>
      <c r="K165" t="e">
        <f>'2.5.Трудоемкость'!SW18+"BYw!(Br"</f>
        <v>#VALUE!</v>
      </c>
      <c r="L165" t="e">
        <f>'2.5.Трудоемкость'!SX18+"BYw!(Bs"</f>
        <v>#VALUE!</v>
      </c>
      <c r="M165" t="e">
        <f>'2.5.Трудоемкость'!SY18+"BYw!(Bt"</f>
        <v>#VALUE!</v>
      </c>
      <c r="N165" t="e">
        <f>'2.5.Трудоемкость'!SZ18+"BYw!(Bu"</f>
        <v>#VALUE!</v>
      </c>
      <c r="O165" t="e">
        <f>'2.5.Трудоемкость'!TA18+"BYw!(Bv"</f>
        <v>#VALUE!</v>
      </c>
      <c r="P165" t="e">
        <f>'2.5.Трудоемкость'!TB18+"BYw!(Bw"</f>
        <v>#VALUE!</v>
      </c>
      <c r="Q165" t="e">
        <f>'2.5.Трудоемкость'!TC18+"BYw!(Bx"</f>
        <v>#VALUE!</v>
      </c>
      <c r="R165" t="e">
        <f>'2.5.Трудоемкость'!TD18+"BYw!(By"</f>
        <v>#VALUE!</v>
      </c>
      <c r="S165" t="e">
        <f>'2.5.Трудоемкость'!TE18+"BYw!(Bz"</f>
        <v>#VALUE!</v>
      </c>
      <c r="T165" t="e">
        <f>'2.5.Трудоемкость'!TF18+"BYw!(B{"</f>
        <v>#VALUE!</v>
      </c>
      <c r="U165" t="e">
        <f>'2.5.Трудоемкость'!TG18+"BYw!(B|"</f>
        <v>#VALUE!</v>
      </c>
      <c r="V165" t="e">
        <f>'2.5.Трудоемкость'!TH18+"BYw!(B}"</f>
        <v>#VALUE!</v>
      </c>
      <c r="W165" t="e">
        <f>'2.5.Трудоемкость'!TI18+"BYw!(B~"</f>
        <v>#VALUE!</v>
      </c>
      <c r="X165" t="e">
        <f>'2.5.Трудоемкость'!TJ18+"BYw!(C#"</f>
        <v>#VALUE!</v>
      </c>
      <c r="Y165" t="e">
        <f>'2.5.Трудоемкость'!TK18+"BYw!(C$"</f>
        <v>#VALUE!</v>
      </c>
      <c r="Z165" t="e">
        <f>'2.5.Трудоемкость'!TL18+"BYw!(C%"</f>
        <v>#VALUE!</v>
      </c>
      <c r="AA165" t="e">
        <f>'2.5.Трудоемкость'!TM18+"BYw!(C&amp;"</f>
        <v>#VALUE!</v>
      </c>
      <c r="AB165" t="e">
        <f>'2.5.Трудоемкость'!TN18+"BYw!(C'"</f>
        <v>#VALUE!</v>
      </c>
      <c r="AC165" t="e">
        <f>'2.5.Трудоемкость'!TO18+"BYw!(C("</f>
        <v>#VALUE!</v>
      </c>
      <c r="AD165" t="e">
        <f>'2.5.Трудоемкость'!TP18+"BYw!(C)"</f>
        <v>#VALUE!</v>
      </c>
      <c r="AE165" t="e">
        <f>'2.5.Трудоемкость'!TQ18+"BYw!(C."</f>
        <v>#VALUE!</v>
      </c>
      <c r="AF165" t="e">
        <f>'2.5.Трудоемкость'!TR18+"BYw!(C/"</f>
        <v>#VALUE!</v>
      </c>
      <c r="AG165" t="e">
        <f>'2.5.Трудоемкость'!TS18+"BYw!(C0"</f>
        <v>#VALUE!</v>
      </c>
      <c r="AH165" t="e">
        <f>'2.5.Трудоемкость'!TT18+"BYw!(C1"</f>
        <v>#VALUE!</v>
      </c>
      <c r="AI165" t="e">
        <f>'2.5.Трудоемкость'!TU18+"BYw!(C2"</f>
        <v>#VALUE!</v>
      </c>
      <c r="AJ165" t="e">
        <f>'2.5.Трудоемкость'!TV18+"BYw!(C3"</f>
        <v>#VALUE!</v>
      </c>
      <c r="AK165" t="e">
        <f>'2.5.Трудоемкость'!TW18+"BYw!(C4"</f>
        <v>#VALUE!</v>
      </c>
      <c r="AL165" t="e">
        <f>'2.5.Трудоемкость'!TX18+"BYw!(C5"</f>
        <v>#VALUE!</v>
      </c>
      <c r="AM165" t="e">
        <f>'2.5.Трудоемкость'!TY18+"BYw!(C6"</f>
        <v>#VALUE!</v>
      </c>
      <c r="AN165" t="e">
        <f>'2.5.Трудоемкость'!TZ18+"BYw!(C7"</f>
        <v>#VALUE!</v>
      </c>
      <c r="AO165" t="e">
        <f>'2.5.Трудоемкость'!UA18+"BYw!(C8"</f>
        <v>#VALUE!</v>
      </c>
      <c r="AP165" t="e">
        <f>'2.5.Трудоемкость'!UB18+"BYw!(C9"</f>
        <v>#VALUE!</v>
      </c>
      <c r="AQ165" t="e">
        <f>'2.5.Трудоемкость'!UC18+"BYw!(C:"</f>
        <v>#VALUE!</v>
      </c>
      <c r="AR165" t="e">
        <f>'2.5.Трудоемкость'!UD18+"BYw!(C;"</f>
        <v>#VALUE!</v>
      </c>
      <c r="AS165" t="e">
        <f>'2.5.Трудоемкость'!UE18+"BYw!(C&lt;"</f>
        <v>#VALUE!</v>
      </c>
      <c r="AT165" t="e">
        <f>'2.5.Трудоемкость'!UF18+"BYw!(C="</f>
        <v>#VALUE!</v>
      </c>
      <c r="AU165" t="e">
        <f>'2.5.Трудоемкость'!UG18+"BYw!(C&gt;"</f>
        <v>#VALUE!</v>
      </c>
      <c r="AV165" t="e">
        <f>'2.5.Трудоемкость'!UH18+"BYw!(C?"</f>
        <v>#VALUE!</v>
      </c>
      <c r="AW165" t="e">
        <f>'2.5.Трудоемкость'!UI18+"BYw!(C@"</f>
        <v>#VALUE!</v>
      </c>
      <c r="AX165" t="e">
        <f>'2.5.Трудоемкость'!UJ18+"BYw!(CA"</f>
        <v>#VALUE!</v>
      </c>
      <c r="AY165" t="e">
        <f>'2.5.Трудоемкость'!UK18+"BYw!(CB"</f>
        <v>#VALUE!</v>
      </c>
      <c r="AZ165" t="e">
        <f>'2.5.Трудоемкость'!UL18+"BYw!(CC"</f>
        <v>#VALUE!</v>
      </c>
      <c r="BA165" t="e">
        <f>'2.5.Трудоемкость'!UM18+"BYw!(CD"</f>
        <v>#VALUE!</v>
      </c>
      <c r="BB165" t="e">
        <f>'2.5.Трудоемкость'!UN18+"BYw!(CE"</f>
        <v>#VALUE!</v>
      </c>
      <c r="BC165" t="e">
        <f>'2.5.Трудоемкость'!UO18+"BYw!(CF"</f>
        <v>#VALUE!</v>
      </c>
      <c r="BD165" t="e">
        <f>'2.5.Трудоемкость'!UP18+"BYw!(CG"</f>
        <v>#VALUE!</v>
      </c>
      <c r="BE165" t="e">
        <f>'2.5.Трудоемкость'!UQ18+"BYw!(CH"</f>
        <v>#VALUE!</v>
      </c>
      <c r="BF165" t="e">
        <f>'2.5.Трудоемкость'!UR18+"BYw!(CI"</f>
        <v>#VALUE!</v>
      </c>
      <c r="BG165" t="e">
        <f>'2.5.Трудоемкость'!US18+"BYw!(CJ"</f>
        <v>#VALUE!</v>
      </c>
      <c r="BH165" t="e">
        <f>'2.5.Трудоемкость'!UT18+"BYw!(CK"</f>
        <v>#VALUE!</v>
      </c>
      <c r="BI165" t="e">
        <f>'2.5.Трудоемкость'!UU18+"BYw!(CL"</f>
        <v>#VALUE!</v>
      </c>
      <c r="BJ165" t="e">
        <f>'2.5.Трудоемкость'!UV18+"BYw!(CM"</f>
        <v>#VALUE!</v>
      </c>
      <c r="BK165" t="e">
        <f>'2.5.Трудоемкость'!UW18+"BYw!(CN"</f>
        <v>#VALUE!</v>
      </c>
      <c r="BL165" t="e">
        <f>'2.5.Трудоемкость'!UX18+"BYw!(CO"</f>
        <v>#VALUE!</v>
      </c>
      <c r="BM165" t="e">
        <f>'2.5.Трудоемкость'!UY18+"BYw!(CP"</f>
        <v>#VALUE!</v>
      </c>
      <c r="BN165" t="e">
        <f>'2.5.Трудоемкость'!UZ18+"BYw!(CQ"</f>
        <v>#VALUE!</v>
      </c>
      <c r="BO165" t="e">
        <f>'2.5.Трудоемкость'!VA18+"BYw!(CR"</f>
        <v>#VALUE!</v>
      </c>
      <c r="BP165" t="e">
        <f>'2.5.Трудоемкость'!VB18+"BYw!(CS"</f>
        <v>#VALUE!</v>
      </c>
      <c r="BQ165" t="e">
        <f>'2.5.Трудоемкость'!VC18+"BYw!(CT"</f>
        <v>#VALUE!</v>
      </c>
      <c r="BR165" t="e">
        <f>'2.5.Трудоемкость'!VD18+"BYw!(CU"</f>
        <v>#VALUE!</v>
      </c>
      <c r="BS165" t="e">
        <f>'2.5.Трудоемкость'!VE18+"BYw!(CV"</f>
        <v>#VALUE!</v>
      </c>
      <c r="BT165" t="e">
        <f>'2.5.Трудоемкость'!VF18+"BYw!(CW"</f>
        <v>#VALUE!</v>
      </c>
      <c r="BU165" t="e">
        <f>'2.5.Трудоемкость'!VG18+"BYw!(CX"</f>
        <v>#VALUE!</v>
      </c>
      <c r="BV165" t="e">
        <f>'2.5.Трудоемкость'!VH18+"BYw!(CY"</f>
        <v>#VALUE!</v>
      </c>
      <c r="BW165" t="e">
        <f>'2.5.Трудоемкость'!VI18+"BYw!(CZ"</f>
        <v>#VALUE!</v>
      </c>
      <c r="BX165" t="e">
        <f>'2.5.Трудоемкость'!VJ18+"BYw!(C["</f>
        <v>#VALUE!</v>
      </c>
      <c r="BY165" t="e">
        <f>'2.5.Трудоемкость'!VK18+"BYw!(C\"</f>
        <v>#VALUE!</v>
      </c>
      <c r="BZ165" t="e">
        <f>'2.5.Трудоемкость'!VL18+"BYw!(C]"</f>
        <v>#VALUE!</v>
      </c>
      <c r="CA165" t="e">
        <f>'2.5.Трудоемкость'!VM18+"BYw!(C^"</f>
        <v>#VALUE!</v>
      </c>
      <c r="CB165" t="e">
        <f>'2.5.Трудоемкость'!VN18+"BYw!(C_"</f>
        <v>#VALUE!</v>
      </c>
      <c r="CC165" t="e">
        <f>'2.5.Трудоемкость'!VO18+"BYw!(C`"</f>
        <v>#VALUE!</v>
      </c>
      <c r="CD165" t="e">
        <f>'2.5.Трудоемкость'!VP18+"BYw!(Ca"</f>
        <v>#VALUE!</v>
      </c>
      <c r="CE165" t="e">
        <f>'2.5.Трудоемкость'!VQ18+"BYw!(Cb"</f>
        <v>#VALUE!</v>
      </c>
      <c r="CF165" t="e">
        <f>'2.5.Трудоемкость'!VR18+"BYw!(Cc"</f>
        <v>#VALUE!</v>
      </c>
      <c r="CG165" t="e">
        <f>'2.5.Трудоемкость'!VS18+"BYw!(Cd"</f>
        <v>#VALUE!</v>
      </c>
      <c r="CH165" t="e">
        <f>'2.5.Трудоемкость'!VT18+"BYw!(Ce"</f>
        <v>#VALUE!</v>
      </c>
      <c r="CI165" t="e">
        <f>'2.5.Трудоемкость'!VU18+"BYw!(Cf"</f>
        <v>#VALUE!</v>
      </c>
      <c r="CJ165" t="e">
        <f>'2.5.Трудоемкость'!VV18+"BYw!(Cg"</f>
        <v>#VALUE!</v>
      </c>
      <c r="CK165" t="e">
        <f>'2.5.Трудоемкость'!VW18+"BYw!(Ch"</f>
        <v>#VALUE!</v>
      </c>
      <c r="CL165" t="e">
        <f>'2.5.Трудоемкость'!VX18+"BYw!(Ci"</f>
        <v>#VALUE!</v>
      </c>
      <c r="CM165" t="e">
        <f>'2.5.Трудоемкость'!VY18+"BYw!(Cj"</f>
        <v>#VALUE!</v>
      </c>
      <c r="CN165" t="e">
        <f>'2.5.Трудоемкость'!VZ18+"BYw!(Ck"</f>
        <v>#VALUE!</v>
      </c>
      <c r="CO165" t="e">
        <f>'2.5.Трудоемкость'!WA18+"BYw!(Cl"</f>
        <v>#VALUE!</v>
      </c>
      <c r="CP165" t="e">
        <f>'2.5.Трудоемкость'!WB18+"BYw!(Cm"</f>
        <v>#VALUE!</v>
      </c>
      <c r="CQ165" t="e">
        <f>'2.5.Трудоемкость'!WC18+"BYw!(Cn"</f>
        <v>#VALUE!</v>
      </c>
      <c r="CR165" t="e">
        <f>'2.5.Трудоемкость'!WD18+"BYw!(Co"</f>
        <v>#VALUE!</v>
      </c>
      <c r="CS165" t="e">
        <f>'2.5.Трудоемкость'!WE18+"BYw!(Cp"</f>
        <v>#VALUE!</v>
      </c>
      <c r="CT165" t="e">
        <f>'2.5.Трудоемкость'!WF18+"BYw!(Cq"</f>
        <v>#VALUE!</v>
      </c>
      <c r="CU165" t="e">
        <f>'2.5.Трудоемкость'!WG18+"BYw!(Cr"</f>
        <v>#VALUE!</v>
      </c>
      <c r="CV165" t="e">
        <f>'2.5.Трудоемкость'!WH18+"BYw!(Cs"</f>
        <v>#VALUE!</v>
      </c>
      <c r="CW165" t="e">
        <f>'2.5.Трудоемкость'!WI18+"BYw!(Ct"</f>
        <v>#VALUE!</v>
      </c>
      <c r="CX165" t="e">
        <f>'2.5.Трудоемкость'!WJ18+"BYw!(Cu"</f>
        <v>#VALUE!</v>
      </c>
      <c r="CY165" t="e">
        <f>'2.5.Трудоемкость'!WK18+"BYw!(Cv"</f>
        <v>#VALUE!</v>
      </c>
      <c r="CZ165" t="e">
        <f>'2.5.Трудоемкость'!WL18+"BYw!(Cw"</f>
        <v>#VALUE!</v>
      </c>
      <c r="DA165" t="e">
        <f>'2.5.Трудоемкость'!WM18+"BYw!(Cx"</f>
        <v>#VALUE!</v>
      </c>
      <c r="DB165" t="e">
        <f>'2.5.Трудоемкость'!WN18+"BYw!(Cy"</f>
        <v>#VALUE!</v>
      </c>
      <c r="DC165" t="e">
        <f>'2.5.Трудоемкость'!WO18+"BYw!(Cz"</f>
        <v>#VALUE!</v>
      </c>
      <c r="DD165" t="e">
        <f>'2.5.Трудоемкость'!WP18+"BYw!(C{"</f>
        <v>#VALUE!</v>
      </c>
      <c r="DE165" t="e">
        <f>'2.5.Трудоемкость'!WQ18+"BYw!(C|"</f>
        <v>#VALUE!</v>
      </c>
      <c r="DF165" t="e">
        <f>'2.5.Трудоемкость'!WR18+"BYw!(C}"</f>
        <v>#VALUE!</v>
      </c>
      <c r="DG165" t="e">
        <f>'2.5.Трудоемкость'!WS18+"BYw!(C~"</f>
        <v>#VALUE!</v>
      </c>
      <c r="DH165" t="e">
        <f>'2.5.Трудоемкость'!WT18+"BYw!(D#"</f>
        <v>#VALUE!</v>
      </c>
      <c r="DI165" t="e">
        <f>'2.5.Трудоемкость'!WU18+"BYw!(D$"</f>
        <v>#VALUE!</v>
      </c>
      <c r="DJ165" t="e">
        <f>'2.5.Трудоемкость'!WV18+"BYw!(D%"</f>
        <v>#VALUE!</v>
      </c>
      <c r="DK165" t="e">
        <f>'2.5.Трудоемкость'!WW18+"BYw!(D&amp;"</f>
        <v>#VALUE!</v>
      </c>
      <c r="DL165" t="e">
        <f>'2.5.Трудоемкость'!WX18+"BYw!(D'"</f>
        <v>#VALUE!</v>
      </c>
      <c r="DM165" t="e">
        <f>'2.5.Трудоемкость'!WY18+"BYw!(D("</f>
        <v>#VALUE!</v>
      </c>
      <c r="DN165" t="e">
        <f>'2.5.Трудоемкость'!WZ18+"BYw!(D)"</f>
        <v>#VALUE!</v>
      </c>
      <c r="DO165" t="e">
        <f>'2.5.Трудоемкость'!XA18+"BYw!(D."</f>
        <v>#VALUE!</v>
      </c>
      <c r="DP165" t="e">
        <f>'2.5.Трудоемкость'!XB18+"BYw!(D/"</f>
        <v>#VALUE!</v>
      </c>
      <c r="DQ165" t="e">
        <f>'2.5.Трудоемкость'!XC18+"BYw!(D0"</f>
        <v>#VALUE!</v>
      </c>
      <c r="DR165" t="e">
        <f>'2.5.Трудоемкость'!XD18+"BYw!(D1"</f>
        <v>#VALUE!</v>
      </c>
      <c r="DS165" t="e">
        <f>'2.5.Трудоемкость'!XE18+"BYw!(D2"</f>
        <v>#VALUE!</v>
      </c>
      <c r="DT165" t="e">
        <f>'2.5.Трудоемкость'!XF18+"BYw!(D3"</f>
        <v>#VALUE!</v>
      </c>
      <c r="DU165" t="e">
        <f>'2.5.Трудоемкость'!XG18+"BYw!(D4"</f>
        <v>#VALUE!</v>
      </c>
      <c r="DV165" t="e">
        <f>'2.5.Трудоемкость'!XH18+"BYw!(D5"</f>
        <v>#VALUE!</v>
      </c>
      <c r="DW165" t="e">
        <f>'2.5.Трудоемкость'!XI18+"BYw!(D6"</f>
        <v>#VALUE!</v>
      </c>
      <c r="DX165" t="e">
        <f>'2.5.Трудоемкость'!XJ18+"BYw!(D7"</f>
        <v>#VALUE!</v>
      </c>
      <c r="DY165" t="e">
        <f>'2.5.Трудоемкость'!XK18+"BYw!(D8"</f>
        <v>#VALUE!</v>
      </c>
      <c r="DZ165" t="e">
        <f>'2.5.Трудоемкость'!XL18+"BYw!(D9"</f>
        <v>#VALUE!</v>
      </c>
      <c r="EA165" t="e">
        <f>'2.5.Трудоемкость'!XM18+"BYw!(D:"</f>
        <v>#VALUE!</v>
      </c>
      <c r="EB165" t="e">
        <f>'2.5.Трудоемкость'!XN18+"BYw!(D;"</f>
        <v>#VALUE!</v>
      </c>
      <c r="EC165" t="e">
        <f>'2.5.Трудоемкость'!XO18+"BYw!(D&lt;"</f>
        <v>#VALUE!</v>
      </c>
      <c r="ED165" t="e">
        <f>'2.5.Трудоемкость'!XP18+"BYw!(D="</f>
        <v>#VALUE!</v>
      </c>
      <c r="EE165" t="e">
        <f>'2.5.Трудоемкость'!XQ18+"BYw!(D&gt;"</f>
        <v>#VALUE!</v>
      </c>
      <c r="EF165" t="e">
        <f>'2.5.Трудоемкость'!XR18+"BYw!(D?"</f>
        <v>#VALUE!</v>
      </c>
      <c r="EG165" t="e">
        <f>'2.5.Трудоемкость'!XS18+"BYw!(D@"</f>
        <v>#VALUE!</v>
      </c>
      <c r="EH165" t="e">
        <f>'2.5.Трудоемкость'!XT18+"BYw!(DA"</f>
        <v>#VALUE!</v>
      </c>
      <c r="EI165" t="e">
        <f>'2.5.Трудоемкость'!XU18+"BYw!(DB"</f>
        <v>#VALUE!</v>
      </c>
      <c r="EJ165" t="e">
        <f>'2.5.Трудоемкость'!XV18+"BYw!(DC"</f>
        <v>#VALUE!</v>
      </c>
      <c r="EK165" t="e">
        <f>'2.5.Трудоемкость'!XW18+"BYw!(DD"</f>
        <v>#VALUE!</v>
      </c>
      <c r="EL165" t="e">
        <f>'2.5.Трудоемкость'!XX18+"BYw!(DE"</f>
        <v>#VALUE!</v>
      </c>
      <c r="EM165" t="e">
        <f>'2.5.Трудоемкость'!XY18+"BYw!(DF"</f>
        <v>#VALUE!</v>
      </c>
      <c r="EN165" t="e">
        <f>'2.5.Трудоемкость'!XZ18+"BYw!(DG"</f>
        <v>#VALUE!</v>
      </c>
      <c r="EO165" t="e">
        <f>'2.5.Трудоемкость'!YA18+"BYw!(DH"</f>
        <v>#VALUE!</v>
      </c>
      <c r="EP165" t="e">
        <f>'2.5.Трудоемкость'!YB18+"BYw!(DI"</f>
        <v>#VALUE!</v>
      </c>
      <c r="EQ165" t="e">
        <f>'2.5.Трудоемкость'!YC18+"BYw!(DJ"</f>
        <v>#VALUE!</v>
      </c>
      <c r="ER165" t="e">
        <f>'2.5.Трудоемкость'!YD18+"BYw!(DK"</f>
        <v>#VALUE!</v>
      </c>
      <c r="ES165" t="e">
        <f>'2.5.Трудоемкость'!YE18+"BYw!(DL"</f>
        <v>#VALUE!</v>
      </c>
      <c r="ET165" t="e">
        <f>'2.5.Трудоемкость'!YF18+"BYw!(DM"</f>
        <v>#VALUE!</v>
      </c>
      <c r="EU165" t="e">
        <f>'2.5.Трудоемкость'!YG18+"BYw!(DN"</f>
        <v>#VALUE!</v>
      </c>
      <c r="EV165" t="e">
        <f>'2.5.Трудоемкость'!YH18+"BYw!(DO"</f>
        <v>#VALUE!</v>
      </c>
      <c r="EW165" t="e">
        <f>'2.5.Трудоемкость'!YI18+"BYw!(DP"</f>
        <v>#VALUE!</v>
      </c>
      <c r="EX165" t="e">
        <f>'2.5.Трудоемкость'!YJ18+"BYw!(DQ"</f>
        <v>#VALUE!</v>
      </c>
      <c r="EY165" t="e">
        <f>'2.5.Трудоемкость'!YK18+"BYw!(DR"</f>
        <v>#VALUE!</v>
      </c>
      <c r="EZ165" t="e">
        <f>'2.5.Трудоемкость'!YL18+"BYw!(DS"</f>
        <v>#VALUE!</v>
      </c>
      <c r="FA165" t="e">
        <f>'2.5.Трудоемкость'!YM18+"BYw!(DT"</f>
        <v>#VALUE!</v>
      </c>
      <c r="FB165" t="e">
        <f>'2.5.Трудоемкость'!YN18+"BYw!(DU"</f>
        <v>#VALUE!</v>
      </c>
      <c r="FC165" t="e">
        <f>'2.5.Трудоемкость'!YO18+"BYw!(DV"</f>
        <v>#VALUE!</v>
      </c>
      <c r="FD165" t="e">
        <f>'2.5.Трудоемкость'!YP18+"BYw!(DW"</f>
        <v>#VALUE!</v>
      </c>
      <c r="FE165" t="e">
        <f>'2.5.Трудоемкость'!YQ18+"BYw!(DX"</f>
        <v>#VALUE!</v>
      </c>
      <c r="FF165" t="e">
        <f>'2.5.Трудоемкость'!YR18+"BYw!(DY"</f>
        <v>#VALUE!</v>
      </c>
      <c r="FG165" t="e">
        <f>'2.5.Трудоемкость'!YS18+"BYw!(DZ"</f>
        <v>#VALUE!</v>
      </c>
      <c r="FH165" t="e">
        <f>'2.5.Трудоемкость'!YT18+"BYw!(D["</f>
        <v>#VALUE!</v>
      </c>
      <c r="FI165" t="e">
        <f>'2.5.Трудоемкость'!YU18+"BYw!(D\"</f>
        <v>#VALUE!</v>
      </c>
      <c r="FJ165" t="e">
        <f>'2.5.Трудоемкость'!YV18+"BYw!(D]"</f>
        <v>#VALUE!</v>
      </c>
      <c r="FK165" t="e">
        <f>'2.5.Трудоемкость'!YW18+"BYw!(D^"</f>
        <v>#VALUE!</v>
      </c>
      <c r="FL165" t="e">
        <f>'2.5.Трудоемкость'!YX18+"BYw!(D_"</f>
        <v>#VALUE!</v>
      </c>
      <c r="FM165" t="e">
        <f>'2.5.Трудоемкость'!YY18+"BYw!(D`"</f>
        <v>#VALUE!</v>
      </c>
      <c r="FN165" t="e">
        <f>'2.5.Трудоемкость'!YZ18+"BYw!(Da"</f>
        <v>#VALUE!</v>
      </c>
      <c r="FO165" t="e">
        <f>'2.5.Трудоемкость'!ZA18+"BYw!(Db"</f>
        <v>#VALUE!</v>
      </c>
      <c r="FP165" t="e">
        <f>'2.5.Трудоемкость'!ZB18+"BYw!(Dc"</f>
        <v>#VALUE!</v>
      </c>
      <c r="FQ165" t="e">
        <f>'2.5.Трудоемкость'!ZC18+"BYw!(Dd"</f>
        <v>#VALUE!</v>
      </c>
      <c r="FR165" t="e">
        <f>'2.5.Трудоемкость'!ZD18+"BYw!(De"</f>
        <v>#VALUE!</v>
      </c>
      <c r="FS165" t="e">
        <f>'2.5.Трудоемкость'!ZE18+"BYw!(Df"</f>
        <v>#VALUE!</v>
      </c>
      <c r="FT165" t="e">
        <f>'2.5.Трудоемкость'!ZF18+"BYw!(Dg"</f>
        <v>#VALUE!</v>
      </c>
      <c r="FU165" t="e">
        <f>'2.5.Трудоемкость'!ZG18+"BYw!(Dh"</f>
        <v>#VALUE!</v>
      </c>
      <c r="FV165" t="e">
        <f>'2.5.Трудоемкость'!ZH18+"BYw!(Di"</f>
        <v>#VALUE!</v>
      </c>
      <c r="FW165" t="e">
        <f>'2.5.Трудоемкость'!ZI18+"BYw!(Dj"</f>
        <v>#VALUE!</v>
      </c>
      <c r="FX165" t="e">
        <f>'2.5.Трудоемкость'!ZJ18+"BYw!(Dk"</f>
        <v>#VALUE!</v>
      </c>
      <c r="FY165" t="e">
        <f>'2.5.Трудоемкость'!ZK18+"BYw!(Dl"</f>
        <v>#VALUE!</v>
      </c>
      <c r="FZ165" t="e">
        <f>'2.5.Трудоемкость'!ZL18+"BYw!(Dm"</f>
        <v>#VALUE!</v>
      </c>
      <c r="GA165" t="e">
        <f>'2.5.Трудоемкость'!ZM18+"BYw!(Dn"</f>
        <v>#VALUE!</v>
      </c>
      <c r="GB165" t="e">
        <f>'2.5.Трудоемкость'!ZN18+"BYw!(Do"</f>
        <v>#VALUE!</v>
      </c>
      <c r="GC165" t="e">
        <f>'2.5.Трудоемкость'!ZO18+"BYw!(Dp"</f>
        <v>#VALUE!</v>
      </c>
      <c r="GD165" t="e">
        <f>'2.5.Трудоемкость'!ZP18+"BYw!(Dq"</f>
        <v>#VALUE!</v>
      </c>
      <c r="GE165" t="e">
        <f>'2.5.Трудоемкость'!ZQ18+"BYw!(Dr"</f>
        <v>#VALUE!</v>
      </c>
      <c r="GF165" t="e">
        <f>'2.5.Трудоемкость'!ZR18+"BYw!(Ds"</f>
        <v>#VALUE!</v>
      </c>
      <c r="GG165" t="e">
        <f>'2.5.Трудоемкость'!ZS18+"BYw!(Dt"</f>
        <v>#VALUE!</v>
      </c>
      <c r="GH165" t="e">
        <f>'2.5.Трудоемкость'!ZT18+"BYw!(Du"</f>
        <v>#VALUE!</v>
      </c>
      <c r="GI165" t="e">
        <f>'2.5.Трудоемкость'!ZU18+"BYw!(Dv"</f>
        <v>#VALUE!</v>
      </c>
      <c r="GJ165" t="e">
        <f>'2.5.Трудоемкость'!ZV18+"BYw!(Dw"</f>
        <v>#VALUE!</v>
      </c>
      <c r="GK165" t="e">
        <f>'2.5.Трудоемкость'!ZW18+"BYw!(Dx"</f>
        <v>#VALUE!</v>
      </c>
      <c r="GL165" t="e">
        <f>'2.5.Трудоемкость'!ZX18+"BYw!(Dy"</f>
        <v>#VALUE!</v>
      </c>
      <c r="GM165" t="e">
        <f>'2.5.Трудоемкость'!ZY18+"BYw!(Dz"</f>
        <v>#VALUE!</v>
      </c>
      <c r="GN165" t="e">
        <f>'2.5.Трудоемкость'!ZZ18+"BYw!(D{"</f>
        <v>#VALUE!</v>
      </c>
      <c r="GO165" t="e">
        <f>'2.5.Трудоемкость'!AAA18+"BYw!(D|"</f>
        <v>#VALUE!</v>
      </c>
      <c r="GP165" t="e">
        <f>'2.5.Трудоемкость'!AAB18+"BYw!(D}"</f>
        <v>#VALUE!</v>
      </c>
      <c r="GQ165" t="e">
        <f>'2.5.Трудоемкость'!AAC18+"BYw!(D~"</f>
        <v>#VALUE!</v>
      </c>
      <c r="GR165" t="e">
        <f>'2.5.Трудоемкость'!AAD18+"BYw!(E#"</f>
        <v>#VALUE!</v>
      </c>
      <c r="GS165" t="e">
        <f>'2.5.Трудоемкость'!AAE18+"BYw!(E$"</f>
        <v>#VALUE!</v>
      </c>
      <c r="GT165" t="e">
        <f>'2.5.Трудоемкость'!AAF18+"BYw!(E%"</f>
        <v>#VALUE!</v>
      </c>
      <c r="GU165" t="e">
        <f>'2.5.Трудоемкость'!AAG18+"BYw!(E&amp;"</f>
        <v>#VALUE!</v>
      </c>
      <c r="GV165" t="e">
        <f>'2.5.Трудоемкость'!AAH18+"BYw!(E'"</f>
        <v>#VALUE!</v>
      </c>
      <c r="GW165" t="e">
        <f>'2.5.Трудоемкость'!AAI18+"BYw!(E("</f>
        <v>#VALUE!</v>
      </c>
      <c r="GX165" t="e">
        <f>'2.5.Трудоемкость'!AAJ18+"BYw!(E)"</f>
        <v>#VALUE!</v>
      </c>
      <c r="GY165" t="e">
        <f>'2.5.Трудоемкость'!AAK18+"BYw!(E."</f>
        <v>#VALUE!</v>
      </c>
      <c r="GZ165" t="e">
        <f>'2.5.Трудоемкость'!AAL18+"BYw!(E/"</f>
        <v>#VALUE!</v>
      </c>
      <c r="HA165" t="e">
        <f>'2.5.Трудоемкость'!AAM18+"BYw!(E0"</f>
        <v>#VALUE!</v>
      </c>
      <c r="HB165" t="e">
        <f>'2.5.Трудоемкость'!AAN18+"BYw!(E1"</f>
        <v>#VALUE!</v>
      </c>
      <c r="HC165" t="e">
        <f>'2.5.Трудоемкость'!AAO18+"BYw!(E2"</f>
        <v>#VALUE!</v>
      </c>
      <c r="HD165" t="e">
        <f>'2.5.Трудоемкость'!AAP18+"BYw!(E3"</f>
        <v>#VALUE!</v>
      </c>
      <c r="HE165" t="e">
        <f>'2.5.Трудоемкость'!AAQ18+"BYw!(E4"</f>
        <v>#VALUE!</v>
      </c>
      <c r="HF165" t="e">
        <f>'2.5.Трудоемкость'!AAR18+"BYw!(E5"</f>
        <v>#VALUE!</v>
      </c>
      <c r="HG165" t="e">
        <f>'2.5.Трудоемкость'!AAS18+"BYw!(E6"</f>
        <v>#VALUE!</v>
      </c>
      <c r="HH165" t="e">
        <f>'2.5.Трудоемкость'!AAT18+"BYw!(E7"</f>
        <v>#VALUE!</v>
      </c>
      <c r="HI165" t="e">
        <f>'2.5.Трудоемкость'!AAU18+"BYw!(E8"</f>
        <v>#VALUE!</v>
      </c>
      <c r="HJ165" t="e">
        <f>'2.5.Трудоемкость'!AAV18+"BYw!(E9"</f>
        <v>#VALUE!</v>
      </c>
      <c r="HK165" t="e">
        <f>'2.5.Трудоемкость'!AAW18+"BYw!(E:"</f>
        <v>#VALUE!</v>
      </c>
      <c r="HL165" t="e">
        <f>'2.5.Трудоемкость'!AAX18+"BYw!(E;"</f>
        <v>#VALUE!</v>
      </c>
      <c r="HM165" t="e">
        <f>'2.5.Трудоемкость'!AAY18+"BYw!(E&lt;"</f>
        <v>#VALUE!</v>
      </c>
      <c r="HN165" t="e">
        <f>'2.5.Трудоемкость'!AAZ18+"BYw!(E="</f>
        <v>#VALUE!</v>
      </c>
      <c r="HO165" t="e">
        <f>'2.5.Трудоемкость'!ABA18+"BYw!(E&gt;"</f>
        <v>#VALUE!</v>
      </c>
      <c r="HP165" t="e">
        <f>'2.5.Трудоемкость'!ABB18+"BYw!(E?"</f>
        <v>#VALUE!</v>
      </c>
      <c r="HQ165" t="e">
        <f>'2.5.Трудоемкость'!ABC18+"BYw!(E@"</f>
        <v>#VALUE!</v>
      </c>
      <c r="HR165" t="e">
        <f>'2.5.Трудоемкость'!ABD18+"BYw!(EA"</f>
        <v>#VALUE!</v>
      </c>
      <c r="HS165" t="e">
        <f>'2.5.Трудоемкость'!ABE18+"BYw!(EB"</f>
        <v>#VALUE!</v>
      </c>
      <c r="HT165" t="e">
        <f>'2.5.Трудоемкость'!ABF18+"BYw!(EC"</f>
        <v>#VALUE!</v>
      </c>
      <c r="HU165" t="e">
        <f>'2.5.Трудоемкость'!ABG18+"BYw!(ED"</f>
        <v>#VALUE!</v>
      </c>
      <c r="HV165" t="e">
        <f>'2.5.Трудоемкость'!ABH18+"BYw!(EE"</f>
        <v>#VALUE!</v>
      </c>
      <c r="HW165" t="e">
        <f>'2.5.Трудоемкость'!ABI18+"BYw!(EF"</f>
        <v>#VALUE!</v>
      </c>
      <c r="HX165" t="e">
        <f>'2.5.Трудоемкость'!ABJ18+"BYw!(EG"</f>
        <v>#VALUE!</v>
      </c>
      <c r="HY165" t="e">
        <f>'2.5.Трудоемкость'!ABK18+"BYw!(EH"</f>
        <v>#VALUE!</v>
      </c>
      <c r="HZ165" t="e">
        <f>'2.5.Трудоемкость'!ABL18+"BYw!(EI"</f>
        <v>#VALUE!</v>
      </c>
      <c r="IA165" t="e">
        <f>'2.5.Трудоемкость'!ABM18+"BYw!(EJ"</f>
        <v>#VALUE!</v>
      </c>
      <c r="IB165" t="e">
        <f>'2.5.Трудоемкость'!ABN18+"BYw!(EK"</f>
        <v>#VALUE!</v>
      </c>
      <c r="IC165" t="e">
        <f>'2.5.Трудоемкость'!ABO18+"BYw!(EL"</f>
        <v>#VALUE!</v>
      </c>
      <c r="ID165" t="e">
        <f>'2.5.Трудоемкость'!ABP18+"BYw!(EM"</f>
        <v>#VALUE!</v>
      </c>
      <c r="IE165" t="e">
        <f>'2.5.Трудоемкость'!ABQ18+"BYw!(EN"</f>
        <v>#VALUE!</v>
      </c>
      <c r="IF165" t="e">
        <f>'2.5.Трудоемкость'!ABR18+"BYw!(EO"</f>
        <v>#VALUE!</v>
      </c>
      <c r="IG165" t="e">
        <f>'2.5.Трудоемкость'!ABS18+"BYw!(EP"</f>
        <v>#VALUE!</v>
      </c>
      <c r="IH165" t="e">
        <f>'2.5.Трудоемкость'!ABT18+"BYw!(EQ"</f>
        <v>#VALUE!</v>
      </c>
      <c r="II165" t="e">
        <f>'2.5.Трудоемкость'!ABU18+"BYw!(ER"</f>
        <v>#VALUE!</v>
      </c>
      <c r="IJ165" t="e">
        <f>'2.5.Трудоемкость'!ABV18+"BYw!(ES"</f>
        <v>#VALUE!</v>
      </c>
      <c r="IK165" t="e">
        <f>'2.5.Трудоемкость'!ABW18+"BYw!(ET"</f>
        <v>#VALUE!</v>
      </c>
      <c r="IL165" t="e">
        <f>'2.5.Трудоемкость'!ABX18+"BYw!(EU"</f>
        <v>#VALUE!</v>
      </c>
      <c r="IM165" t="e">
        <f>'2.5.Трудоемкость'!ABY18+"BYw!(EV"</f>
        <v>#VALUE!</v>
      </c>
      <c r="IN165" t="e">
        <f>'2.5.Трудоемкость'!ABZ18+"BYw!(EW"</f>
        <v>#VALUE!</v>
      </c>
      <c r="IO165" t="e">
        <f>'2.5.Трудоемкость'!ACA18+"BYw!(EX"</f>
        <v>#VALUE!</v>
      </c>
      <c r="IP165" t="e">
        <f>'2.5.Трудоемкость'!ACB18+"BYw!(EY"</f>
        <v>#VALUE!</v>
      </c>
      <c r="IQ165" t="e">
        <f>'2.5.Трудоемкость'!ACC18+"BYw!(EZ"</f>
        <v>#VALUE!</v>
      </c>
      <c r="IR165" t="e">
        <f>'2.5.Трудоемкость'!ACD18+"BYw!(E["</f>
        <v>#VALUE!</v>
      </c>
      <c r="IS165" t="e">
        <f>'2.5.Трудоемкость'!ACE18+"BYw!(E\"</f>
        <v>#VALUE!</v>
      </c>
      <c r="IT165" t="e">
        <f>'2.5.Трудоемкость'!ACF18+"BYw!(E]"</f>
        <v>#VALUE!</v>
      </c>
      <c r="IU165" t="e">
        <f>'2.5.Трудоемкость'!ACG18+"BYw!(E^"</f>
        <v>#VALUE!</v>
      </c>
      <c r="IV165" t="e">
        <f>'2.5.Трудоемкость'!ACH18+"BYw!(E_"</f>
        <v>#VALUE!</v>
      </c>
    </row>
    <row r="166" spans="6:256" x14ac:dyDescent="0.2">
      <c r="F166" t="e">
        <f>'2.5.Трудоемкость'!ACI18+"BYw!(E`"</f>
        <v>#VALUE!</v>
      </c>
      <c r="G166" t="e">
        <f>'2.5.Трудоемкость'!ACJ18+"BYw!(Ea"</f>
        <v>#VALUE!</v>
      </c>
      <c r="H166" t="e">
        <f>'2.5.Трудоемкость'!ACK18+"BYw!(Eb"</f>
        <v>#VALUE!</v>
      </c>
      <c r="I166" t="e">
        <f>'2.5.Трудоемкость'!ACL18+"BYw!(Ec"</f>
        <v>#VALUE!</v>
      </c>
      <c r="J166" t="e">
        <f>'2.5.Трудоемкость'!ACM18+"BYw!(Ed"</f>
        <v>#VALUE!</v>
      </c>
      <c r="K166" t="e">
        <f>'2.5.Трудоемкость'!ACN18+"BYw!(Ee"</f>
        <v>#VALUE!</v>
      </c>
      <c r="L166" t="e">
        <f>'2.5.Трудоемкость'!ACO18+"BYw!(Ef"</f>
        <v>#VALUE!</v>
      </c>
      <c r="M166" t="e">
        <f>'2.5.Трудоемкость'!ACP18+"BYw!(Eg"</f>
        <v>#VALUE!</v>
      </c>
      <c r="N166" t="e">
        <f>'2.5.Трудоемкость'!ACQ18+"BYw!(Eh"</f>
        <v>#VALUE!</v>
      </c>
      <c r="O166" t="e">
        <f>'2.5.Трудоемкость'!ACR18+"BYw!(Ei"</f>
        <v>#VALUE!</v>
      </c>
      <c r="P166" t="e">
        <f>'2.5.Трудоемкость'!ACS18+"BYw!(Ej"</f>
        <v>#VALUE!</v>
      </c>
      <c r="Q166" t="e">
        <f>'2.5.Трудоемкость'!ACT18+"BYw!(Ek"</f>
        <v>#VALUE!</v>
      </c>
      <c r="R166" t="e">
        <f>'2.5.Трудоемкость'!ACU18+"BYw!(El"</f>
        <v>#VALUE!</v>
      </c>
      <c r="S166" t="e">
        <f>'2.5.Трудоемкость'!ACV18+"BYw!(Em"</f>
        <v>#VALUE!</v>
      </c>
      <c r="T166" t="e">
        <f>'2.5.Трудоемкость'!ACW18+"BYw!(En"</f>
        <v>#VALUE!</v>
      </c>
      <c r="U166" t="e">
        <f>'2.5.Трудоемкость'!ACX18+"BYw!(Eo"</f>
        <v>#VALUE!</v>
      </c>
      <c r="V166" t="e">
        <f>'2.5.Трудоемкость'!ACY18+"BYw!(Ep"</f>
        <v>#VALUE!</v>
      </c>
      <c r="W166" t="e">
        <f>'2.5.Трудоемкость'!ACZ18+"BYw!(Eq"</f>
        <v>#VALUE!</v>
      </c>
      <c r="X166" t="e">
        <f>'2.5.Трудоемкость'!ADA18+"BYw!(Er"</f>
        <v>#VALUE!</v>
      </c>
      <c r="Y166" t="e">
        <f>'2.5.Трудоемкость'!ADB18+"BYw!(Es"</f>
        <v>#VALUE!</v>
      </c>
      <c r="Z166" t="e">
        <f>'2.5.Трудоемкость'!ADC18+"BYw!(Et"</f>
        <v>#VALUE!</v>
      </c>
      <c r="AA166" t="e">
        <f>'2.5.Трудоемкость'!ADD18+"BYw!(Eu"</f>
        <v>#VALUE!</v>
      </c>
      <c r="AB166" t="e">
        <f>'2.5.Трудоемкость'!ADE18+"BYw!(Ev"</f>
        <v>#VALUE!</v>
      </c>
      <c r="AC166" t="e">
        <f>'2.5.Трудоемкость'!ADF18+"BYw!(Ew"</f>
        <v>#VALUE!</v>
      </c>
      <c r="AD166" t="e">
        <f>'2.5.Трудоемкость'!ADG18+"BYw!(Ex"</f>
        <v>#VALUE!</v>
      </c>
      <c r="AE166" t="e">
        <f>'2.5.Трудоемкость'!ADH18+"BYw!(Ey"</f>
        <v>#VALUE!</v>
      </c>
      <c r="AF166" t="e">
        <f>'2.5.Трудоемкость'!ADI18+"BYw!(Ez"</f>
        <v>#VALUE!</v>
      </c>
      <c r="AG166" t="e">
        <f>'2.5.Трудоемкость'!ADJ18+"BYw!(E{"</f>
        <v>#VALUE!</v>
      </c>
      <c r="AH166" t="e">
        <f>'2.5.Трудоемкость'!ADK18+"BYw!(E|"</f>
        <v>#VALUE!</v>
      </c>
      <c r="AI166" t="e">
        <f>'2.5.Трудоемкость'!ADL18+"BYw!(E}"</f>
        <v>#VALUE!</v>
      </c>
      <c r="AJ166" t="e">
        <f>'2.5.Трудоемкость'!ADM18+"BYw!(E~"</f>
        <v>#VALUE!</v>
      </c>
      <c r="AK166" t="e">
        <f>'2.5.Трудоемкость'!ADN18+"BYw!(F#"</f>
        <v>#VALUE!</v>
      </c>
      <c r="AL166" t="e">
        <f>'2.5.Трудоемкость'!ADO18+"BYw!(F$"</f>
        <v>#VALUE!</v>
      </c>
      <c r="AM166" t="e">
        <f>'2.5.Трудоемкость'!ADP18+"BYw!(F%"</f>
        <v>#VALUE!</v>
      </c>
      <c r="AN166" t="e">
        <f>'2.5.Трудоемкость'!ADQ18+"BYw!(F&amp;"</f>
        <v>#VALUE!</v>
      </c>
      <c r="AO166" t="e">
        <f>'2.5.Трудоемкость'!ADR18+"BYw!(F'"</f>
        <v>#VALUE!</v>
      </c>
      <c r="AP166" t="e">
        <f>'2.5.Трудоемкость'!ADS18+"BYw!(F("</f>
        <v>#VALUE!</v>
      </c>
      <c r="AQ166" t="e">
        <f>'2.5.Трудоемкость'!ADT18+"BYw!(F)"</f>
        <v>#VALUE!</v>
      </c>
      <c r="AR166" t="e">
        <f>'2.5.Трудоемкость'!ADU18+"BYw!(F."</f>
        <v>#VALUE!</v>
      </c>
      <c r="AS166" t="e">
        <f>'2.5.Трудоемкость'!ADV18+"BYw!(F/"</f>
        <v>#VALUE!</v>
      </c>
      <c r="AT166" t="e">
        <f>'2.5.Трудоемкость'!ADW18+"BYw!(F0"</f>
        <v>#VALUE!</v>
      </c>
      <c r="AU166" t="e">
        <f>'2.5.Трудоемкость'!ADX18+"BYw!(F1"</f>
        <v>#VALUE!</v>
      </c>
      <c r="AV166" t="e">
        <f>'2.5.Трудоемкость'!ADY18+"BYw!(F2"</f>
        <v>#VALUE!</v>
      </c>
      <c r="AW166" t="e">
        <f>'2.5.Трудоемкость'!ADZ18+"BYw!(F3"</f>
        <v>#VALUE!</v>
      </c>
      <c r="AX166" t="e">
        <f>'2.5.Трудоемкость'!AEA18+"BYw!(F4"</f>
        <v>#VALUE!</v>
      </c>
      <c r="AY166" t="e">
        <f>'2.5.Трудоемкость'!AEB18+"BYw!(F5"</f>
        <v>#VALUE!</v>
      </c>
      <c r="AZ166" t="e">
        <f>'2.5.Трудоемкость'!AEC18+"BYw!(F6"</f>
        <v>#VALUE!</v>
      </c>
      <c r="BA166" t="e">
        <f>'2.5.Трудоемкость'!AED18+"BYw!(F7"</f>
        <v>#VALUE!</v>
      </c>
      <c r="BB166" t="e">
        <f>'2.5.Трудоемкость'!AEE18+"BYw!(F8"</f>
        <v>#VALUE!</v>
      </c>
      <c r="BC166" t="e">
        <f>'2.5.Трудоемкость'!AEF18+"BYw!(F9"</f>
        <v>#VALUE!</v>
      </c>
      <c r="BD166" t="e">
        <f>'2.5.Трудоемкость'!AEG18+"BYw!(F:"</f>
        <v>#VALUE!</v>
      </c>
      <c r="BE166" t="e">
        <f>'2.5.Трудоемкость'!AEH18+"BYw!(F;"</f>
        <v>#VALUE!</v>
      </c>
      <c r="BF166" t="e">
        <f>'2.5.Трудоемкость'!AEI18+"BYw!(F&lt;"</f>
        <v>#VALUE!</v>
      </c>
      <c r="BG166" t="e">
        <f>'2.5.Трудоемкость'!AEJ18+"BYw!(F="</f>
        <v>#VALUE!</v>
      </c>
      <c r="BH166" t="e">
        <f>'2.5.Трудоемкость'!AEK18+"BYw!(F&gt;"</f>
        <v>#VALUE!</v>
      </c>
      <c r="BI166" t="e">
        <f>'2.5.Трудоемкость'!AEL18+"BYw!(F?"</f>
        <v>#VALUE!</v>
      </c>
      <c r="BJ166" t="e">
        <f>'2.5.Трудоемкость'!AEM18+"BYw!(F@"</f>
        <v>#VALUE!</v>
      </c>
      <c r="BK166" t="e">
        <f>'2.5.Трудоемкость'!AEN18+"BYw!(FA"</f>
        <v>#VALUE!</v>
      </c>
      <c r="BL166" t="e">
        <f>'2.5.Трудоемкость'!AEO18+"BYw!(FB"</f>
        <v>#VALUE!</v>
      </c>
      <c r="BM166" t="e">
        <f>'2.5.Трудоемкость'!AEP18+"BYw!(FC"</f>
        <v>#VALUE!</v>
      </c>
      <c r="BN166" t="e">
        <f>'2.5.Трудоемкость'!AEQ18+"BYw!(FD"</f>
        <v>#VALUE!</v>
      </c>
      <c r="BO166" t="e">
        <f>'2.5.Трудоемкость'!AER18+"BYw!(FE"</f>
        <v>#VALUE!</v>
      </c>
      <c r="BP166" t="e">
        <f>'2.5.Трудоемкость'!AES18+"BYw!(FF"</f>
        <v>#VALUE!</v>
      </c>
      <c r="BQ166" t="e">
        <f>'2.5.Трудоемкость'!AET18+"BYw!(FG"</f>
        <v>#VALUE!</v>
      </c>
      <c r="BR166" t="e">
        <f>'2.5.Трудоемкость'!AEU18+"BYw!(FH"</f>
        <v>#VALUE!</v>
      </c>
      <c r="BS166" t="e">
        <f>'2.5.Трудоемкость'!AEV18+"BYw!(FI"</f>
        <v>#VALUE!</v>
      </c>
      <c r="BT166" t="e">
        <f>'2.5.Трудоемкость'!AEW18+"BYw!(FJ"</f>
        <v>#VALUE!</v>
      </c>
      <c r="BU166" t="e">
        <f>'2.5.Трудоемкость'!AEX18+"BYw!(FK"</f>
        <v>#VALUE!</v>
      </c>
      <c r="BV166" t="e">
        <f>'2.5.Трудоемкость'!AEY18+"BYw!(FL"</f>
        <v>#VALUE!</v>
      </c>
      <c r="BW166" t="e">
        <f>'2.5.Трудоемкость'!AEZ18+"BYw!(FM"</f>
        <v>#VALUE!</v>
      </c>
      <c r="BX166" t="e">
        <f>'2.5.Трудоемкость'!AFA18+"BYw!(FN"</f>
        <v>#VALUE!</v>
      </c>
      <c r="BY166" t="e">
        <f>'2.5.Трудоемкость'!AFB18+"BYw!(FO"</f>
        <v>#VALUE!</v>
      </c>
      <c r="BZ166" t="e">
        <f>'2.5.Трудоемкость'!AFC18+"BYw!(FP"</f>
        <v>#VALUE!</v>
      </c>
      <c r="CA166" t="e">
        <f>'2.5.Трудоемкость'!AFD18+"BYw!(FQ"</f>
        <v>#VALUE!</v>
      </c>
      <c r="CB166" t="e">
        <f>'2.5.Трудоемкость'!AFE18+"BYw!(FR"</f>
        <v>#VALUE!</v>
      </c>
      <c r="CC166" t="e">
        <f>'2.5.Трудоемкость'!AFF18+"BYw!(FS"</f>
        <v>#VALUE!</v>
      </c>
      <c r="CD166" t="e">
        <f>'2.5.Трудоемкость'!AFG18+"BYw!(FT"</f>
        <v>#VALUE!</v>
      </c>
      <c r="CE166" t="e">
        <f>'2.5.Трудоемкость'!AFH18+"BYw!(FU"</f>
        <v>#VALUE!</v>
      </c>
      <c r="CF166" t="e">
        <f>'2.5.Трудоемкость'!AFI18+"BYw!(FV"</f>
        <v>#VALUE!</v>
      </c>
      <c r="CG166" t="e">
        <f>'2.5.Трудоемкость'!AFJ18+"BYw!(FW"</f>
        <v>#VALUE!</v>
      </c>
      <c r="CH166" t="e">
        <f>'2.5.Трудоемкость'!AFK18+"BYw!(FX"</f>
        <v>#VALUE!</v>
      </c>
      <c r="CI166" t="e">
        <f>'2.5.Трудоемкость'!AFL18+"BYw!(FY"</f>
        <v>#VALUE!</v>
      </c>
      <c r="CJ166" t="e">
        <f>'2.5.Трудоемкость'!AFM18+"BYw!(FZ"</f>
        <v>#VALUE!</v>
      </c>
      <c r="CK166" t="e">
        <f>'2.5.Трудоемкость'!AFN18+"BYw!(F["</f>
        <v>#VALUE!</v>
      </c>
      <c r="CL166" t="e">
        <f>'2.5.Трудоемкость'!AFO18+"BYw!(F\"</f>
        <v>#VALUE!</v>
      </c>
      <c r="CM166" t="e">
        <f>'2.5.Трудоемкость'!AFP18+"BYw!(F]"</f>
        <v>#VALUE!</v>
      </c>
      <c r="CN166" t="e">
        <f>'2.5.Трудоемкость'!AFQ18+"BYw!(F^"</f>
        <v>#VALUE!</v>
      </c>
      <c r="CO166" t="e">
        <f>'2.5.Трудоемкость'!AFR18+"BYw!(F_"</f>
        <v>#VALUE!</v>
      </c>
      <c r="CP166" t="e">
        <f>'2.5.Трудоемкость'!AFS18+"BYw!(F`"</f>
        <v>#VALUE!</v>
      </c>
      <c r="CQ166" t="e">
        <f>'2.5.Трудоемкость'!AFT18+"BYw!(Fa"</f>
        <v>#VALUE!</v>
      </c>
      <c r="CR166" t="e">
        <f>'2.5.Трудоемкость'!AFU18+"BYw!(Fb"</f>
        <v>#VALUE!</v>
      </c>
      <c r="CS166" t="e">
        <f>'2.5.Трудоемкость'!AFV18+"BYw!(Fc"</f>
        <v>#VALUE!</v>
      </c>
      <c r="CT166" t="e">
        <f>'2.5.Трудоемкость'!AFW18+"BYw!(Fd"</f>
        <v>#VALUE!</v>
      </c>
      <c r="CU166" t="e">
        <f>'2.5.Трудоемкость'!AFX18+"BYw!(Fe"</f>
        <v>#VALUE!</v>
      </c>
      <c r="CV166" t="e">
        <f>'2.5.Трудоемкость'!AFY18+"BYw!(Ff"</f>
        <v>#VALUE!</v>
      </c>
      <c r="CW166" t="e">
        <f>'2.5.Трудоемкость'!AFZ18+"BYw!(Fg"</f>
        <v>#VALUE!</v>
      </c>
      <c r="CX166" t="e">
        <f>'2.5.Трудоемкость'!AGA18+"BYw!(Fh"</f>
        <v>#VALUE!</v>
      </c>
      <c r="CY166" t="e">
        <f>'2.5.Трудоемкость'!AGB18+"BYw!(Fi"</f>
        <v>#VALUE!</v>
      </c>
      <c r="CZ166" t="e">
        <f>'2.5.Трудоемкость'!AGC18+"BYw!(Fj"</f>
        <v>#VALUE!</v>
      </c>
      <c r="DA166" t="e">
        <f>'2.5.Трудоемкость'!AGD18+"BYw!(Fk"</f>
        <v>#VALUE!</v>
      </c>
      <c r="DB166" t="e">
        <f>'2.5.Трудоемкость'!AGE18+"BYw!(Fl"</f>
        <v>#VALUE!</v>
      </c>
      <c r="DC166" t="e">
        <f>'2.5.Трудоемкость'!AGF18+"BYw!(Fm"</f>
        <v>#VALUE!</v>
      </c>
      <c r="DD166" t="e">
        <f>'2.5.Трудоемкость'!AGG18+"BYw!(Fn"</f>
        <v>#VALUE!</v>
      </c>
      <c r="DE166" t="e">
        <f>'2.5.Трудоемкость'!AGH18+"BYw!(Fo"</f>
        <v>#VALUE!</v>
      </c>
      <c r="DF166" t="e">
        <f>'2.5.Трудоемкость'!AGI18+"BYw!(Fp"</f>
        <v>#VALUE!</v>
      </c>
      <c r="DG166" t="e">
        <f>'2.5.Трудоемкость'!AGJ18+"BYw!(Fq"</f>
        <v>#VALUE!</v>
      </c>
      <c r="DH166" t="e">
        <f>'2.5.Трудоемкость'!AGK18+"BYw!(Fr"</f>
        <v>#VALUE!</v>
      </c>
      <c r="DI166" t="e">
        <f>'2.5.Трудоемкость'!AGL18+"BYw!(Fs"</f>
        <v>#VALUE!</v>
      </c>
      <c r="DJ166" t="e">
        <f>'2.5.Трудоемкость'!AGM18+"BYw!(Ft"</f>
        <v>#VALUE!</v>
      </c>
      <c r="DK166" t="e">
        <f>'2.5.Трудоемкость'!AGN18+"BYw!(Fu"</f>
        <v>#VALUE!</v>
      </c>
      <c r="DL166" t="e">
        <f>'2.5.Трудоемкость'!AGO18+"BYw!(Fv"</f>
        <v>#VALUE!</v>
      </c>
      <c r="DM166" t="e">
        <f>'2.5.Трудоемкость'!AGP18+"BYw!(Fw"</f>
        <v>#VALUE!</v>
      </c>
      <c r="DN166" t="e">
        <f>'2.5.Трудоемкость'!AGQ18+"BYw!(Fx"</f>
        <v>#VALUE!</v>
      </c>
      <c r="DO166" t="e">
        <f>'2.5.Трудоемкость'!AGR18+"BYw!(Fy"</f>
        <v>#VALUE!</v>
      </c>
      <c r="DP166" t="e">
        <f>'2.5.Трудоемкость'!AGS18+"BYw!(Fz"</f>
        <v>#VALUE!</v>
      </c>
      <c r="DQ166" t="e">
        <f>'2.5.Трудоемкость'!AGT18+"BYw!(F{"</f>
        <v>#VALUE!</v>
      </c>
      <c r="DR166" t="e">
        <f>'2.5.Трудоемкость'!AGU18+"BYw!(F|"</f>
        <v>#VALUE!</v>
      </c>
      <c r="DS166" t="e">
        <f>'2.5.Трудоемкость'!AGV18+"BYw!(F}"</f>
        <v>#VALUE!</v>
      </c>
      <c r="DT166" t="e">
        <f>'2.5.Трудоемкость'!AGW18+"BYw!(F~"</f>
        <v>#VALUE!</v>
      </c>
      <c r="DU166" t="e">
        <f>'2.5.Трудоемкость'!AGX18+"BYw!(G#"</f>
        <v>#VALUE!</v>
      </c>
      <c r="DV166" t="e">
        <f>'2.5.Трудоемкость'!AGY18+"BYw!(G$"</f>
        <v>#VALUE!</v>
      </c>
      <c r="DW166" t="e">
        <f>'2.5.Трудоемкость'!AGZ18+"BYw!(G%"</f>
        <v>#VALUE!</v>
      </c>
      <c r="DX166" t="e">
        <f>'2.5.Трудоемкость'!AHA18+"BYw!(G&amp;"</f>
        <v>#VALUE!</v>
      </c>
      <c r="DY166" t="e">
        <f>'2.5.Трудоемкость'!AHB18+"BYw!(G'"</f>
        <v>#VALUE!</v>
      </c>
      <c r="DZ166" t="e">
        <f>'2.5.Трудоемкость'!AHC18+"BYw!(G("</f>
        <v>#VALUE!</v>
      </c>
      <c r="EA166" t="e">
        <f>'2.5.Трудоемкость'!AHD18+"BYw!(G)"</f>
        <v>#VALUE!</v>
      </c>
      <c r="EB166" t="e">
        <f>'2.5.Трудоемкость'!AHE18+"BYw!(G."</f>
        <v>#VALUE!</v>
      </c>
      <c r="EC166" t="e">
        <f>'2.5.Трудоемкость'!AHF18+"BYw!(G/"</f>
        <v>#VALUE!</v>
      </c>
      <c r="ED166" t="e">
        <f>'2.5.Трудоемкость'!AHG18+"BYw!(G0"</f>
        <v>#VALUE!</v>
      </c>
      <c r="EE166" t="e">
        <f>'2.5.Трудоемкость'!AHH18+"BYw!(G1"</f>
        <v>#VALUE!</v>
      </c>
      <c r="EF166" t="e">
        <f>'2.5.Трудоемкость'!AHI18+"BYw!(G2"</f>
        <v>#VALUE!</v>
      </c>
      <c r="EG166" t="e">
        <f>'2.5.Трудоемкость'!AHJ18+"BYw!(G3"</f>
        <v>#VALUE!</v>
      </c>
      <c r="EH166" t="e">
        <f>'2.5.Трудоемкость'!AHK18+"BYw!(G4"</f>
        <v>#VALUE!</v>
      </c>
      <c r="EI166" t="e">
        <f>'2.5.Трудоемкость'!AHL18+"BYw!(G5"</f>
        <v>#VALUE!</v>
      </c>
      <c r="EJ166" t="e">
        <f>'2.5.Трудоемкость'!AHM18+"BYw!(G6"</f>
        <v>#VALUE!</v>
      </c>
      <c r="EK166" t="e">
        <f>'2.5.Трудоемкость'!AHN18+"BYw!(G7"</f>
        <v>#VALUE!</v>
      </c>
      <c r="EL166" t="e">
        <f>'2.5.Трудоемкость'!AHO18+"BYw!(G8"</f>
        <v>#VALUE!</v>
      </c>
      <c r="EM166" t="e">
        <f>'2.5.Трудоемкость'!AHP18+"BYw!(G9"</f>
        <v>#VALUE!</v>
      </c>
      <c r="EN166" t="e">
        <f>'2.5.Трудоемкость'!AHQ18+"BYw!(G:"</f>
        <v>#VALUE!</v>
      </c>
      <c r="EO166" t="e">
        <f>'2.5.Трудоемкость'!AHR18+"BYw!(G;"</f>
        <v>#VALUE!</v>
      </c>
      <c r="EP166" t="e">
        <f>'2.5.Трудоемкость'!AHS18+"BYw!(G&lt;"</f>
        <v>#VALUE!</v>
      </c>
      <c r="EQ166" t="e">
        <f>'2.5.Трудоемкость'!AHT18+"BYw!(G="</f>
        <v>#VALUE!</v>
      </c>
      <c r="ER166" t="e">
        <f>'2.5.Трудоемкость'!AHU18+"BYw!(G&gt;"</f>
        <v>#VALUE!</v>
      </c>
      <c r="ES166" t="e">
        <f>'2.5.Трудоемкость'!AHV18+"BYw!(G?"</f>
        <v>#VALUE!</v>
      </c>
      <c r="ET166" t="e">
        <f>'2.5.Трудоемкость'!AHW18+"BYw!(G@"</f>
        <v>#VALUE!</v>
      </c>
      <c r="EU166" t="e">
        <f>'2.5.Трудоемкость'!AHX18+"BYw!(GA"</f>
        <v>#VALUE!</v>
      </c>
      <c r="EV166" t="e">
        <f>'2.5.Трудоемкость'!AHY18+"BYw!(GB"</f>
        <v>#VALUE!</v>
      </c>
      <c r="EW166" t="e">
        <f>'2.5.Трудоемкость'!AHZ18+"BYw!(GC"</f>
        <v>#VALUE!</v>
      </c>
      <c r="EX166" t="e">
        <f>'2.5.Трудоемкость'!AIA18+"BYw!(GD"</f>
        <v>#VALUE!</v>
      </c>
      <c r="EY166" t="e">
        <f>'2.5.Трудоемкость'!AIB18+"BYw!(GE"</f>
        <v>#VALUE!</v>
      </c>
      <c r="EZ166" t="e">
        <f>'2.5.Трудоемкость'!AIC18+"BYw!(GF"</f>
        <v>#VALUE!</v>
      </c>
      <c r="FA166" t="e">
        <f>'2.5.Трудоемкость'!AID18+"BYw!(GG"</f>
        <v>#VALUE!</v>
      </c>
      <c r="FB166" t="e">
        <f>'2.5.Трудоемкость'!AIE18+"BYw!(GH"</f>
        <v>#VALUE!</v>
      </c>
      <c r="FC166" t="e">
        <f>'2.5.Трудоемкость'!AIF18+"BYw!(GI"</f>
        <v>#VALUE!</v>
      </c>
      <c r="FD166" t="e">
        <f>'2.5.Трудоемкость'!AIG18+"BYw!(GJ"</f>
        <v>#VALUE!</v>
      </c>
      <c r="FE166" t="e">
        <f>'2.5.Трудоемкость'!AIH18+"BYw!(GK"</f>
        <v>#VALUE!</v>
      </c>
      <c r="FF166" t="e">
        <f>'2.5.Трудоемкость'!AII18+"BYw!(GL"</f>
        <v>#VALUE!</v>
      </c>
      <c r="FG166" t="e">
        <f>'2.5.Трудоемкость'!AIJ18+"BYw!(GM"</f>
        <v>#VALUE!</v>
      </c>
      <c r="FH166" t="e">
        <f>'2.5.Трудоемкость'!AIK18+"BYw!(GN"</f>
        <v>#VALUE!</v>
      </c>
      <c r="FI166" t="e">
        <f>'2.5.Трудоемкость'!AIL18+"BYw!(GO"</f>
        <v>#VALUE!</v>
      </c>
      <c r="FJ166" t="e">
        <f>'2.5.Трудоемкость'!AIM18+"BYw!(GP"</f>
        <v>#VALUE!</v>
      </c>
      <c r="FK166" t="e">
        <f>'2.5.Трудоемкость'!AIN18+"BYw!(GQ"</f>
        <v>#VALUE!</v>
      </c>
      <c r="FL166" t="e">
        <f>'2.5.Трудоемкость'!AIO18+"BYw!(GR"</f>
        <v>#VALUE!</v>
      </c>
      <c r="FM166" t="e">
        <f>'2.5.Трудоемкость'!AIP18+"BYw!(GS"</f>
        <v>#VALUE!</v>
      </c>
      <c r="FN166" t="e">
        <f>'2.5.Трудоемкость'!AIQ18+"BYw!(GT"</f>
        <v>#VALUE!</v>
      </c>
      <c r="FO166" t="e">
        <f>'2.5.Трудоемкость'!AIR18+"BYw!(GU"</f>
        <v>#VALUE!</v>
      </c>
      <c r="FP166" t="e">
        <f>'2.5.Трудоемкость'!AIS18+"BYw!(GV"</f>
        <v>#VALUE!</v>
      </c>
      <c r="FQ166" t="e">
        <f>'2.5.Трудоемкость'!AIT18+"BYw!(GW"</f>
        <v>#VALUE!</v>
      </c>
      <c r="FR166" t="e">
        <f>'2.5.Трудоемкость'!AIU18+"BYw!(GX"</f>
        <v>#VALUE!</v>
      </c>
      <c r="FS166" t="e">
        <f>'2.5.Трудоемкость'!AIV18+"BYw!(GY"</f>
        <v>#VALUE!</v>
      </c>
      <c r="FT166" t="e">
        <f>'2.5.Трудоемкость'!AIW18+"BYw!(GZ"</f>
        <v>#VALUE!</v>
      </c>
      <c r="FU166" t="e">
        <f>'2.5.Трудоемкость'!AIX18+"BYw!(G["</f>
        <v>#VALUE!</v>
      </c>
      <c r="FV166" t="e">
        <f>'2.5.Трудоемкость'!AIY18+"BYw!(G\"</f>
        <v>#VALUE!</v>
      </c>
      <c r="FW166" t="e">
        <f>'2.5.Трудоемкость'!AIZ18+"BYw!(G]"</f>
        <v>#VALUE!</v>
      </c>
      <c r="FX166" t="e">
        <f>'2.5.Трудоемкость'!AJA18+"BYw!(G^"</f>
        <v>#VALUE!</v>
      </c>
      <c r="FY166" t="e">
        <f>'2.5.Трудоемкость'!AJB18+"BYw!(G_"</f>
        <v>#VALUE!</v>
      </c>
      <c r="FZ166" t="e">
        <f>'2.5.Трудоемкость'!AJC18+"BYw!(G`"</f>
        <v>#VALUE!</v>
      </c>
      <c r="GA166" t="e">
        <f>'2.5.Трудоемкость'!AJD18+"BYw!(Ga"</f>
        <v>#VALUE!</v>
      </c>
      <c r="GB166" t="e">
        <f>'2.5.Трудоемкость'!AJE18+"BYw!(Gb"</f>
        <v>#VALUE!</v>
      </c>
      <c r="GC166" t="e">
        <f>'2.5.Трудоемкость'!AJF18+"BYw!(Gc"</f>
        <v>#VALUE!</v>
      </c>
      <c r="GD166" t="e">
        <f>'2.5.Трудоемкость'!AJG18+"BYw!(Gd"</f>
        <v>#VALUE!</v>
      </c>
      <c r="GE166" t="e">
        <f>'2.5.Трудоемкость'!AJH18+"BYw!(Ge"</f>
        <v>#VALUE!</v>
      </c>
      <c r="GF166" t="e">
        <f>'2.5.Трудоемкость'!AJI18+"BYw!(Gf"</f>
        <v>#VALUE!</v>
      </c>
      <c r="GG166" t="e">
        <f>'2.5.Трудоемкость'!AJJ18+"BYw!(Gg"</f>
        <v>#VALUE!</v>
      </c>
      <c r="GH166" t="e">
        <f>'2.5.Трудоемкость'!AJK18+"BYw!(Gh"</f>
        <v>#VALUE!</v>
      </c>
      <c r="GI166" t="e">
        <f>'2.5.Трудоемкость'!AJL18+"BYw!(Gi"</f>
        <v>#VALUE!</v>
      </c>
      <c r="GJ166" t="e">
        <f>'2.5.Трудоемкость'!AJM18+"BYw!(Gj"</f>
        <v>#VALUE!</v>
      </c>
      <c r="GK166" t="e">
        <f>'2.5.Трудоемкость'!AJN18+"BYw!(Gk"</f>
        <v>#VALUE!</v>
      </c>
      <c r="GL166" t="e">
        <f>'2.5.Трудоемкость'!AJO18+"BYw!(Gl"</f>
        <v>#VALUE!</v>
      </c>
      <c r="GM166" t="e">
        <f>'2.5.Трудоемкость'!AJP18+"BYw!(Gm"</f>
        <v>#VALUE!</v>
      </c>
      <c r="GN166" t="e">
        <f>'2.5.Трудоемкость'!AJQ18+"BYw!(Gn"</f>
        <v>#VALUE!</v>
      </c>
      <c r="GO166" t="e">
        <f>'2.5.Трудоемкость'!AJR18+"BYw!(Go"</f>
        <v>#VALUE!</v>
      </c>
      <c r="GP166" t="e">
        <f>'2.5.Трудоемкость'!AJS18+"BYw!(Gp"</f>
        <v>#VALUE!</v>
      </c>
      <c r="GQ166" t="e">
        <f>'2.5.Трудоемкость'!AJT18+"BYw!(Gq"</f>
        <v>#VALUE!</v>
      </c>
      <c r="GR166" t="e">
        <f>'2.5.Трудоемкость'!AJU18+"BYw!(Gr"</f>
        <v>#VALUE!</v>
      </c>
      <c r="GS166" t="e">
        <f>'2.5.Трудоемкость'!AJV18+"BYw!(Gs"</f>
        <v>#VALUE!</v>
      </c>
      <c r="GT166" t="e">
        <f>'2.5.Трудоемкость'!AJW18+"BYw!(Gt"</f>
        <v>#VALUE!</v>
      </c>
      <c r="GU166" t="e">
        <f>'2.5.Трудоемкость'!AJX18+"BYw!(Gu"</f>
        <v>#VALUE!</v>
      </c>
      <c r="GV166" t="e">
        <f>'2.5.Трудоемкость'!AJY18+"BYw!(Gv"</f>
        <v>#VALUE!</v>
      </c>
      <c r="GW166" t="e">
        <f>'2.5.Трудоемкость'!AJZ18+"BYw!(Gw"</f>
        <v>#VALUE!</v>
      </c>
      <c r="GX166" t="e">
        <f>'2.5.Трудоемкость'!AKA18+"BYw!(Gx"</f>
        <v>#VALUE!</v>
      </c>
      <c r="GY166" t="e">
        <f>'2.5.Трудоемкость'!AKB18+"BYw!(Gy"</f>
        <v>#VALUE!</v>
      </c>
      <c r="GZ166" t="e">
        <f>'2.5.Трудоемкость'!AKC18+"BYw!(Gz"</f>
        <v>#VALUE!</v>
      </c>
      <c r="HA166" t="e">
        <f>'2.5.Трудоемкость'!AKD18+"BYw!(G{"</f>
        <v>#VALUE!</v>
      </c>
      <c r="HB166" t="e">
        <f>'2.5.Трудоемкость'!AKE18+"BYw!(G|"</f>
        <v>#VALUE!</v>
      </c>
      <c r="HC166" t="e">
        <f>'2.5.Трудоемкость'!AKF18+"BYw!(G}"</f>
        <v>#VALUE!</v>
      </c>
      <c r="HD166" t="e">
        <f>'2.5.Трудоемкость'!AKG18+"BYw!(G~"</f>
        <v>#VALUE!</v>
      </c>
      <c r="HE166" t="e">
        <f>'2.5.Трудоемкость'!AKH18+"BYw!(H#"</f>
        <v>#VALUE!</v>
      </c>
      <c r="HF166" t="e">
        <f>'2.5.Трудоемкость'!AKI18+"BYw!(H$"</f>
        <v>#VALUE!</v>
      </c>
      <c r="HG166" t="e">
        <f>'2.5.Трудоемкость'!AKJ18+"BYw!(H%"</f>
        <v>#VALUE!</v>
      </c>
      <c r="HH166" t="e">
        <f>'2.5.Трудоемкость'!AKK18+"BYw!(H&amp;"</f>
        <v>#VALUE!</v>
      </c>
      <c r="HI166" t="e">
        <f>'2.5.Трудоемкость'!AKL18+"BYw!(H'"</f>
        <v>#VALUE!</v>
      </c>
      <c r="HJ166" t="e">
        <f>'2.5.Трудоемкость'!AKM18+"BYw!(H("</f>
        <v>#VALUE!</v>
      </c>
      <c r="HK166" t="e">
        <f>'2.5.Трудоемкость'!AKN18+"BYw!(H)"</f>
        <v>#VALUE!</v>
      </c>
      <c r="HL166" t="e">
        <f>'2.5.Трудоемкость'!AKO18+"BYw!(H."</f>
        <v>#VALUE!</v>
      </c>
      <c r="HM166" t="e">
        <f>'2.5.Трудоемкость'!AKP18+"BYw!(H/"</f>
        <v>#VALUE!</v>
      </c>
      <c r="HN166" t="e">
        <f>'2.5.Трудоемкость'!AKQ18+"BYw!(H0"</f>
        <v>#VALUE!</v>
      </c>
      <c r="HO166" t="e">
        <f>'2.5.Трудоемкость'!AKR18+"BYw!(H1"</f>
        <v>#VALUE!</v>
      </c>
      <c r="HP166" t="e">
        <f>'2.5.Трудоемкость'!AKS18+"BYw!(H2"</f>
        <v>#VALUE!</v>
      </c>
      <c r="HQ166" t="e">
        <f>'2.5.Трудоемкость'!AKT18+"BYw!(H3"</f>
        <v>#VALUE!</v>
      </c>
      <c r="HR166" t="e">
        <f>'2.5.Трудоемкость'!AKU18+"BYw!(H4"</f>
        <v>#VALUE!</v>
      </c>
      <c r="HS166" t="e">
        <f>'2.5.Трудоемкость'!AKV18+"BYw!(H5"</f>
        <v>#VALUE!</v>
      </c>
      <c r="HT166" t="e">
        <f>'2.5.Трудоемкость'!AKW18+"BYw!(H6"</f>
        <v>#VALUE!</v>
      </c>
      <c r="HU166" t="e">
        <f>'2.5.Трудоемкость'!AKX18+"BYw!(H7"</f>
        <v>#VALUE!</v>
      </c>
      <c r="HV166" t="e">
        <f>'2.5.Трудоемкость'!AKY18+"BYw!(H8"</f>
        <v>#VALUE!</v>
      </c>
      <c r="HW166" t="e">
        <f>'2.5.Трудоемкость'!AKZ18+"BYw!(H9"</f>
        <v>#VALUE!</v>
      </c>
      <c r="HX166" t="e">
        <f>'2.5.Трудоемкость'!ALA18+"BYw!(H:"</f>
        <v>#VALUE!</v>
      </c>
      <c r="HY166" t="e">
        <f>'2.5.Трудоемкость'!ALB18+"BYw!(H;"</f>
        <v>#VALUE!</v>
      </c>
      <c r="HZ166" t="e">
        <f>'2.5.Трудоемкость'!ALC18+"BYw!(H&lt;"</f>
        <v>#VALUE!</v>
      </c>
      <c r="IA166" t="e">
        <f>'2.5.Трудоемкость'!ALD18+"BYw!(H="</f>
        <v>#VALUE!</v>
      </c>
      <c r="IB166" t="e">
        <f>'2.5.Трудоемкость'!ALE18+"BYw!(H&gt;"</f>
        <v>#VALUE!</v>
      </c>
      <c r="IC166" t="e">
        <f>'2.5.Трудоемкость'!ALF18+"BYw!(H?"</f>
        <v>#VALUE!</v>
      </c>
      <c r="ID166" t="e">
        <f>'2.5.Трудоемкость'!ALG18+"BYw!(H@"</f>
        <v>#VALUE!</v>
      </c>
      <c r="IE166" t="e">
        <f>'2.5.Трудоемкость'!ALH18+"BYw!(HA"</f>
        <v>#VALUE!</v>
      </c>
      <c r="IF166" t="e">
        <f>'2.5.Трудоемкость'!ALI18+"BYw!(HB"</f>
        <v>#VALUE!</v>
      </c>
      <c r="IG166" t="e">
        <f>'2.5.Трудоемкость'!ALJ18+"BYw!(HC"</f>
        <v>#VALUE!</v>
      </c>
      <c r="IH166" t="e">
        <f>'2.5.Трудоемкость'!ALK18+"BYw!(HD"</f>
        <v>#VALUE!</v>
      </c>
      <c r="II166" t="e">
        <f>'2.5.Трудоемкость'!ALL18+"BYw!(HE"</f>
        <v>#VALUE!</v>
      </c>
      <c r="IJ166" t="e">
        <f>'2.5.Трудоемкость'!ALM18+"BYw!(HF"</f>
        <v>#VALUE!</v>
      </c>
      <c r="IK166" t="e">
        <f>'2.5.Трудоемкость'!ALN18+"BYw!(HG"</f>
        <v>#VALUE!</v>
      </c>
      <c r="IL166" t="e">
        <f>'2.5.Трудоемкость'!ALO18+"BYw!(HH"</f>
        <v>#VALUE!</v>
      </c>
      <c r="IM166" t="e">
        <f>'2.5.Трудоемкость'!ALP18+"BYw!(HI"</f>
        <v>#VALUE!</v>
      </c>
      <c r="IN166" t="e">
        <f>'2.5.Трудоемкость'!ALQ18+"BYw!(HJ"</f>
        <v>#VALUE!</v>
      </c>
      <c r="IO166" t="e">
        <f>'2.5.Трудоемкость'!ALR18+"BYw!(HK"</f>
        <v>#VALUE!</v>
      </c>
      <c r="IP166" t="e">
        <f>'2.5.Трудоемкость'!ALS18+"BYw!(HL"</f>
        <v>#VALUE!</v>
      </c>
      <c r="IQ166" t="e">
        <f>'2.5.Трудоемкость'!ALT18+"BYw!(HM"</f>
        <v>#VALUE!</v>
      </c>
      <c r="IR166" t="e">
        <f>'2.5.Трудоемкость'!ALU18+"BYw!(HN"</f>
        <v>#VALUE!</v>
      </c>
      <c r="IS166" t="e">
        <f>'2.5.Трудоемкость'!ALV18+"BYw!(HO"</f>
        <v>#VALUE!</v>
      </c>
      <c r="IT166" t="e">
        <f>'2.5.Трудоемкость'!ALW18+"BYw!(HP"</f>
        <v>#VALUE!</v>
      </c>
      <c r="IU166" t="e">
        <f>'2.5.Трудоемкость'!ALX18+"BYw!(HQ"</f>
        <v>#VALUE!</v>
      </c>
      <c r="IV166" t="e">
        <f>'2.5.Трудоемкость'!ALY18+"BYw!(HR"</f>
        <v>#VALUE!</v>
      </c>
    </row>
    <row r="167" spans="6:256" x14ac:dyDescent="0.2">
      <c r="F167" t="e">
        <f>'2.5.Трудоемкость'!ALZ18+"BYw!(HS"</f>
        <v>#VALUE!</v>
      </c>
      <c r="G167" t="e">
        <f>'2.5.Трудоемкость'!AMA18+"BYw!(HT"</f>
        <v>#VALUE!</v>
      </c>
      <c r="H167" t="e">
        <f>'2.5.Трудоемкость'!AMB18+"BYw!(HU"</f>
        <v>#VALUE!</v>
      </c>
      <c r="I167" t="e">
        <f>'2.5.Трудоемкость'!AMC18+"BYw!(HV"</f>
        <v>#VALUE!</v>
      </c>
      <c r="J167" t="e">
        <f>'2.5.Трудоемкость'!AMD18+"BYw!(HW"</f>
        <v>#VALUE!</v>
      </c>
      <c r="K167" t="e">
        <f>'2.5.Трудоемкость'!AME18+"BYw!(HX"</f>
        <v>#VALUE!</v>
      </c>
      <c r="L167" t="e">
        <f>'2.5.Трудоемкость'!AMF18+"BYw!(HY"</f>
        <v>#VALUE!</v>
      </c>
      <c r="M167" t="e">
        <f>'2.5.Трудоемкость'!AMG18+"BYw!(HZ"</f>
        <v>#VALUE!</v>
      </c>
      <c r="N167" t="e">
        <f>'2.5.Трудоемкость'!AMH18+"BYw!(H["</f>
        <v>#VALUE!</v>
      </c>
      <c r="O167" t="e">
        <f>'2.5.Трудоемкость'!AMI18+"BYw!(H\"</f>
        <v>#VALUE!</v>
      </c>
      <c r="P167" t="e">
        <f>'2.5.Трудоемкость'!AMJ18+"BYw!(H]"</f>
        <v>#VALUE!</v>
      </c>
      <c r="Q167" t="e">
        <f>'2.5.Трудоемкость'!A:A*"BYw!(H^"</f>
        <v>#VALUE!</v>
      </c>
      <c r="R167" t="e">
        <f>'2.5.Трудоемкость'!B:B*"BYw!(H_"</f>
        <v>#VALUE!</v>
      </c>
      <c r="S167" t="e">
        <f>'2.5.Трудоемкость'!C:C*"BYw!(H`"</f>
        <v>#VALUE!</v>
      </c>
      <c r="T167" t="e">
        <f>'2.5.Трудоемкость'!D:D*"BYw!(Ha"</f>
        <v>#VALUE!</v>
      </c>
      <c r="U167" t="e">
        <f>'2.5.Трудоемкость'!E:E*"BYw!(Hb"</f>
        <v>#VALUE!</v>
      </c>
      <c r="V167" t="e">
        <f>'2.5.Трудоемкость'!F:F*"BYw!(Hc"</f>
        <v>#VALUE!</v>
      </c>
      <c r="W167" t="e">
        <f>'2.5.Трудоемкость'!G:G*"BYw!(Hd"</f>
        <v>#VALUE!</v>
      </c>
      <c r="X167" t="e">
        <f>'2.5.Трудоемкость'!H:H*"BYw!(He"</f>
        <v>#VALUE!</v>
      </c>
      <c r="Y167" t="e">
        <f>'2.5.Трудоемкость'!I:I*"BYw!(Hf"</f>
        <v>#VALUE!</v>
      </c>
      <c r="Z167" t="e">
        <f>'2.5.Трудоемкость'!J:J*"BYw!(Hg"</f>
        <v>#VALUE!</v>
      </c>
      <c r="AA167" t="e">
        <f>'2.5.Трудоемкость'!K:K*"BYw!(Hh"</f>
        <v>#VALUE!</v>
      </c>
      <c r="AB167" t="e">
        <f>'2.5.Трудоемкость'!L:L*"BYw!(Hi"</f>
        <v>#VALUE!</v>
      </c>
      <c r="AC167" t="e">
        <f>'2.5.Трудоемкость'!M:M*"BYw!(Hj"</f>
        <v>#VALUE!</v>
      </c>
      <c r="AD167" t="e">
        <f>'2.5.Трудоемкость'!N:N*"BYw!(Hk"</f>
        <v>#VALUE!</v>
      </c>
      <c r="AE167" t="e">
        <f>'2.5.Трудоемкость'!O:O*"BYw!(Hl"</f>
        <v>#VALUE!</v>
      </c>
      <c r="AF167" t="e">
        <f>'2.5.Трудоемкость'!P:P*"BYw!(Hm"</f>
        <v>#VALUE!</v>
      </c>
      <c r="AG167" t="e">
        <f>'2.5.Трудоемкость'!Q:Q*"BYw!(Hn"</f>
        <v>#VALUE!</v>
      </c>
      <c r="AH167" t="e">
        <f>'2.5.Трудоемкость'!R:R*"BYw!(Ho"</f>
        <v>#VALUE!</v>
      </c>
      <c r="AI167" t="e">
        <f>'2.5.Трудоемкость'!S:S*"BYw!(Hp"</f>
        <v>#VALUE!</v>
      </c>
      <c r="AJ167" t="e">
        <f>'2.5.Трудоемкость'!T:T*"BYw!(Hq"</f>
        <v>#VALUE!</v>
      </c>
      <c r="AK167" t="e">
        <f>'2.5.Трудоемкость'!U:U*"BYw!(Hr"</f>
        <v>#VALUE!</v>
      </c>
      <c r="AL167" t="e">
        <f>'2.5.Трудоемкость'!V:V*"BYw!(Hs"</f>
        <v>#VALUE!</v>
      </c>
      <c r="AM167" t="e">
        <f>'2.5.Трудоемкость'!W:W*"BYw!(Ht"</f>
        <v>#VALUE!</v>
      </c>
      <c r="AN167" t="e">
        <f>'2.5.Трудоемкость'!X:X*"BYw!(Hu"</f>
        <v>#VALUE!</v>
      </c>
      <c r="AO167" t="e">
        <f>'2.5.Трудоемкость'!Y:Y*"BYw!(Hv"</f>
        <v>#VALUE!</v>
      </c>
      <c r="AP167" t="e">
        <f>'2.5.Трудоемкость'!Z:Z*"BYw!(Hw"</f>
        <v>#VALUE!</v>
      </c>
      <c r="AQ167" t="e">
        <f>'2.5.Трудоемкость'!AA:AA*"BYw!(Hx"</f>
        <v>#VALUE!</v>
      </c>
      <c r="AR167" t="e">
        <f>'2.5.Трудоемкость'!AB:AB*"BYw!(Hy"</f>
        <v>#VALUE!</v>
      </c>
      <c r="AS167" t="e">
        <f>'2.5.Трудоемкость'!AC:AC*"BYw!(Hz"</f>
        <v>#VALUE!</v>
      </c>
      <c r="AT167" t="e">
        <f>'2.5.Трудоемкость'!AD:AD*"BYw!(H{"</f>
        <v>#VALUE!</v>
      </c>
      <c r="AU167" t="e">
        <f>'2.5.Трудоемкость'!AE:AE*"BYw!(H|"</f>
        <v>#VALUE!</v>
      </c>
      <c r="AV167" t="e">
        <f>'2.5.Трудоемкость'!AF:AF*"BYw!(H}"</f>
        <v>#VALUE!</v>
      </c>
      <c r="AW167" t="e">
        <f>'2.5.Трудоемкость'!AG:AG*"BYw!(H~"</f>
        <v>#VALUE!</v>
      </c>
      <c r="AX167" t="e">
        <f>'2.5.Трудоемкость'!AH:AH*"BYw!(I#"</f>
        <v>#VALUE!</v>
      </c>
      <c r="AY167" t="e">
        <f>'2.5.Трудоемкость'!AI:AI*"BYw!(I$"</f>
        <v>#VALUE!</v>
      </c>
      <c r="AZ167" t="e">
        <f>'2.5.Трудоемкость'!AJ:AJ*"BYw!(I%"</f>
        <v>#VALUE!</v>
      </c>
      <c r="BA167" t="e">
        <f>'2.5.Трудоемкость'!AK:AK*"BYw!(I&amp;"</f>
        <v>#VALUE!</v>
      </c>
      <c r="BB167" t="e">
        <f>'2.5.Трудоемкость'!AL:AL*"BYw!(I'"</f>
        <v>#VALUE!</v>
      </c>
      <c r="BC167" t="e">
        <f>'2.5.Трудоемкость'!AM:AM*"BYw!(I("</f>
        <v>#VALUE!</v>
      </c>
      <c r="BD167" t="e">
        <f>'2.5.Трудоемкость'!AN:AN*"BYw!(I)"</f>
        <v>#VALUE!</v>
      </c>
      <c r="BE167" t="e">
        <f>'2.5.Трудоемкость'!AO:AO*"BYw!(I."</f>
        <v>#VALUE!</v>
      </c>
      <c r="BF167" t="e">
        <f>'2.5.Трудоемкость'!AP:AP*"BYw!(I/"</f>
        <v>#VALUE!</v>
      </c>
      <c r="BG167" t="e">
        <f>'2.5.Трудоемкость'!AQ:AQ*"BYw!(I0"</f>
        <v>#VALUE!</v>
      </c>
      <c r="BH167" t="e">
        <f>'2.5.Трудоемкость'!AR:AR*"BYw!(I1"</f>
        <v>#VALUE!</v>
      </c>
      <c r="BI167" t="e">
        <f>'2.5.Трудоемкость'!AS:AS*"BYw!(I2"</f>
        <v>#VALUE!</v>
      </c>
      <c r="BJ167" t="e">
        <f>'2.5.Трудоемкость'!AT:AT*"BYw!(I3"</f>
        <v>#VALUE!</v>
      </c>
      <c r="BK167" t="e">
        <f>'2.5.Трудоемкость'!AU:AU*"BYw!(I4"</f>
        <v>#VALUE!</v>
      </c>
      <c r="BL167" t="e">
        <f>'2.5.Трудоемкость'!AV:AV*"BYw!(I5"</f>
        <v>#VALUE!</v>
      </c>
      <c r="BM167" t="e">
        <f>'2.5.Трудоемкость'!AW:AW*"BYw!(I6"</f>
        <v>#VALUE!</v>
      </c>
      <c r="BN167" t="e">
        <f>'2.5.Трудоемкость'!AX:AX*"BYw!(I7"</f>
        <v>#VALUE!</v>
      </c>
      <c r="BO167" t="e">
        <f>'2.5.Трудоемкость'!AY:AY*"BYw!(I8"</f>
        <v>#VALUE!</v>
      </c>
      <c r="BP167" t="e">
        <f>'2.5.Трудоемкость'!AZ:AZ*"BYw!(I9"</f>
        <v>#VALUE!</v>
      </c>
      <c r="BQ167" t="e">
        <f>'2.5.Трудоемкость'!BA:BA*"BYw!(I:"</f>
        <v>#VALUE!</v>
      </c>
      <c r="BR167" t="e">
        <f>'2.5.Трудоемкость'!BB:BB*"BYw!(I;"</f>
        <v>#VALUE!</v>
      </c>
      <c r="BS167" t="e">
        <f>'2.5.Трудоемкость'!BC:BC*"BYw!(I&lt;"</f>
        <v>#VALUE!</v>
      </c>
      <c r="BT167" t="e">
        <f>'2.5.Трудоемкость'!BD:BD*"BYw!(I="</f>
        <v>#VALUE!</v>
      </c>
      <c r="BU167" t="e">
        <f>'2.5.Трудоемкость'!BE:BE*"BYw!(I&gt;"</f>
        <v>#VALUE!</v>
      </c>
      <c r="BV167" t="e">
        <f>'2.5.Трудоемкость'!BF:BF*"BYw!(I?"</f>
        <v>#VALUE!</v>
      </c>
      <c r="BW167" t="e">
        <f>'2.5.Трудоемкость'!BG:BG*"BYw!(I@"</f>
        <v>#VALUE!</v>
      </c>
      <c r="BX167" t="e">
        <f>'2.5.Трудоемкость'!BH:BH*"BYw!(IA"</f>
        <v>#VALUE!</v>
      </c>
      <c r="BY167" t="e">
        <f>'2.5.Трудоемкость'!BI:BI*"BYw!(IB"</f>
        <v>#VALUE!</v>
      </c>
      <c r="BZ167" t="e">
        <f>'2.5.Трудоемкость'!BJ:BJ*"BYw!(IC"</f>
        <v>#VALUE!</v>
      </c>
      <c r="CA167" t="e">
        <f>'2.5.Трудоемкость'!BK:BK*"BYw!(ID"</f>
        <v>#VALUE!</v>
      </c>
      <c r="CB167" t="e">
        <f>'2.5.Трудоемкость'!BL:BL*"BYw!(IE"</f>
        <v>#VALUE!</v>
      </c>
      <c r="CC167" t="e">
        <f>'2.5.Трудоемкость'!BM:BM*"BYw!(IF"</f>
        <v>#VALUE!</v>
      </c>
      <c r="CD167" t="e">
        <f>'2.5.Трудоемкость'!BN:BN*"BYw!(IG"</f>
        <v>#VALUE!</v>
      </c>
      <c r="CE167" t="e">
        <f>'2.5.Трудоемкость'!BO:BO*"BYw!(IH"</f>
        <v>#VALUE!</v>
      </c>
      <c r="CF167" t="e">
        <f>'2.5.Трудоемкость'!BP:BP*"BYw!(II"</f>
        <v>#VALUE!</v>
      </c>
      <c r="CG167" t="e">
        <f>'2.5.Трудоемкость'!BQ:BQ*"BYw!(IJ"</f>
        <v>#VALUE!</v>
      </c>
      <c r="CH167" t="e">
        <f>'2.5.Трудоемкость'!BR:BR*"BYw!(IK"</f>
        <v>#VALUE!</v>
      </c>
      <c r="CI167" t="e">
        <f>'2.5.Трудоемкость'!BS:BS*"BYw!(IL"</f>
        <v>#VALUE!</v>
      </c>
      <c r="CJ167" t="e">
        <f>'2.5.Трудоемкость'!BT:BT*"BYw!(IM"</f>
        <v>#VALUE!</v>
      </c>
      <c r="CK167" t="e">
        <f>'2.5.Трудоемкость'!BU:BU*"BYw!(IN"</f>
        <v>#VALUE!</v>
      </c>
      <c r="CL167" t="e">
        <f>'2.5.Трудоемкость'!BV:BV*"BYw!(IO"</f>
        <v>#VALUE!</v>
      </c>
      <c r="CM167" t="e">
        <f>'2.5.Трудоемкость'!BW:BW*"BYw!(IP"</f>
        <v>#VALUE!</v>
      </c>
      <c r="CN167" t="e">
        <f>'2.5.Трудоемкость'!BX:BX*"BYw!(IQ"</f>
        <v>#VALUE!</v>
      </c>
      <c r="CO167" t="e">
        <f>'2.5.Трудоемкость'!BY:BY*"BYw!(IR"</f>
        <v>#VALUE!</v>
      </c>
      <c r="CP167" t="e">
        <f>'2.5.Трудоемкость'!BZ:BZ*"BYw!(IS"</f>
        <v>#VALUE!</v>
      </c>
      <c r="CQ167" t="e">
        <f>'2.5.Трудоемкость'!CA:CA*"BYw!(IT"</f>
        <v>#VALUE!</v>
      </c>
      <c r="CR167" t="e">
        <f>'2.5.Трудоемкость'!CB:CB*"BYw!(IU"</f>
        <v>#VALUE!</v>
      </c>
      <c r="CS167" t="e">
        <f>'2.5.Трудоемкость'!CC:CC*"BYw!(IV"</f>
        <v>#VALUE!</v>
      </c>
      <c r="CT167" t="e">
        <f>'2.5.Трудоемкость'!CD:CD*"BYw!(IW"</f>
        <v>#VALUE!</v>
      </c>
      <c r="CU167" t="e">
        <f>'2.5.Трудоемкость'!CE:CE*"BYw!(IX"</f>
        <v>#VALUE!</v>
      </c>
      <c r="CV167" t="e">
        <f>'2.5.Трудоемкость'!CF:CF*"BYw!(IY"</f>
        <v>#VALUE!</v>
      </c>
      <c r="CW167" t="e">
        <f>'2.5.Трудоемкость'!CG:CG*"BYw!(IZ"</f>
        <v>#VALUE!</v>
      </c>
      <c r="CX167" t="e">
        <f>'2.5.Трудоемкость'!CH:CH*"BYw!(I["</f>
        <v>#VALUE!</v>
      </c>
      <c r="CY167" t="e">
        <f>'2.5.Трудоемкость'!CI:CI*"BYw!(I\"</f>
        <v>#VALUE!</v>
      </c>
      <c r="CZ167" t="e">
        <f>'2.5.Трудоемкость'!CJ:CJ*"BYw!(I]"</f>
        <v>#VALUE!</v>
      </c>
      <c r="DA167" t="e">
        <f>'2.5.Трудоемкость'!CK:CK*"BYw!(I^"</f>
        <v>#VALUE!</v>
      </c>
      <c r="DB167" t="e">
        <f>'2.5.Трудоемкость'!CL:CL*"BYw!(I_"</f>
        <v>#VALUE!</v>
      </c>
      <c r="DC167" t="e">
        <f>'2.5.Трудоемкость'!CM:CM*"BYw!(I`"</f>
        <v>#VALUE!</v>
      </c>
      <c r="DD167" t="e">
        <f>'2.5.Трудоемкость'!CN:CN*"BYw!(Ia"</f>
        <v>#VALUE!</v>
      </c>
      <c r="DE167" t="e">
        <f>'2.5.Трудоемкость'!CO:CO*"BYw!(Ib"</f>
        <v>#VALUE!</v>
      </c>
      <c r="DF167" t="e">
        <f>'2.5.Трудоемкость'!CP:CP*"BYw!(Ic"</f>
        <v>#VALUE!</v>
      </c>
      <c r="DG167" t="e">
        <f>'2.5.Трудоемкость'!CQ:CQ*"BYw!(Id"</f>
        <v>#VALUE!</v>
      </c>
      <c r="DH167" t="e">
        <f>'2.5.Трудоемкость'!CR:CR*"BYw!(Ie"</f>
        <v>#VALUE!</v>
      </c>
      <c r="DI167" t="e">
        <f>'2.5.Трудоемкость'!CS:CS*"BYw!(If"</f>
        <v>#VALUE!</v>
      </c>
      <c r="DJ167" t="e">
        <f>'2.5.Трудоемкость'!CT:CT*"BYw!(Ig"</f>
        <v>#VALUE!</v>
      </c>
      <c r="DK167" t="e">
        <f>'2.5.Трудоемкость'!CU:CU*"BYw!(Ih"</f>
        <v>#VALUE!</v>
      </c>
      <c r="DL167" t="e">
        <f>'2.5.Трудоемкость'!CV:CV*"BYw!(Ii"</f>
        <v>#VALUE!</v>
      </c>
      <c r="DM167" t="e">
        <f>'2.5.Трудоемкость'!CW:CW*"BYw!(Ij"</f>
        <v>#VALUE!</v>
      </c>
      <c r="DN167" t="e">
        <f>'2.5.Трудоемкость'!CX:CX*"BYw!(Ik"</f>
        <v>#VALUE!</v>
      </c>
      <c r="DO167" t="e">
        <f>'2.5.Трудоемкость'!CY:CY*"BYw!(Il"</f>
        <v>#VALUE!</v>
      </c>
      <c r="DP167" t="e">
        <f>'2.5.Трудоемкость'!CZ:CZ*"BYw!(Im"</f>
        <v>#VALUE!</v>
      </c>
      <c r="DQ167" t="e">
        <f>'2.5.Трудоемкость'!DA:DA*"BYw!(In"</f>
        <v>#VALUE!</v>
      </c>
      <c r="DR167" t="e">
        <f>'2.5.Трудоемкость'!DB:DB*"BYw!(Io"</f>
        <v>#VALUE!</v>
      </c>
      <c r="DS167" t="e">
        <f>'2.5.Трудоемкость'!DC:DC*"BYw!(Ip"</f>
        <v>#VALUE!</v>
      </c>
      <c r="DT167" t="e">
        <f>'2.5.Трудоемкость'!DD:DD*"BYw!(Iq"</f>
        <v>#VALUE!</v>
      </c>
      <c r="DU167" t="e">
        <f>'2.5.Трудоемкость'!DE:DE*"BYw!(Ir"</f>
        <v>#VALUE!</v>
      </c>
      <c r="DV167" t="e">
        <f>'2.5.Трудоемкость'!DF:DF*"BYw!(Is"</f>
        <v>#VALUE!</v>
      </c>
      <c r="DW167" t="e">
        <f>'2.5.Трудоемкость'!DG:DG*"BYw!(It"</f>
        <v>#VALUE!</v>
      </c>
      <c r="DX167" t="e">
        <f>'2.5.Трудоемкость'!DH:DH*"BYw!(Iu"</f>
        <v>#VALUE!</v>
      </c>
      <c r="DY167" t="e">
        <f>'2.5.Трудоемкость'!DI:DI*"BYw!(Iv"</f>
        <v>#VALUE!</v>
      </c>
      <c r="DZ167" t="e">
        <f>'2.5.Трудоемкость'!DJ:DJ*"BYw!(Iw"</f>
        <v>#VALUE!</v>
      </c>
      <c r="EA167" t="e">
        <f>'2.5.Трудоемкость'!DK:DK*"BYw!(Ix"</f>
        <v>#VALUE!</v>
      </c>
      <c r="EB167" t="e">
        <f>'2.5.Трудоемкость'!DL:DL*"BYw!(Iy"</f>
        <v>#VALUE!</v>
      </c>
      <c r="EC167" t="e">
        <f>'2.5.Трудоемкость'!DM:DM*"BYw!(Iz"</f>
        <v>#VALUE!</v>
      </c>
      <c r="ED167" t="e">
        <f>'2.5.Трудоемкость'!DN:DN*"BYw!(I{"</f>
        <v>#VALUE!</v>
      </c>
      <c r="EE167" t="e">
        <f>'2.5.Трудоемкость'!DO:DO*"BYw!(I|"</f>
        <v>#VALUE!</v>
      </c>
      <c r="EF167" t="e">
        <f>'2.5.Трудоемкость'!DP:DP*"BYw!(I}"</f>
        <v>#VALUE!</v>
      </c>
      <c r="EG167" t="e">
        <f>'2.5.Трудоемкость'!DQ:DQ*"BYw!(I~"</f>
        <v>#VALUE!</v>
      </c>
      <c r="EH167" t="e">
        <f>'2.5.Трудоемкость'!DR:DR*"BYw!(J#"</f>
        <v>#VALUE!</v>
      </c>
      <c r="EI167" t="e">
        <f>'2.5.Трудоемкость'!DS:DS*"BYw!(J$"</f>
        <v>#VALUE!</v>
      </c>
      <c r="EJ167" t="e">
        <f>'2.5.Трудоемкость'!DT:DT*"BYw!(J%"</f>
        <v>#VALUE!</v>
      </c>
      <c r="EK167" t="e">
        <f>'2.5.Трудоемкость'!DU:DU*"BYw!(J&amp;"</f>
        <v>#VALUE!</v>
      </c>
      <c r="EL167" t="e">
        <f>'2.5.Трудоемкость'!DV:DV*"BYw!(J'"</f>
        <v>#VALUE!</v>
      </c>
      <c r="EM167" t="e">
        <f>'2.5.Трудоемкость'!DW:DW*"BYw!(J("</f>
        <v>#VALUE!</v>
      </c>
      <c r="EN167" t="e">
        <f>'2.5.Трудоемкость'!DX:DX*"BYw!(J)"</f>
        <v>#VALUE!</v>
      </c>
      <c r="EO167" t="e">
        <f>'2.5.Трудоемкость'!DY:DY*"BYw!(J."</f>
        <v>#VALUE!</v>
      </c>
      <c r="EP167" t="e">
        <f>'2.5.Трудоемкость'!DZ:DZ*"BYw!(J/"</f>
        <v>#VALUE!</v>
      </c>
      <c r="EQ167" t="e">
        <f>'2.5.Трудоемкость'!EA:EA*"BYw!(J0"</f>
        <v>#VALUE!</v>
      </c>
      <c r="ER167" t="e">
        <f>'2.5.Трудоемкость'!EB:EB*"BYw!(J1"</f>
        <v>#VALUE!</v>
      </c>
      <c r="ES167" t="e">
        <f>'2.5.Трудоемкость'!EC:EC*"BYw!(J2"</f>
        <v>#VALUE!</v>
      </c>
      <c r="ET167" t="e">
        <f>'2.5.Трудоемкость'!ED:ED*"BYw!(J3"</f>
        <v>#VALUE!</v>
      </c>
      <c r="EU167" t="e">
        <f>'2.5.Трудоемкость'!EE:EE*"BYw!(J4"</f>
        <v>#VALUE!</v>
      </c>
      <c r="EV167" t="e">
        <f>'2.5.Трудоемкость'!EF:EF*"BYw!(J5"</f>
        <v>#VALUE!</v>
      </c>
      <c r="EW167" t="e">
        <f>'2.5.Трудоемкость'!EG:EG*"BYw!(J6"</f>
        <v>#VALUE!</v>
      </c>
      <c r="EX167" t="e">
        <f>'2.5.Трудоемкость'!EH:EH*"BYw!(J7"</f>
        <v>#VALUE!</v>
      </c>
      <c r="EY167" t="e">
        <f>'2.5.Трудоемкость'!EI:EI*"BYw!(J8"</f>
        <v>#VALUE!</v>
      </c>
      <c r="EZ167" t="e">
        <f>'2.5.Трудоемкость'!EJ:EJ*"BYw!(J9"</f>
        <v>#VALUE!</v>
      </c>
      <c r="FA167" t="e">
        <f>'2.5.Трудоемкость'!EK:EK*"BYw!(J:"</f>
        <v>#VALUE!</v>
      </c>
      <c r="FB167" t="e">
        <f>'2.5.Трудоемкость'!EL:EL*"BYw!(J;"</f>
        <v>#VALUE!</v>
      </c>
      <c r="FC167" t="e">
        <f>'2.5.Трудоемкость'!EM:EM*"BYw!(J&lt;"</f>
        <v>#VALUE!</v>
      </c>
      <c r="FD167" t="e">
        <f>'2.5.Трудоемкость'!EN:EN*"BYw!(J="</f>
        <v>#VALUE!</v>
      </c>
      <c r="FE167" t="e">
        <f>'2.5.Трудоемкость'!EO:EO*"BYw!(J&gt;"</f>
        <v>#VALUE!</v>
      </c>
      <c r="FF167" t="e">
        <f>'2.5.Трудоемкость'!EP:EP*"BYw!(J?"</f>
        <v>#VALUE!</v>
      </c>
      <c r="FG167" t="e">
        <f>'2.5.Трудоемкость'!EQ:EQ*"BYw!(J@"</f>
        <v>#VALUE!</v>
      </c>
      <c r="FH167" t="e">
        <f>'2.5.Трудоемкость'!ER:ER*"BYw!(JA"</f>
        <v>#VALUE!</v>
      </c>
      <c r="FI167" t="e">
        <f>'2.5.Трудоемкость'!ES:ES*"BYw!(JB"</f>
        <v>#VALUE!</v>
      </c>
      <c r="FJ167" t="e">
        <f>'2.5.Трудоемкость'!ET:ET*"BYw!(JC"</f>
        <v>#VALUE!</v>
      </c>
      <c r="FK167" t="e">
        <f>'2.5.Трудоемкость'!EU:EU*"BYw!(JD"</f>
        <v>#VALUE!</v>
      </c>
      <c r="FL167" t="e">
        <f>'2.5.Трудоемкость'!EV:EV*"BYw!(JE"</f>
        <v>#VALUE!</v>
      </c>
      <c r="FM167" t="e">
        <f>'2.5.Трудоемкость'!EW:EW*"BYw!(JF"</f>
        <v>#VALUE!</v>
      </c>
      <c r="FN167" t="e">
        <f>'2.5.Трудоемкость'!EX:EX*"BYw!(JG"</f>
        <v>#VALUE!</v>
      </c>
      <c r="FO167" t="e">
        <f>'2.5.Трудоемкость'!EY:EY*"BYw!(JH"</f>
        <v>#VALUE!</v>
      </c>
      <c r="FP167" t="e">
        <f>'2.5.Трудоемкость'!EZ:EZ*"BYw!(JI"</f>
        <v>#VALUE!</v>
      </c>
      <c r="FQ167" t="e">
        <f>'2.5.Трудоемкость'!FA:FA*"BYw!(JJ"</f>
        <v>#VALUE!</v>
      </c>
      <c r="FR167" t="e">
        <f>'2.5.Трудоемкость'!FB:FB*"BYw!(JK"</f>
        <v>#VALUE!</v>
      </c>
      <c r="FS167" t="e">
        <f>'2.5.Трудоемкость'!FC:FC*"BYw!(JL"</f>
        <v>#VALUE!</v>
      </c>
      <c r="FT167" t="e">
        <f>'2.5.Трудоемкость'!FD:FD*"BYw!(JM"</f>
        <v>#VALUE!</v>
      </c>
      <c r="FU167" t="e">
        <f>'2.5.Трудоемкость'!FE:FE*"BYw!(JN"</f>
        <v>#VALUE!</v>
      </c>
      <c r="FV167" t="e">
        <f>'2.5.Трудоемкость'!FF:FF*"BYw!(JO"</f>
        <v>#VALUE!</v>
      </c>
      <c r="FW167" t="e">
        <f>'2.5.Трудоемкость'!FG:FG*"BYw!(JP"</f>
        <v>#VALUE!</v>
      </c>
      <c r="FX167" t="e">
        <f>'2.5.Трудоемкость'!FH:FH*"BYw!(JQ"</f>
        <v>#VALUE!</v>
      </c>
      <c r="FY167" t="e">
        <f>'2.5.Трудоемкость'!FI:FI*"BYw!(JR"</f>
        <v>#VALUE!</v>
      </c>
      <c r="FZ167" t="e">
        <f>'2.5.Трудоемкость'!FJ:FJ*"BYw!(JS"</f>
        <v>#VALUE!</v>
      </c>
      <c r="GA167" t="e">
        <f>'2.5.Трудоемкость'!FK:FK*"BYw!(JT"</f>
        <v>#VALUE!</v>
      </c>
      <c r="GB167" t="e">
        <f>'2.5.Трудоемкость'!FL:FL*"BYw!(JU"</f>
        <v>#VALUE!</v>
      </c>
      <c r="GC167" t="e">
        <f>'2.5.Трудоемкость'!FM:FM*"BYw!(JV"</f>
        <v>#VALUE!</v>
      </c>
      <c r="GD167" t="e">
        <f>'2.5.Трудоемкость'!FN:FN*"BYw!(JW"</f>
        <v>#VALUE!</v>
      </c>
      <c r="GE167" t="e">
        <f>'2.5.Трудоемкость'!FO:FO*"BYw!(JX"</f>
        <v>#VALUE!</v>
      </c>
      <c r="GF167" t="e">
        <f>'2.5.Трудоемкость'!FP:FP*"BYw!(JY"</f>
        <v>#VALUE!</v>
      </c>
      <c r="GG167" t="e">
        <f>'2.5.Трудоемкость'!FQ:FQ*"BYw!(JZ"</f>
        <v>#VALUE!</v>
      </c>
      <c r="GH167" t="e">
        <f>'2.5.Трудоемкость'!FR:FR*"BYw!(J["</f>
        <v>#VALUE!</v>
      </c>
      <c r="GI167" t="e">
        <f>'2.5.Трудоемкость'!FS:FS*"BYw!(J\"</f>
        <v>#VALUE!</v>
      </c>
      <c r="GJ167" t="e">
        <f>'2.5.Трудоемкость'!FT:FT*"BYw!(J]"</f>
        <v>#VALUE!</v>
      </c>
      <c r="GK167" t="e">
        <f>'2.5.Трудоемкость'!FU:FU*"BYw!(J^"</f>
        <v>#VALUE!</v>
      </c>
      <c r="GL167" t="e">
        <f>'2.5.Трудоемкость'!FV:FV*"BYw!(J_"</f>
        <v>#VALUE!</v>
      </c>
      <c r="GM167" t="e">
        <f>'2.5.Трудоемкость'!FW:FW*"BYw!(J`"</f>
        <v>#VALUE!</v>
      </c>
      <c r="GN167" t="e">
        <f>'2.5.Трудоемкость'!FX:FX*"BYw!(Ja"</f>
        <v>#VALUE!</v>
      </c>
      <c r="GO167" t="e">
        <f>'2.5.Трудоемкость'!FY:FY*"BYw!(Jb"</f>
        <v>#VALUE!</v>
      </c>
      <c r="GP167" t="e">
        <f>'2.5.Трудоемкость'!FZ:FZ*"BYw!(Jc"</f>
        <v>#VALUE!</v>
      </c>
      <c r="GQ167" t="e">
        <f>'2.5.Трудоемкость'!GA:GA*"BYw!(Jd"</f>
        <v>#VALUE!</v>
      </c>
      <c r="GR167" t="e">
        <f>'2.5.Трудоемкость'!GB:GB*"BYw!(Je"</f>
        <v>#VALUE!</v>
      </c>
      <c r="GS167" t="e">
        <f>'2.5.Трудоемкость'!GC:GC*"BYw!(Jf"</f>
        <v>#VALUE!</v>
      </c>
      <c r="GT167" t="e">
        <f>'2.5.Трудоемкость'!GD:GD*"BYw!(Jg"</f>
        <v>#VALUE!</v>
      </c>
      <c r="GU167" t="e">
        <f>'2.5.Трудоемкость'!GE:GE*"BYw!(Jh"</f>
        <v>#VALUE!</v>
      </c>
      <c r="GV167" t="e">
        <f>'2.5.Трудоемкость'!GF:GF*"BYw!(Ji"</f>
        <v>#VALUE!</v>
      </c>
      <c r="GW167" t="e">
        <f>'2.5.Трудоемкость'!GG:GG*"BYw!(Jj"</f>
        <v>#VALUE!</v>
      </c>
      <c r="GX167" t="e">
        <f>'2.5.Трудоемкость'!GH:GH*"BYw!(Jk"</f>
        <v>#VALUE!</v>
      </c>
      <c r="GY167" t="e">
        <f>'2.5.Трудоемкость'!GI:GI*"BYw!(Jl"</f>
        <v>#VALUE!</v>
      </c>
      <c r="GZ167" t="e">
        <f>'2.5.Трудоемкость'!GJ:GJ*"BYw!(Jm"</f>
        <v>#VALUE!</v>
      </c>
      <c r="HA167" t="e">
        <f>'2.5.Трудоемкость'!GK:GK*"BYw!(Jn"</f>
        <v>#VALUE!</v>
      </c>
      <c r="HB167" t="e">
        <f>'2.5.Трудоемкость'!GL:GL*"BYw!(Jo"</f>
        <v>#VALUE!</v>
      </c>
      <c r="HC167" t="e">
        <f>'2.5.Трудоемкость'!GM:GM*"BYw!(Jp"</f>
        <v>#VALUE!</v>
      </c>
      <c r="HD167" t="e">
        <f>'2.5.Трудоемкость'!GN:GN*"BYw!(Jq"</f>
        <v>#VALUE!</v>
      </c>
      <c r="HE167" t="e">
        <f>'2.5.Трудоемкость'!GO:GO*"BYw!(Jr"</f>
        <v>#VALUE!</v>
      </c>
      <c r="HF167" t="e">
        <f>'2.5.Трудоемкость'!GP:GP*"BYw!(Js"</f>
        <v>#VALUE!</v>
      </c>
      <c r="HG167" t="e">
        <f>'2.5.Трудоемкость'!GQ:GQ*"BYw!(Jt"</f>
        <v>#VALUE!</v>
      </c>
      <c r="HH167" t="e">
        <f>'2.5.Трудоемкость'!GR:GR*"BYw!(Ju"</f>
        <v>#VALUE!</v>
      </c>
      <c r="HI167" t="e">
        <f>'2.5.Трудоемкость'!GS:GS*"BYw!(Jv"</f>
        <v>#VALUE!</v>
      </c>
      <c r="HJ167" t="e">
        <f>'2.5.Трудоемкость'!GT:GT*"BYw!(Jw"</f>
        <v>#VALUE!</v>
      </c>
      <c r="HK167" t="e">
        <f>'2.5.Трудоемкость'!GU:GU*"BYw!(Jx"</f>
        <v>#VALUE!</v>
      </c>
      <c r="HL167" t="e">
        <f>'2.5.Трудоемкость'!GV:GV*"BYw!(Jy"</f>
        <v>#VALUE!</v>
      </c>
      <c r="HM167" t="e">
        <f>'2.5.Трудоемкость'!GW:GW*"BYw!(Jz"</f>
        <v>#VALUE!</v>
      </c>
      <c r="HN167" t="e">
        <f>'2.5.Трудоемкость'!GX:GX*"BYw!(J{"</f>
        <v>#VALUE!</v>
      </c>
      <c r="HO167" t="e">
        <f>'2.5.Трудоемкость'!GY:GY*"BYw!(J|"</f>
        <v>#VALUE!</v>
      </c>
      <c r="HP167" t="e">
        <f>'2.5.Трудоемкость'!GZ:GZ*"BYw!(J}"</f>
        <v>#VALUE!</v>
      </c>
      <c r="HQ167" t="e">
        <f>'2.5.Трудоемкость'!HA:HA*"BYw!(J~"</f>
        <v>#VALUE!</v>
      </c>
      <c r="HR167" t="e">
        <f>'2.5.Трудоемкость'!HB:HB*"BYw!(K#"</f>
        <v>#VALUE!</v>
      </c>
      <c r="HS167" t="e">
        <f>'2.5.Трудоемкость'!HC:HC*"BYw!(K$"</f>
        <v>#VALUE!</v>
      </c>
      <c r="HT167" t="e">
        <f>'2.5.Трудоемкость'!HD:HD*"BYw!(K%"</f>
        <v>#VALUE!</v>
      </c>
      <c r="HU167" t="e">
        <f>'2.5.Трудоемкость'!HE:HE*"BYw!(K&amp;"</f>
        <v>#VALUE!</v>
      </c>
      <c r="HV167" t="e">
        <f>'2.5.Трудоемкость'!HF:HF*"BYw!(K'"</f>
        <v>#VALUE!</v>
      </c>
      <c r="HW167" t="e">
        <f>'2.5.Трудоемкость'!HG:HG*"BYw!(K("</f>
        <v>#VALUE!</v>
      </c>
      <c r="HX167" t="e">
        <f>'2.5.Трудоемкость'!HH:HH*"BYw!(K)"</f>
        <v>#VALUE!</v>
      </c>
      <c r="HY167" t="e">
        <f>'2.5.Трудоемкость'!HI:HI*"BYw!(K."</f>
        <v>#VALUE!</v>
      </c>
      <c r="HZ167" t="e">
        <f>'2.5.Трудоемкость'!HJ:HJ*"BYw!(K/"</f>
        <v>#VALUE!</v>
      </c>
      <c r="IA167" t="e">
        <f>'2.5.Трудоемкость'!HK:HK*"BYw!(K0"</f>
        <v>#VALUE!</v>
      </c>
      <c r="IB167" t="e">
        <f>'2.5.Трудоемкость'!HL:HL*"BYw!(K1"</f>
        <v>#VALUE!</v>
      </c>
      <c r="IC167" t="e">
        <f>'2.5.Трудоемкость'!HM:HM*"BYw!(K2"</f>
        <v>#VALUE!</v>
      </c>
      <c r="ID167" t="e">
        <f>'2.5.Трудоемкость'!HN:HN*"BYw!(K3"</f>
        <v>#VALUE!</v>
      </c>
      <c r="IE167" t="e">
        <f>'2.5.Трудоемкость'!HO:HO*"BYw!(K4"</f>
        <v>#VALUE!</v>
      </c>
      <c r="IF167" t="e">
        <f>'2.5.Трудоемкость'!HP:HP*"BYw!(K5"</f>
        <v>#VALUE!</v>
      </c>
      <c r="IG167" t="e">
        <f>'2.5.Трудоемкость'!HQ:HQ*"BYw!(K6"</f>
        <v>#VALUE!</v>
      </c>
      <c r="IH167" t="e">
        <f>'2.5.Трудоемкость'!HR:HR*"BYw!(K7"</f>
        <v>#VALUE!</v>
      </c>
      <c r="II167" t="e">
        <f>'2.5.Трудоемкость'!HS:HS*"BYw!(K8"</f>
        <v>#VALUE!</v>
      </c>
      <c r="IJ167" t="e">
        <f>'2.5.Трудоемкость'!HT:HT*"BYw!(K9"</f>
        <v>#VALUE!</v>
      </c>
      <c r="IK167" t="e">
        <f>'2.5.Трудоемкость'!HU:HU*"BYw!(K:"</f>
        <v>#VALUE!</v>
      </c>
      <c r="IL167" t="e">
        <f>'2.5.Трудоемкость'!HV:HV*"BYw!(K;"</f>
        <v>#VALUE!</v>
      </c>
      <c r="IM167" t="e">
        <f>'2.5.Трудоемкость'!HW:HW*"BYw!(K&lt;"</f>
        <v>#VALUE!</v>
      </c>
      <c r="IN167" t="e">
        <f>'2.5.Трудоемкость'!HX:HX*"BYw!(K="</f>
        <v>#VALUE!</v>
      </c>
      <c r="IO167" t="e">
        <f>'2.5.Трудоемкость'!HY:HY*"BYw!(K&gt;"</f>
        <v>#VALUE!</v>
      </c>
      <c r="IP167" t="e">
        <f>'2.5.Трудоемкость'!HZ:HZ*"BYw!(K?"</f>
        <v>#VALUE!</v>
      </c>
      <c r="IQ167" t="e">
        <f>'2.5.Трудоемкость'!IA:IA*"BYw!(K@"</f>
        <v>#VALUE!</v>
      </c>
      <c r="IR167" t="e">
        <f>'2.5.Трудоемкость'!IB:IB*"BYw!(KA"</f>
        <v>#VALUE!</v>
      </c>
      <c r="IS167" t="e">
        <f>'2.5.Трудоемкость'!IC:IC*"BYw!(KB"</f>
        <v>#VALUE!</v>
      </c>
      <c r="IT167" t="e">
        <f>'2.5.Трудоемкость'!ID:ID*"BYw!(KC"</f>
        <v>#VALUE!</v>
      </c>
      <c r="IU167" t="e">
        <f>'2.5.Трудоемкость'!IE:IE*"BYw!(KD"</f>
        <v>#VALUE!</v>
      </c>
      <c r="IV167" t="e">
        <f>'2.5.Трудоемкость'!IF:IF*"BYw!(KE"</f>
        <v>#VALUE!</v>
      </c>
    </row>
    <row r="168" spans="6:256" x14ac:dyDescent="0.2">
      <c r="F168" t="e">
        <f>'2.5.Трудоемкость'!IG:IG*"BYw!(KF"</f>
        <v>#VALUE!</v>
      </c>
      <c r="G168" t="e">
        <f>'2.5.Трудоемкость'!IH:IH*"BYw!(KG"</f>
        <v>#VALUE!</v>
      </c>
      <c r="H168" t="e">
        <f>'2.5.Трудоемкость'!II:II*"BYw!(KH"</f>
        <v>#VALUE!</v>
      </c>
      <c r="I168" t="e">
        <f>'2.5.Трудоемкость'!IJ:IJ*"BYw!(KI"</f>
        <v>#VALUE!</v>
      </c>
      <c r="J168" t="e">
        <f>'2.5.Трудоемкость'!IK:IK*"BYw!(KJ"</f>
        <v>#VALUE!</v>
      </c>
      <c r="K168" t="e">
        <f>'2.5.Трудоемкость'!IL:IL*"BYw!(KK"</f>
        <v>#VALUE!</v>
      </c>
      <c r="L168" t="e">
        <f>'2.5.Трудоемкость'!IM:IM*"BYw!(KL"</f>
        <v>#VALUE!</v>
      </c>
      <c r="M168" t="e">
        <f>'2.5.Трудоемкость'!IN:IN*"BYw!(KM"</f>
        <v>#VALUE!</v>
      </c>
      <c r="N168" t="e">
        <f>'2.5.Трудоемкость'!IO:IO*"BYw!(KN"</f>
        <v>#VALUE!</v>
      </c>
      <c r="O168" t="e">
        <f>'2.5.Трудоемкость'!IP:IP*"BYw!(KO"</f>
        <v>#VALUE!</v>
      </c>
      <c r="P168" t="e">
        <f>'2.5.Трудоемкость'!IQ:IQ*"BYw!(KP"</f>
        <v>#VALUE!</v>
      </c>
      <c r="Q168" t="e">
        <f>'2.5.Трудоемкость'!IR:IR*"BYw!(KQ"</f>
        <v>#VALUE!</v>
      </c>
      <c r="R168" t="e">
        <f>'2.5.Трудоемкость'!IS:IS*"BYw!(KR"</f>
        <v>#VALUE!</v>
      </c>
      <c r="S168" t="e">
        <f>'2.5.Трудоемкость'!IT:IT*"BYw!(KS"</f>
        <v>#VALUE!</v>
      </c>
      <c r="T168" t="e">
        <f>'2.5.Трудоемкость'!IU:IU*"BYw!(KT"</f>
        <v>#VALUE!</v>
      </c>
      <c r="U168" t="e">
        <f>'2.5.Трудоемкость'!IV:IV*"BYw!(KU"</f>
        <v>#VALUE!</v>
      </c>
      <c r="V168" t="e">
        <f>'2.5.Трудоемкость'!IW:IW*"BYw!(KV"</f>
        <v>#VALUE!</v>
      </c>
      <c r="W168" t="e">
        <f>'2.5.Трудоемкость'!IX:IX*"BYw!(KW"</f>
        <v>#VALUE!</v>
      </c>
      <c r="X168" t="e">
        <f>'2.5.Трудоемкость'!IY:IY*"BYw!(KX"</f>
        <v>#VALUE!</v>
      </c>
      <c r="Y168" t="e">
        <f>'2.5.Трудоемкость'!IZ:IZ*"BYw!(KY"</f>
        <v>#VALUE!</v>
      </c>
      <c r="Z168" t="e">
        <f>'2.5.Трудоемкость'!JA:JA*"BYw!(KZ"</f>
        <v>#VALUE!</v>
      </c>
      <c r="AA168" t="e">
        <f>'2.5.Трудоемкость'!JB:JB*"BYw!(K["</f>
        <v>#VALUE!</v>
      </c>
      <c r="AB168" t="e">
        <f>'2.5.Трудоемкость'!JC:JC*"BYw!(K\"</f>
        <v>#VALUE!</v>
      </c>
      <c r="AC168" t="e">
        <f>'2.5.Трудоемкость'!JD:JD*"BYw!(K]"</f>
        <v>#VALUE!</v>
      </c>
      <c r="AD168" t="e">
        <f>'2.5.Трудоемкость'!JE:JE*"BYw!(K^"</f>
        <v>#VALUE!</v>
      </c>
      <c r="AE168" t="e">
        <f>'2.5.Трудоемкость'!JF:JF*"BYw!(K_"</f>
        <v>#VALUE!</v>
      </c>
      <c r="AF168" t="e">
        <f>'2.5.Трудоемкость'!JG:JG*"BYw!(K`"</f>
        <v>#VALUE!</v>
      </c>
      <c r="AG168" t="e">
        <f>'2.5.Трудоемкость'!JH:JH*"BYw!(Ka"</f>
        <v>#VALUE!</v>
      </c>
      <c r="AH168" t="e">
        <f>'2.5.Трудоемкость'!JI:JI*"BYw!(Kb"</f>
        <v>#VALUE!</v>
      </c>
      <c r="AI168" t="e">
        <f>'2.5.Трудоемкость'!JJ:JJ*"BYw!(Kc"</f>
        <v>#VALUE!</v>
      </c>
      <c r="AJ168" t="e">
        <f>'2.5.Трудоемкость'!JK:JK*"BYw!(Kd"</f>
        <v>#VALUE!</v>
      </c>
      <c r="AK168" t="e">
        <f>'2.5.Трудоемкость'!JL:JL*"BYw!(Ke"</f>
        <v>#VALUE!</v>
      </c>
      <c r="AL168" t="e">
        <f>'2.5.Трудоемкость'!JM:JM*"BYw!(Kf"</f>
        <v>#VALUE!</v>
      </c>
      <c r="AM168" t="e">
        <f>'2.5.Трудоемкость'!JN:JN*"BYw!(Kg"</f>
        <v>#VALUE!</v>
      </c>
      <c r="AN168" t="e">
        <f>'2.5.Трудоемкость'!JO:JO*"BYw!(Kh"</f>
        <v>#VALUE!</v>
      </c>
      <c r="AO168" t="e">
        <f>'2.5.Трудоемкость'!JP:JP*"BYw!(Ki"</f>
        <v>#VALUE!</v>
      </c>
      <c r="AP168" t="e">
        <f>'2.5.Трудоемкость'!JQ:JQ*"BYw!(Kj"</f>
        <v>#VALUE!</v>
      </c>
      <c r="AQ168" t="e">
        <f>'2.5.Трудоемкость'!JR:JR*"BYw!(Kk"</f>
        <v>#VALUE!</v>
      </c>
      <c r="AR168" t="e">
        <f>'2.5.Трудоемкость'!JS:JS*"BYw!(Kl"</f>
        <v>#VALUE!</v>
      </c>
      <c r="AS168" t="e">
        <f>'2.5.Трудоемкость'!JT:JT*"BYw!(Km"</f>
        <v>#VALUE!</v>
      </c>
      <c r="AT168" t="e">
        <f>'2.5.Трудоемкость'!JU:JU*"BYw!(Kn"</f>
        <v>#VALUE!</v>
      </c>
      <c r="AU168" t="e">
        <f>'2.5.Трудоемкость'!JV:JV*"BYw!(Ko"</f>
        <v>#VALUE!</v>
      </c>
      <c r="AV168" t="e">
        <f>'2.5.Трудоемкость'!JW:JW*"BYw!(Kp"</f>
        <v>#VALUE!</v>
      </c>
      <c r="AW168" t="e">
        <f>'2.5.Трудоемкость'!JX:JX*"BYw!(Kq"</f>
        <v>#VALUE!</v>
      </c>
      <c r="AX168" t="e">
        <f>'2.5.Трудоемкость'!JY:JY*"BYw!(Kr"</f>
        <v>#VALUE!</v>
      </c>
      <c r="AY168" t="e">
        <f>'2.5.Трудоемкость'!JZ:JZ*"BYw!(Ks"</f>
        <v>#VALUE!</v>
      </c>
      <c r="AZ168" t="e">
        <f>'2.5.Трудоемкость'!KA:KA*"BYw!(Kt"</f>
        <v>#VALUE!</v>
      </c>
      <c r="BA168" t="e">
        <f>'2.5.Трудоемкость'!KB:KB*"BYw!(Ku"</f>
        <v>#VALUE!</v>
      </c>
      <c r="BB168" t="e">
        <f>'2.5.Трудоемкость'!KC:KC*"BYw!(Kv"</f>
        <v>#VALUE!</v>
      </c>
      <c r="BC168" t="e">
        <f>'2.5.Трудоемкость'!KD:KD*"BYw!(Kw"</f>
        <v>#VALUE!</v>
      </c>
      <c r="BD168" t="e">
        <f>'2.5.Трудоемкость'!KE:KE*"BYw!(Kx"</f>
        <v>#VALUE!</v>
      </c>
      <c r="BE168" t="e">
        <f>'2.5.Трудоемкость'!KF:KF*"BYw!(Ky"</f>
        <v>#VALUE!</v>
      </c>
      <c r="BF168" t="e">
        <f>'2.5.Трудоемкость'!KG:KG*"BYw!(Kz"</f>
        <v>#VALUE!</v>
      </c>
      <c r="BG168" t="e">
        <f>'2.5.Трудоемкость'!KH:KH*"BYw!(K{"</f>
        <v>#VALUE!</v>
      </c>
      <c r="BH168" t="e">
        <f>'2.5.Трудоемкость'!KI:KI*"BYw!(K|"</f>
        <v>#VALUE!</v>
      </c>
      <c r="BI168" t="e">
        <f>'2.5.Трудоемкость'!KJ:KJ*"BYw!(K}"</f>
        <v>#VALUE!</v>
      </c>
      <c r="BJ168" t="e">
        <f>'2.5.Трудоемкость'!KK:KK*"BYw!(K~"</f>
        <v>#VALUE!</v>
      </c>
      <c r="BK168" t="e">
        <f>'2.5.Трудоемкость'!KL:KL*"BYw!(L#"</f>
        <v>#VALUE!</v>
      </c>
      <c r="BL168" t="e">
        <f>'2.5.Трудоемкость'!KM:KM*"BYw!(L$"</f>
        <v>#VALUE!</v>
      </c>
      <c r="BM168" t="e">
        <f>'2.5.Трудоемкость'!KN:KN*"BYw!(L%"</f>
        <v>#VALUE!</v>
      </c>
      <c r="BN168" t="e">
        <f>'2.5.Трудоемкость'!KO:KO*"BYw!(L&amp;"</f>
        <v>#VALUE!</v>
      </c>
      <c r="BO168" t="e">
        <f>'2.5.Трудоемкость'!KP:KP*"BYw!(L'"</f>
        <v>#VALUE!</v>
      </c>
      <c r="BP168" t="e">
        <f>'2.5.Трудоемкость'!KQ:KQ*"BYw!(L("</f>
        <v>#VALUE!</v>
      </c>
      <c r="BQ168" t="e">
        <f>'2.5.Трудоемкость'!KR:KR*"BYw!(L)"</f>
        <v>#VALUE!</v>
      </c>
      <c r="BR168" t="e">
        <f>'2.5.Трудоемкость'!KS:KS*"BYw!(L."</f>
        <v>#VALUE!</v>
      </c>
      <c r="BS168" t="e">
        <f>'2.5.Трудоемкость'!KT:KT*"BYw!(L/"</f>
        <v>#VALUE!</v>
      </c>
      <c r="BT168" t="e">
        <f>'2.5.Трудоемкость'!KU:KU*"BYw!(L0"</f>
        <v>#VALUE!</v>
      </c>
      <c r="BU168" t="e">
        <f>'2.5.Трудоемкость'!KV:KV*"BYw!(L1"</f>
        <v>#VALUE!</v>
      </c>
      <c r="BV168" t="e">
        <f>'2.5.Трудоемкость'!KW:KW*"BYw!(L2"</f>
        <v>#VALUE!</v>
      </c>
      <c r="BW168" t="e">
        <f>'2.5.Трудоемкость'!KX:KX*"BYw!(L3"</f>
        <v>#VALUE!</v>
      </c>
      <c r="BX168" t="e">
        <f>'2.5.Трудоемкость'!KY:KY*"BYw!(L4"</f>
        <v>#VALUE!</v>
      </c>
      <c r="BY168" t="e">
        <f>'2.5.Трудоемкость'!KZ:KZ*"BYw!(L5"</f>
        <v>#VALUE!</v>
      </c>
      <c r="BZ168" t="e">
        <f>'2.5.Трудоемкость'!LA:LA*"BYw!(L6"</f>
        <v>#VALUE!</v>
      </c>
      <c r="CA168" t="e">
        <f>'2.5.Трудоемкость'!LB:LB*"BYw!(L7"</f>
        <v>#VALUE!</v>
      </c>
      <c r="CB168" t="e">
        <f>'2.5.Трудоемкость'!LC:LC*"BYw!(L8"</f>
        <v>#VALUE!</v>
      </c>
      <c r="CC168" t="e">
        <f>'2.5.Трудоемкость'!LD:LD*"BYw!(L9"</f>
        <v>#VALUE!</v>
      </c>
      <c r="CD168" t="e">
        <f>'2.5.Трудоемкость'!LE:LE*"BYw!(L:"</f>
        <v>#VALUE!</v>
      </c>
      <c r="CE168" t="e">
        <f>'2.5.Трудоемкость'!LF:LF*"BYw!(L;"</f>
        <v>#VALUE!</v>
      </c>
      <c r="CF168" t="e">
        <f>'2.5.Трудоемкость'!LG:LG*"BYw!(L&lt;"</f>
        <v>#VALUE!</v>
      </c>
      <c r="CG168" t="e">
        <f>'2.5.Трудоемкость'!LH:LH*"BYw!(L="</f>
        <v>#VALUE!</v>
      </c>
      <c r="CH168" t="e">
        <f>'2.5.Трудоемкость'!LI:LI*"BYw!(L&gt;"</f>
        <v>#VALUE!</v>
      </c>
      <c r="CI168" t="e">
        <f>'2.5.Трудоемкость'!LJ:LJ*"BYw!(L?"</f>
        <v>#VALUE!</v>
      </c>
      <c r="CJ168" t="e">
        <f>'2.5.Трудоемкость'!LK:LK*"BYw!(L@"</f>
        <v>#VALUE!</v>
      </c>
      <c r="CK168" t="e">
        <f>'2.5.Трудоемкость'!LL:LL*"BYw!(LA"</f>
        <v>#VALUE!</v>
      </c>
      <c r="CL168" t="e">
        <f>'2.5.Трудоемкость'!LM:LM*"BYw!(LB"</f>
        <v>#VALUE!</v>
      </c>
      <c r="CM168" t="e">
        <f>'2.5.Трудоемкость'!LN:LN*"BYw!(LC"</f>
        <v>#VALUE!</v>
      </c>
      <c r="CN168" t="e">
        <f>'2.5.Трудоемкость'!LO:LO*"BYw!(LD"</f>
        <v>#VALUE!</v>
      </c>
      <c r="CO168" t="e">
        <f>'2.5.Трудоемкость'!LP:LP*"BYw!(LE"</f>
        <v>#VALUE!</v>
      </c>
      <c r="CP168" t="e">
        <f>'2.5.Трудоемкость'!LQ:LQ*"BYw!(LF"</f>
        <v>#VALUE!</v>
      </c>
      <c r="CQ168" t="e">
        <f>'2.5.Трудоемкость'!LR:LR*"BYw!(LG"</f>
        <v>#VALUE!</v>
      </c>
      <c r="CR168" t="e">
        <f>'2.5.Трудоемкость'!LS:LS*"BYw!(LH"</f>
        <v>#VALUE!</v>
      </c>
      <c r="CS168" t="e">
        <f>'2.5.Трудоемкость'!LT:LT*"BYw!(LI"</f>
        <v>#VALUE!</v>
      </c>
      <c r="CT168" t="e">
        <f>'2.5.Трудоемкость'!LU:LU*"BYw!(LJ"</f>
        <v>#VALUE!</v>
      </c>
      <c r="CU168" t="e">
        <f>'2.5.Трудоемкость'!LV:LV*"BYw!(LK"</f>
        <v>#VALUE!</v>
      </c>
      <c r="CV168" t="e">
        <f>'2.5.Трудоемкость'!LW:LW*"BYw!(LL"</f>
        <v>#VALUE!</v>
      </c>
      <c r="CW168" t="e">
        <f>'2.5.Трудоемкость'!LX:LX*"BYw!(LM"</f>
        <v>#VALUE!</v>
      </c>
      <c r="CX168" t="e">
        <f>'2.5.Трудоемкость'!LY:LY*"BYw!(LN"</f>
        <v>#VALUE!</v>
      </c>
      <c r="CY168" t="e">
        <f>'2.5.Трудоемкость'!LZ:LZ*"BYw!(LO"</f>
        <v>#VALUE!</v>
      </c>
      <c r="CZ168" t="e">
        <f>'2.5.Трудоемкость'!MA:MA*"BYw!(LP"</f>
        <v>#VALUE!</v>
      </c>
      <c r="DA168" t="e">
        <f>'2.5.Трудоемкость'!MB:MB*"BYw!(LQ"</f>
        <v>#VALUE!</v>
      </c>
      <c r="DB168" t="e">
        <f>'2.5.Трудоемкость'!MC:MC*"BYw!(LR"</f>
        <v>#VALUE!</v>
      </c>
      <c r="DC168" t="e">
        <f>'2.5.Трудоемкость'!MD:MD*"BYw!(LS"</f>
        <v>#VALUE!</v>
      </c>
      <c r="DD168" t="e">
        <f>'2.5.Трудоемкость'!ME:ME*"BYw!(LT"</f>
        <v>#VALUE!</v>
      </c>
      <c r="DE168" t="e">
        <f>'2.5.Трудоемкость'!MF:MF*"BYw!(LU"</f>
        <v>#VALUE!</v>
      </c>
      <c r="DF168" t="e">
        <f>'2.5.Трудоемкость'!MG:MG*"BYw!(LV"</f>
        <v>#VALUE!</v>
      </c>
      <c r="DG168" t="e">
        <f>'2.5.Трудоемкость'!MH:MH*"BYw!(LW"</f>
        <v>#VALUE!</v>
      </c>
      <c r="DH168" t="e">
        <f>'2.5.Трудоемкость'!MI:MI*"BYw!(LX"</f>
        <v>#VALUE!</v>
      </c>
      <c r="DI168" t="e">
        <f>'2.5.Трудоемкость'!MJ:MJ*"BYw!(LY"</f>
        <v>#VALUE!</v>
      </c>
      <c r="DJ168" t="e">
        <f>'2.5.Трудоемкость'!MK:MK*"BYw!(LZ"</f>
        <v>#VALUE!</v>
      </c>
      <c r="DK168" t="e">
        <f>'2.5.Трудоемкость'!ML:ML*"BYw!(L["</f>
        <v>#VALUE!</v>
      </c>
      <c r="DL168" t="e">
        <f>'2.5.Трудоемкость'!MM:MM*"BYw!(L\"</f>
        <v>#VALUE!</v>
      </c>
      <c r="DM168" t="e">
        <f>'2.5.Трудоемкость'!MN:MN*"BYw!(L]"</f>
        <v>#VALUE!</v>
      </c>
      <c r="DN168" t="e">
        <f>'2.5.Трудоемкость'!MO:MO*"BYw!(L^"</f>
        <v>#VALUE!</v>
      </c>
      <c r="DO168" t="e">
        <f>'2.5.Трудоемкость'!MP:MP*"BYw!(L_"</f>
        <v>#VALUE!</v>
      </c>
      <c r="DP168" t="e">
        <f>'2.5.Трудоемкость'!MQ:MQ*"BYw!(L`"</f>
        <v>#VALUE!</v>
      </c>
      <c r="DQ168" t="e">
        <f>'2.5.Трудоемкость'!MR:MR*"BYw!(La"</f>
        <v>#VALUE!</v>
      </c>
      <c r="DR168" t="e">
        <f>'2.5.Трудоемкость'!MS:MS*"BYw!(Lb"</f>
        <v>#VALUE!</v>
      </c>
      <c r="DS168" t="e">
        <f>'2.5.Трудоемкость'!MT:MT*"BYw!(Lc"</f>
        <v>#VALUE!</v>
      </c>
      <c r="DT168" t="e">
        <f>'2.5.Трудоемкость'!MU:MU*"BYw!(Ld"</f>
        <v>#VALUE!</v>
      </c>
      <c r="DU168" t="e">
        <f>'2.5.Трудоемкость'!MV:MV*"BYw!(Le"</f>
        <v>#VALUE!</v>
      </c>
      <c r="DV168" t="e">
        <f>'2.5.Трудоемкость'!MW:MW*"BYw!(Lf"</f>
        <v>#VALUE!</v>
      </c>
      <c r="DW168" t="e">
        <f>'2.5.Трудоемкость'!MX:MX*"BYw!(Lg"</f>
        <v>#VALUE!</v>
      </c>
      <c r="DX168" t="e">
        <f>'2.5.Трудоемкость'!MY:MY*"BYw!(Lh"</f>
        <v>#VALUE!</v>
      </c>
      <c r="DY168" t="e">
        <f>'2.5.Трудоемкость'!MZ:MZ*"BYw!(Li"</f>
        <v>#VALUE!</v>
      </c>
      <c r="DZ168" t="e">
        <f>'2.5.Трудоемкость'!NA:NA*"BYw!(Lj"</f>
        <v>#VALUE!</v>
      </c>
      <c r="EA168" t="e">
        <f>'2.5.Трудоемкость'!NB:NB*"BYw!(Lk"</f>
        <v>#VALUE!</v>
      </c>
      <c r="EB168" t="e">
        <f>'2.5.Трудоемкость'!NC:NC*"BYw!(Ll"</f>
        <v>#VALUE!</v>
      </c>
      <c r="EC168" t="e">
        <f>'2.5.Трудоемкость'!ND:ND*"BYw!(Lm"</f>
        <v>#VALUE!</v>
      </c>
      <c r="ED168" t="e">
        <f>'2.5.Трудоемкость'!NE:NE*"BYw!(Ln"</f>
        <v>#VALUE!</v>
      </c>
      <c r="EE168" t="e">
        <f>'2.5.Трудоемкость'!NF:NF*"BYw!(Lo"</f>
        <v>#VALUE!</v>
      </c>
      <c r="EF168" t="e">
        <f>'2.5.Трудоемкость'!NG:NG*"BYw!(Lp"</f>
        <v>#VALUE!</v>
      </c>
      <c r="EG168" t="e">
        <f>'2.5.Трудоемкость'!NH:NH*"BYw!(Lq"</f>
        <v>#VALUE!</v>
      </c>
      <c r="EH168" t="e">
        <f>'2.5.Трудоемкость'!NI:NI*"BYw!(Lr"</f>
        <v>#VALUE!</v>
      </c>
      <c r="EI168" t="e">
        <f>'2.5.Трудоемкость'!NJ:NJ*"BYw!(Ls"</f>
        <v>#VALUE!</v>
      </c>
      <c r="EJ168" t="e">
        <f>'2.5.Трудоемкость'!NK:NK*"BYw!(Lt"</f>
        <v>#VALUE!</v>
      </c>
      <c r="EK168" t="e">
        <f>'2.5.Трудоемкость'!NL:NL*"BYw!(Lu"</f>
        <v>#VALUE!</v>
      </c>
      <c r="EL168" t="e">
        <f>'2.5.Трудоемкость'!NM:NM*"BYw!(Lv"</f>
        <v>#VALUE!</v>
      </c>
      <c r="EM168" t="e">
        <f>'2.5.Трудоемкость'!NN:NN*"BYw!(Lw"</f>
        <v>#VALUE!</v>
      </c>
      <c r="EN168" t="e">
        <f>'2.5.Трудоемкость'!NO:NO*"BYw!(Lx"</f>
        <v>#VALUE!</v>
      </c>
      <c r="EO168" t="e">
        <f>'2.5.Трудоемкость'!NP:NP*"BYw!(Ly"</f>
        <v>#VALUE!</v>
      </c>
      <c r="EP168" t="e">
        <f>'2.5.Трудоемкость'!NQ:NQ*"BYw!(Lz"</f>
        <v>#VALUE!</v>
      </c>
      <c r="EQ168" t="e">
        <f>'2.5.Трудоемкость'!NR:NR*"BYw!(L{"</f>
        <v>#VALUE!</v>
      </c>
      <c r="ER168" t="e">
        <f>'2.5.Трудоемкость'!NS:NS*"BYw!(L|"</f>
        <v>#VALUE!</v>
      </c>
      <c r="ES168" t="e">
        <f>'2.5.Трудоемкость'!NT:NT*"BYw!(L}"</f>
        <v>#VALUE!</v>
      </c>
      <c r="ET168" t="e">
        <f>'2.5.Трудоемкость'!NU:NU*"BYw!(L~"</f>
        <v>#VALUE!</v>
      </c>
      <c r="EU168" t="e">
        <f>'2.5.Трудоемкость'!NV:NV*"BYw!(M#"</f>
        <v>#VALUE!</v>
      </c>
      <c r="EV168" t="e">
        <f>'2.5.Трудоемкость'!NW:NW*"BYw!(M$"</f>
        <v>#VALUE!</v>
      </c>
      <c r="EW168" t="e">
        <f>'2.5.Трудоемкость'!NX:NX*"BYw!(M%"</f>
        <v>#VALUE!</v>
      </c>
      <c r="EX168" t="e">
        <f>'2.5.Трудоемкость'!NY:NY*"BYw!(M&amp;"</f>
        <v>#VALUE!</v>
      </c>
      <c r="EY168" t="e">
        <f>'2.5.Трудоемкость'!NZ:NZ*"BYw!(M'"</f>
        <v>#VALUE!</v>
      </c>
      <c r="EZ168" t="e">
        <f>'2.5.Трудоемкость'!OA:OA*"BYw!(M("</f>
        <v>#VALUE!</v>
      </c>
      <c r="FA168" t="e">
        <f>'2.5.Трудоемкость'!OB:OB*"BYw!(M)"</f>
        <v>#VALUE!</v>
      </c>
      <c r="FB168" t="e">
        <f>'2.5.Трудоемкость'!OC:OC*"BYw!(M."</f>
        <v>#VALUE!</v>
      </c>
      <c r="FC168" t="e">
        <f>'2.5.Трудоемкость'!OD:OD*"BYw!(M/"</f>
        <v>#VALUE!</v>
      </c>
      <c r="FD168" t="e">
        <f>'2.5.Трудоемкость'!OE:OE*"BYw!(M0"</f>
        <v>#VALUE!</v>
      </c>
      <c r="FE168" t="e">
        <f>'2.5.Трудоемкость'!OF:OF*"BYw!(M1"</f>
        <v>#VALUE!</v>
      </c>
      <c r="FF168" t="e">
        <f>'2.5.Трудоемкость'!OG:OG*"BYw!(M2"</f>
        <v>#VALUE!</v>
      </c>
      <c r="FG168" t="e">
        <f>'2.5.Трудоемкость'!OH:OH*"BYw!(M3"</f>
        <v>#VALUE!</v>
      </c>
      <c r="FH168" t="e">
        <f>'2.5.Трудоемкость'!OI:OI*"BYw!(M4"</f>
        <v>#VALUE!</v>
      </c>
      <c r="FI168" t="e">
        <f>'2.5.Трудоемкость'!OJ:OJ*"BYw!(M5"</f>
        <v>#VALUE!</v>
      </c>
      <c r="FJ168" t="e">
        <f>'2.5.Трудоемкость'!OK:OK*"BYw!(M6"</f>
        <v>#VALUE!</v>
      </c>
      <c r="FK168" t="e">
        <f>'2.5.Трудоемкость'!OL:OL*"BYw!(M7"</f>
        <v>#VALUE!</v>
      </c>
      <c r="FL168" t="e">
        <f>'2.5.Трудоемкость'!OM:OM*"BYw!(M8"</f>
        <v>#VALUE!</v>
      </c>
      <c r="FM168" t="e">
        <f>'2.5.Трудоемкость'!ON:ON*"BYw!(M9"</f>
        <v>#VALUE!</v>
      </c>
      <c r="FN168" t="e">
        <f>'2.5.Трудоемкость'!OO:OO*"BYw!(M:"</f>
        <v>#VALUE!</v>
      </c>
      <c r="FO168" t="e">
        <f>'2.5.Трудоемкость'!OP:OP*"BYw!(M;"</f>
        <v>#VALUE!</v>
      </c>
      <c r="FP168" t="e">
        <f>'2.5.Трудоемкость'!OQ:OQ*"BYw!(M&lt;"</f>
        <v>#VALUE!</v>
      </c>
      <c r="FQ168" t="e">
        <f>'2.5.Трудоемкость'!OR:OR*"BYw!(M="</f>
        <v>#VALUE!</v>
      </c>
      <c r="FR168" t="e">
        <f>'2.5.Трудоемкость'!OS:OS*"BYw!(M&gt;"</f>
        <v>#VALUE!</v>
      </c>
      <c r="FS168" t="e">
        <f>'2.5.Трудоемкость'!OT:OT*"BYw!(M?"</f>
        <v>#VALUE!</v>
      </c>
      <c r="FT168" t="e">
        <f>'2.5.Трудоемкость'!OU:OU*"BYw!(M@"</f>
        <v>#VALUE!</v>
      </c>
      <c r="FU168" t="e">
        <f>'2.5.Трудоемкость'!OV:OV*"BYw!(MA"</f>
        <v>#VALUE!</v>
      </c>
      <c r="FV168" t="e">
        <f>'2.5.Трудоемкость'!OW:OW*"BYw!(MB"</f>
        <v>#VALUE!</v>
      </c>
      <c r="FW168" t="e">
        <f>'2.5.Трудоемкость'!OX:OX*"BYw!(MC"</f>
        <v>#VALUE!</v>
      </c>
      <c r="FX168" t="e">
        <f>'2.5.Трудоемкость'!OY:OY*"BYw!(MD"</f>
        <v>#VALUE!</v>
      </c>
      <c r="FY168" t="e">
        <f>'2.5.Трудоемкость'!OZ:OZ*"BYw!(ME"</f>
        <v>#VALUE!</v>
      </c>
      <c r="FZ168" t="e">
        <f>'2.5.Трудоемкость'!PA:PA*"BYw!(MF"</f>
        <v>#VALUE!</v>
      </c>
      <c r="GA168" t="e">
        <f>'2.5.Трудоемкость'!PB:PB*"BYw!(MG"</f>
        <v>#VALUE!</v>
      </c>
      <c r="GB168" t="e">
        <f>'2.5.Трудоемкость'!PC:PC*"BYw!(MH"</f>
        <v>#VALUE!</v>
      </c>
      <c r="GC168" t="e">
        <f>'2.5.Трудоемкость'!PD:PD*"BYw!(MI"</f>
        <v>#VALUE!</v>
      </c>
      <c r="GD168" t="e">
        <f>'2.5.Трудоемкость'!PE:PE*"BYw!(MJ"</f>
        <v>#VALUE!</v>
      </c>
      <c r="GE168" t="e">
        <f>'2.5.Трудоемкость'!PF:PF*"BYw!(MK"</f>
        <v>#VALUE!</v>
      </c>
      <c r="GF168" t="e">
        <f>'2.5.Трудоемкость'!PG:PG*"BYw!(ML"</f>
        <v>#VALUE!</v>
      </c>
      <c r="GG168" t="e">
        <f>'2.5.Трудоемкость'!PH:PH*"BYw!(MM"</f>
        <v>#VALUE!</v>
      </c>
      <c r="GH168" t="e">
        <f>'2.5.Трудоемкость'!PI:PI*"BYw!(MN"</f>
        <v>#VALUE!</v>
      </c>
      <c r="GI168" t="e">
        <f>'2.5.Трудоемкость'!PJ:PJ*"BYw!(MO"</f>
        <v>#VALUE!</v>
      </c>
      <c r="GJ168" t="e">
        <f>'2.5.Трудоемкость'!PK:PK*"BYw!(MP"</f>
        <v>#VALUE!</v>
      </c>
      <c r="GK168" t="e">
        <f>'2.5.Трудоемкость'!PL:PL*"BYw!(MQ"</f>
        <v>#VALUE!</v>
      </c>
      <c r="GL168" t="e">
        <f>'2.5.Трудоемкость'!PM:PM*"BYw!(MR"</f>
        <v>#VALUE!</v>
      </c>
      <c r="GM168" t="e">
        <f>'2.5.Трудоемкость'!PN:PN*"BYw!(MS"</f>
        <v>#VALUE!</v>
      </c>
      <c r="GN168" t="e">
        <f>'2.5.Трудоемкость'!PO:PO*"BYw!(MT"</f>
        <v>#VALUE!</v>
      </c>
      <c r="GO168" t="e">
        <f>'2.5.Трудоемкость'!PP:PP*"BYw!(MU"</f>
        <v>#VALUE!</v>
      </c>
      <c r="GP168" t="e">
        <f>'2.5.Трудоемкость'!PQ:PQ*"BYw!(MV"</f>
        <v>#VALUE!</v>
      </c>
      <c r="GQ168" t="e">
        <f>'2.5.Трудоемкость'!PR:PR*"BYw!(MW"</f>
        <v>#VALUE!</v>
      </c>
      <c r="GR168" t="e">
        <f>'2.5.Трудоемкость'!PS:PS*"BYw!(MX"</f>
        <v>#VALUE!</v>
      </c>
      <c r="GS168" t="e">
        <f>'2.5.Трудоемкость'!PT:PT*"BYw!(MY"</f>
        <v>#VALUE!</v>
      </c>
      <c r="GT168" t="e">
        <f>'2.5.Трудоемкость'!PU:PU*"BYw!(MZ"</f>
        <v>#VALUE!</v>
      </c>
      <c r="GU168" t="e">
        <f>'2.5.Трудоемкость'!PV:PV*"BYw!(M["</f>
        <v>#VALUE!</v>
      </c>
      <c r="GV168" t="e">
        <f>'2.5.Трудоемкость'!PW:PW*"BYw!(M\"</f>
        <v>#VALUE!</v>
      </c>
      <c r="GW168" t="e">
        <f>'2.5.Трудоемкость'!PX:PX*"BYw!(M]"</f>
        <v>#VALUE!</v>
      </c>
      <c r="GX168" t="e">
        <f>'2.5.Трудоемкость'!PY:PY*"BYw!(M^"</f>
        <v>#VALUE!</v>
      </c>
      <c r="GY168" t="e">
        <f>'2.5.Трудоемкость'!PZ:PZ*"BYw!(M_"</f>
        <v>#VALUE!</v>
      </c>
      <c r="GZ168" t="e">
        <f>'2.5.Трудоемкость'!QA:QA*"BYw!(M`"</f>
        <v>#VALUE!</v>
      </c>
      <c r="HA168" t="e">
        <f>'2.5.Трудоемкость'!QB:QB*"BYw!(Ma"</f>
        <v>#VALUE!</v>
      </c>
      <c r="HB168" t="e">
        <f>'2.5.Трудоемкость'!QC:QC*"BYw!(Mb"</f>
        <v>#VALUE!</v>
      </c>
      <c r="HC168" t="e">
        <f>'2.5.Трудоемкость'!QD:QD*"BYw!(Mc"</f>
        <v>#VALUE!</v>
      </c>
      <c r="HD168" t="e">
        <f>'2.5.Трудоемкость'!QE:QE*"BYw!(Md"</f>
        <v>#VALUE!</v>
      </c>
      <c r="HE168" t="e">
        <f>'2.5.Трудоемкость'!QF:QF*"BYw!(Me"</f>
        <v>#VALUE!</v>
      </c>
      <c r="HF168" t="e">
        <f>'2.5.Трудоемкость'!QG:QG*"BYw!(Mf"</f>
        <v>#VALUE!</v>
      </c>
      <c r="HG168" t="e">
        <f>'2.5.Трудоемкость'!QH:QH*"BYw!(Mg"</f>
        <v>#VALUE!</v>
      </c>
      <c r="HH168" t="e">
        <f>'2.5.Трудоемкость'!QI:QI*"BYw!(Mh"</f>
        <v>#VALUE!</v>
      </c>
      <c r="HI168" t="e">
        <f>'2.5.Трудоемкость'!QJ:QJ*"BYw!(Mi"</f>
        <v>#VALUE!</v>
      </c>
      <c r="HJ168" t="e">
        <f>'2.5.Трудоемкость'!QK:QK*"BYw!(Mj"</f>
        <v>#VALUE!</v>
      </c>
      <c r="HK168" t="e">
        <f>'2.5.Трудоемкость'!QL:QL*"BYw!(Mk"</f>
        <v>#VALUE!</v>
      </c>
      <c r="HL168" t="e">
        <f>'2.5.Трудоемкость'!QM:QM*"BYw!(Ml"</f>
        <v>#VALUE!</v>
      </c>
      <c r="HM168" t="e">
        <f>'2.5.Трудоемкость'!QN:QN*"BYw!(Mm"</f>
        <v>#VALUE!</v>
      </c>
      <c r="HN168" t="e">
        <f>'2.5.Трудоемкость'!QO:QO*"BYw!(Mn"</f>
        <v>#VALUE!</v>
      </c>
      <c r="HO168" t="e">
        <f>'2.5.Трудоемкость'!QP:QP*"BYw!(Mo"</f>
        <v>#VALUE!</v>
      </c>
      <c r="HP168" t="e">
        <f>'2.5.Трудоемкость'!QQ:QQ*"BYw!(Mp"</f>
        <v>#VALUE!</v>
      </c>
      <c r="HQ168" t="e">
        <f>'2.5.Трудоемкость'!QR:QR*"BYw!(Mq"</f>
        <v>#VALUE!</v>
      </c>
      <c r="HR168" t="e">
        <f>'2.5.Трудоемкость'!QS:QS*"BYw!(Mr"</f>
        <v>#VALUE!</v>
      </c>
      <c r="HS168" t="e">
        <f>'2.5.Трудоемкость'!QT:QT*"BYw!(Ms"</f>
        <v>#VALUE!</v>
      </c>
      <c r="HT168" t="e">
        <f>'2.5.Трудоемкость'!QU:QU*"BYw!(Mt"</f>
        <v>#VALUE!</v>
      </c>
      <c r="HU168" t="e">
        <f>'2.5.Трудоемкость'!QV:QV*"BYw!(Mu"</f>
        <v>#VALUE!</v>
      </c>
      <c r="HV168" t="e">
        <f>'2.5.Трудоемкость'!QW:QW*"BYw!(Mv"</f>
        <v>#VALUE!</v>
      </c>
      <c r="HW168" t="e">
        <f>'2.5.Трудоемкость'!QX:QX*"BYw!(Mw"</f>
        <v>#VALUE!</v>
      </c>
      <c r="HX168" t="e">
        <f>'2.5.Трудоемкость'!QY:QY*"BYw!(Mx"</f>
        <v>#VALUE!</v>
      </c>
      <c r="HY168" t="e">
        <f>'2.5.Трудоемкость'!QZ:QZ*"BYw!(My"</f>
        <v>#VALUE!</v>
      </c>
      <c r="HZ168" t="e">
        <f>'2.5.Трудоемкость'!RA:RA*"BYw!(Mz"</f>
        <v>#VALUE!</v>
      </c>
      <c r="IA168" t="e">
        <f>'2.5.Трудоемкость'!RB:RB*"BYw!(M{"</f>
        <v>#VALUE!</v>
      </c>
      <c r="IB168" t="e">
        <f>'2.5.Трудоемкость'!RC:RC*"BYw!(M|"</f>
        <v>#VALUE!</v>
      </c>
      <c r="IC168" t="e">
        <f>'2.5.Трудоемкость'!RD:RD*"BYw!(M}"</f>
        <v>#VALUE!</v>
      </c>
      <c r="ID168" t="e">
        <f>'2.5.Трудоемкость'!RE:RE*"BYw!(M~"</f>
        <v>#VALUE!</v>
      </c>
      <c r="IE168" t="e">
        <f>'2.5.Трудоемкость'!RF:RF*"BYw!(N#"</f>
        <v>#VALUE!</v>
      </c>
      <c r="IF168" t="e">
        <f>'2.5.Трудоемкость'!RG:RG*"BYw!(N$"</f>
        <v>#VALUE!</v>
      </c>
      <c r="IG168" t="e">
        <f>'2.5.Трудоемкость'!RH:RH*"BYw!(N%"</f>
        <v>#VALUE!</v>
      </c>
      <c r="IH168" t="e">
        <f>'2.5.Трудоемкость'!RI:RI*"BYw!(N&amp;"</f>
        <v>#VALUE!</v>
      </c>
      <c r="II168" t="e">
        <f>'2.5.Трудоемкость'!RJ:RJ*"BYw!(N'"</f>
        <v>#VALUE!</v>
      </c>
      <c r="IJ168" t="e">
        <f>'2.5.Трудоемкость'!RK:RK*"BYw!(N("</f>
        <v>#VALUE!</v>
      </c>
      <c r="IK168" t="e">
        <f>'2.5.Трудоемкость'!RL:RL*"BYw!(N)"</f>
        <v>#VALUE!</v>
      </c>
      <c r="IL168" t="e">
        <f>'2.5.Трудоемкость'!RM:RM*"BYw!(N."</f>
        <v>#VALUE!</v>
      </c>
      <c r="IM168" t="e">
        <f>'2.5.Трудоемкость'!RN:RN*"BYw!(N/"</f>
        <v>#VALUE!</v>
      </c>
      <c r="IN168" t="e">
        <f>'2.5.Трудоемкость'!RO:RO*"BYw!(N0"</f>
        <v>#VALUE!</v>
      </c>
      <c r="IO168" t="e">
        <f>'2.5.Трудоемкость'!RP:RP*"BYw!(N1"</f>
        <v>#VALUE!</v>
      </c>
      <c r="IP168" t="e">
        <f>'2.5.Трудоемкость'!RQ:RQ*"BYw!(N2"</f>
        <v>#VALUE!</v>
      </c>
      <c r="IQ168" t="e">
        <f>'2.5.Трудоемкость'!RR:RR*"BYw!(N3"</f>
        <v>#VALUE!</v>
      </c>
      <c r="IR168" t="e">
        <f>'2.5.Трудоемкость'!RS:RS*"BYw!(N4"</f>
        <v>#VALUE!</v>
      </c>
      <c r="IS168" t="e">
        <f>'2.5.Трудоемкость'!RT:RT*"BYw!(N5"</f>
        <v>#VALUE!</v>
      </c>
      <c r="IT168" t="e">
        <f>'2.5.Трудоемкость'!RU:RU*"BYw!(N6"</f>
        <v>#VALUE!</v>
      </c>
      <c r="IU168" t="e">
        <f>'2.5.Трудоемкость'!RV:RV*"BYw!(N7"</f>
        <v>#VALUE!</v>
      </c>
      <c r="IV168" t="e">
        <f>'2.5.Трудоемкость'!RW:RW*"BYw!(N8"</f>
        <v>#VALUE!</v>
      </c>
    </row>
    <row r="169" spans="6:256" x14ac:dyDescent="0.2">
      <c r="F169" t="e">
        <f>'2.5.Трудоемкость'!RX:RX*"BYw!(N9"</f>
        <v>#VALUE!</v>
      </c>
      <c r="G169" t="e">
        <f>'2.5.Трудоемкость'!RY:RY*"BYw!(N:"</f>
        <v>#VALUE!</v>
      </c>
      <c r="H169" t="e">
        <f>'2.5.Трудоемкость'!RZ:RZ*"BYw!(N;"</f>
        <v>#VALUE!</v>
      </c>
      <c r="I169" t="e">
        <f>'2.5.Трудоемкость'!SA:SA*"BYw!(N&lt;"</f>
        <v>#VALUE!</v>
      </c>
      <c r="J169" t="e">
        <f>'2.5.Трудоемкость'!SB:SB*"BYw!(N="</f>
        <v>#VALUE!</v>
      </c>
      <c r="K169" t="e">
        <f>'2.5.Трудоемкость'!SC:SC*"BYw!(N&gt;"</f>
        <v>#VALUE!</v>
      </c>
      <c r="L169" t="e">
        <f>'2.5.Трудоемкость'!SD:SD*"BYw!(N?"</f>
        <v>#VALUE!</v>
      </c>
      <c r="M169" t="e">
        <f>'2.5.Трудоемкость'!SE:SE*"BYw!(N@"</f>
        <v>#VALUE!</v>
      </c>
      <c r="N169" t="e">
        <f>'2.5.Трудоемкость'!SF:SF*"BYw!(NA"</f>
        <v>#VALUE!</v>
      </c>
      <c r="O169" t="e">
        <f>'2.5.Трудоемкость'!SG:SG*"BYw!(NB"</f>
        <v>#VALUE!</v>
      </c>
      <c r="P169" t="e">
        <f>'2.5.Трудоемкость'!SH:SH*"BYw!(NC"</f>
        <v>#VALUE!</v>
      </c>
      <c r="Q169" t="e">
        <f>'2.5.Трудоемкость'!SI:SI*"BYw!(ND"</f>
        <v>#VALUE!</v>
      </c>
      <c r="R169" t="e">
        <f>'2.5.Трудоемкость'!SJ:SJ*"BYw!(NE"</f>
        <v>#VALUE!</v>
      </c>
      <c r="S169" t="e">
        <f>'2.5.Трудоемкость'!SK:SK*"BYw!(NF"</f>
        <v>#VALUE!</v>
      </c>
      <c r="T169" t="e">
        <f>'2.5.Трудоемкость'!SL:SL*"BYw!(NG"</f>
        <v>#VALUE!</v>
      </c>
      <c r="U169" t="e">
        <f>'2.5.Трудоемкость'!SM:SM*"BYw!(NH"</f>
        <v>#VALUE!</v>
      </c>
      <c r="V169" t="e">
        <f>'2.5.Трудоемкость'!SN:SN*"BYw!(NI"</f>
        <v>#VALUE!</v>
      </c>
      <c r="W169" t="e">
        <f>'2.5.Трудоемкость'!SO:SO*"BYw!(NJ"</f>
        <v>#VALUE!</v>
      </c>
      <c r="X169" t="e">
        <f>'2.5.Трудоемкость'!SP:SP*"BYw!(NK"</f>
        <v>#VALUE!</v>
      </c>
      <c r="Y169" t="e">
        <f>'2.5.Трудоемкость'!SQ:SQ*"BYw!(NL"</f>
        <v>#VALUE!</v>
      </c>
      <c r="Z169" t="e">
        <f>'2.5.Трудоемкость'!SR:SR*"BYw!(NM"</f>
        <v>#VALUE!</v>
      </c>
      <c r="AA169" t="e">
        <f>'2.5.Трудоемкость'!SS:SS*"BYw!(NN"</f>
        <v>#VALUE!</v>
      </c>
      <c r="AB169" t="e">
        <f>'2.5.Трудоемкость'!ST:ST*"BYw!(NO"</f>
        <v>#VALUE!</v>
      </c>
      <c r="AC169" t="e">
        <f>'2.5.Трудоемкость'!SU:SU*"BYw!(NP"</f>
        <v>#VALUE!</v>
      </c>
      <c r="AD169" t="e">
        <f>'2.5.Трудоемкость'!SV:SV*"BYw!(NQ"</f>
        <v>#VALUE!</v>
      </c>
      <c r="AE169" t="e">
        <f>'2.5.Трудоемкость'!SW:SW*"BYw!(NR"</f>
        <v>#VALUE!</v>
      </c>
      <c r="AF169" t="e">
        <f>'2.5.Трудоемкость'!SX:SX*"BYw!(NS"</f>
        <v>#VALUE!</v>
      </c>
      <c r="AG169" t="e">
        <f>'2.5.Трудоемкость'!SY:SY*"BYw!(NT"</f>
        <v>#VALUE!</v>
      </c>
      <c r="AH169" t="e">
        <f>'2.5.Трудоемкость'!SZ:SZ*"BYw!(NU"</f>
        <v>#VALUE!</v>
      </c>
      <c r="AI169" t="e">
        <f>'2.5.Трудоемкость'!TA:TA*"BYw!(NV"</f>
        <v>#VALUE!</v>
      </c>
      <c r="AJ169" t="e">
        <f>'2.5.Трудоемкость'!TB:TB*"BYw!(NW"</f>
        <v>#VALUE!</v>
      </c>
      <c r="AK169" t="e">
        <f>'2.5.Трудоемкость'!TC:TC*"BYw!(NX"</f>
        <v>#VALUE!</v>
      </c>
      <c r="AL169" t="e">
        <f>'2.5.Трудоемкость'!TD:TD*"BYw!(NY"</f>
        <v>#VALUE!</v>
      </c>
      <c r="AM169" t="e">
        <f>'2.5.Трудоемкость'!TE:TE*"BYw!(NZ"</f>
        <v>#VALUE!</v>
      </c>
      <c r="AN169" t="e">
        <f>'2.5.Трудоемкость'!TF:TF*"BYw!(N["</f>
        <v>#VALUE!</v>
      </c>
      <c r="AO169" t="e">
        <f>'2.5.Трудоемкость'!TG:TG*"BYw!(N\"</f>
        <v>#VALUE!</v>
      </c>
      <c r="AP169" t="e">
        <f>'2.5.Трудоемкость'!TH:TH*"BYw!(N]"</f>
        <v>#VALUE!</v>
      </c>
      <c r="AQ169" t="e">
        <f>'2.5.Трудоемкость'!TI:TI*"BYw!(N^"</f>
        <v>#VALUE!</v>
      </c>
      <c r="AR169" t="e">
        <f>'2.5.Трудоемкость'!TJ:TJ*"BYw!(N_"</f>
        <v>#VALUE!</v>
      </c>
      <c r="AS169" t="e">
        <f>'2.5.Трудоемкость'!TK:TK*"BYw!(N`"</f>
        <v>#VALUE!</v>
      </c>
      <c r="AT169" t="e">
        <f>'2.5.Трудоемкость'!TL:TL*"BYw!(Na"</f>
        <v>#VALUE!</v>
      </c>
      <c r="AU169" t="e">
        <f>'2.5.Трудоемкость'!TM:TM*"BYw!(Nb"</f>
        <v>#VALUE!</v>
      </c>
      <c r="AV169" t="e">
        <f>'2.5.Трудоемкость'!TN:TN*"BYw!(Nc"</f>
        <v>#VALUE!</v>
      </c>
      <c r="AW169" t="e">
        <f>'2.5.Трудоемкость'!TO:TO*"BYw!(Nd"</f>
        <v>#VALUE!</v>
      </c>
      <c r="AX169" t="e">
        <f>'2.5.Трудоемкость'!TP:TP*"BYw!(Ne"</f>
        <v>#VALUE!</v>
      </c>
      <c r="AY169" t="e">
        <f>'2.5.Трудоемкость'!TQ:TQ*"BYw!(Nf"</f>
        <v>#VALUE!</v>
      </c>
      <c r="AZ169" t="e">
        <f>'2.5.Трудоемкость'!TR:TR*"BYw!(Ng"</f>
        <v>#VALUE!</v>
      </c>
      <c r="BA169" t="e">
        <f>'2.5.Трудоемкость'!TS:TS*"BYw!(Nh"</f>
        <v>#VALUE!</v>
      </c>
      <c r="BB169" t="e">
        <f>'2.5.Трудоемкость'!TT:TT*"BYw!(Ni"</f>
        <v>#VALUE!</v>
      </c>
      <c r="BC169" t="e">
        <f>'2.5.Трудоемкость'!TU:TU*"BYw!(Nj"</f>
        <v>#VALUE!</v>
      </c>
      <c r="BD169" t="e">
        <f>'2.5.Трудоемкость'!TV:TV*"BYw!(Nk"</f>
        <v>#VALUE!</v>
      </c>
      <c r="BE169" t="e">
        <f>'2.5.Трудоемкость'!TW:TW*"BYw!(Nl"</f>
        <v>#VALUE!</v>
      </c>
      <c r="BF169" t="e">
        <f>'2.5.Трудоемкость'!TX:TX*"BYw!(Nm"</f>
        <v>#VALUE!</v>
      </c>
      <c r="BG169" t="e">
        <f>'2.5.Трудоемкость'!TY:TY*"BYw!(Nn"</f>
        <v>#VALUE!</v>
      </c>
      <c r="BH169" t="e">
        <f>'2.5.Трудоемкость'!TZ:TZ*"BYw!(No"</f>
        <v>#VALUE!</v>
      </c>
      <c r="BI169" t="e">
        <f>'2.5.Трудоемкость'!UA:UA*"BYw!(Np"</f>
        <v>#VALUE!</v>
      </c>
      <c r="BJ169" t="e">
        <f>'2.5.Трудоемкость'!UB:UB*"BYw!(Nq"</f>
        <v>#VALUE!</v>
      </c>
      <c r="BK169" t="e">
        <f>'2.5.Трудоемкость'!UC:UC*"BYw!(Nr"</f>
        <v>#VALUE!</v>
      </c>
      <c r="BL169" t="e">
        <f>'2.5.Трудоемкость'!UD:UD*"BYw!(Ns"</f>
        <v>#VALUE!</v>
      </c>
      <c r="BM169" t="e">
        <f>'2.5.Трудоемкость'!UE:UE*"BYw!(Nt"</f>
        <v>#VALUE!</v>
      </c>
      <c r="BN169" t="e">
        <f>'2.5.Трудоемкость'!UF:UF*"BYw!(Nu"</f>
        <v>#VALUE!</v>
      </c>
      <c r="BO169" t="e">
        <f>'2.5.Трудоемкость'!UG:UG*"BYw!(Nv"</f>
        <v>#VALUE!</v>
      </c>
      <c r="BP169" t="e">
        <f>'2.5.Трудоемкость'!UH:UH*"BYw!(Nw"</f>
        <v>#VALUE!</v>
      </c>
      <c r="BQ169" t="e">
        <f>'2.5.Трудоемкость'!UI:UI*"BYw!(Nx"</f>
        <v>#VALUE!</v>
      </c>
      <c r="BR169" t="e">
        <f>'2.5.Трудоемкость'!UJ:UJ*"BYw!(Ny"</f>
        <v>#VALUE!</v>
      </c>
      <c r="BS169" t="e">
        <f>'2.5.Трудоемкость'!UK:UK*"BYw!(Nz"</f>
        <v>#VALUE!</v>
      </c>
      <c r="BT169" t="e">
        <f>'2.5.Трудоемкость'!UL:UL*"BYw!(N{"</f>
        <v>#VALUE!</v>
      </c>
      <c r="BU169" t="e">
        <f>'2.5.Трудоемкость'!UM:UM*"BYw!(N|"</f>
        <v>#VALUE!</v>
      </c>
      <c r="BV169" t="e">
        <f>'2.5.Трудоемкость'!UN:UN*"BYw!(N}"</f>
        <v>#VALUE!</v>
      </c>
      <c r="BW169" t="e">
        <f>'2.5.Трудоемкость'!UO:UO*"BYw!(N~"</f>
        <v>#VALUE!</v>
      </c>
      <c r="BX169" t="e">
        <f>'2.5.Трудоемкость'!UP:UP*"BYw!(O#"</f>
        <v>#VALUE!</v>
      </c>
      <c r="BY169" t="e">
        <f>'2.5.Трудоемкость'!UQ:UQ*"BYw!(O$"</f>
        <v>#VALUE!</v>
      </c>
      <c r="BZ169" t="e">
        <f>'2.5.Трудоемкость'!UR:UR*"BYw!(O%"</f>
        <v>#VALUE!</v>
      </c>
      <c r="CA169" t="e">
        <f>'2.5.Трудоемкость'!US:US*"BYw!(O&amp;"</f>
        <v>#VALUE!</v>
      </c>
      <c r="CB169" t="e">
        <f>'2.5.Трудоемкость'!UT:UT*"BYw!(O'"</f>
        <v>#VALUE!</v>
      </c>
      <c r="CC169" t="e">
        <f>'2.5.Трудоемкость'!UU:UU*"BYw!(O("</f>
        <v>#VALUE!</v>
      </c>
      <c r="CD169" t="e">
        <f>'2.5.Трудоемкость'!UV:UV*"BYw!(O)"</f>
        <v>#VALUE!</v>
      </c>
      <c r="CE169" t="e">
        <f>'2.5.Трудоемкость'!UW:UW*"BYw!(O."</f>
        <v>#VALUE!</v>
      </c>
      <c r="CF169" t="e">
        <f>'2.5.Трудоемкость'!UX:UX*"BYw!(O/"</f>
        <v>#VALUE!</v>
      </c>
      <c r="CG169" t="e">
        <f>'2.5.Трудоемкость'!UY:UY*"BYw!(O0"</f>
        <v>#VALUE!</v>
      </c>
      <c r="CH169" t="e">
        <f>'2.5.Трудоемкость'!UZ:UZ*"BYw!(O1"</f>
        <v>#VALUE!</v>
      </c>
      <c r="CI169" t="e">
        <f>'2.5.Трудоемкость'!VA:VA*"BYw!(O2"</f>
        <v>#VALUE!</v>
      </c>
      <c r="CJ169" t="e">
        <f>'2.5.Трудоемкость'!VB:VB*"BYw!(O3"</f>
        <v>#VALUE!</v>
      </c>
      <c r="CK169" t="e">
        <f>'2.5.Трудоемкость'!VC:VC*"BYw!(O4"</f>
        <v>#VALUE!</v>
      </c>
      <c r="CL169" t="e">
        <f>'2.5.Трудоемкость'!VD:VD*"BYw!(O5"</f>
        <v>#VALUE!</v>
      </c>
      <c r="CM169" t="e">
        <f>'2.5.Трудоемкость'!VE:VE*"BYw!(O6"</f>
        <v>#VALUE!</v>
      </c>
      <c r="CN169" t="e">
        <f>'2.5.Трудоемкость'!VF:VF*"BYw!(O7"</f>
        <v>#VALUE!</v>
      </c>
      <c r="CO169" t="e">
        <f>'2.5.Трудоемкость'!VG:VG*"BYw!(O8"</f>
        <v>#VALUE!</v>
      </c>
      <c r="CP169" t="e">
        <f>'2.5.Трудоемкость'!VH:VH*"BYw!(O9"</f>
        <v>#VALUE!</v>
      </c>
      <c r="CQ169" t="e">
        <f>'2.5.Трудоемкость'!VI:VI*"BYw!(O:"</f>
        <v>#VALUE!</v>
      </c>
      <c r="CR169" t="e">
        <f>'2.5.Трудоемкость'!VJ:VJ*"BYw!(O;"</f>
        <v>#VALUE!</v>
      </c>
      <c r="CS169" t="e">
        <f>'2.5.Трудоемкость'!VK:VK*"BYw!(O&lt;"</f>
        <v>#VALUE!</v>
      </c>
      <c r="CT169" t="e">
        <f>'2.5.Трудоемкость'!VL:VL*"BYw!(O="</f>
        <v>#VALUE!</v>
      </c>
      <c r="CU169" t="e">
        <f>'2.5.Трудоемкость'!VM:VM*"BYw!(O&gt;"</f>
        <v>#VALUE!</v>
      </c>
      <c r="CV169" t="e">
        <f>'2.5.Трудоемкость'!VN:VN*"BYw!(O?"</f>
        <v>#VALUE!</v>
      </c>
      <c r="CW169" t="e">
        <f>'2.5.Трудоемкость'!VO:VO*"BYw!(O@"</f>
        <v>#VALUE!</v>
      </c>
      <c r="CX169" t="e">
        <f>'2.5.Трудоемкость'!VP:VP*"BYw!(OA"</f>
        <v>#VALUE!</v>
      </c>
      <c r="CY169" t="e">
        <f>'2.5.Трудоемкость'!VQ:VQ*"BYw!(OB"</f>
        <v>#VALUE!</v>
      </c>
      <c r="CZ169" t="e">
        <f>'2.5.Трудоемкость'!VR:VR*"BYw!(OC"</f>
        <v>#VALUE!</v>
      </c>
      <c r="DA169" t="e">
        <f>'2.5.Трудоемкость'!VS:VS*"BYw!(OD"</f>
        <v>#VALUE!</v>
      </c>
      <c r="DB169" t="e">
        <f>'2.5.Трудоемкость'!VT:VT*"BYw!(OE"</f>
        <v>#VALUE!</v>
      </c>
      <c r="DC169" t="e">
        <f>'2.5.Трудоемкость'!VU:VU*"BYw!(OF"</f>
        <v>#VALUE!</v>
      </c>
      <c r="DD169" t="e">
        <f>'2.5.Трудоемкость'!VV:VV*"BYw!(OG"</f>
        <v>#VALUE!</v>
      </c>
      <c r="DE169" t="e">
        <f>'2.5.Трудоемкость'!VW:VW*"BYw!(OH"</f>
        <v>#VALUE!</v>
      </c>
      <c r="DF169" t="e">
        <f>'2.5.Трудоемкость'!VX:VX*"BYw!(OI"</f>
        <v>#VALUE!</v>
      </c>
      <c r="DG169" t="e">
        <f>'2.5.Трудоемкость'!VY:VY*"BYw!(OJ"</f>
        <v>#VALUE!</v>
      </c>
      <c r="DH169" t="e">
        <f>'2.5.Трудоемкость'!VZ:VZ*"BYw!(OK"</f>
        <v>#VALUE!</v>
      </c>
      <c r="DI169" t="e">
        <f>'2.5.Трудоемкость'!WA:WA*"BYw!(OL"</f>
        <v>#VALUE!</v>
      </c>
      <c r="DJ169" t="e">
        <f>'2.5.Трудоемкость'!WB:WB*"BYw!(OM"</f>
        <v>#VALUE!</v>
      </c>
      <c r="DK169" t="e">
        <f>'2.5.Трудоемкость'!WC:WC*"BYw!(ON"</f>
        <v>#VALUE!</v>
      </c>
      <c r="DL169" t="e">
        <f>'2.5.Трудоемкость'!WD:WD*"BYw!(OO"</f>
        <v>#VALUE!</v>
      </c>
      <c r="DM169" t="e">
        <f>'2.5.Трудоемкость'!WE:WE*"BYw!(OP"</f>
        <v>#VALUE!</v>
      </c>
      <c r="DN169" t="e">
        <f>'2.5.Трудоемкость'!WF:WF*"BYw!(OQ"</f>
        <v>#VALUE!</v>
      </c>
      <c r="DO169" t="e">
        <f>'2.5.Трудоемкость'!WG:WG*"BYw!(OR"</f>
        <v>#VALUE!</v>
      </c>
      <c r="DP169" t="e">
        <f>'2.5.Трудоемкость'!WH:WH*"BYw!(OS"</f>
        <v>#VALUE!</v>
      </c>
      <c r="DQ169" t="e">
        <f>'2.5.Трудоемкость'!WI:WI*"BYw!(OT"</f>
        <v>#VALUE!</v>
      </c>
      <c r="DR169" t="e">
        <f>'2.5.Трудоемкость'!WJ:WJ*"BYw!(OU"</f>
        <v>#VALUE!</v>
      </c>
      <c r="DS169" t="e">
        <f>'2.5.Трудоемкость'!WK:WK*"BYw!(OV"</f>
        <v>#VALUE!</v>
      </c>
      <c r="DT169" t="e">
        <f>'2.5.Трудоемкость'!WL:WL*"BYw!(OW"</f>
        <v>#VALUE!</v>
      </c>
      <c r="DU169" t="e">
        <f>'2.5.Трудоемкость'!WM:WM*"BYw!(OX"</f>
        <v>#VALUE!</v>
      </c>
      <c r="DV169" t="e">
        <f>'2.5.Трудоемкость'!WN:WN*"BYw!(OY"</f>
        <v>#VALUE!</v>
      </c>
      <c r="DW169" t="e">
        <f>'2.5.Трудоемкость'!WO:WO*"BYw!(OZ"</f>
        <v>#VALUE!</v>
      </c>
      <c r="DX169" t="e">
        <f>'2.5.Трудоемкость'!WP:WP*"BYw!(O["</f>
        <v>#VALUE!</v>
      </c>
      <c r="DY169" t="e">
        <f>'2.5.Трудоемкость'!WQ:WQ*"BYw!(O\"</f>
        <v>#VALUE!</v>
      </c>
      <c r="DZ169" t="e">
        <f>'2.5.Трудоемкость'!WR:WR*"BYw!(O]"</f>
        <v>#VALUE!</v>
      </c>
      <c r="EA169" t="e">
        <f>'2.5.Трудоемкость'!WS:WS*"BYw!(O^"</f>
        <v>#VALUE!</v>
      </c>
      <c r="EB169" t="e">
        <f>'2.5.Трудоемкость'!WT:WT*"BYw!(O_"</f>
        <v>#VALUE!</v>
      </c>
      <c r="EC169" t="e">
        <f>'2.5.Трудоемкость'!WU:WU*"BYw!(O`"</f>
        <v>#VALUE!</v>
      </c>
      <c r="ED169" t="e">
        <f>'2.5.Трудоемкость'!WV:WV*"BYw!(Oa"</f>
        <v>#VALUE!</v>
      </c>
      <c r="EE169" t="e">
        <f>'2.5.Трудоемкость'!WW:WW*"BYw!(Ob"</f>
        <v>#VALUE!</v>
      </c>
      <c r="EF169" t="e">
        <f>'2.5.Трудоемкость'!WX:WX*"BYw!(Oc"</f>
        <v>#VALUE!</v>
      </c>
      <c r="EG169" t="e">
        <f>'2.5.Трудоемкость'!WY:WY*"BYw!(Od"</f>
        <v>#VALUE!</v>
      </c>
      <c r="EH169" t="e">
        <f>'2.5.Трудоемкость'!WZ:WZ*"BYw!(Oe"</f>
        <v>#VALUE!</v>
      </c>
      <c r="EI169" t="e">
        <f>'2.5.Трудоемкость'!XA:XA*"BYw!(Of"</f>
        <v>#VALUE!</v>
      </c>
      <c r="EJ169" t="e">
        <f>'2.5.Трудоемкость'!XB:XB*"BYw!(Og"</f>
        <v>#VALUE!</v>
      </c>
      <c r="EK169" t="e">
        <f>'2.5.Трудоемкость'!XC:XC*"BYw!(Oh"</f>
        <v>#VALUE!</v>
      </c>
      <c r="EL169" t="e">
        <f>'2.5.Трудоемкость'!XD:XD*"BYw!(Oi"</f>
        <v>#VALUE!</v>
      </c>
      <c r="EM169" t="e">
        <f>'2.5.Трудоемкость'!XE:XE*"BYw!(Oj"</f>
        <v>#VALUE!</v>
      </c>
      <c r="EN169" t="e">
        <f>'2.5.Трудоемкость'!XF:XF*"BYw!(Ok"</f>
        <v>#VALUE!</v>
      </c>
      <c r="EO169" t="e">
        <f>'2.5.Трудоемкость'!XG:XG*"BYw!(Ol"</f>
        <v>#VALUE!</v>
      </c>
      <c r="EP169" t="e">
        <f>'2.5.Трудоемкость'!XH:XH*"BYw!(Om"</f>
        <v>#VALUE!</v>
      </c>
      <c r="EQ169" t="e">
        <f>'2.5.Трудоемкость'!XI:XI*"BYw!(On"</f>
        <v>#VALUE!</v>
      </c>
      <c r="ER169" t="e">
        <f>'2.5.Трудоемкость'!XJ:XJ*"BYw!(Oo"</f>
        <v>#VALUE!</v>
      </c>
      <c r="ES169" t="e">
        <f>'2.5.Трудоемкость'!XK:XK*"BYw!(Op"</f>
        <v>#VALUE!</v>
      </c>
      <c r="ET169" t="e">
        <f>'2.5.Трудоемкость'!XL:XL*"BYw!(Oq"</f>
        <v>#VALUE!</v>
      </c>
      <c r="EU169" t="e">
        <f>'2.5.Трудоемкость'!XM:XM*"BYw!(Or"</f>
        <v>#VALUE!</v>
      </c>
      <c r="EV169" t="e">
        <f>'2.5.Трудоемкость'!XN:XN*"BYw!(Os"</f>
        <v>#VALUE!</v>
      </c>
      <c r="EW169" t="e">
        <f>'2.5.Трудоемкость'!XO:XO*"BYw!(Ot"</f>
        <v>#VALUE!</v>
      </c>
      <c r="EX169" t="e">
        <f>'2.5.Трудоемкость'!XP:XP*"BYw!(Ou"</f>
        <v>#VALUE!</v>
      </c>
      <c r="EY169" t="e">
        <f>'2.5.Трудоемкость'!XQ:XQ*"BYw!(Ov"</f>
        <v>#VALUE!</v>
      </c>
      <c r="EZ169" t="e">
        <f>'2.5.Трудоемкость'!XR:XR*"BYw!(Ow"</f>
        <v>#VALUE!</v>
      </c>
      <c r="FA169" t="e">
        <f>'2.5.Трудоемкость'!XS:XS*"BYw!(Ox"</f>
        <v>#VALUE!</v>
      </c>
      <c r="FB169" t="e">
        <f>'2.5.Трудоемкость'!XT:XT*"BYw!(Oy"</f>
        <v>#VALUE!</v>
      </c>
      <c r="FC169" t="e">
        <f>'2.5.Трудоемкость'!XU:XU*"BYw!(Oz"</f>
        <v>#VALUE!</v>
      </c>
      <c r="FD169" t="e">
        <f>'2.5.Трудоемкость'!XV:XV*"BYw!(O{"</f>
        <v>#VALUE!</v>
      </c>
      <c r="FE169" t="e">
        <f>'2.5.Трудоемкость'!XW:XW*"BYw!(O|"</f>
        <v>#VALUE!</v>
      </c>
      <c r="FF169" t="e">
        <f>'2.5.Трудоемкость'!XX:XX*"BYw!(O}"</f>
        <v>#VALUE!</v>
      </c>
      <c r="FG169" t="e">
        <f>'2.5.Трудоемкость'!XY:XY*"BYw!(O~"</f>
        <v>#VALUE!</v>
      </c>
      <c r="FH169" t="e">
        <f>'2.5.Трудоемкость'!XZ:XZ*"BYw!(P#"</f>
        <v>#VALUE!</v>
      </c>
      <c r="FI169" t="e">
        <f>'2.5.Трудоемкость'!YA:YA*"BYw!(P$"</f>
        <v>#VALUE!</v>
      </c>
      <c r="FJ169" t="e">
        <f>'2.5.Трудоемкость'!YB:YB*"BYw!(P%"</f>
        <v>#VALUE!</v>
      </c>
      <c r="FK169" t="e">
        <f>'2.5.Трудоемкость'!YC:YC*"BYw!(P&amp;"</f>
        <v>#VALUE!</v>
      </c>
      <c r="FL169" t="e">
        <f>'2.5.Трудоемкость'!YD:YD*"BYw!(P'"</f>
        <v>#VALUE!</v>
      </c>
      <c r="FM169" t="e">
        <f>'2.5.Трудоемкость'!YE:YE*"BYw!(P("</f>
        <v>#VALUE!</v>
      </c>
      <c r="FN169" t="e">
        <f>'2.5.Трудоемкость'!YF:YF*"BYw!(P)"</f>
        <v>#VALUE!</v>
      </c>
      <c r="FO169" t="e">
        <f>'2.5.Трудоемкость'!YG:YG*"BYw!(P."</f>
        <v>#VALUE!</v>
      </c>
      <c r="FP169" t="e">
        <f>'2.5.Трудоемкость'!YH:YH*"BYw!(P/"</f>
        <v>#VALUE!</v>
      </c>
      <c r="FQ169" t="e">
        <f>'2.5.Трудоемкость'!YI:YI*"BYw!(P0"</f>
        <v>#VALUE!</v>
      </c>
      <c r="FR169" t="e">
        <f>'2.5.Трудоемкость'!YJ:YJ*"BYw!(P1"</f>
        <v>#VALUE!</v>
      </c>
      <c r="FS169" t="e">
        <f>'2.5.Трудоемкость'!YK:YK*"BYw!(P2"</f>
        <v>#VALUE!</v>
      </c>
      <c r="FT169" t="e">
        <f>'2.5.Трудоемкость'!YL:YL*"BYw!(P3"</f>
        <v>#VALUE!</v>
      </c>
      <c r="FU169" t="e">
        <f>'2.5.Трудоемкость'!YM:YM*"BYw!(P4"</f>
        <v>#VALUE!</v>
      </c>
      <c r="FV169" t="e">
        <f>'2.5.Трудоемкость'!YN:YN*"BYw!(P5"</f>
        <v>#VALUE!</v>
      </c>
      <c r="FW169" t="e">
        <f>'2.5.Трудоемкость'!YO:YO*"BYw!(P6"</f>
        <v>#VALUE!</v>
      </c>
      <c r="FX169" t="e">
        <f>'2.5.Трудоемкость'!YP:YP*"BYw!(P7"</f>
        <v>#VALUE!</v>
      </c>
      <c r="FY169" t="e">
        <f>'2.5.Трудоемкость'!YQ:YQ*"BYw!(P8"</f>
        <v>#VALUE!</v>
      </c>
      <c r="FZ169" t="e">
        <f>'2.5.Трудоемкость'!YR:YR*"BYw!(P9"</f>
        <v>#VALUE!</v>
      </c>
      <c r="GA169" t="e">
        <f>'2.5.Трудоемкость'!YS:YS*"BYw!(P:"</f>
        <v>#VALUE!</v>
      </c>
      <c r="GB169" t="e">
        <f>'2.5.Трудоемкость'!YT:YT*"BYw!(P;"</f>
        <v>#VALUE!</v>
      </c>
      <c r="GC169" t="e">
        <f>'2.5.Трудоемкость'!YU:YU*"BYw!(P&lt;"</f>
        <v>#VALUE!</v>
      </c>
      <c r="GD169" t="e">
        <f>'2.5.Трудоемкость'!YV:YV*"BYw!(P="</f>
        <v>#VALUE!</v>
      </c>
      <c r="GE169" t="e">
        <f>'2.5.Трудоемкость'!YW:YW*"BYw!(P&gt;"</f>
        <v>#VALUE!</v>
      </c>
      <c r="GF169" t="e">
        <f>'2.5.Трудоемкость'!YX:YX*"BYw!(P?"</f>
        <v>#VALUE!</v>
      </c>
      <c r="GG169" t="e">
        <f>'2.5.Трудоемкость'!YY:YY*"BYw!(P@"</f>
        <v>#VALUE!</v>
      </c>
      <c r="GH169" t="e">
        <f>'2.5.Трудоемкость'!YZ:YZ*"BYw!(PA"</f>
        <v>#VALUE!</v>
      </c>
      <c r="GI169" t="e">
        <f>'2.5.Трудоемкость'!ZA:ZA*"BYw!(PB"</f>
        <v>#VALUE!</v>
      </c>
      <c r="GJ169" t="e">
        <f>'2.5.Трудоемкость'!ZB:ZB*"BYw!(PC"</f>
        <v>#VALUE!</v>
      </c>
      <c r="GK169" t="e">
        <f>'2.5.Трудоемкость'!ZC:ZC*"BYw!(PD"</f>
        <v>#VALUE!</v>
      </c>
      <c r="GL169" t="e">
        <f>'2.5.Трудоемкость'!ZD:ZD*"BYw!(PE"</f>
        <v>#VALUE!</v>
      </c>
      <c r="GM169" t="e">
        <f>'2.5.Трудоемкость'!ZE:ZE*"BYw!(PF"</f>
        <v>#VALUE!</v>
      </c>
      <c r="GN169" t="e">
        <f>'2.5.Трудоемкость'!ZF:ZF*"BYw!(PG"</f>
        <v>#VALUE!</v>
      </c>
      <c r="GO169" t="e">
        <f>'2.5.Трудоемкость'!ZG:ZG*"BYw!(PH"</f>
        <v>#VALUE!</v>
      </c>
      <c r="GP169" t="e">
        <f>'2.5.Трудоемкость'!ZH:ZH*"BYw!(PI"</f>
        <v>#VALUE!</v>
      </c>
      <c r="GQ169" t="e">
        <f>'2.5.Трудоемкость'!ZI:ZI*"BYw!(PJ"</f>
        <v>#VALUE!</v>
      </c>
      <c r="GR169" t="e">
        <f>'2.5.Трудоемкость'!ZJ:ZJ*"BYw!(PK"</f>
        <v>#VALUE!</v>
      </c>
      <c r="GS169" t="e">
        <f>'2.5.Трудоемкость'!ZK:ZK*"BYw!(PL"</f>
        <v>#VALUE!</v>
      </c>
      <c r="GT169" t="e">
        <f>'2.5.Трудоемкость'!ZL:ZL*"BYw!(PM"</f>
        <v>#VALUE!</v>
      </c>
      <c r="GU169" t="e">
        <f>'2.5.Трудоемкость'!ZM:ZM*"BYw!(PN"</f>
        <v>#VALUE!</v>
      </c>
      <c r="GV169" t="e">
        <f>'2.5.Трудоемкость'!ZN:ZN*"BYw!(PO"</f>
        <v>#VALUE!</v>
      </c>
      <c r="GW169" t="e">
        <f>'2.5.Трудоемкость'!ZO:ZO*"BYw!(PP"</f>
        <v>#VALUE!</v>
      </c>
      <c r="GX169" t="e">
        <f>'2.5.Трудоемкость'!ZP:ZP*"BYw!(PQ"</f>
        <v>#VALUE!</v>
      </c>
      <c r="GY169" t="e">
        <f>'2.5.Трудоемкость'!ZQ:ZQ*"BYw!(PR"</f>
        <v>#VALUE!</v>
      </c>
      <c r="GZ169" t="e">
        <f>'2.5.Трудоемкость'!ZR:ZR*"BYw!(PS"</f>
        <v>#VALUE!</v>
      </c>
      <c r="HA169" t="e">
        <f>'2.5.Трудоемкость'!ZS:ZS*"BYw!(PT"</f>
        <v>#VALUE!</v>
      </c>
      <c r="HB169" t="e">
        <f>'2.5.Трудоемкость'!ZT:ZT*"BYw!(PU"</f>
        <v>#VALUE!</v>
      </c>
      <c r="HC169" t="e">
        <f>'2.5.Трудоемкость'!ZU:ZU*"BYw!(PV"</f>
        <v>#VALUE!</v>
      </c>
      <c r="HD169" t="e">
        <f>'2.5.Трудоемкость'!ZV:ZV*"BYw!(PW"</f>
        <v>#VALUE!</v>
      </c>
      <c r="HE169" t="e">
        <f>'2.5.Трудоемкость'!ZW:ZW*"BYw!(PX"</f>
        <v>#VALUE!</v>
      </c>
      <c r="HF169" t="e">
        <f>'2.5.Трудоемкость'!ZX:ZX*"BYw!(PY"</f>
        <v>#VALUE!</v>
      </c>
      <c r="HG169" t="e">
        <f>'2.5.Трудоемкость'!ZY:ZY*"BYw!(PZ"</f>
        <v>#VALUE!</v>
      </c>
      <c r="HH169" t="e">
        <f>'2.5.Трудоемкость'!ZZ:ZZ*"BYw!(P["</f>
        <v>#VALUE!</v>
      </c>
      <c r="HI169" t="e">
        <f>'2.5.Трудоемкость'!AAA:AAA*"BYw!(P\"</f>
        <v>#VALUE!</v>
      </c>
      <c r="HJ169" t="e">
        <f>'2.5.Трудоемкость'!AAB:AAB*"BYw!(P]"</f>
        <v>#VALUE!</v>
      </c>
      <c r="HK169" t="e">
        <f>'2.5.Трудоемкость'!AAC:AAC*"BYw!(P^"</f>
        <v>#VALUE!</v>
      </c>
      <c r="HL169" t="e">
        <f>'2.5.Трудоемкость'!AAD:AAD*"BYw!(P_"</f>
        <v>#VALUE!</v>
      </c>
      <c r="HM169" t="e">
        <f>'2.5.Трудоемкость'!AAE:AAE*"BYw!(P`"</f>
        <v>#VALUE!</v>
      </c>
      <c r="HN169" t="e">
        <f>'2.5.Трудоемкость'!AAF:AAF*"BYw!(Pa"</f>
        <v>#VALUE!</v>
      </c>
      <c r="HO169" t="e">
        <f>'2.5.Трудоемкость'!AAG:AAG*"BYw!(Pb"</f>
        <v>#VALUE!</v>
      </c>
      <c r="HP169" t="e">
        <f>'2.5.Трудоемкость'!AAH:AAH*"BYw!(Pc"</f>
        <v>#VALUE!</v>
      </c>
      <c r="HQ169" t="e">
        <f>'2.5.Трудоемкость'!AAI:AAI*"BYw!(Pd"</f>
        <v>#VALUE!</v>
      </c>
      <c r="HR169" t="e">
        <f>'2.5.Трудоемкость'!AAJ:AAJ*"BYw!(Pe"</f>
        <v>#VALUE!</v>
      </c>
      <c r="HS169" t="e">
        <f>'2.5.Трудоемкость'!AAK:AAK*"BYw!(Pf"</f>
        <v>#VALUE!</v>
      </c>
      <c r="HT169" t="e">
        <f>'2.5.Трудоемкость'!AAL:AAL*"BYw!(Pg"</f>
        <v>#VALUE!</v>
      </c>
      <c r="HU169" t="e">
        <f>'2.5.Трудоемкость'!AAM:AAM*"BYw!(Ph"</f>
        <v>#VALUE!</v>
      </c>
      <c r="HV169" t="e">
        <f>'2.5.Трудоемкость'!AAN:AAN*"BYw!(Pi"</f>
        <v>#VALUE!</v>
      </c>
      <c r="HW169" t="e">
        <f>'2.5.Трудоемкость'!AAO:AAO*"BYw!(Pj"</f>
        <v>#VALUE!</v>
      </c>
      <c r="HX169" t="e">
        <f>'2.5.Трудоемкость'!AAP:AAP*"BYw!(Pk"</f>
        <v>#VALUE!</v>
      </c>
      <c r="HY169" t="e">
        <f>'2.5.Трудоемкость'!AAQ:AAQ*"BYw!(Pl"</f>
        <v>#VALUE!</v>
      </c>
      <c r="HZ169" t="e">
        <f>'2.5.Трудоемкость'!AAR:AAR*"BYw!(Pm"</f>
        <v>#VALUE!</v>
      </c>
      <c r="IA169" t="e">
        <f>'2.5.Трудоемкость'!AAS:AAS*"BYw!(Pn"</f>
        <v>#VALUE!</v>
      </c>
      <c r="IB169" t="e">
        <f>'2.5.Трудоемкость'!AAT:AAT*"BYw!(Po"</f>
        <v>#VALUE!</v>
      </c>
      <c r="IC169" t="e">
        <f>'2.5.Трудоемкость'!AAU:AAU*"BYw!(Pp"</f>
        <v>#VALUE!</v>
      </c>
      <c r="ID169" t="e">
        <f>'2.5.Трудоемкость'!AAV:AAV*"BYw!(Pq"</f>
        <v>#VALUE!</v>
      </c>
      <c r="IE169" t="e">
        <f>'2.5.Трудоемкость'!AAW:AAW*"BYw!(Pr"</f>
        <v>#VALUE!</v>
      </c>
      <c r="IF169" t="e">
        <f>'2.5.Трудоемкость'!AAX:AAX*"BYw!(Ps"</f>
        <v>#VALUE!</v>
      </c>
      <c r="IG169" t="e">
        <f>'2.5.Трудоемкость'!AAY:AAY*"BYw!(Pt"</f>
        <v>#VALUE!</v>
      </c>
      <c r="IH169" t="e">
        <f>'2.5.Трудоемкость'!AAZ:AAZ*"BYw!(Pu"</f>
        <v>#VALUE!</v>
      </c>
      <c r="II169" t="e">
        <f>'2.5.Трудоемкость'!ABA:ABA*"BYw!(Pv"</f>
        <v>#VALUE!</v>
      </c>
      <c r="IJ169" t="e">
        <f>'2.5.Трудоемкость'!ABB:ABB*"BYw!(Pw"</f>
        <v>#VALUE!</v>
      </c>
      <c r="IK169" t="e">
        <f>'2.5.Трудоемкость'!ABC:ABC*"BYw!(Px"</f>
        <v>#VALUE!</v>
      </c>
      <c r="IL169" t="e">
        <f>'2.5.Трудоемкость'!ABD:ABD*"BYw!(Py"</f>
        <v>#VALUE!</v>
      </c>
      <c r="IM169" t="e">
        <f>'2.5.Трудоемкость'!ABE:ABE*"BYw!(Pz"</f>
        <v>#VALUE!</v>
      </c>
      <c r="IN169" t="e">
        <f>'2.5.Трудоемкость'!ABF:ABF*"BYw!(P{"</f>
        <v>#VALUE!</v>
      </c>
      <c r="IO169" t="e">
        <f>'2.5.Трудоемкость'!ABG:ABG*"BYw!(P|"</f>
        <v>#VALUE!</v>
      </c>
      <c r="IP169" t="e">
        <f>'2.5.Трудоемкость'!ABH:ABH*"BYw!(P}"</f>
        <v>#VALUE!</v>
      </c>
      <c r="IQ169" t="e">
        <f>'2.5.Трудоемкость'!ABI:ABI*"BYw!(P~"</f>
        <v>#VALUE!</v>
      </c>
      <c r="IR169" t="e">
        <f>'2.5.Трудоемкость'!ABJ:ABJ*"BYw!(Q#"</f>
        <v>#VALUE!</v>
      </c>
      <c r="IS169" t="e">
        <f>'2.5.Трудоемкость'!ABK:ABK*"BYw!(Q$"</f>
        <v>#VALUE!</v>
      </c>
      <c r="IT169" t="e">
        <f>'2.5.Трудоемкость'!ABL:ABL*"BYw!(Q%"</f>
        <v>#VALUE!</v>
      </c>
      <c r="IU169" t="e">
        <f>'2.5.Трудоемкость'!ABM:ABM*"BYw!(Q&amp;"</f>
        <v>#VALUE!</v>
      </c>
      <c r="IV169" t="e">
        <f>'2.5.Трудоемкость'!ABN:ABN*"BYw!(Q'"</f>
        <v>#VALUE!</v>
      </c>
    </row>
    <row r="170" spans="6:256" x14ac:dyDescent="0.2">
      <c r="F170" t="e">
        <f>'2.5.Трудоемкость'!ABO:ABO*"BYw!(Q("</f>
        <v>#VALUE!</v>
      </c>
      <c r="G170" t="e">
        <f>'2.5.Трудоемкость'!ABP:ABP*"BYw!(Q)"</f>
        <v>#VALUE!</v>
      </c>
      <c r="H170" t="e">
        <f>'2.5.Трудоемкость'!ABQ:ABQ*"BYw!(Q."</f>
        <v>#VALUE!</v>
      </c>
      <c r="I170" t="e">
        <f>'2.5.Трудоемкость'!ABR:ABR*"BYw!(Q/"</f>
        <v>#VALUE!</v>
      </c>
      <c r="J170" t="e">
        <f>'2.5.Трудоемкость'!ABS:ABS*"BYw!(Q0"</f>
        <v>#VALUE!</v>
      </c>
      <c r="K170" t="e">
        <f>'2.5.Трудоемкость'!ABT:ABT*"BYw!(Q1"</f>
        <v>#VALUE!</v>
      </c>
      <c r="L170" t="e">
        <f>'2.5.Трудоемкость'!ABU:ABU*"BYw!(Q2"</f>
        <v>#VALUE!</v>
      </c>
      <c r="M170" t="e">
        <f>'2.5.Трудоемкость'!ABV:ABV*"BYw!(Q3"</f>
        <v>#VALUE!</v>
      </c>
      <c r="N170" t="e">
        <f>'2.5.Трудоемкость'!ABW:ABW*"BYw!(Q4"</f>
        <v>#VALUE!</v>
      </c>
      <c r="O170" t="e">
        <f>'2.5.Трудоемкость'!ABX:ABX*"BYw!(Q5"</f>
        <v>#VALUE!</v>
      </c>
      <c r="P170" t="e">
        <f>'2.5.Трудоемкость'!ABY:ABY*"BYw!(Q6"</f>
        <v>#VALUE!</v>
      </c>
      <c r="Q170" t="e">
        <f>'2.5.Трудоемкость'!ABZ:ABZ*"BYw!(Q7"</f>
        <v>#VALUE!</v>
      </c>
      <c r="R170" t="e">
        <f>'2.5.Трудоемкость'!ACA:ACA*"BYw!(Q8"</f>
        <v>#VALUE!</v>
      </c>
      <c r="S170" t="e">
        <f>'2.5.Трудоемкость'!ACB:ACB*"BYw!(Q9"</f>
        <v>#VALUE!</v>
      </c>
      <c r="T170" t="e">
        <f>'2.5.Трудоемкость'!ACC:ACC*"BYw!(Q:"</f>
        <v>#VALUE!</v>
      </c>
      <c r="U170" t="e">
        <f>'2.5.Трудоемкость'!ACD:ACD*"BYw!(Q;"</f>
        <v>#VALUE!</v>
      </c>
      <c r="V170" t="e">
        <f>'2.5.Трудоемкость'!ACE:ACE*"BYw!(Q&lt;"</f>
        <v>#VALUE!</v>
      </c>
      <c r="W170" t="e">
        <f>'2.5.Трудоемкость'!ACF:ACF*"BYw!(Q="</f>
        <v>#VALUE!</v>
      </c>
      <c r="X170" t="e">
        <f>'2.5.Трудоемкость'!ACG:ACG*"BYw!(Q&gt;"</f>
        <v>#VALUE!</v>
      </c>
      <c r="Y170" t="e">
        <f>'2.5.Трудоемкость'!ACH:ACH*"BYw!(Q?"</f>
        <v>#VALUE!</v>
      </c>
      <c r="Z170" t="e">
        <f>'2.5.Трудоемкость'!ACI:ACI*"BYw!(Q@"</f>
        <v>#VALUE!</v>
      </c>
      <c r="AA170" t="e">
        <f>'2.5.Трудоемкость'!ACJ:ACJ*"BYw!(QA"</f>
        <v>#VALUE!</v>
      </c>
      <c r="AB170" t="e">
        <f>'2.5.Трудоемкость'!ACK:ACK*"BYw!(QB"</f>
        <v>#VALUE!</v>
      </c>
      <c r="AC170" t="e">
        <f>'2.5.Трудоемкость'!ACL:ACL*"BYw!(QC"</f>
        <v>#VALUE!</v>
      </c>
      <c r="AD170" t="e">
        <f>'2.5.Трудоемкость'!ACM:ACM*"BYw!(QD"</f>
        <v>#VALUE!</v>
      </c>
      <c r="AE170" t="e">
        <f>'2.5.Трудоемкость'!ACN:ACN*"BYw!(QE"</f>
        <v>#VALUE!</v>
      </c>
      <c r="AF170" t="e">
        <f>'2.5.Трудоемкость'!ACO:ACO*"BYw!(QF"</f>
        <v>#VALUE!</v>
      </c>
      <c r="AG170" t="e">
        <f>'2.5.Трудоемкость'!ACP:ACP*"BYw!(QG"</f>
        <v>#VALUE!</v>
      </c>
      <c r="AH170" t="e">
        <f>'2.5.Трудоемкость'!ACQ:ACQ*"BYw!(QH"</f>
        <v>#VALUE!</v>
      </c>
      <c r="AI170" t="e">
        <f>'2.5.Трудоемкость'!ACR:ACR*"BYw!(QI"</f>
        <v>#VALUE!</v>
      </c>
      <c r="AJ170" t="e">
        <f>'2.5.Трудоемкость'!ACS:ACS*"BYw!(QJ"</f>
        <v>#VALUE!</v>
      </c>
      <c r="AK170" t="e">
        <f>'2.5.Трудоемкость'!ACT:ACT*"BYw!(QK"</f>
        <v>#VALUE!</v>
      </c>
      <c r="AL170" t="e">
        <f>'2.5.Трудоемкость'!ACU:ACU*"BYw!(QL"</f>
        <v>#VALUE!</v>
      </c>
      <c r="AM170" t="e">
        <f>'2.5.Трудоемкость'!ACV:ACV*"BYw!(QM"</f>
        <v>#VALUE!</v>
      </c>
      <c r="AN170" t="e">
        <f>'2.5.Трудоемкость'!ACW:ACW*"BYw!(QN"</f>
        <v>#VALUE!</v>
      </c>
      <c r="AO170" t="e">
        <f>'2.5.Трудоемкость'!ACX:ACX*"BYw!(QO"</f>
        <v>#VALUE!</v>
      </c>
      <c r="AP170" t="e">
        <f>'2.5.Трудоемкость'!ACY:ACY*"BYw!(QP"</f>
        <v>#VALUE!</v>
      </c>
      <c r="AQ170" t="e">
        <f>'2.5.Трудоемкость'!ACZ:ACZ*"BYw!(QQ"</f>
        <v>#VALUE!</v>
      </c>
      <c r="AR170" t="e">
        <f>'2.5.Трудоемкость'!ADA:ADA*"BYw!(QR"</f>
        <v>#VALUE!</v>
      </c>
      <c r="AS170" t="e">
        <f>'2.5.Трудоемкость'!ADB:ADB*"BYw!(QS"</f>
        <v>#VALUE!</v>
      </c>
      <c r="AT170" t="e">
        <f>'2.5.Трудоемкость'!ADC:ADC*"BYw!(QT"</f>
        <v>#VALUE!</v>
      </c>
      <c r="AU170" t="e">
        <f>'2.5.Трудоемкость'!ADD:ADD*"BYw!(QU"</f>
        <v>#VALUE!</v>
      </c>
      <c r="AV170" t="e">
        <f>'2.5.Трудоемкость'!ADE:ADE*"BYw!(QV"</f>
        <v>#VALUE!</v>
      </c>
      <c r="AW170" t="e">
        <f>'2.5.Трудоемкость'!ADF:ADF*"BYw!(QW"</f>
        <v>#VALUE!</v>
      </c>
      <c r="AX170" t="e">
        <f>'2.5.Трудоемкость'!ADG:ADG*"BYw!(QX"</f>
        <v>#VALUE!</v>
      </c>
      <c r="AY170" t="e">
        <f>'2.5.Трудоемкость'!ADH:ADH*"BYw!(QY"</f>
        <v>#VALUE!</v>
      </c>
      <c r="AZ170" t="e">
        <f>'2.5.Трудоемкость'!ADI:ADI*"BYw!(QZ"</f>
        <v>#VALUE!</v>
      </c>
      <c r="BA170" t="e">
        <f>'2.5.Трудоемкость'!ADJ:ADJ*"BYw!(Q["</f>
        <v>#VALUE!</v>
      </c>
      <c r="BB170" t="e">
        <f>'2.5.Трудоемкость'!ADK:ADK*"BYw!(Q\"</f>
        <v>#VALUE!</v>
      </c>
      <c r="BC170" t="e">
        <f>'2.5.Трудоемкость'!ADL:ADL*"BYw!(Q]"</f>
        <v>#VALUE!</v>
      </c>
      <c r="BD170" t="e">
        <f>'2.5.Трудоемкость'!ADM:ADM*"BYw!(Q^"</f>
        <v>#VALUE!</v>
      </c>
      <c r="BE170" t="e">
        <f>'2.5.Трудоемкость'!ADN:ADN*"BYw!(Q_"</f>
        <v>#VALUE!</v>
      </c>
      <c r="BF170" t="e">
        <f>'2.5.Трудоемкость'!ADO:ADO*"BYw!(Q`"</f>
        <v>#VALUE!</v>
      </c>
      <c r="BG170" t="e">
        <f>'2.5.Трудоемкость'!ADP:ADP*"BYw!(Qa"</f>
        <v>#VALUE!</v>
      </c>
      <c r="BH170" t="e">
        <f>'2.5.Трудоемкость'!ADQ:ADQ*"BYw!(Qb"</f>
        <v>#VALUE!</v>
      </c>
      <c r="BI170" t="e">
        <f>'2.5.Трудоемкость'!ADR:ADR*"BYw!(Qc"</f>
        <v>#VALUE!</v>
      </c>
      <c r="BJ170" t="e">
        <f>'2.5.Трудоемкость'!ADS:ADS*"BYw!(Qd"</f>
        <v>#VALUE!</v>
      </c>
      <c r="BK170" t="e">
        <f>'2.5.Трудоемкость'!ADT:ADT*"BYw!(Qe"</f>
        <v>#VALUE!</v>
      </c>
      <c r="BL170" t="e">
        <f>'2.5.Трудоемкость'!ADU:ADU*"BYw!(Qf"</f>
        <v>#VALUE!</v>
      </c>
      <c r="BM170" t="e">
        <f>'2.5.Трудоемкость'!ADV:ADV*"BYw!(Qg"</f>
        <v>#VALUE!</v>
      </c>
      <c r="BN170" t="e">
        <f>'2.5.Трудоемкость'!ADW:ADW*"BYw!(Qh"</f>
        <v>#VALUE!</v>
      </c>
      <c r="BO170" t="e">
        <f>'2.5.Трудоемкость'!ADX:ADX*"BYw!(Qi"</f>
        <v>#VALUE!</v>
      </c>
      <c r="BP170" t="e">
        <f>'2.5.Трудоемкость'!ADY:ADY*"BYw!(Qj"</f>
        <v>#VALUE!</v>
      </c>
      <c r="BQ170" t="e">
        <f>'2.5.Трудоемкость'!ADZ:ADZ*"BYw!(Qk"</f>
        <v>#VALUE!</v>
      </c>
      <c r="BR170" t="e">
        <f>'2.5.Трудоемкость'!AEA:AEA*"BYw!(Ql"</f>
        <v>#VALUE!</v>
      </c>
      <c r="BS170" t="e">
        <f>'2.5.Трудоемкость'!AEB:AEB*"BYw!(Qm"</f>
        <v>#VALUE!</v>
      </c>
      <c r="BT170" t="e">
        <f>'2.5.Трудоемкость'!AEC:AEC*"BYw!(Qn"</f>
        <v>#VALUE!</v>
      </c>
      <c r="BU170" t="e">
        <f>'2.5.Трудоемкость'!AED:AED*"BYw!(Qo"</f>
        <v>#VALUE!</v>
      </c>
      <c r="BV170" t="e">
        <f>'2.5.Трудоемкость'!AEE:AEE*"BYw!(Qp"</f>
        <v>#VALUE!</v>
      </c>
      <c r="BW170" t="e">
        <f>'2.5.Трудоемкость'!AEF:AEF*"BYw!(Qq"</f>
        <v>#VALUE!</v>
      </c>
      <c r="BX170" t="e">
        <f>'2.5.Трудоемкость'!AEG:AEG*"BYw!(Qr"</f>
        <v>#VALUE!</v>
      </c>
      <c r="BY170" t="e">
        <f>'2.5.Трудоемкость'!AEH:AEH*"BYw!(Qs"</f>
        <v>#VALUE!</v>
      </c>
      <c r="BZ170" t="e">
        <f>'2.5.Трудоемкость'!AEI:AEI*"BYw!(Qt"</f>
        <v>#VALUE!</v>
      </c>
      <c r="CA170" t="e">
        <f>'2.5.Трудоемкость'!AEJ:AEJ*"BYw!(Qu"</f>
        <v>#VALUE!</v>
      </c>
      <c r="CB170" t="e">
        <f>'2.5.Трудоемкость'!AEK:AEK*"BYw!(Qv"</f>
        <v>#VALUE!</v>
      </c>
      <c r="CC170" t="e">
        <f>'2.5.Трудоемкость'!AEL:AEL*"BYw!(Qw"</f>
        <v>#VALUE!</v>
      </c>
      <c r="CD170" t="e">
        <f>'2.5.Трудоемкость'!AEM:AEM*"BYw!(Qx"</f>
        <v>#VALUE!</v>
      </c>
      <c r="CE170" t="e">
        <f>'2.5.Трудоемкость'!AEN:AEN*"BYw!(Qy"</f>
        <v>#VALUE!</v>
      </c>
      <c r="CF170" t="e">
        <f>'2.5.Трудоемкость'!AEO:AEO*"BYw!(Qz"</f>
        <v>#VALUE!</v>
      </c>
      <c r="CG170" t="e">
        <f>'2.5.Трудоемкость'!AEP:AEP*"BYw!(Q{"</f>
        <v>#VALUE!</v>
      </c>
      <c r="CH170" t="e">
        <f>'2.5.Трудоемкость'!AEQ:AEQ*"BYw!(Q|"</f>
        <v>#VALUE!</v>
      </c>
      <c r="CI170" t="e">
        <f>'2.5.Трудоемкость'!AER:AER*"BYw!(Q}"</f>
        <v>#VALUE!</v>
      </c>
      <c r="CJ170" t="e">
        <f>'2.5.Трудоемкость'!AES:AES*"BYw!(Q~"</f>
        <v>#VALUE!</v>
      </c>
      <c r="CK170" t="e">
        <f>'2.5.Трудоемкость'!AET:AET*"BYw!(R#"</f>
        <v>#VALUE!</v>
      </c>
      <c r="CL170" t="e">
        <f>'2.5.Трудоемкость'!AEU:AEU*"BYw!(R$"</f>
        <v>#VALUE!</v>
      </c>
      <c r="CM170" t="e">
        <f>'2.5.Трудоемкость'!AEV:AEV*"BYw!(R%"</f>
        <v>#VALUE!</v>
      </c>
      <c r="CN170" t="e">
        <f>'2.5.Трудоемкость'!AEW:AEW*"BYw!(R&amp;"</f>
        <v>#VALUE!</v>
      </c>
      <c r="CO170" t="e">
        <f>'2.5.Трудоемкость'!AEX:AEX*"BYw!(R'"</f>
        <v>#VALUE!</v>
      </c>
      <c r="CP170" t="e">
        <f>'2.5.Трудоемкость'!AEY:AEY*"BYw!(R("</f>
        <v>#VALUE!</v>
      </c>
      <c r="CQ170" t="e">
        <f>'2.5.Трудоемкость'!AEZ:AEZ*"BYw!(R)"</f>
        <v>#VALUE!</v>
      </c>
      <c r="CR170" t="e">
        <f>'2.5.Трудоемкость'!AFA:AFA*"BYw!(R."</f>
        <v>#VALUE!</v>
      </c>
      <c r="CS170" t="e">
        <f>'2.5.Трудоемкость'!AFB:AFB*"BYw!(R/"</f>
        <v>#VALUE!</v>
      </c>
      <c r="CT170" t="e">
        <f>'2.5.Трудоемкость'!AFC:AFC*"BYw!(R0"</f>
        <v>#VALUE!</v>
      </c>
      <c r="CU170" t="e">
        <f>'2.5.Трудоемкость'!AFD:AFD*"BYw!(R1"</f>
        <v>#VALUE!</v>
      </c>
      <c r="CV170" t="e">
        <f>'2.5.Трудоемкость'!AFE:AFE*"BYw!(R2"</f>
        <v>#VALUE!</v>
      </c>
      <c r="CW170" t="e">
        <f>'2.5.Трудоемкость'!AFF:AFF*"BYw!(R3"</f>
        <v>#VALUE!</v>
      </c>
      <c r="CX170" t="e">
        <f>'2.5.Трудоемкость'!AFG:AFG*"BYw!(R4"</f>
        <v>#VALUE!</v>
      </c>
      <c r="CY170" t="e">
        <f>'2.5.Трудоемкость'!AFH:AFH*"BYw!(R5"</f>
        <v>#VALUE!</v>
      </c>
      <c r="CZ170" t="e">
        <f>'2.5.Трудоемкость'!AFI:AFI*"BYw!(R6"</f>
        <v>#VALUE!</v>
      </c>
      <c r="DA170" t="e">
        <f>'2.5.Трудоемкость'!AFJ:AFJ*"BYw!(R7"</f>
        <v>#VALUE!</v>
      </c>
      <c r="DB170" t="e">
        <f>'2.5.Трудоемкость'!AFK:AFK*"BYw!(R8"</f>
        <v>#VALUE!</v>
      </c>
      <c r="DC170" t="e">
        <f>'2.5.Трудоемкость'!AFL:AFL*"BYw!(R9"</f>
        <v>#VALUE!</v>
      </c>
      <c r="DD170" t="e">
        <f>'2.5.Трудоемкость'!AFM:AFM*"BYw!(R:"</f>
        <v>#VALUE!</v>
      </c>
      <c r="DE170" t="e">
        <f>'2.5.Трудоемкость'!AFN:AFN*"BYw!(R;"</f>
        <v>#VALUE!</v>
      </c>
      <c r="DF170" t="e">
        <f>'2.5.Трудоемкость'!AFO:AFO*"BYw!(R&lt;"</f>
        <v>#VALUE!</v>
      </c>
      <c r="DG170" t="e">
        <f>'2.5.Трудоемкость'!AFP:AFP*"BYw!(R="</f>
        <v>#VALUE!</v>
      </c>
      <c r="DH170" t="e">
        <f>'2.5.Трудоемкость'!AFQ:AFQ*"BYw!(R&gt;"</f>
        <v>#VALUE!</v>
      </c>
      <c r="DI170" t="e">
        <f>'2.5.Трудоемкость'!AFR:AFR*"BYw!(R?"</f>
        <v>#VALUE!</v>
      </c>
      <c r="DJ170" t="e">
        <f>'2.5.Трудоемкость'!AFS:AFS*"BYw!(R@"</f>
        <v>#VALUE!</v>
      </c>
      <c r="DK170" t="e">
        <f>'2.5.Трудоемкость'!AFT:AFT*"BYw!(RA"</f>
        <v>#VALUE!</v>
      </c>
      <c r="DL170" t="e">
        <f>'2.5.Трудоемкость'!AFU:AFU*"BYw!(RB"</f>
        <v>#VALUE!</v>
      </c>
      <c r="DM170" t="e">
        <f>'2.5.Трудоемкость'!AFV:AFV*"BYw!(RC"</f>
        <v>#VALUE!</v>
      </c>
      <c r="DN170" t="e">
        <f>'2.5.Трудоемкость'!AFW:AFW*"BYw!(RD"</f>
        <v>#VALUE!</v>
      </c>
      <c r="DO170" t="e">
        <f>'2.5.Трудоемкость'!AFX:AFX*"BYw!(RE"</f>
        <v>#VALUE!</v>
      </c>
      <c r="DP170" t="e">
        <f>'2.5.Трудоемкость'!AFY:AFY*"BYw!(RF"</f>
        <v>#VALUE!</v>
      </c>
      <c r="DQ170" t="e">
        <f>'2.5.Трудоемкость'!AFZ:AFZ*"BYw!(RG"</f>
        <v>#VALUE!</v>
      </c>
      <c r="DR170" t="e">
        <f>'2.5.Трудоемкость'!AGA:AGA*"BYw!(RH"</f>
        <v>#VALUE!</v>
      </c>
      <c r="DS170" t="e">
        <f>'2.5.Трудоемкость'!AGB:AGB*"BYw!(RI"</f>
        <v>#VALUE!</v>
      </c>
      <c r="DT170" t="e">
        <f>'2.5.Трудоемкость'!AGC:AGC*"BYw!(RJ"</f>
        <v>#VALUE!</v>
      </c>
      <c r="DU170" t="e">
        <f>'2.5.Трудоемкость'!AGD:AGD*"BYw!(RK"</f>
        <v>#VALUE!</v>
      </c>
      <c r="DV170" t="e">
        <f>'2.5.Трудоемкость'!AGE:AGE*"BYw!(RL"</f>
        <v>#VALUE!</v>
      </c>
      <c r="DW170" t="e">
        <f>'2.5.Трудоемкость'!AGF:AGF*"BYw!(RM"</f>
        <v>#VALUE!</v>
      </c>
      <c r="DX170" t="e">
        <f>'2.5.Трудоемкость'!AGG:AGG*"BYw!(RN"</f>
        <v>#VALUE!</v>
      </c>
      <c r="DY170" t="e">
        <f>'2.5.Трудоемкость'!AGH:AGH*"BYw!(RO"</f>
        <v>#VALUE!</v>
      </c>
      <c r="DZ170" t="e">
        <f>'2.5.Трудоемкость'!AGI:AGI*"BYw!(RP"</f>
        <v>#VALUE!</v>
      </c>
      <c r="EA170" t="e">
        <f>'2.5.Трудоемкость'!AGJ:AGJ*"BYw!(RQ"</f>
        <v>#VALUE!</v>
      </c>
      <c r="EB170" t="e">
        <f>'2.5.Трудоемкость'!AGK:AGK*"BYw!(RR"</f>
        <v>#VALUE!</v>
      </c>
      <c r="EC170" t="e">
        <f>'2.5.Трудоемкость'!AGL:AGL*"BYw!(RS"</f>
        <v>#VALUE!</v>
      </c>
      <c r="ED170" t="e">
        <f>'2.5.Трудоемкость'!AGM:AGM*"BYw!(RT"</f>
        <v>#VALUE!</v>
      </c>
      <c r="EE170" t="e">
        <f>'2.5.Трудоемкость'!AGN:AGN*"BYw!(RU"</f>
        <v>#VALUE!</v>
      </c>
      <c r="EF170" t="e">
        <f>'2.5.Трудоемкость'!AGO:AGO*"BYw!(RV"</f>
        <v>#VALUE!</v>
      </c>
      <c r="EG170" t="e">
        <f>'2.5.Трудоемкость'!AGP:AGP*"BYw!(RW"</f>
        <v>#VALUE!</v>
      </c>
      <c r="EH170" t="e">
        <f>'2.5.Трудоемкость'!AGQ:AGQ*"BYw!(RX"</f>
        <v>#VALUE!</v>
      </c>
      <c r="EI170" t="e">
        <f>'2.5.Трудоемкость'!AGR:AGR*"BYw!(RY"</f>
        <v>#VALUE!</v>
      </c>
      <c r="EJ170" t="e">
        <f>'2.5.Трудоемкость'!AGS:AGS*"BYw!(RZ"</f>
        <v>#VALUE!</v>
      </c>
      <c r="EK170" t="e">
        <f>'2.5.Трудоемкость'!AGT:AGT*"BYw!(R["</f>
        <v>#VALUE!</v>
      </c>
      <c r="EL170" t="e">
        <f>'2.5.Трудоемкость'!AGU:AGU*"BYw!(R\"</f>
        <v>#VALUE!</v>
      </c>
      <c r="EM170" t="e">
        <f>'2.5.Трудоемкость'!AGV:AGV*"BYw!(R]"</f>
        <v>#VALUE!</v>
      </c>
      <c r="EN170" t="e">
        <f>'2.5.Трудоемкость'!AGW:AGW*"BYw!(R^"</f>
        <v>#VALUE!</v>
      </c>
      <c r="EO170" t="e">
        <f>'2.5.Трудоемкость'!AGX:AGX*"BYw!(R_"</f>
        <v>#VALUE!</v>
      </c>
      <c r="EP170" t="e">
        <f>'2.5.Трудоемкость'!AGY:AGY*"BYw!(R`"</f>
        <v>#VALUE!</v>
      </c>
      <c r="EQ170" t="e">
        <f>'2.5.Трудоемкость'!AGZ:AGZ*"BYw!(Ra"</f>
        <v>#VALUE!</v>
      </c>
      <c r="ER170" t="e">
        <f>'2.5.Трудоемкость'!AHA:AHA*"BYw!(Rb"</f>
        <v>#VALUE!</v>
      </c>
      <c r="ES170" t="e">
        <f>'2.5.Трудоемкость'!AHB:AHB*"BYw!(Rc"</f>
        <v>#VALUE!</v>
      </c>
      <c r="ET170" t="e">
        <f>'2.5.Трудоемкость'!AHC:AHC*"BYw!(Rd"</f>
        <v>#VALUE!</v>
      </c>
      <c r="EU170" t="e">
        <f>'2.5.Трудоемкость'!AHD:AHD*"BYw!(Re"</f>
        <v>#VALUE!</v>
      </c>
      <c r="EV170" t="e">
        <f>'2.5.Трудоемкость'!AHE:AHE*"BYw!(Rf"</f>
        <v>#VALUE!</v>
      </c>
      <c r="EW170" t="e">
        <f>'2.5.Трудоемкость'!AHF:AHF*"BYw!(Rg"</f>
        <v>#VALUE!</v>
      </c>
      <c r="EX170" t="e">
        <f>'2.5.Трудоемкость'!AHG:AHG*"BYw!(Rh"</f>
        <v>#VALUE!</v>
      </c>
      <c r="EY170" t="e">
        <f>'2.5.Трудоемкость'!AHH:AHH*"BYw!(Ri"</f>
        <v>#VALUE!</v>
      </c>
      <c r="EZ170" t="e">
        <f>'2.5.Трудоемкость'!AHI:AHI*"BYw!(Rj"</f>
        <v>#VALUE!</v>
      </c>
      <c r="FA170" t="e">
        <f>'2.5.Трудоемкость'!AHJ:AHJ*"BYw!(Rk"</f>
        <v>#VALUE!</v>
      </c>
      <c r="FB170" t="e">
        <f>'2.5.Трудоемкость'!AHK:AHK*"BYw!(Rl"</f>
        <v>#VALUE!</v>
      </c>
      <c r="FC170" t="e">
        <f>'2.5.Трудоемкость'!AHL:AHL*"BYw!(Rm"</f>
        <v>#VALUE!</v>
      </c>
      <c r="FD170" t="e">
        <f>'2.5.Трудоемкость'!AHM:AHM*"BYw!(Rn"</f>
        <v>#VALUE!</v>
      </c>
      <c r="FE170" t="e">
        <f>'2.5.Трудоемкость'!AHN:AHN*"BYw!(Ro"</f>
        <v>#VALUE!</v>
      </c>
      <c r="FF170" t="e">
        <f>'2.5.Трудоемкость'!AHO:AHO*"BYw!(Rp"</f>
        <v>#VALUE!</v>
      </c>
      <c r="FG170" t="e">
        <f>'2.5.Трудоемкость'!AHP:AHP*"BYw!(Rq"</f>
        <v>#VALUE!</v>
      </c>
      <c r="FH170" t="e">
        <f>'2.5.Трудоемкость'!AHQ:AHQ*"BYw!(Rr"</f>
        <v>#VALUE!</v>
      </c>
      <c r="FI170" t="e">
        <f>'2.5.Трудоемкость'!AHR:AHR*"BYw!(Rs"</f>
        <v>#VALUE!</v>
      </c>
      <c r="FJ170" t="e">
        <f>'2.5.Трудоемкость'!AHS:AHS*"BYw!(Rt"</f>
        <v>#VALUE!</v>
      </c>
      <c r="FK170" t="e">
        <f>'2.5.Трудоемкость'!AHT:AHT*"BYw!(Ru"</f>
        <v>#VALUE!</v>
      </c>
      <c r="FL170" t="e">
        <f>'2.5.Трудоемкость'!AHU:AHU*"BYw!(Rv"</f>
        <v>#VALUE!</v>
      </c>
      <c r="FM170" t="e">
        <f>'2.5.Трудоемкость'!AHV:AHV*"BYw!(Rw"</f>
        <v>#VALUE!</v>
      </c>
      <c r="FN170" t="e">
        <f>'2.5.Трудоемкость'!AHW:AHW*"BYw!(Rx"</f>
        <v>#VALUE!</v>
      </c>
      <c r="FO170" t="e">
        <f>'2.5.Трудоемкость'!AHX:AHX*"BYw!(Ry"</f>
        <v>#VALUE!</v>
      </c>
      <c r="FP170" t="e">
        <f>'2.5.Трудоемкость'!AHY:AHY*"BYw!(Rz"</f>
        <v>#VALUE!</v>
      </c>
      <c r="FQ170" t="e">
        <f>'2.5.Трудоемкость'!AHZ:AHZ*"BYw!(R{"</f>
        <v>#VALUE!</v>
      </c>
      <c r="FR170" t="e">
        <f>'2.5.Трудоемкость'!AIA:AIA*"BYw!(R|"</f>
        <v>#VALUE!</v>
      </c>
      <c r="FS170" t="e">
        <f>'2.5.Трудоемкость'!AIB:AIB*"BYw!(R}"</f>
        <v>#VALUE!</v>
      </c>
      <c r="FT170" t="e">
        <f>'2.5.Трудоемкость'!AIC:AIC*"BYw!(R~"</f>
        <v>#VALUE!</v>
      </c>
      <c r="FU170" t="e">
        <f>'2.5.Трудоемкость'!AID:AID*"BYw!(S#"</f>
        <v>#VALUE!</v>
      </c>
      <c r="FV170" t="e">
        <f>'2.5.Трудоемкость'!AIE:AIE*"BYw!(S$"</f>
        <v>#VALUE!</v>
      </c>
      <c r="FW170" t="e">
        <f>'2.5.Трудоемкость'!AIF:AIF*"BYw!(S%"</f>
        <v>#VALUE!</v>
      </c>
      <c r="FX170" t="e">
        <f>'2.5.Трудоемкость'!AIG:AIG*"BYw!(S&amp;"</f>
        <v>#VALUE!</v>
      </c>
      <c r="FY170" t="e">
        <f>'2.5.Трудоемкость'!AIH:AIH*"BYw!(S'"</f>
        <v>#VALUE!</v>
      </c>
      <c r="FZ170" t="e">
        <f>'2.5.Трудоемкость'!AII:AII*"BYw!(S("</f>
        <v>#VALUE!</v>
      </c>
      <c r="GA170" t="e">
        <f>'2.5.Трудоемкость'!AIJ:AIJ*"BYw!(S)"</f>
        <v>#VALUE!</v>
      </c>
      <c r="GB170" t="e">
        <f>'2.5.Трудоемкость'!AIK:AIK*"BYw!(S."</f>
        <v>#VALUE!</v>
      </c>
      <c r="GC170" t="e">
        <f>'2.5.Трудоемкость'!AIL:AIL*"BYw!(S/"</f>
        <v>#VALUE!</v>
      </c>
      <c r="GD170" t="e">
        <f>'2.5.Трудоемкость'!AIM:AIM*"BYw!(S0"</f>
        <v>#VALUE!</v>
      </c>
      <c r="GE170" t="e">
        <f>'2.5.Трудоемкость'!AIN:AIN*"BYw!(S1"</f>
        <v>#VALUE!</v>
      </c>
      <c r="GF170" t="e">
        <f>'2.5.Трудоемкость'!AIO:AIO*"BYw!(S2"</f>
        <v>#VALUE!</v>
      </c>
      <c r="GG170" t="e">
        <f>'2.5.Трудоемкость'!AIP:AIP*"BYw!(S3"</f>
        <v>#VALUE!</v>
      </c>
      <c r="GH170" t="e">
        <f>'2.5.Трудоемкость'!AIQ:AIQ*"BYw!(S4"</f>
        <v>#VALUE!</v>
      </c>
      <c r="GI170" t="e">
        <f>'2.5.Трудоемкость'!AIR:AIR*"BYw!(S5"</f>
        <v>#VALUE!</v>
      </c>
      <c r="GJ170" t="e">
        <f>'2.5.Трудоемкость'!AIS:AIS*"BYw!(S6"</f>
        <v>#VALUE!</v>
      </c>
      <c r="GK170" t="e">
        <f>'2.5.Трудоемкость'!AIT:AIT*"BYw!(S7"</f>
        <v>#VALUE!</v>
      </c>
      <c r="GL170" t="e">
        <f>'2.5.Трудоемкость'!AIU:AIU*"BYw!(S8"</f>
        <v>#VALUE!</v>
      </c>
      <c r="GM170" t="e">
        <f>'2.5.Трудоемкость'!AIV:AIV*"BYw!(S9"</f>
        <v>#VALUE!</v>
      </c>
      <c r="GN170" t="e">
        <f>'2.5.Трудоемкость'!AIW:AIW*"BYw!(S:"</f>
        <v>#VALUE!</v>
      </c>
      <c r="GO170" t="e">
        <f>'2.5.Трудоемкость'!AIX:AIX*"BYw!(S;"</f>
        <v>#VALUE!</v>
      </c>
      <c r="GP170" t="e">
        <f>'2.5.Трудоемкость'!AIY:AIY*"BYw!(S&lt;"</f>
        <v>#VALUE!</v>
      </c>
      <c r="GQ170" t="e">
        <f>'2.5.Трудоемкость'!AIZ:AIZ*"BYw!(S="</f>
        <v>#VALUE!</v>
      </c>
      <c r="GR170" t="e">
        <f>'2.5.Трудоемкость'!AJA:AJA*"BYw!(S&gt;"</f>
        <v>#VALUE!</v>
      </c>
      <c r="GS170" t="e">
        <f>'2.5.Трудоемкость'!AJB:AJB*"BYw!(S?"</f>
        <v>#VALUE!</v>
      </c>
      <c r="GT170" t="e">
        <f>'2.5.Трудоемкость'!AJC:AJC*"BYw!(S@"</f>
        <v>#VALUE!</v>
      </c>
      <c r="GU170" t="e">
        <f>'2.5.Трудоемкость'!AJD:AJD*"BYw!(SA"</f>
        <v>#VALUE!</v>
      </c>
      <c r="GV170" t="e">
        <f>'2.5.Трудоемкость'!AJE:AJE*"BYw!(SB"</f>
        <v>#VALUE!</v>
      </c>
      <c r="GW170" t="e">
        <f>'2.5.Трудоемкость'!AJF:AJF*"BYw!(SC"</f>
        <v>#VALUE!</v>
      </c>
      <c r="GX170" t="e">
        <f>'2.5.Трудоемкость'!AJG:AJG*"BYw!(SD"</f>
        <v>#VALUE!</v>
      </c>
      <c r="GY170" t="e">
        <f>'2.5.Трудоемкость'!AJH:AJH*"BYw!(SE"</f>
        <v>#VALUE!</v>
      </c>
      <c r="GZ170" t="e">
        <f>'2.5.Трудоемкость'!AJI:AJI*"BYw!(SF"</f>
        <v>#VALUE!</v>
      </c>
      <c r="HA170" t="e">
        <f>'2.5.Трудоемкость'!AJJ:AJJ*"BYw!(SG"</f>
        <v>#VALUE!</v>
      </c>
      <c r="HB170" t="e">
        <f>'2.5.Трудоемкость'!AJK:AJK*"BYw!(SH"</f>
        <v>#VALUE!</v>
      </c>
      <c r="HC170" t="e">
        <f>'2.5.Трудоемкость'!AJL:AJL*"BYw!(SI"</f>
        <v>#VALUE!</v>
      </c>
      <c r="HD170" t="e">
        <f>'2.5.Трудоемкость'!AJM:AJM*"BYw!(SJ"</f>
        <v>#VALUE!</v>
      </c>
      <c r="HE170" t="e">
        <f>'2.5.Трудоемкость'!AJN:AJN*"BYw!(SK"</f>
        <v>#VALUE!</v>
      </c>
      <c r="HF170" t="e">
        <f>'2.5.Трудоемкость'!AJO:AJO*"BYw!(SL"</f>
        <v>#VALUE!</v>
      </c>
      <c r="HG170" t="e">
        <f>'2.5.Трудоемкость'!AJP:AJP*"BYw!(SM"</f>
        <v>#VALUE!</v>
      </c>
      <c r="HH170" t="e">
        <f>'2.5.Трудоемкость'!AJQ:AJQ*"BYw!(SN"</f>
        <v>#VALUE!</v>
      </c>
      <c r="HI170" t="e">
        <f>'2.5.Трудоемкость'!AJR:AJR*"BYw!(SO"</f>
        <v>#VALUE!</v>
      </c>
      <c r="HJ170" t="e">
        <f>'2.5.Трудоемкость'!AJS:AJS*"BYw!(SP"</f>
        <v>#VALUE!</v>
      </c>
      <c r="HK170" t="e">
        <f>'2.5.Трудоемкость'!AJT:AJT*"BYw!(SQ"</f>
        <v>#VALUE!</v>
      </c>
      <c r="HL170" t="e">
        <f>'2.5.Трудоемкость'!AJU:AJU*"BYw!(SR"</f>
        <v>#VALUE!</v>
      </c>
      <c r="HM170" t="e">
        <f>'2.5.Трудоемкость'!AJV:AJV*"BYw!(SS"</f>
        <v>#VALUE!</v>
      </c>
      <c r="HN170" t="e">
        <f>'2.5.Трудоемкость'!AJW:AJW*"BYw!(ST"</f>
        <v>#VALUE!</v>
      </c>
      <c r="HO170" t="e">
        <f>'2.5.Трудоемкость'!AJX:AJX*"BYw!(SU"</f>
        <v>#VALUE!</v>
      </c>
      <c r="HP170" t="e">
        <f>'2.5.Трудоемкость'!AJY:AJY*"BYw!(SV"</f>
        <v>#VALUE!</v>
      </c>
      <c r="HQ170" t="e">
        <f>'2.5.Трудоемкость'!AJZ:AJZ*"BYw!(SW"</f>
        <v>#VALUE!</v>
      </c>
      <c r="HR170" t="e">
        <f>'2.5.Трудоемкость'!AKA:AKA*"BYw!(SX"</f>
        <v>#VALUE!</v>
      </c>
      <c r="HS170" t="e">
        <f>'2.5.Трудоемкость'!AKB:AKB*"BYw!(SY"</f>
        <v>#VALUE!</v>
      </c>
      <c r="HT170" t="e">
        <f>'2.5.Трудоемкость'!AKC:AKC*"BYw!(SZ"</f>
        <v>#VALUE!</v>
      </c>
      <c r="HU170" t="e">
        <f>'2.5.Трудоемкость'!AKD:AKD*"BYw!(S["</f>
        <v>#VALUE!</v>
      </c>
      <c r="HV170" t="e">
        <f>'2.5.Трудоемкость'!AKE:AKE*"BYw!(S\"</f>
        <v>#VALUE!</v>
      </c>
      <c r="HW170" t="e">
        <f>'2.5.Трудоемкость'!AKF:AKF*"BYw!(S]"</f>
        <v>#VALUE!</v>
      </c>
      <c r="HX170" t="e">
        <f>'2.5.Трудоемкость'!AKG:AKG*"BYw!(S^"</f>
        <v>#VALUE!</v>
      </c>
      <c r="HY170" t="e">
        <f>'2.5.Трудоемкость'!AKH:AKH*"BYw!(S_"</f>
        <v>#VALUE!</v>
      </c>
      <c r="HZ170" t="e">
        <f>'2.5.Трудоемкость'!AKI:AKI*"BYw!(S`"</f>
        <v>#VALUE!</v>
      </c>
      <c r="IA170" t="e">
        <f>'2.5.Трудоемкость'!AKJ:AKJ*"BYw!(Sa"</f>
        <v>#VALUE!</v>
      </c>
      <c r="IB170" t="e">
        <f>'2.5.Трудоемкость'!AKK:AKK*"BYw!(Sb"</f>
        <v>#VALUE!</v>
      </c>
      <c r="IC170" t="e">
        <f>'2.5.Трудоемкость'!AKL:AKL*"BYw!(Sc"</f>
        <v>#VALUE!</v>
      </c>
      <c r="ID170" t="e">
        <f>'2.5.Трудоемкость'!AKM:AKM*"BYw!(Sd"</f>
        <v>#VALUE!</v>
      </c>
      <c r="IE170" t="e">
        <f>'2.5.Трудоемкость'!AKN:AKN*"BYw!(Se"</f>
        <v>#VALUE!</v>
      </c>
      <c r="IF170" t="e">
        <f>'2.5.Трудоемкость'!AKO:AKO*"BYw!(Sf"</f>
        <v>#VALUE!</v>
      </c>
      <c r="IG170" t="e">
        <f>'2.5.Трудоемкость'!AKP:AKP*"BYw!(Sg"</f>
        <v>#VALUE!</v>
      </c>
      <c r="IH170" t="e">
        <f>'2.5.Трудоемкость'!AKQ:AKQ*"BYw!(Sh"</f>
        <v>#VALUE!</v>
      </c>
      <c r="II170" t="e">
        <f>'2.5.Трудоемкость'!AKR:AKR*"BYw!(Si"</f>
        <v>#VALUE!</v>
      </c>
      <c r="IJ170" t="e">
        <f>'2.5.Трудоемкость'!AKS:AKS*"BYw!(Sj"</f>
        <v>#VALUE!</v>
      </c>
      <c r="IK170" t="e">
        <f>'2.5.Трудоемкость'!AKT:AKT*"BYw!(Sk"</f>
        <v>#VALUE!</v>
      </c>
      <c r="IL170" t="e">
        <f>'2.5.Трудоемкость'!AKU:AKU*"BYw!(Sl"</f>
        <v>#VALUE!</v>
      </c>
      <c r="IM170" t="e">
        <f>'2.5.Трудоемкость'!AKV:AKV*"BYw!(Sm"</f>
        <v>#VALUE!</v>
      </c>
      <c r="IN170" t="e">
        <f>'2.5.Трудоемкость'!AKW:AKW*"BYw!(Sn"</f>
        <v>#VALUE!</v>
      </c>
      <c r="IO170" t="e">
        <f>'2.5.Трудоемкость'!AKX:AKX*"BYw!(So"</f>
        <v>#VALUE!</v>
      </c>
      <c r="IP170" t="e">
        <f>'2.5.Трудоемкость'!AKY:AKY*"BYw!(Sp"</f>
        <v>#VALUE!</v>
      </c>
      <c r="IQ170" t="e">
        <f>'2.5.Трудоемкость'!AKZ:AKZ*"BYw!(Sq"</f>
        <v>#VALUE!</v>
      </c>
      <c r="IR170" t="e">
        <f>'2.5.Трудоемкость'!ALA:ALA*"BYw!(Sr"</f>
        <v>#VALUE!</v>
      </c>
      <c r="IS170" t="e">
        <f>'2.5.Трудоемкость'!ALB:ALB*"BYw!(Ss"</f>
        <v>#VALUE!</v>
      </c>
      <c r="IT170" t="e">
        <f>'2.5.Трудоемкость'!ALC:ALC*"BYw!(St"</f>
        <v>#VALUE!</v>
      </c>
      <c r="IU170" t="e">
        <f>'2.5.Трудоемкость'!ALD:ALD*"BYw!(Su"</f>
        <v>#VALUE!</v>
      </c>
      <c r="IV170" t="e">
        <f>'2.5.Трудоемкость'!ALE:ALE*"BYw!(Sv"</f>
        <v>#VALUE!</v>
      </c>
    </row>
    <row r="171" spans="6:256" x14ac:dyDescent="0.2">
      <c r="F171" t="e">
        <f>'2.5.Трудоемкость'!ALF:ALF*"BYw!(Sw"</f>
        <v>#VALUE!</v>
      </c>
      <c r="G171" t="e">
        <f>'2.5.Трудоемкость'!ALG:ALG*"BYw!(Sx"</f>
        <v>#VALUE!</v>
      </c>
      <c r="H171" t="e">
        <f>'2.5.Трудоемкость'!ALH:ALH*"BYw!(Sy"</f>
        <v>#VALUE!</v>
      </c>
      <c r="I171" t="e">
        <f>'2.5.Трудоемкость'!ALI:ALI*"BYw!(Sz"</f>
        <v>#VALUE!</v>
      </c>
      <c r="J171" t="e">
        <f>'2.5.Трудоемкость'!ALJ:ALJ*"BYw!(S{"</f>
        <v>#VALUE!</v>
      </c>
      <c r="K171" t="e">
        <f>'2.5.Трудоемкость'!ALK:ALK*"BYw!(S|"</f>
        <v>#VALUE!</v>
      </c>
      <c r="L171" t="e">
        <f>'2.5.Трудоемкость'!ALL:ALL*"BYw!(S}"</f>
        <v>#VALUE!</v>
      </c>
      <c r="M171" t="e">
        <f>'2.5.Трудоемкость'!ALM:ALM*"BYw!(S~"</f>
        <v>#VALUE!</v>
      </c>
      <c r="N171" t="e">
        <f>'2.5.Трудоемкость'!ALN:ALN*"BYw!(T#"</f>
        <v>#VALUE!</v>
      </c>
      <c r="O171" t="e">
        <f>'2.5.Трудоемкость'!ALO:ALO*"BYw!(T$"</f>
        <v>#VALUE!</v>
      </c>
      <c r="P171" t="e">
        <f>'2.5.Трудоемкость'!ALP:ALP*"BYw!(T%"</f>
        <v>#VALUE!</v>
      </c>
      <c r="Q171" t="e">
        <f>'2.5.Трудоемкость'!ALQ:ALQ*"BYw!(T&amp;"</f>
        <v>#VALUE!</v>
      </c>
      <c r="R171" t="e">
        <f>'2.5.Трудоемкость'!ALR:ALR*"BYw!(T'"</f>
        <v>#VALUE!</v>
      </c>
      <c r="S171" t="e">
        <f>'2.5.Трудоемкость'!ALS:ALS*"BYw!(T("</f>
        <v>#VALUE!</v>
      </c>
      <c r="T171" t="e">
        <f>'2.5.Трудоемкость'!ALT:ALT*"BYw!(T)"</f>
        <v>#VALUE!</v>
      </c>
      <c r="U171" t="e">
        <f>'2.5.Трудоемкость'!ALU:ALU*"BYw!(T."</f>
        <v>#VALUE!</v>
      </c>
      <c r="V171" t="e">
        <f>'2.5.Трудоемкость'!ALV:ALV*"BYw!(T/"</f>
        <v>#VALUE!</v>
      </c>
      <c r="W171" t="e">
        <f>'2.5.Трудоемкость'!ALW:ALW*"BYw!(T0"</f>
        <v>#VALUE!</v>
      </c>
      <c r="X171" t="e">
        <f>'2.5.Трудоемкость'!ALX:ALX*"BYw!(T1"</f>
        <v>#VALUE!</v>
      </c>
      <c r="Y171" t="e">
        <f>'2.5.Трудоемкость'!ALY:ALY*"BYw!(T2"</f>
        <v>#VALUE!</v>
      </c>
      <c r="Z171" t="e">
        <f>'2.5.Трудоемкость'!ALZ:ALZ*"BYw!(T3"</f>
        <v>#VALUE!</v>
      </c>
      <c r="AA171" t="e">
        <f>'2.5.Трудоемкость'!AMA:AMA*"BYw!(T4"</f>
        <v>#VALUE!</v>
      </c>
      <c r="AB171" t="e">
        <f>'2.5.Трудоемкость'!AMB:AMB*"BYw!(T5"</f>
        <v>#VALUE!</v>
      </c>
      <c r="AC171" t="e">
        <f>'2.5.Трудоемкость'!AMC:AMC*"BYw!(T6"</f>
        <v>#VALUE!</v>
      </c>
      <c r="AD171" t="e">
        <f>'2.5.Трудоемкость'!AMD:AMD*"BYw!(T7"</f>
        <v>#VALUE!</v>
      </c>
      <c r="AE171" t="e">
        <f>'2.5.Трудоемкость'!AME:AME*"BYw!(T8"</f>
        <v>#VALUE!</v>
      </c>
      <c r="AF171" t="e">
        <f>'2.5.Трудоемкость'!AMF:AMF*"BYw!(T9"</f>
        <v>#VALUE!</v>
      </c>
      <c r="AG171" t="e">
        <f>'2.5.Трудоемкость'!AMG:AMG*"BYw!(T:"</f>
        <v>#VALUE!</v>
      </c>
      <c r="AH171" t="e">
        <f>'2.5.Трудоемкость'!AMH:AMH*"BYw!(T;"</f>
        <v>#VALUE!</v>
      </c>
      <c r="AI171" t="e">
        <f>'2.5.Трудоемкость'!AMI:AMI*"BYw!(T&lt;"</f>
        <v>#VALUE!</v>
      </c>
      <c r="AJ171" t="e">
        <f>'2.5.Трудоемкость'!AMJ:AMJ*"BYw!(T="</f>
        <v>#VALUE!</v>
      </c>
      <c r="AK171" t="e">
        <f>'2.5.Трудоемкость'!AMK:AMK*"BYw!(T&gt;"</f>
        <v>#VALUE!</v>
      </c>
      <c r="AL171" t="e">
        <f>'2.5.Трудоемкость'!AML:AML*"BYw!(T?"</f>
        <v>#VALUE!</v>
      </c>
      <c r="AM171" t="e">
        <f>'2.5.Трудоемкость'!AMM:AMM*"BYw!(T@"</f>
        <v>#VALUE!</v>
      </c>
      <c r="AN171" t="e">
        <f>'2.5.Трудоемкость'!AMN:AMN*"BYw!(TA"</f>
        <v>#VALUE!</v>
      </c>
      <c r="AO171" t="e">
        <f>'2.5.Трудоемкость'!AMO:AMO*"BYw!(TB"</f>
        <v>#VALUE!</v>
      </c>
      <c r="AP171" t="e">
        <f>'2.5.Трудоемкость'!AMP:AMP*"BYw!(TC"</f>
        <v>#VALUE!</v>
      </c>
      <c r="AQ171" t="e">
        <f>'2.5.Трудоемкость'!AMQ:AMQ*"BYw!(TD"</f>
        <v>#VALUE!</v>
      </c>
      <c r="AR171" t="e">
        <f>'2.5.Трудоемкость'!AMR:AMR*"BYw!(TE"</f>
        <v>#VALUE!</v>
      </c>
      <c r="AS171" t="e">
        <f>'2.5.Трудоемкость'!AMS:AMS*"BYw!(TF"</f>
        <v>#VALUE!</v>
      </c>
      <c r="AT171" t="e">
        <f>'2.5.Трудоемкость'!AMT:AMT*"BYw!(TG"</f>
        <v>#VALUE!</v>
      </c>
      <c r="AU171" t="e">
        <f>'2.5.Трудоемкость'!AMU:AMU*"BYw!(TH"</f>
        <v>#VALUE!</v>
      </c>
      <c r="AV171" t="e">
        <f>'2.5.Трудоемкость'!AMV:AMV*"BYw!(TI"</f>
        <v>#VALUE!</v>
      </c>
      <c r="AW171" t="e">
        <f>'2.5.Трудоемкость'!AMW:AMW*"BYw!(TJ"</f>
        <v>#VALUE!</v>
      </c>
      <c r="AX171" t="e">
        <f>'2.5.Трудоемкость'!AMX:AMX*"BYw!(TK"</f>
        <v>#VALUE!</v>
      </c>
      <c r="AY171" t="e">
        <f>'2.5.Трудоемкость'!AMY:AMY*"BYw!(TL"</f>
        <v>#VALUE!</v>
      </c>
      <c r="AZ171" t="e">
        <f>'2.5.Трудоемкость'!AMZ:AMZ*"BYw!(TM"</f>
        <v>#VALUE!</v>
      </c>
      <c r="BA171" t="e">
        <f>'2.5.Трудоемкость'!ANA:ANA*"BYw!(TN"</f>
        <v>#VALUE!</v>
      </c>
      <c r="BB171" t="e">
        <f>'2.5.Трудоемкость'!ANB:ANB*"BYw!(TO"</f>
        <v>#VALUE!</v>
      </c>
      <c r="BC171" t="e">
        <f>'2.5.Трудоемкость'!ANC:ANC*"BYw!(TP"</f>
        <v>#VALUE!</v>
      </c>
      <c r="BD171" t="e">
        <f>'2.5.Трудоемкость'!AND:AND*"BYw!(TQ"</f>
        <v>#VALUE!</v>
      </c>
      <c r="BE171" t="e">
        <f>'2.5.Трудоемкость'!ANE:ANE*"BYw!(TR"</f>
        <v>#VALUE!</v>
      </c>
      <c r="BF171" t="e">
        <f>'2.5.Трудоемкость'!ANF:ANF*"BYw!(TS"</f>
        <v>#VALUE!</v>
      </c>
      <c r="BG171" t="e">
        <f>'2.5.Трудоемкость'!ANG:ANG*"BYw!(TT"</f>
        <v>#VALUE!</v>
      </c>
      <c r="BH171" t="e">
        <f>'2.5.Трудоемкость'!ANH:ANH*"BYw!(TU"</f>
        <v>#VALUE!</v>
      </c>
      <c r="BI171" t="e">
        <f>'2.5.Трудоемкость'!ANI:ANI*"BYw!(TV"</f>
        <v>#VALUE!</v>
      </c>
      <c r="BJ171" t="e">
        <f>'2.5.Трудоемкость'!ANJ:ANJ*"BYw!(TW"</f>
        <v>#VALUE!</v>
      </c>
      <c r="BK171" t="e">
        <f>'2.5.Трудоемкость'!ANK:ANK*"BYw!(TX"</f>
        <v>#VALUE!</v>
      </c>
      <c r="BL171" t="e">
        <f>'2.5.Трудоемкость'!ANL:ANL*"BYw!(TY"</f>
        <v>#VALUE!</v>
      </c>
      <c r="BM171" t="e">
        <f>'2.5.Трудоемкость'!ANM:ANM*"BYw!(TZ"</f>
        <v>#VALUE!</v>
      </c>
      <c r="BN171" t="e">
        <f>'2.5.Трудоемкость'!ANN:ANN*"BYw!(T["</f>
        <v>#VALUE!</v>
      </c>
      <c r="BO171" t="e">
        <f>'2.5.Трудоемкость'!ANO:ANO*"BYw!(T\"</f>
        <v>#VALUE!</v>
      </c>
      <c r="BP171" t="e">
        <f>'2.5.Трудоемкость'!ANP:ANP*"BYw!(T]"</f>
        <v>#VALUE!</v>
      </c>
      <c r="BQ171" t="e">
        <f>'2.5.Трудоемкость'!ANQ:ANQ*"BYw!(T^"</f>
        <v>#VALUE!</v>
      </c>
      <c r="BR171" t="e">
        <f>'2.5.Трудоемкость'!ANR:ANR*"BYw!(T_"</f>
        <v>#VALUE!</v>
      </c>
      <c r="BS171" t="e">
        <f>'2.5.Трудоемкость'!ANS:ANS*"BYw!(T`"</f>
        <v>#VALUE!</v>
      </c>
      <c r="BT171" t="e">
        <f>'2.5.Трудоемкость'!ANT:ANT*"BYw!(Ta"</f>
        <v>#VALUE!</v>
      </c>
      <c r="BU171" t="e">
        <f>'2.5.Трудоемкость'!ANU:ANU*"BYw!(Tb"</f>
        <v>#VALUE!</v>
      </c>
      <c r="BV171" t="e">
        <f>'2.5.Трудоемкость'!ANV:ANV*"BYw!(Tc"</f>
        <v>#VALUE!</v>
      </c>
      <c r="BW171" t="e">
        <f>'2.5.Трудоемкость'!ANW:ANW*"BYw!(Td"</f>
        <v>#VALUE!</v>
      </c>
      <c r="BX171" t="e">
        <f>'2.5.Трудоемкость'!ANX:ANX*"BYw!(Te"</f>
        <v>#VALUE!</v>
      </c>
      <c r="BY171" t="e">
        <f>'2.5.Трудоемкость'!ANY:ANY*"BYw!(Tf"</f>
        <v>#VALUE!</v>
      </c>
      <c r="BZ171" t="e">
        <f>'2.5.Трудоемкость'!ANZ:ANZ*"BYw!(Tg"</f>
        <v>#VALUE!</v>
      </c>
      <c r="CA171" t="e">
        <f>'2.5.Трудоемкость'!AOA:AOA*"BYw!(Th"</f>
        <v>#VALUE!</v>
      </c>
      <c r="CB171" t="e">
        <f>'2.5.Трудоемкость'!AOB:AOB*"BYw!(Ti"</f>
        <v>#VALUE!</v>
      </c>
      <c r="CC171" t="e">
        <f>'2.5.Трудоемкость'!AOC:AOC*"BYw!(Tj"</f>
        <v>#VALUE!</v>
      </c>
      <c r="CD171" t="e">
        <f>'2.5.Трудоемкость'!AOD:AOD*"BYw!(Tk"</f>
        <v>#VALUE!</v>
      </c>
      <c r="CE171" t="e">
        <f>'2.5.Трудоемкость'!AOE:AOE*"BYw!(Tl"</f>
        <v>#VALUE!</v>
      </c>
      <c r="CF171" t="e">
        <f>'2.5.Трудоемкость'!AOF:AOF*"BYw!(Tm"</f>
        <v>#VALUE!</v>
      </c>
      <c r="CG171" t="e">
        <f>'2.5.Трудоемкость'!AOG:AOG*"BYw!(Tn"</f>
        <v>#VALUE!</v>
      </c>
      <c r="CH171" t="e">
        <f>'2.5.Трудоемкость'!AOH:AOH*"BYw!(To"</f>
        <v>#VALUE!</v>
      </c>
      <c r="CI171" t="e">
        <f>'2.5.Трудоемкость'!1:1-"BYw!(Tp"</f>
        <v>#VALUE!</v>
      </c>
      <c r="CJ171" t="e">
        <f>'2.5.Трудоемкость'!2:2-"BYw!(Tq"</f>
        <v>#VALUE!</v>
      </c>
      <c r="CK171" t="e">
        <f>'2.5.Трудоемкость'!3:3-"BYw!(Tr"</f>
        <v>#VALUE!</v>
      </c>
      <c r="CL171" t="e">
        <f>'2.5.Трудоемкость'!4:4-"BYw!(Ts"</f>
        <v>#VALUE!</v>
      </c>
      <c r="CM171" t="e">
        <f>'2.5.Трудоемкость'!5:5-"BYw!(Tt"</f>
        <v>#VALUE!</v>
      </c>
      <c r="CN171" t="e">
        <f>'2.5.Трудоемкость'!6:6-"BYw!(Tu"</f>
        <v>#VALUE!</v>
      </c>
      <c r="CO171" t="e">
        <f>'2.5.Трудоемкость'!7:7-"BYw!(Tv"</f>
        <v>#VALUE!</v>
      </c>
      <c r="CP171" t="e">
        <f>'2.5.Трудоемкость'!8:8-"BYw!(Tw"</f>
        <v>#VALUE!</v>
      </c>
      <c r="CQ171" t="e">
        <f>'2.5.Трудоемкость'!9:9-"BYw!(Tx"</f>
        <v>#VALUE!</v>
      </c>
      <c r="CR171" t="e">
        <f>'2.5.Трудоемкость'!10:10-"BYw!(Ty"</f>
        <v>#VALUE!</v>
      </c>
      <c r="CS171" t="e">
        <f>'2.5.Трудоемкость'!11:11-"BYw!(Tz"</f>
        <v>#VALUE!</v>
      </c>
      <c r="CT171" t="e">
        <f>'2.5.Трудоемкость'!12:12-"BYw!(T{"</f>
        <v>#VALUE!</v>
      </c>
      <c r="CU171" t="e">
        <f>'2.5.Трудоемкость'!13:13-"BYw!(T|"</f>
        <v>#VALUE!</v>
      </c>
      <c r="CV171" t="e">
        <f>'2.5.Трудоемкость'!14:14-"BYw!(T}"</f>
        <v>#VALUE!</v>
      </c>
      <c r="CW171" t="e">
        <f>'2.5.Трудоемкость'!15:15-"BYw!(T~"</f>
        <v>#VALUE!</v>
      </c>
      <c r="CX171" t="e">
        <f>'2.5.Трудоемкость'!16:16-"BYw!(U#"</f>
        <v>#VALUE!</v>
      </c>
      <c r="CY171" t="e">
        <f>'2.5.Трудоемкость'!17:17-"BYw!(U$"</f>
        <v>#VALUE!</v>
      </c>
      <c r="CZ171" t="e">
        <f>'2.5.Трудоемкость'!18:18-"BYw!(U%"</f>
        <v>#VALUE!</v>
      </c>
      <c r="DA171" t="e">
        <f>'2.5.Трудоемкость'!19:19-"BYw!(U&amp;"</f>
        <v>#VALUE!</v>
      </c>
      <c r="DB171" t="e">
        <f>'2.5.Трудоемкость'!20:20-"BYw!(U'"</f>
        <v>#VALUE!</v>
      </c>
      <c r="DC171" t="e">
        <f>'2.5.Трудоемкость'!21:21-"BYw!(U("</f>
        <v>#VALUE!</v>
      </c>
      <c r="DD171" t="e">
        <f>'2.5.Трудоемкость'!22:22-"BYw!(U)"</f>
        <v>#VALUE!</v>
      </c>
      <c r="DE171" t="e">
        <f>'2.5.Трудоемкость'!23:23-"BYw!(U."</f>
        <v>#VALUE!</v>
      </c>
      <c r="DF171" t="e">
        <f>'2.5.Трудоемкость'!24:24-"BYw!(U/"</f>
        <v>#VALUE!</v>
      </c>
      <c r="DG171" t="e">
        <f>'2.5.Трудоемкость'!25:25-"BYw!(U0"</f>
        <v>#VALUE!</v>
      </c>
      <c r="DH171" t="e">
        <f>'2.5.Трудоемкость'!26:26-"BYw!(U1"</f>
        <v>#VALUE!</v>
      </c>
      <c r="DI171" t="e">
        <f>'2.5.Трудоемкость'!27:27-"BYw!(U2"</f>
        <v>#VALUE!</v>
      </c>
      <c r="DJ171" t="e">
        <f>'2.5.Трудоемкость'!28:28-"BYw!(U3"</f>
        <v>#VALUE!</v>
      </c>
      <c r="DK171" t="e">
        <f>'2.5.Трудоемкость'!29:29-"BYw!(U4"</f>
        <v>#VALUE!</v>
      </c>
      <c r="DL171" t="e">
        <f>'2.5.Трудоемкость'!30:30-"BYw!(U5"</f>
        <v>#VALUE!</v>
      </c>
      <c r="DM171" t="e">
        <f>'2.5.Трудоемкость'!31:31-"BYw!(U6"</f>
        <v>#VALUE!</v>
      </c>
      <c r="DN171" t="e">
        <f>'2.5.Трудоемкость'!32:32-"BYw!(U7"</f>
        <v>#VALUE!</v>
      </c>
      <c r="DO171" t="e">
        <f>'2.5.Трудоемкость'!33:33-"BYw!(U8"</f>
        <v>#VALUE!</v>
      </c>
      <c r="DP171" t="e">
        <f>'2.5.Трудоемкость'!34:34-"BYw!(U9"</f>
        <v>#VALUE!</v>
      </c>
      <c r="DQ171" t="e">
        <f>'2.5.Трудоемкость'!35:35-"BYw!(U:"</f>
        <v>#VALUE!</v>
      </c>
      <c r="DR171" t="e">
        <f>'2.5.Трудоемкость'!36:36-"BYw!(U;"</f>
        <v>#VALUE!</v>
      </c>
      <c r="DS171" t="e">
        <f>'2.5.Трудоемкость'!37:37-"BYw!(U&lt;"</f>
        <v>#VALUE!</v>
      </c>
      <c r="DT171" t="e">
        <f>'2.5.Трудоемкость'!38:38-"BYw!(U="</f>
        <v>#VALUE!</v>
      </c>
      <c r="DU171" t="e">
        <f>'2.5.Трудоемкость'!39:39-"BYw!(U&gt;"</f>
        <v>#VALUE!</v>
      </c>
      <c r="DV171" t="e">
        <f>'2.5.Трудоемкость'!40:40-"BYw!(U?"</f>
        <v>#VALUE!</v>
      </c>
      <c r="DW171" t="e">
        <f>'2.5.Трудоемкость'!41:41-"BYw!(U@"</f>
        <v>#VALUE!</v>
      </c>
      <c r="DX171" t="e">
        <f>'2.5.Трудоемкость'!42:42-"BYw!(UA"</f>
        <v>#VALUE!</v>
      </c>
      <c r="DY171" t="e">
        <f>'2.5.Трудоемкость'!43:43-"BYw!(UB"</f>
        <v>#VALUE!</v>
      </c>
      <c r="DZ171" t="e">
        <f>'2.5.Трудоемкость'!44:44-"BYw!(UC"</f>
        <v>#VALUE!</v>
      </c>
      <c r="EA171" t="e">
        <f>'2.5.Трудоемкость'!45:45-"BYw!(UD"</f>
        <v>#VALUE!</v>
      </c>
      <c r="EB171" t="e">
        <f>'2.5.Трудоемкость'!46:46-"BYw!(UE"</f>
        <v>#VALUE!</v>
      </c>
      <c r="EC171" t="e">
        <f>'2.5.Трудоемкость'!47:47-"BYw!(UF"</f>
        <v>#VALUE!</v>
      </c>
      <c r="ED171" t="e">
        <f>'2.5.Трудоемкость'!48:48-"BYw!(UG"</f>
        <v>#VALUE!</v>
      </c>
      <c r="EE171" t="e">
        <f>'2.5.Трудоемкость'!49:49-"BYw!(UH"</f>
        <v>#VALUE!</v>
      </c>
      <c r="EF171" t="e">
        <f>'2.5.Трудоемкость'!50:50-"BYw!(UI"</f>
        <v>#VALUE!</v>
      </c>
      <c r="EG171" t="e">
        <f>'2.5.Трудоемкость'!51:51-"BYw!(UJ"</f>
        <v>#VALUE!</v>
      </c>
      <c r="EH171" t="e">
        <f>'2.5.Трудоемкость'!52:52-"BYw!(UK"</f>
        <v>#VALUE!</v>
      </c>
      <c r="EI171" t="e">
        <f>'2.5.Трудоемкость'!53:53-"BYw!(UL"</f>
        <v>#VALUE!</v>
      </c>
      <c r="EJ171" t="e">
        <f>'2.5.Трудоемкость'!54:54-"BYw!(UM"</f>
        <v>#VALUE!</v>
      </c>
      <c r="EK171" t="e">
        <f>'2.5.Трудоемкость'!55:55-"BYw!(UN"</f>
        <v>#VALUE!</v>
      </c>
      <c r="EL171" t="e">
        <f>'2.5.Трудоемкость'!56:56-"BYw!(UO"</f>
        <v>#VALUE!</v>
      </c>
      <c r="EM171" t="e">
        <f>'2.5.Трудоемкость'!57:57-"BYw!(UP"</f>
        <v>#VALUE!</v>
      </c>
      <c r="EN171" t="e">
        <f>'2.5.Трудоемкость'!58:58-"BYw!(UQ"</f>
        <v>#VALUE!</v>
      </c>
      <c r="EO171" t="e">
        <f>'2.5.Трудоемкость'!59:59-"BYw!(UR"</f>
        <v>#VALUE!</v>
      </c>
      <c r="EP171" t="e">
        <f>'2.5.Трудоемкость'!60:60-"BYw!(US"</f>
        <v>#VALUE!</v>
      </c>
      <c r="EQ171" t="e">
        <f>'2.5.Трудоемкость'!61:61-"BYw!(UT"</f>
        <v>#VALUE!</v>
      </c>
      <c r="ER171" t="e">
        <f>'2.5.Трудоемкость'!62:62-"BYw!(UU"</f>
        <v>#VALUE!</v>
      </c>
      <c r="ES171" t="e">
        <f>'2.5.Трудоемкость'!63:63-"BYw!(UV"</f>
        <v>#VALUE!</v>
      </c>
      <c r="ET171" t="e">
        <f>'2.5.Трудоемкость'!64:64-"BYw!(UW"</f>
        <v>#VALUE!</v>
      </c>
      <c r="EU171" t="e">
        <f>'2.5.Трудоемкость'!65:65-"BYw!(UX"</f>
        <v>#VALUE!</v>
      </c>
      <c r="EV171" t="e">
        <f>'2.5.Трудоемкость'!66:66-"BYw!(UY"</f>
        <v>#VALUE!</v>
      </c>
      <c r="EW171" t="e">
        <f>'2.5.Трудоемкость'!67:67-"BYw!(UZ"</f>
        <v>#VALUE!</v>
      </c>
      <c r="EX171" t="e">
        <f>'2.5.Трудоемкость'!68:68-"BYw!(U["</f>
        <v>#VALUE!</v>
      </c>
      <c r="EY171" t="e">
        <f>'2.5.Трудоемкость'!69:69-"BYw!(U\"</f>
        <v>#VALUE!</v>
      </c>
      <c r="EZ171" t="e">
        <f>'2.5.Трудоемкость'!70:70-"BYw!(U]"</f>
        <v>#VALUE!</v>
      </c>
      <c r="FA171" t="e">
        <f>'2.5.Трудоемкость'!71:71-"BYw!(U^"</f>
        <v>#VALUE!</v>
      </c>
      <c r="FB171" t="e">
        <f>'2.5.Трудоемкость'!72:72-"BYw!(U_"</f>
        <v>#VALUE!</v>
      </c>
      <c r="FC171" t="e">
        <f>'2.5.Трудоемкость'!73:73-"BYw!(U`"</f>
        <v>#VALUE!</v>
      </c>
      <c r="FD171" t="e">
        <f>'2.5.Трудоемкость'!74:74-"BYw!(Ua"</f>
        <v>#VALUE!</v>
      </c>
      <c r="FE171" t="e">
        <f>'2.5.Трудоемкость'!75:75-"BYw!(Ub"</f>
        <v>#VALUE!</v>
      </c>
      <c r="FF171" t="e">
        <f>'2.5.Трудоемкость'!76:76-"BYw!(Uc"</f>
        <v>#VALUE!</v>
      </c>
      <c r="FG171" t="e">
        <f>'2.5.Трудоемкость'!77:77-"BYw!(Ud"</f>
        <v>#VALUE!</v>
      </c>
      <c r="FH171" t="e">
        <f>'2.5.Трудоемкость'!78:78-"BYw!(Ue"</f>
        <v>#VALUE!</v>
      </c>
      <c r="FI171" t="e">
        <f>'2.5.Трудоемкость'!79:79-"BYw!(Uf"</f>
        <v>#VALUE!</v>
      </c>
      <c r="FJ171" t="e">
        <f>'2.5.Трудоемкость'!80:80-"BYw!(Ug"</f>
        <v>#VALUE!</v>
      </c>
      <c r="FK171" t="e">
        <f>'2.5.Трудоемкость'!81:81-"BYw!(Uh"</f>
        <v>#VALUE!</v>
      </c>
      <c r="FL171" t="e">
        <f>'2.5.Трудоемкость'!82:82-"BYw!(Ui"</f>
        <v>#VALUE!</v>
      </c>
      <c r="FM171" t="e">
        <f>'2.5.Трудоемкость'!83:83-"BYw!(Uj"</f>
        <v>#VALUE!</v>
      </c>
      <c r="FN171" t="e">
        <f>'2.5.Трудоемкость'!84:84-"BYw!(Uk"</f>
        <v>#VALUE!</v>
      </c>
      <c r="FO171" t="e">
        <f>'2.5.Трудоемкость'!85:85-"BYw!(Ul"</f>
        <v>#VALUE!</v>
      </c>
      <c r="FP171" t="e">
        <f>'2.5.Трудоемкость'!86:86-"BYw!(Um"</f>
        <v>#VALUE!</v>
      </c>
      <c r="FQ171" t="e">
        <f>'2.5.Трудоемкость'!87:87-"BYw!(Un"</f>
        <v>#VALUE!</v>
      </c>
      <c r="FR171" t="e">
        <f>'2.5.Трудоемкость'!88:88-"BYw!(Uo"</f>
        <v>#VALUE!</v>
      </c>
      <c r="FS171" t="e">
        <f>'2.5.Трудоемкость'!89:89-"BYw!(Up"</f>
        <v>#VALUE!</v>
      </c>
      <c r="FT171" t="e">
        <f>'2.5.Трудоемкость'!90:90-"BYw!(Uq"</f>
        <v>#VALUE!</v>
      </c>
      <c r="FU171" t="e">
        <f>'2.5.Трудоемкость'!91:91-"BYw!(Ur"</f>
        <v>#VALUE!</v>
      </c>
      <c r="FV171" t="e">
        <f>'2.5.Трудоемкость'!92:92-"BYw!(Us"</f>
        <v>#VALUE!</v>
      </c>
      <c r="FW171" t="e">
        <f>'2.5.Трудоемкость'!93:93-"BYw!(Ut"</f>
        <v>#VALUE!</v>
      </c>
      <c r="FX171" t="e">
        <f>'2.5.Трудоемкость'!94:94-"BYw!(Uu"</f>
        <v>#VALUE!</v>
      </c>
      <c r="FY171" t="e">
        <f>'2.5.Трудоемкость'!95:95-"BYw!(Uv"</f>
        <v>#VALUE!</v>
      </c>
      <c r="FZ171" t="e">
        <f>'2.5.Трудоемкость'!96:96-"BYw!(Uw"</f>
        <v>#VALUE!</v>
      </c>
      <c r="GA171" t="e">
        <f>'2.5.Трудоемкость'!97:97-"BYw!(Ux"</f>
        <v>#VALUE!</v>
      </c>
      <c r="GB171" t="e">
        <f>'2.5.Трудоемкость'!98:98-"BYw!(Uy"</f>
        <v>#VALUE!</v>
      </c>
      <c r="GC171" t="e">
        <f>'2.5.Трудоемкость'!99:99-"BYw!(Uz"</f>
        <v>#VALUE!</v>
      </c>
      <c r="GD171" t="e">
        <f>'2.5.Трудоемкость'!100:100-"BYw!(U{"</f>
        <v>#VALUE!</v>
      </c>
      <c r="GE171" t="e">
        <f>'2.5.Трудоемкость'!101:101-"BYw!(U|"</f>
        <v>#VALUE!</v>
      </c>
      <c r="GF171" t="e">
        <f>'2.5.Трудоемкость'!102:102-"BYw!(U}"</f>
        <v>#VALUE!</v>
      </c>
      <c r="GG171" t="e">
        <f>'2.5.Трудоемкость'!103:103-"BYw!(U~"</f>
        <v>#VALUE!</v>
      </c>
      <c r="GH171" t="e">
        <f>'2.5.Трудоемкость'!104:104-"BYw!(V#"</f>
        <v>#VALUE!</v>
      </c>
      <c r="GI171" t="e">
        <f>'2.5.Трудоемкость'!105:105-"BYw!(V$"</f>
        <v>#VALUE!</v>
      </c>
      <c r="GJ171" t="e">
        <f>'2.5.Трудоемкость'!106:106-"BYw!(V%"</f>
        <v>#VALUE!</v>
      </c>
      <c r="GK171" t="e">
        <f>'2.5.Трудоемкость'!107:107-"BYw!(V&amp;"</f>
        <v>#VALUE!</v>
      </c>
      <c r="GL171" t="e">
        <f>'2.5.Трудоемкость'!108:108-"BYw!(V'"</f>
        <v>#VALUE!</v>
      </c>
      <c r="GM171" t="e">
        <f>'2.5.Трудоемкость'!109:109-"BYw!(V("</f>
        <v>#VALUE!</v>
      </c>
      <c r="GN171" t="e">
        <f>'2.5.Трудоемкость'!110:110-"BYw!(V)"</f>
        <v>#VALUE!</v>
      </c>
      <c r="GO171" t="e">
        <f>'2.5.Трудоемкость'!111:111-"BYw!(V."</f>
        <v>#VALUE!</v>
      </c>
      <c r="GP171" t="e">
        <f>'2.5.Трудоемкость'!112:112-"BYw!(V/"</f>
        <v>#VALUE!</v>
      </c>
      <c r="GQ171" t="e">
        <f>'2.5.Трудоемкость'!113:113-"BYw!(V0"</f>
        <v>#VALUE!</v>
      </c>
      <c r="GR171" t="e">
        <f>'2.5.Трудоемкость'!114:114-"BYw!(V1"</f>
        <v>#VALUE!</v>
      </c>
      <c r="GS171" t="e">
        <f>'2.5.Трудоемкость'!115:115-"BYw!(V2"</f>
        <v>#VALUE!</v>
      </c>
      <c r="GT171" t="e">
        <f>'2.5.Трудоемкость'!116:116-"BYw!(V3"</f>
        <v>#VALUE!</v>
      </c>
      <c r="GU171" t="e">
        <f>'2.5.Трудоемкость'!117:117-"BYw!(V4"</f>
        <v>#VALUE!</v>
      </c>
      <c r="GV171" t="e">
        <f>'2.5.Трудоемкость'!118:118-"BYw!(V5"</f>
        <v>#VALUE!</v>
      </c>
      <c r="GW171" t="e">
        <f>'2.5.Трудоемкость'!119:119-"BYw!(V6"</f>
        <v>#VALUE!</v>
      </c>
      <c r="GX171" t="e">
        <f>'2.5.Трудоемкость'!120:120-"BYw!(V7"</f>
        <v>#VALUE!</v>
      </c>
      <c r="GY171" t="e">
        <f>'2.5.Трудоемкость'!121:121-"BYw!(V8"</f>
        <v>#VALUE!</v>
      </c>
      <c r="GZ171" t="e">
        <f>'2.5.Трудоемкость'!122:122-"BYw!(V9"</f>
        <v>#VALUE!</v>
      </c>
      <c r="HA171" t="e">
        <f>'2.5.Трудоемкость'!123:123-"BYw!(V:"</f>
        <v>#VALUE!</v>
      </c>
      <c r="HB171" t="e">
        <f>'2.5.Трудоемкость'!124:124-"BYw!(V;"</f>
        <v>#VALUE!</v>
      </c>
      <c r="HC171" t="e">
        <f>'2.5.Трудоемкость'!125:125-"BYw!(V&lt;"</f>
        <v>#VALUE!</v>
      </c>
      <c r="HD171" t="e">
        <f>'2.5.Трудоемкость'!126:126-"BYw!(V="</f>
        <v>#VALUE!</v>
      </c>
      <c r="HE171" t="e">
        <f>'2.5.Трудоемкость'!127:127-"BYw!(V&gt;"</f>
        <v>#VALUE!</v>
      </c>
      <c r="HF171" t="e">
        <f>'2.5.Трудоемкость'!128:128-"BYw!(V?"</f>
        <v>#VALUE!</v>
      </c>
      <c r="HG171" t="e">
        <f>'2.5.Трудоемкость'!129:129-"BYw!(V@"</f>
        <v>#VALUE!</v>
      </c>
      <c r="HH171" t="e">
        <f>'2.5.Трудоемкость'!130:130-"BYw!(VA"</f>
        <v>#VALUE!</v>
      </c>
      <c r="HI171" t="e">
        <f>'2.5.Трудоемкость'!131:131-"BYw!(VB"</f>
        <v>#VALUE!</v>
      </c>
      <c r="HJ171" t="e">
        <f>'2.5.Трудоемкость'!132:132-"BYw!(VC"</f>
        <v>#VALUE!</v>
      </c>
      <c r="HK171" t="e">
        <f>'2.5.Трудоемкость'!133:133-"BYw!(VD"</f>
        <v>#VALUE!</v>
      </c>
      <c r="HL171" t="e">
        <f>'2.5.Трудоемкость'!134:134-"BYw!(VE"</f>
        <v>#VALUE!</v>
      </c>
      <c r="HM171" t="e">
        <f>'2.5.Трудоемкость'!135:135-"BYw!(VF"</f>
        <v>#VALUE!</v>
      </c>
      <c r="HN171" t="e">
        <f>'2.5.Трудоемкость'!136:136-"BYw!(VG"</f>
        <v>#VALUE!</v>
      </c>
      <c r="HO171" t="e">
        <f>'2.5.Трудоемкость'!137:137-"BYw!(VH"</f>
        <v>#VALUE!</v>
      </c>
      <c r="HP171" t="e">
        <f>'2.5.Трудоемкость'!138:138-"BYw!(VI"</f>
        <v>#VALUE!</v>
      </c>
      <c r="HQ171" t="e">
        <f>'2.5.Трудоемкость'!139:139-"BYw!(VJ"</f>
        <v>#VALUE!</v>
      </c>
      <c r="HR171" t="e">
        <f>'2.5.Трудоемкость'!140:140-"BYw!(VK"</f>
        <v>#VALUE!</v>
      </c>
      <c r="HS171" t="e">
        <f>'2.5.Трудоемкость'!141:141-"BYw!(VL"</f>
        <v>#VALUE!</v>
      </c>
      <c r="HT171" t="e">
        <f>'2.5.Трудоемкость'!142:142-"BYw!(VM"</f>
        <v>#VALUE!</v>
      </c>
      <c r="HU171" t="e">
        <f>'2.5.Трудоемкость'!143:143-"BYw!(VN"</f>
        <v>#VALUE!</v>
      </c>
      <c r="HV171" t="e">
        <f>'2.5.Трудоемкость'!144:144-"BYw!(VO"</f>
        <v>#VALUE!</v>
      </c>
      <c r="HW171" t="e">
        <f>'2.5.Трудоемкость'!145:145-"BYw!(VP"</f>
        <v>#VALUE!</v>
      </c>
      <c r="HX171" t="e">
        <f>'2.5.Трудоемкость'!146:146-"BYw!(VQ"</f>
        <v>#VALUE!</v>
      </c>
      <c r="HY171" t="e">
        <f>'2.5.Трудоемкость'!147:147-"BYw!(VR"</f>
        <v>#VALUE!</v>
      </c>
      <c r="HZ171" t="e">
        <f>'2.5.Трудоемкость'!148:148-"BYw!(VS"</f>
        <v>#VALUE!</v>
      </c>
      <c r="IA171" t="e">
        <f>'2.5.Трудоемкость'!149:149-"BYw!(VT"</f>
        <v>#VALUE!</v>
      </c>
      <c r="IB171" t="e">
        <f>'2.5.Трудоемкость'!150:150-"BYw!(VU"</f>
        <v>#VALUE!</v>
      </c>
      <c r="IC171" t="e">
        <f>'2.5.Трудоемкость'!151:151-"BYw!(VV"</f>
        <v>#VALUE!</v>
      </c>
      <c r="ID171" t="e">
        <f>'2.5.Трудоемкость'!152:152-"BYw!(VW"</f>
        <v>#VALUE!</v>
      </c>
      <c r="IE171" t="e">
        <f>'2.5.Трудоемкость'!153:153-"BYw!(VX"</f>
        <v>#VALUE!</v>
      </c>
      <c r="IF171" t="e">
        <f>'2.5.Трудоемкость'!154:154-"BYw!(VY"</f>
        <v>#VALUE!</v>
      </c>
      <c r="IG171" t="e">
        <f>'2.5.Трудоемкость'!155:155-"BYw!(VZ"</f>
        <v>#VALUE!</v>
      </c>
      <c r="IH171" t="e">
        <f>'2.5.Трудоемкость'!156:156-"BYw!(V["</f>
        <v>#VALUE!</v>
      </c>
      <c r="II171" t="e">
        <f>'2.5.Трудоемкость'!157:157-"BYw!(V\"</f>
        <v>#VALUE!</v>
      </c>
      <c r="IJ171" t="e">
        <f>'2.5.Трудоемкость'!158:158-"BYw!(V]"</f>
        <v>#VALUE!</v>
      </c>
      <c r="IK171" t="e">
        <f>'2.5.Трудоемкость'!159:159-"BYw!(V^"</f>
        <v>#VALUE!</v>
      </c>
      <c r="IL171" t="e">
        <f>'2.5.Трудоемкость'!160:160-"BYw!(V_"</f>
        <v>#VALUE!</v>
      </c>
      <c r="IM171" t="e">
        <f>'2.5.Трудоемкость'!161:161-"BYw!(V`"</f>
        <v>#VALUE!</v>
      </c>
      <c r="IN171" t="e">
        <f>'2.5.Трудоемкость'!162:162-"BYw!(Va"</f>
        <v>#VALUE!</v>
      </c>
      <c r="IO171" t="e">
        <f>'2.5.Трудоемкость'!163:163-"BYw!(Vb"</f>
        <v>#VALUE!</v>
      </c>
      <c r="IP171" t="e">
        <f>'2.5.Трудоемкость'!164:164-"BYw!(Vc"</f>
        <v>#VALUE!</v>
      </c>
      <c r="IQ171" t="e">
        <f>'2.5.Трудоемкость'!165:165-"BYw!(Vd"</f>
        <v>#VALUE!</v>
      </c>
      <c r="IR171" t="e">
        <f>'2.5.Трудоемкость'!166:166-"BYw!(Ve"</f>
        <v>#VALUE!</v>
      </c>
      <c r="IS171" t="e">
        <f>'2.5.Трудоемкость'!167:167-"BYw!(Vf"</f>
        <v>#VALUE!</v>
      </c>
      <c r="IT171" t="e">
        <f>'2.5.Трудоемкость'!168:168-"BYw!(Vg"</f>
        <v>#VALUE!</v>
      </c>
      <c r="IU171" t="e">
        <f>'2.5.Трудоемкость'!169:169-"BYw!(Vh"</f>
        <v>#VALUE!</v>
      </c>
      <c r="IV171" t="e">
        <f>'2.5.Трудоемкость'!170:170-"BYw!(Vi"</f>
        <v>#VALUE!</v>
      </c>
    </row>
    <row r="172" spans="6:256" x14ac:dyDescent="0.2">
      <c r="F172" t="e">
        <f>'2.5.Трудоемкость'!171:171-"BYw!(Vj"</f>
        <v>#VALUE!</v>
      </c>
      <c r="G172" t="e">
        <f>'2.5.Трудоемкость'!172:172-"BYw!(Vk"</f>
        <v>#VALUE!</v>
      </c>
      <c r="H172" t="e">
        <f>'2.5.Трудоемкость'!173:173-"BYw!(Vl"</f>
        <v>#VALUE!</v>
      </c>
      <c r="I172" t="e">
        <f>'2.5.Трудоемкость'!174:174-"BYw!(Vm"</f>
        <v>#VALUE!</v>
      </c>
      <c r="J172" t="e">
        <f>'2.5.Трудоемкость'!175:175-"BYw!(Vn"</f>
        <v>#VALUE!</v>
      </c>
      <c r="K172" t="e">
        <f>'2.5.Трудоемкость'!176:176-"BYw!(Vo"</f>
        <v>#VALUE!</v>
      </c>
      <c r="L172" t="e">
        <f>'2.5.Трудоемкость'!177:177-"BYw!(Vp"</f>
        <v>#VALUE!</v>
      </c>
      <c r="M172" t="e">
        <f>'2.5.Трудоемкость'!178:178-"BYw!(Vq"</f>
        <v>#VALUE!</v>
      </c>
      <c r="N172" t="e">
        <f>'2.5.Трудоемкость'!179:179-"BYw!(Vr"</f>
        <v>#VALUE!</v>
      </c>
      <c r="O172" t="e">
        <f>'2.5.Трудоемкость'!180:180-"BYw!(Vs"</f>
        <v>#VALUE!</v>
      </c>
      <c r="P172" t="e">
        <f>'2.5.Трудоемкость'!181:181-"BYw!(Vt"</f>
        <v>#VALUE!</v>
      </c>
      <c r="Q172" t="e">
        <f>'2.5.Трудоемкость'!182:182-"BYw!(Vu"</f>
        <v>#VALUE!</v>
      </c>
      <c r="R172" t="e">
        <f>'2.5.Трудоемкость'!183:183-"BYw!(Vv"</f>
        <v>#VALUE!</v>
      </c>
      <c r="S172" t="e">
        <f>'2.5.Трудоемкость'!184:184-"BYw!(Vw"</f>
        <v>#VALUE!</v>
      </c>
      <c r="T172" t="e">
        <f>'2.5.Трудоемкость'!185:185-"BYw!(Vx"</f>
        <v>#VALUE!</v>
      </c>
      <c r="U172" t="e">
        <f>'2.5.Трудоемкость'!186:186-"BYw!(Vy"</f>
        <v>#VALUE!</v>
      </c>
      <c r="V172" t="e">
        <f>'2.5.Трудоемкость'!187:187-"BYw!(Vz"</f>
        <v>#VALUE!</v>
      </c>
      <c r="W172" t="e">
        <f>'2.5.Трудоемкость'!188:188-"BYw!(V{"</f>
        <v>#VALUE!</v>
      </c>
      <c r="X172" t="e">
        <f>'2.5.Трудоемкость'!189:189-"BYw!(V|"</f>
        <v>#VALUE!</v>
      </c>
      <c r="Y172" t="e">
        <f>'2.5.Трудоемкость'!190:190-"BYw!(V}"</f>
        <v>#VALUE!</v>
      </c>
      <c r="Z172" t="e">
        <f>'2.5.Трудоемкость'!191:191-"BYw!(V~"</f>
        <v>#VALUE!</v>
      </c>
      <c r="AA172" t="e">
        <f>'2.5.Трудоемкость'!192:192-"BYw!(W#"</f>
        <v>#VALUE!</v>
      </c>
      <c r="AB172" t="e">
        <f>'2.5.Трудоемкость'!193:193-"BYw!(W$"</f>
        <v>#VALUE!</v>
      </c>
      <c r="AC172" t="e">
        <f>'2.5.Трудоемкость'!194:194-"BYw!(W%"</f>
        <v>#VALUE!</v>
      </c>
      <c r="AD172" t="e">
        <f>'2.5.Трудоемкость'!195:195-"BYw!(W&amp;"</f>
        <v>#VALUE!</v>
      </c>
      <c r="AE172" t="e">
        <f>'2.5.Трудоемкость'!196:196-"BYw!(W'"</f>
        <v>#VALUE!</v>
      </c>
      <c r="AF172" t="e">
        <f>'2.5.Трудоемкость'!197:197-"BYw!(W("</f>
        <v>#VALUE!</v>
      </c>
      <c r="AG172" t="e">
        <f>'2.5.Трудоемкость'!198:198-"BYw!(W)"</f>
        <v>#VALUE!</v>
      </c>
      <c r="AH172" t="e">
        <f>'2.5.Трудоемкость'!199:199-"BYw!(W."</f>
        <v>#VALUE!</v>
      </c>
      <c r="AI172" t="e">
        <f>'2.5.Трудоемкость'!200:200-"BYw!(W/"</f>
        <v>#VALUE!</v>
      </c>
      <c r="AJ172" t="e">
        <f>'2.5.Трудоемкость'!201:201-"BYw!(W0"</f>
        <v>#VALUE!</v>
      </c>
      <c r="AK172" t="e">
        <f>'2.5.Трудоемкость'!202:202-"BYw!(W1"</f>
        <v>#VALUE!</v>
      </c>
      <c r="AL172" t="e">
        <f>'2.5.Трудоемкость'!203:203-"BYw!(W2"</f>
        <v>#VALUE!</v>
      </c>
      <c r="AM172" t="e">
        <f>'2.5.Трудоемкость'!204:204-"BYw!(W3"</f>
        <v>#VALUE!</v>
      </c>
      <c r="AN172" t="e">
        <f>'2.5.Трудоемкость'!205:205-"BYw!(W4"</f>
        <v>#VALUE!</v>
      </c>
      <c r="AO172" t="e">
        <f>'2.5.Трудоемкость'!206:206-"BYw!(W5"</f>
        <v>#VALUE!</v>
      </c>
      <c r="AP172" t="e">
        <f>'2.5.Трудоемкость'!207:207-"BYw!(W6"</f>
        <v>#VALUE!</v>
      </c>
      <c r="AQ172" t="e">
        <f>'2.5.Трудоемкость'!208:208-"BYw!(W7"</f>
        <v>#VALUE!</v>
      </c>
      <c r="AR172" t="e">
        <f>'2.5.Трудоемкость'!209:209-"BYw!(W8"</f>
        <v>#VALUE!</v>
      </c>
      <c r="AS172" t="e">
        <f>'2.5.Трудоемкость'!210:210-"BYw!(W9"</f>
        <v>#VALUE!</v>
      </c>
      <c r="AT172" t="e">
        <f>'2.5.Трудоемкость'!211:211-"BYw!(W:"</f>
        <v>#VALUE!</v>
      </c>
      <c r="AU172" t="e">
        <f>'2.5.Трудоемкость'!212:212-"BYw!(W;"</f>
        <v>#VALUE!</v>
      </c>
      <c r="AV172" t="e">
        <f>'2.5.Трудоемкость'!213:213-"BYw!(W&lt;"</f>
        <v>#VALUE!</v>
      </c>
      <c r="AW172" t="e">
        <f>'2.5.Трудоемкость'!214:214-"BYw!(W="</f>
        <v>#VALUE!</v>
      </c>
      <c r="AX172" t="e">
        <f>'2.5.Трудоемкость'!215:215-"BYw!(W&gt;"</f>
        <v>#VALUE!</v>
      </c>
      <c r="AY172" t="e">
        <f>'2.5.Трудоемкость'!216:216-"BYw!(W?"</f>
        <v>#VALUE!</v>
      </c>
      <c r="AZ172" t="e">
        <f>'2.5.Трудоемкость'!217:217-"BYw!(W@"</f>
        <v>#VALUE!</v>
      </c>
      <c r="BA172" t="e">
        <f>'2.5.Трудоемкость'!218:218-"BYw!(WA"</f>
        <v>#VALUE!</v>
      </c>
      <c r="BB172" t="e">
        <f>'2.6.Расчет развития'!A1+"BYw!(WB"</f>
        <v>#VALUE!</v>
      </c>
      <c r="BC172" t="e">
        <f>'2.6.Расчет развития'!B1+"BYw!(WC"</f>
        <v>#VALUE!</v>
      </c>
      <c r="BD172" t="e">
        <f>'2.6.Расчет развития'!C1+"BYw!(WD"</f>
        <v>#VALUE!</v>
      </c>
      <c r="BE172" t="e">
        <f>'2.6.Расчет развития'!D1+"BYw!(WE"</f>
        <v>#VALUE!</v>
      </c>
      <c r="BF172" t="e">
        <f>'2.6.Расчет развития'!E1+"BYw!(WF"</f>
        <v>#VALUE!</v>
      </c>
      <c r="BG172" t="e">
        <f>'2.6.Расчет развития'!F1+"BYw!(WG"</f>
        <v>#VALUE!</v>
      </c>
      <c r="BH172" t="e">
        <f>'2.6.Расчет развития'!G1+"BYw!(WH"</f>
        <v>#VALUE!</v>
      </c>
      <c r="BI172" t="e">
        <f>'2.6.Расчет развития'!H1+"BYw!(WI"</f>
        <v>#VALUE!</v>
      </c>
      <c r="BJ172" s="117" t="e">
        <f>'2.6.Расчет развития'!A3+"BYw!(WJ"</f>
        <v>#VALUE!</v>
      </c>
      <c r="BK172" s="117" t="e">
        <f>'2.6.Расчет развития'!B3+"BYw!(WK"</f>
        <v>#VALUE!</v>
      </c>
      <c r="BL172" s="117" t="e">
        <f>'2.6.Расчет развития'!C3+"BYw!(WL"</f>
        <v>#VALUE!</v>
      </c>
      <c r="BM172" s="117" t="e">
        <f>'2.6.Расчет развития'!D3+"BYw!(WM"</f>
        <v>#VALUE!</v>
      </c>
      <c r="BN172" s="117" t="e">
        <f>'2.6.Расчет развития'!E3+"BYw!(WN"</f>
        <v>#VALUE!</v>
      </c>
      <c r="BO172" s="117" t="e">
        <f>'2.6.Расчет развития'!#REF!+"BYw!(WO"</f>
        <v>#REF!</v>
      </c>
      <c r="BP172" s="117" t="e">
        <f>'2.6.Расчет развития'!#REF!+"BYw!(WP"</f>
        <v>#REF!</v>
      </c>
      <c r="BQ172" s="117" t="e">
        <f>'2.6.Расчет развития'!#REF!+"BYw!(WQ"</f>
        <v>#REF!</v>
      </c>
      <c r="BR172" s="117" t="e">
        <f>'2.6.Расчет развития'!#REF!+"BYw!(WR"</f>
        <v>#REF!</v>
      </c>
      <c r="BS172" s="117" t="e">
        <f>'2.6.Расчет развития'!#REF!+"BYw!(WS"</f>
        <v>#REF!</v>
      </c>
      <c r="BT172" t="e">
        <f>'2.6.Расчет развития'!A4+"BYw!(WT"</f>
        <v>#VALUE!</v>
      </c>
      <c r="BU172" t="e">
        <f>'2.6.Расчет развития'!B4+"BYw!(WU"</f>
        <v>#VALUE!</v>
      </c>
      <c r="BV172" t="e">
        <f>'2.6.Расчет развития'!C4+"BYw!(WV"</f>
        <v>#VALUE!</v>
      </c>
      <c r="BW172" t="e">
        <f>'2.6.Расчет развития'!D4+"BYw!(WW"</f>
        <v>#VALUE!</v>
      </c>
      <c r="BX172" t="e">
        <f>'2.6.Расчет развития'!E4+"BYw!(WX"</f>
        <v>#VALUE!</v>
      </c>
      <c r="BY172" s="119" t="e">
        <f>'2.6.Расчет развития'!A5+"BYw!(WY"</f>
        <v>#VALUE!</v>
      </c>
      <c r="BZ172" s="117" t="e">
        <f>'2.6.Расчет развития'!B5+"BYw!(WZ"</f>
        <v>#VALUE!</v>
      </c>
      <c r="CA172" s="117" t="e">
        <f>'2.6.Расчет развития'!C5+"BYw!(W["</f>
        <v>#VALUE!</v>
      </c>
      <c r="CB172" s="117" t="e">
        <f>'2.6.Расчет развития'!D5+"BYw!(W\"</f>
        <v>#VALUE!</v>
      </c>
      <c r="CC172" s="117" t="e">
        <f>'2.6.Расчет развития'!E5+"BYw!(W]"</f>
        <v>#VALUE!</v>
      </c>
      <c r="CD172" s="117" t="e">
        <f>'2.6.Расчет развития'!A6+"BYw!(W^"</f>
        <v>#VALUE!</v>
      </c>
      <c r="CE172" s="117" t="e">
        <f>'2.6.Расчет развития'!B6+"BYw!(W_"</f>
        <v>#VALUE!</v>
      </c>
      <c r="CF172" s="117" t="e">
        <f>'2.6.Расчет развития'!C6+"BYw!(W`"</f>
        <v>#VALUE!</v>
      </c>
      <c r="CG172" s="117" t="e">
        <f>'2.6.Расчет развития'!D6+"BYw!(Wa"</f>
        <v>#VALUE!</v>
      </c>
      <c r="CH172" s="117" t="e">
        <f>'2.6.Расчет развития'!E6+"BYw!(Wb"</f>
        <v>#VALUE!</v>
      </c>
      <c r="CI172" s="117" t="e">
        <f>'2.6.Расчет развития'!#REF!+"BYw!(Wc"</f>
        <v>#REF!</v>
      </c>
      <c r="CJ172" s="117" t="e">
        <f>'2.6.Расчет развития'!#REF!+"BYw!(Wd"</f>
        <v>#REF!</v>
      </c>
      <c r="CK172" s="117" t="e">
        <f>'2.6.Расчет развития'!#REF!+"BYw!(We"</f>
        <v>#REF!</v>
      </c>
      <c r="CL172" s="117" t="e">
        <f>'2.6.Расчет развития'!#REF!+"BYw!(Wf"</f>
        <v>#REF!</v>
      </c>
      <c r="CM172" s="117" t="e">
        <f>'2.6.Расчет развития'!#REF!+"BYw!(Wg"</f>
        <v>#REF!</v>
      </c>
      <c r="CN172" s="117" t="e">
        <f>'2.6.Расчет развития'!A7+"BYw!(Wh"</f>
        <v>#VALUE!</v>
      </c>
      <c r="CO172" s="117" t="e">
        <f>'2.6.Расчет развития'!B7+"BYw!(Wi"</f>
        <v>#VALUE!</v>
      </c>
      <c r="CP172" s="117" t="e">
        <f>'2.6.Расчет развития'!C7+"BYw!(Wj"</f>
        <v>#VALUE!</v>
      </c>
      <c r="CQ172" s="117" t="e">
        <f>'2.6.Расчет развития'!D7+"BYw!(Wk"</f>
        <v>#VALUE!</v>
      </c>
      <c r="CR172" s="117" t="e">
        <f>'2.6.Расчет развития'!E7+"BYw!(Wl"</f>
        <v>#VALUE!</v>
      </c>
      <c r="CS172" s="117" t="e">
        <f>'2.6.Расчет развития'!F7+"BYw!(Wm"</f>
        <v>#VALUE!</v>
      </c>
      <c r="CT172" t="e">
        <f>'2.6.Расчет развития'!A8+"BYw!(Wn"</f>
        <v>#VALUE!</v>
      </c>
      <c r="CU172" t="e">
        <f>'2.6.Расчет развития'!B8+"BYw!(Wo"</f>
        <v>#VALUE!</v>
      </c>
      <c r="CV172" t="e">
        <f>'2.6.Расчет развития'!C8+"BYw!(Wp"</f>
        <v>#VALUE!</v>
      </c>
      <c r="CW172" t="e">
        <f>'2.6.Расчет развития'!D8+"BYw!(Wq"</f>
        <v>#VALUE!</v>
      </c>
      <c r="CX172" t="e">
        <f>'2.6.Расчет развития'!E8+"BYw!(Wr"</f>
        <v>#VALUE!</v>
      </c>
      <c r="CY172" t="e">
        <f>'2.6.Расчет развития'!F8+"BYw!(Ws"</f>
        <v>#VALUE!</v>
      </c>
      <c r="CZ172" t="e">
        <f>'2.6.Расчет развития'!A9+"BYw!(Wt"</f>
        <v>#VALUE!</v>
      </c>
      <c r="DA172" s="117" t="e">
        <f>'2.6.Расчет развития'!B9+"BYw!(Wu"</f>
        <v>#VALUE!</v>
      </c>
      <c r="DB172" s="117" t="e">
        <f>'2.6.Расчет развития'!C9+"BYw!(Wv"</f>
        <v>#VALUE!</v>
      </c>
      <c r="DC172" t="e">
        <f>'2.6.Расчет развития'!D9+"BYw!(Ww"</f>
        <v>#VALUE!</v>
      </c>
      <c r="DD172" t="e">
        <f>'2.6.Расчет развития'!E9+"BYw!(Wx"</f>
        <v>#VALUE!</v>
      </c>
      <c r="DE172" t="e">
        <f>'2.6.Расчет развития'!F9+"BYw!(Wy"</f>
        <v>#VALUE!</v>
      </c>
      <c r="DF172" t="e">
        <f>'2.6.Расчет развития'!A10+"BYw!(Wz"</f>
        <v>#VALUE!</v>
      </c>
      <c r="DG172" s="117" t="e">
        <f>'2.6.Расчет развития'!B10+"BYw!(W{"</f>
        <v>#VALUE!</v>
      </c>
      <c r="DH172" s="117" t="e">
        <f>'2.6.Расчет развития'!C10+"BYw!(W|"</f>
        <v>#VALUE!</v>
      </c>
      <c r="DI172" t="e">
        <f>'2.6.Расчет развития'!D10+"BYw!(W}"</f>
        <v>#VALUE!</v>
      </c>
      <c r="DJ172" t="e">
        <f>'2.6.Расчет развития'!E10+"BYw!(W~"</f>
        <v>#VALUE!</v>
      </c>
      <c r="DK172" t="e">
        <f>'2.6.Расчет развития'!F10+"BYw!(X#"</f>
        <v>#VALUE!</v>
      </c>
      <c r="DL172" s="117" t="e">
        <f>'2.6.Расчет развития'!#REF!+"BYw!(X$"</f>
        <v>#REF!</v>
      </c>
      <c r="DM172" t="e">
        <f>'2.6.Расчет развития'!A11+"BYw!(X%"</f>
        <v>#VALUE!</v>
      </c>
      <c r="DN172" t="e">
        <f>'2.6.Расчет развития'!B11+"BYw!(X&amp;"</f>
        <v>#VALUE!</v>
      </c>
      <c r="DO172" t="e">
        <f>'2.6.Расчет развития'!C11+"BYw!(X'"</f>
        <v>#VALUE!</v>
      </c>
      <c r="DP172" t="e">
        <f>'2.6.Расчет развития'!D11+"BYw!(X("</f>
        <v>#VALUE!</v>
      </c>
      <c r="DQ172" t="e">
        <f>'2.6.Расчет развития'!E11+"BYw!(X)"</f>
        <v>#VALUE!</v>
      </c>
      <c r="DR172" s="117" t="e">
        <f>'2.6.Расчет развития'!F11+"BYw!(X."</f>
        <v>#VALUE!</v>
      </c>
      <c r="DS172" s="117" t="e">
        <f>'2.6.Расчет развития'!H11+"BYw!(X/"</f>
        <v>#VALUE!</v>
      </c>
      <c r="DT172" t="e">
        <f>'2.6.Расчет развития'!A12+"BYw!(X0"</f>
        <v>#VALUE!</v>
      </c>
      <c r="DU172" t="e">
        <f>'2.6.Расчет развития'!B12+"BYw!(X1"</f>
        <v>#VALUE!</v>
      </c>
      <c r="DV172" s="121" t="e">
        <f>'2.6.Расчет развития'!C12+"BYw!(X2"</f>
        <v>#VALUE!</v>
      </c>
      <c r="DW172" s="117" t="e">
        <f>'2.6.Расчет развития'!D12+"BYw!(X3"</f>
        <v>#VALUE!</v>
      </c>
      <c r="DX172" s="117" t="e">
        <f>'2.6.Расчет развития'!E12+"BYw!(X4"</f>
        <v>#VALUE!</v>
      </c>
      <c r="DY172" s="121" t="e">
        <f>'2.6.Расчет развития'!F12+"BYw!(X5"</f>
        <v>#VALUE!</v>
      </c>
      <c r="DZ172" s="117" t="e">
        <f>'2.6.Расчет развития'!H12+"BYw!(X6"</f>
        <v>#VALUE!</v>
      </c>
      <c r="EA172" t="e">
        <f>'2.6.Расчет развития'!A13+"BYw!(X7"</f>
        <v>#VALUE!</v>
      </c>
      <c r="EB172" t="e">
        <f>'2.6.Расчет развития'!B13+"BYw!(X8"</f>
        <v>#VALUE!</v>
      </c>
      <c r="EC172" t="e">
        <f>'2.6.Расчет развития'!C13+"BYw!(X9"</f>
        <v>#VALUE!</v>
      </c>
      <c r="ED172" s="117" t="e">
        <f>'2.6.Расчет развития'!D13+"BYw!(X:"</f>
        <v>#VALUE!</v>
      </c>
      <c r="EE172" s="117" t="e">
        <f>'2.6.Расчет развития'!E13+"BYw!(X;"</f>
        <v>#VALUE!</v>
      </c>
      <c r="EF172" s="117" t="e">
        <f>'2.6.Расчет развития'!F13+"BYw!(X&lt;"</f>
        <v>#VALUE!</v>
      </c>
      <c r="EG172" s="117" t="e">
        <f>'2.6.Расчет развития'!H13+"BYw!(X="</f>
        <v>#VALUE!</v>
      </c>
      <c r="EH172" s="117" t="e">
        <f>'2.6.Расчет развития'!F14+"BYw!(X&gt;"</f>
        <v>#VALUE!</v>
      </c>
      <c r="EI172" s="117" t="e">
        <f>'2.6.Расчет развития'!H14+"BYw!(X?"</f>
        <v>#VALUE!</v>
      </c>
      <c r="EJ172" t="e">
        <f>'2.6.Расчет развития'!C15+"BYw!(X@"</f>
        <v>#VALUE!</v>
      </c>
      <c r="EK172" s="41" t="e">
        <f>'2.6.Расчет развития'!D15+"BYw!(XA"</f>
        <v>#VALUE!</v>
      </c>
      <c r="EL172" s="117" t="e">
        <f>'2.6.Расчет развития'!F15+"BYw!(XB"</f>
        <v>#VALUE!</v>
      </c>
      <c r="EM172" s="117" t="e">
        <f>'2.6.Расчет развития'!H15+"BYw!(XC"</f>
        <v>#VALUE!</v>
      </c>
      <c r="EN172" t="e">
        <f>'2.6.Расчет развития'!B16+"BYw!(XD"</f>
        <v>#VALUE!</v>
      </c>
      <c r="EO172" s="41" t="e">
        <f>'2.6.Расчет развития'!C16+"BYw!(XE"</f>
        <v>#VALUE!</v>
      </c>
      <c r="EP172" t="e">
        <f>'2.6.Расчет развития'!D16+"BYw!(XF"</f>
        <v>#VALUE!</v>
      </c>
      <c r="EQ172" t="e">
        <f>'2.6.Расчет развития'!E16+"BYw!(XG"</f>
        <v>#VALUE!</v>
      </c>
      <c r="ER172" s="41" t="e">
        <f>'2.6.Расчет развития'!F16+"BYw!(XH"</f>
        <v>#VALUE!</v>
      </c>
      <c r="ES172" t="e">
        <f>'2.6.Расчет развития'!B17+"BYw!(XI"</f>
        <v>#VALUE!</v>
      </c>
      <c r="ET172" t="e">
        <f>'2.6.Расчет развития'!C17+"BYw!(XJ"</f>
        <v>#VALUE!</v>
      </c>
      <c r="EU172" t="e">
        <f>'2.6.Расчет развития'!D17+"BYw!(XK"</f>
        <v>#VALUE!</v>
      </c>
      <c r="EV172" t="e">
        <f>'2.6.Расчет развития'!E17+"BYw!(XL"</f>
        <v>#VALUE!</v>
      </c>
      <c r="EW172" t="e">
        <f>'2.6.Расчет развития'!F17+"BYw!(XM"</f>
        <v>#VALUE!</v>
      </c>
      <c r="EX172" t="e">
        <f>'2.6.Расчет развития'!B18+"BYw!(XN"</f>
        <v>#VALUE!</v>
      </c>
      <c r="EY172" s="41" t="e">
        <f>'2.6.Расчет развития'!C18+"BYw!(XO"</f>
        <v>#VALUE!</v>
      </c>
      <c r="EZ172" t="e">
        <f>'2.6.Расчет развития'!E18+"BYw!(XP"</f>
        <v>#VALUE!</v>
      </c>
      <c r="FA172" s="41" t="e">
        <f>'2.6.Расчет развития'!F18+"BYw!(XQ"</f>
        <v>#VALUE!</v>
      </c>
      <c r="FB172" t="e">
        <f>'2.6.Расчет развития'!B19+"BYw!(XR"</f>
        <v>#VALUE!</v>
      </c>
      <c r="FC172" t="e">
        <f>'2.6.Расчет развития'!B20+"BYw!(XS"</f>
        <v>#VALUE!</v>
      </c>
      <c r="FD172" s="41" t="e">
        <f>'2.6.Расчет развития'!C20+"BYw!(XT"</f>
        <v>#VALUE!</v>
      </c>
      <c r="FE172" t="e">
        <f>'2.6.Расчет развития'!I20+"BYw!(XU"</f>
        <v>#VALUE!</v>
      </c>
      <c r="FF172" t="e">
        <f>'2.6.Расчет развития'!B21+"BYw!(XV"</f>
        <v>#VALUE!</v>
      </c>
      <c r="FG172" s="41" t="e">
        <f>'2.6.Расчет развития'!C21+"BYw!(XW"</f>
        <v>#VALUE!</v>
      </c>
      <c r="FH172" t="e">
        <f>'2.6.Расчет развития'!B22+"BYw!(XX"</f>
        <v>#VALUE!</v>
      </c>
      <c r="FI172" t="e">
        <f>'2.6.Расчет развития'!B23+"BYw!(XY"</f>
        <v>#VALUE!</v>
      </c>
      <c r="FJ172" t="e">
        <f>'2.6.Расчет развития'!B24+"BYw!(XZ"</f>
        <v>#VALUE!</v>
      </c>
      <c r="FK172" t="e">
        <f>'2.6.Расчет развития'!B25+"BYw!(X["</f>
        <v>#VALUE!</v>
      </c>
      <c r="FL172" t="e">
        <f>'2.6.Расчет развития'!B26+"BYw!(X\"</f>
        <v>#VALUE!</v>
      </c>
      <c r="FM172" t="e">
        <f>'2.6.Расчет развития'!B27+"BYw!(X]"</f>
        <v>#VALUE!</v>
      </c>
      <c r="FN172" t="e">
        <f>'2.6.Расчет развития'!B28+"BYw!(X^"</f>
        <v>#VALUE!</v>
      </c>
      <c r="FO172" t="e">
        <f>'2.6.Расчет развития'!B29+"BYw!(X_"</f>
        <v>#VALUE!</v>
      </c>
      <c r="FP172" t="e">
        <f>'2.6.Расчет развития'!B30+"BYw!(X`"</f>
        <v>#VALUE!</v>
      </c>
      <c r="FQ172" t="e">
        <f>'2.6.Расчет развития'!B31+"BYw!(Xa"</f>
        <v>#VALUE!</v>
      </c>
      <c r="FR172" t="e">
        <f>'2.6.Расчет развития'!B32+"BYw!(Xb"</f>
        <v>#VALUE!</v>
      </c>
      <c r="FS172" t="e">
        <f>'2.6.Расчет развития'!B33+"BYw!(Xc"</f>
        <v>#VALUE!</v>
      </c>
      <c r="FT172" t="e">
        <f>'2.6.Расчет развития'!B34+"BYw!(Xd"</f>
        <v>#VALUE!</v>
      </c>
      <c r="FU172" t="e">
        <f>'2.6.Расчет развития'!B35+"BYw!(Xe"</f>
        <v>#VALUE!</v>
      </c>
      <c r="FV172" t="e">
        <f>'2.6.Расчет развития'!B36+"BYw!(Xf"</f>
        <v>#VALUE!</v>
      </c>
      <c r="FW172" t="e">
        <f>'2.6.Расчет развития'!B37+"BYw!(Xg"</f>
        <v>#VALUE!</v>
      </c>
      <c r="FX172" t="e">
        <f>'2.6.Расчет развития'!B38+"BYw!(Xh"</f>
        <v>#VALUE!</v>
      </c>
      <c r="FY172" t="e">
        <f>'2.6.Расчет развития'!B39+"BYw!(Xi"</f>
        <v>#VALUE!</v>
      </c>
      <c r="FZ172" t="e">
        <f>'2.6.Расчет развития'!B40+"BYw!(Xj"</f>
        <v>#VALUE!</v>
      </c>
      <c r="GA172" t="e">
        <f>'2.6.Расчет развития'!B41+"BYw!(Xk"</f>
        <v>#VALUE!</v>
      </c>
      <c r="GB172" t="e">
        <f>'2.6.Расчет развития'!B42+"BYw!(Xl"</f>
        <v>#VALUE!</v>
      </c>
      <c r="GC172" t="e">
        <f>'2.6.Расчет развития'!B43+"BYw!(Xm"</f>
        <v>#VALUE!</v>
      </c>
      <c r="GD172" t="e">
        <f>'2.6.Расчет развития'!B44+"BYw!(Xn"</f>
        <v>#VALUE!</v>
      </c>
      <c r="GE172" t="e">
        <f>'2.6.Расчет развития'!B45+"BYw!(Xo"</f>
        <v>#VALUE!</v>
      </c>
      <c r="GF172" t="e">
        <f>'2.6.Расчет развития'!B46+"BYw!(Xp"</f>
        <v>#VALUE!</v>
      </c>
      <c r="GG172" t="e">
        <f>'2.6.Расчет развития'!B47+"BYw!(Xq"</f>
        <v>#VALUE!</v>
      </c>
      <c r="GH172" t="e">
        <f>'2.6.Расчет развития'!B48+"BYw!(Xr"</f>
        <v>#VALUE!</v>
      </c>
      <c r="GI172" t="e">
        <f>'2.6.Расчет развития'!B49+"BYw!(Xs"</f>
        <v>#VALUE!</v>
      </c>
      <c r="GJ172" t="e">
        <f>'2.6.Расчет развития'!B50+"BYw!(Xt"</f>
        <v>#VALUE!</v>
      </c>
      <c r="GK172" t="e">
        <f>'2.6.Расчет развития'!B51+"BYw!(Xu"</f>
        <v>#VALUE!</v>
      </c>
      <c r="GL172" t="e">
        <f>'2.6.Расчет развития'!B52+"BYw!(Xv"</f>
        <v>#VALUE!</v>
      </c>
      <c r="GM172" t="e">
        <f>'2.6.Расчет развития'!B53+"BYw!(Xw"</f>
        <v>#VALUE!</v>
      </c>
      <c r="GN172" t="e">
        <f>'2.6.Расчет развития'!B54+"BYw!(Xx"</f>
        <v>#VALUE!</v>
      </c>
      <c r="GO172" t="e">
        <f>'2.6.Расчет развития'!B55+"BYw!(Xy"</f>
        <v>#VALUE!</v>
      </c>
      <c r="GP172" t="e">
        <f>'2.6.Расчет развития'!B56+"BYw!(Xz"</f>
        <v>#VALUE!</v>
      </c>
      <c r="GQ172" t="e">
        <f>'2.6.Расчет развития'!B57+"BYw!(X{"</f>
        <v>#VALUE!</v>
      </c>
      <c r="GR172" t="e">
        <f>'2.6.Расчет развития'!B58+"BYw!(X|"</f>
        <v>#VALUE!</v>
      </c>
      <c r="GS172" t="e">
        <f>'2.6.Расчет развития'!B59+"BYw!(X}"</f>
        <v>#VALUE!</v>
      </c>
      <c r="GT172" t="e">
        <f>'2.6.Расчет развития'!B60+"BYw!(X~"</f>
        <v>#VALUE!</v>
      </c>
      <c r="GU172" t="e">
        <f>'2.6.Расчет развития'!B61+"BYw!(Y#"</f>
        <v>#VALUE!</v>
      </c>
      <c r="GV172" t="e">
        <f>'2.6.Расчет развития'!B62+"BYw!(Y$"</f>
        <v>#VALUE!</v>
      </c>
      <c r="GW172" t="e">
        <f>'2.6.Расчет развития'!B63+"BYw!(Y%"</f>
        <v>#VALUE!</v>
      </c>
      <c r="GX172" t="e">
        <f>'2.6.Расчет развития'!B64+"BYw!(Y&amp;"</f>
        <v>#VALUE!</v>
      </c>
      <c r="GY172" t="e">
        <f>'2.6.Расчет развития'!B65+"BYw!(Y'"</f>
        <v>#VALUE!</v>
      </c>
      <c r="GZ172" t="e">
        <f>'2.6.Расчет развития'!B66+"BYw!(Y("</f>
        <v>#VALUE!</v>
      </c>
      <c r="HA172" t="e">
        <f>'2.6.Расчет развития'!B67+"BYw!(Y)"</f>
        <v>#VALUE!</v>
      </c>
      <c r="HB172" t="e">
        <f>'2.6.Расчет развития'!B68+"BYw!(Y."</f>
        <v>#VALUE!</v>
      </c>
      <c r="HC172" t="e">
        <f>'2.6.Расчет развития'!B69+"BYw!(Y/"</f>
        <v>#VALUE!</v>
      </c>
      <c r="HD172" t="e">
        <f>'2.6.Расчет развития'!B70+"BYw!(Y0"</f>
        <v>#VALUE!</v>
      </c>
      <c r="HE172" t="e">
        <f>'2.6.Расчет развития'!B71+"BYw!(Y1"</f>
        <v>#VALUE!</v>
      </c>
      <c r="HF172" t="e">
        <f>'2.6.Расчет развития'!B72+"BYw!(Y2"</f>
        <v>#VALUE!</v>
      </c>
      <c r="HG172" t="e">
        <f>'2.6.Расчет развития'!B73+"BYw!(Y3"</f>
        <v>#VALUE!</v>
      </c>
      <c r="HH172" t="e">
        <f>'2.6.Расчет развития'!B74+"BYw!(Y4"</f>
        <v>#VALUE!</v>
      </c>
      <c r="HI172" t="e">
        <f>'2.6.Расчет развития'!B75+"BYw!(Y5"</f>
        <v>#VALUE!</v>
      </c>
      <c r="HJ172" t="e">
        <f>'2.6.Расчет развития'!B76+"BYw!(Y6"</f>
        <v>#VALUE!</v>
      </c>
      <c r="HK172" t="e">
        <f>'2.6.Расчет развития'!B77+"BYw!(Y7"</f>
        <v>#VALUE!</v>
      </c>
      <c r="HL172" t="e">
        <f>'2.6.Расчет развития'!B78+"BYw!(Y8"</f>
        <v>#VALUE!</v>
      </c>
      <c r="HM172" t="e">
        <f>'2.6.Расчет развития'!B79+"BYw!(Y9"</f>
        <v>#VALUE!</v>
      </c>
      <c r="HN172" t="e">
        <f>'2.6.Расчет развития'!B80+"BYw!(Y:"</f>
        <v>#VALUE!</v>
      </c>
      <c r="HO172" t="e">
        <f>'2.6.Расчет развития'!B81+"BYw!(Y;"</f>
        <v>#VALUE!</v>
      </c>
      <c r="HP172" t="e">
        <f>'2.6.Расчет развития'!B82+"BYw!(Y&lt;"</f>
        <v>#VALUE!</v>
      </c>
      <c r="HQ172" t="e">
        <f>'2.6.Расчет развития'!B83+"BYw!(Y="</f>
        <v>#VALUE!</v>
      </c>
      <c r="HR172" t="e">
        <f>'2.6.Расчет развития'!B84+"BYw!(Y&gt;"</f>
        <v>#VALUE!</v>
      </c>
      <c r="HS172" t="e">
        <f>'2.6.Расчет развития'!B85+"BYw!(Y?"</f>
        <v>#VALUE!</v>
      </c>
      <c r="HT172" t="e">
        <f>'2.6.Расчет развития'!B86+"BYw!(Y@"</f>
        <v>#VALUE!</v>
      </c>
      <c r="HU172" t="e">
        <f>'2.6.Расчет развития'!B87+"BYw!(YA"</f>
        <v>#VALUE!</v>
      </c>
      <c r="HV172" t="e">
        <f>'2.6.Расчет развития'!B88+"BYw!(YB"</f>
        <v>#VALUE!</v>
      </c>
      <c r="HW172" t="e">
        <f>'2.6.Расчет развития'!B89+"BYw!(YC"</f>
        <v>#VALUE!</v>
      </c>
      <c r="HX172" t="e">
        <f>'2.6.Расчет развития'!B90+"BYw!(YD"</f>
        <v>#VALUE!</v>
      </c>
      <c r="HY172" t="e">
        <f>'2.6.Расчет развития'!B91+"BYw!(YE"</f>
        <v>#VALUE!</v>
      </c>
      <c r="HZ172" t="e">
        <f>'2.6.Расчет развития'!B92+"BYw!(YF"</f>
        <v>#VALUE!</v>
      </c>
      <c r="IA172" t="e">
        <f>'2.6.Расчет развития'!B93+"BYw!(YG"</f>
        <v>#VALUE!</v>
      </c>
      <c r="IB172" t="e">
        <f>'2.6.Расчет развития'!B94+"BYw!(YH"</f>
        <v>#VALUE!</v>
      </c>
      <c r="IC172" t="e">
        <f>'2.6.Расчет развития'!B95+"BYw!(YI"</f>
        <v>#VALUE!</v>
      </c>
      <c r="ID172" t="e">
        <f>'2.6.Расчет развития'!B96+"BYw!(YJ"</f>
        <v>#VALUE!</v>
      </c>
      <c r="IE172" t="e">
        <f>'2.6.Расчет развития'!B97+"BYw!(YK"</f>
        <v>#VALUE!</v>
      </c>
      <c r="IF172" t="e">
        <f>'2.6.Расчет развития'!B98+"BYw!(YL"</f>
        <v>#VALUE!</v>
      </c>
      <c r="IG172" t="e">
        <f>'2.6.Расчет развития'!B99+"BYw!(YM"</f>
        <v>#VALUE!</v>
      </c>
      <c r="IH172" t="e">
        <f>'2.6.Расчет развития'!B100+"BYw!(YN"</f>
        <v>#VALUE!</v>
      </c>
      <c r="II172" t="e">
        <f>'2.6.Расчет развития'!B101+"BYw!(YO"</f>
        <v>#VALUE!</v>
      </c>
      <c r="IJ172" t="e">
        <f>'2.6.Расчет развития'!B102+"BYw!(YP"</f>
        <v>#VALUE!</v>
      </c>
      <c r="IK172" t="e">
        <f>'2.6.Расчет развития'!B103+"BYw!(YQ"</f>
        <v>#VALUE!</v>
      </c>
      <c r="IL172" t="e">
        <f>'2.6.Расчет развития'!B104+"BYw!(YR"</f>
        <v>#VALUE!</v>
      </c>
      <c r="IM172" t="e">
        <f>'2.6.Расчет развития'!B105+"BYw!(YS"</f>
        <v>#VALUE!</v>
      </c>
      <c r="IN172" t="e">
        <f>'2.6.Расчет развития'!B106+"BYw!(YT"</f>
        <v>#VALUE!</v>
      </c>
      <c r="IO172" t="e">
        <f>'2.6.Расчет развития'!A:A*"BYw!(YU"</f>
        <v>#VALUE!</v>
      </c>
      <c r="IP172" t="e">
        <f>'2.6.Расчет развития'!B:B*"BYw!(YV"</f>
        <v>#VALUE!</v>
      </c>
      <c r="IQ172" t="e">
        <f>'2.6.Расчет развития'!C:C*"BYw!(YW"</f>
        <v>#VALUE!</v>
      </c>
      <c r="IR172" t="e">
        <f>'2.6.Расчет развития'!D:D*"BYw!(YX"</f>
        <v>#VALUE!</v>
      </c>
      <c r="IS172" t="e">
        <f>'2.6.Расчет развития'!E:E*"BYw!(YY"</f>
        <v>#VALUE!</v>
      </c>
      <c r="IT172" t="e">
        <f>'2.6.Расчет развития'!F:F*"BYw!(YZ"</f>
        <v>#VALUE!</v>
      </c>
      <c r="IU172" t="e">
        <f>'2.6.Расчет развития'!G:G*"BYw!(Y["</f>
        <v>#VALUE!</v>
      </c>
      <c r="IV172" t="e">
        <f>'2.6.Расчет развития'!H:H*"BYw!(Y\"</f>
        <v>#VALUE!</v>
      </c>
    </row>
    <row r="173" spans="6:256" x14ac:dyDescent="0.2">
      <c r="F173" t="e">
        <f>'2.6.Расчет развития'!I:I*"BYw!(Y]"</f>
        <v>#VALUE!</v>
      </c>
      <c r="G173" t="e">
        <f>'2.6.Расчет развития'!J:J*"BYw!(Y^"</f>
        <v>#VALUE!</v>
      </c>
      <c r="H173" t="e">
        <f>'2.6.Расчет развития'!K:K*"BYw!(Y_"</f>
        <v>#VALUE!</v>
      </c>
      <c r="I173" t="e">
        <f>'2.6.Расчет развития'!L:L*"BYw!(Y`"</f>
        <v>#VALUE!</v>
      </c>
      <c r="J173" t="e">
        <f>'2.6.Расчет развития'!M:M*"BYw!(Ya"</f>
        <v>#VALUE!</v>
      </c>
      <c r="K173" t="e">
        <f>'2.6.Расчет развития'!N:N*"BYw!(Yb"</f>
        <v>#VALUE!</v>
      </c>
      <c r="L173" t="e">
        <f>'2.6.Расчет развития'!O:O*"BYw!(Yc"</f>
        <v>#VALUE!</v>
      </c>
      <c r="M173" t="e">
        <f>'2.6.Расчет развития'!P:P*"BYw!(Yd"</f>
        <v>#VALUE!</v>
      </c>
      <c r="N173" t="e">
        <f>'2.6.Расчет развития'!Q:Q*"BYw!(Ye"</f>
        <v>#VALUE!</v>
      </c>
      <c r="O173" t="e">
        <f>'2.6.Расчет развития'!R:R*"BYw!(Yf"</f>
        <v>#VALUE!</v>
      </c>
      <c r="P173" t="e">
        <f>'2.6.Расчет развития'!S:S*"BYw!(Yg"</f>
        <v>#VALUE!</v>
      </c>
      <c r="Q173" t="e">
        <f>'2.6.Расчет развития'!T:T*"BYw!(Yh"</f>
        <v>#VALUE!</v>
      </c>
      <c r="R173" t="e">
        <f>'2.6.Расчет развития'!U:U*"BYw!(Yi"</f>
        <v>#VALUE!</v>
      </c>
      <c r="S173" t="e">
        <f>'2.6.Расчет развития'!V:V*"BYw!(Yj"</f>
        <v>#VALUE!</v>
      </c>
      <c r="T173" t="e">
        <f>'2.6.Расчет развития'!W:W*"BYw!(Yk"</f>
        <v>#VALUE!</v>
      </c>
      <c r="U173" t="e">
        <f>'2.6.Расчет развития'!X:X*"BYw!(Yl"</f>
        <v>#VALUE!</v>
      </c>
      <c r="V173" t="e">
        <f>'2.6.Расчет развития'!Y:Y*"BYw!(Ym"</f>
        <v>#VALUE!</v>
      </c>
      <c r="W173" t="e">
        <f>'2.6.Расчет развития'!Z:Z*"BYw!(Yn"</f>
        <v>#VALUE!</v>
      </c>
      <c r="X173" t="e">
        <f>'2.6.Расчет развития'!AA:AA*"BYw!(Yo"</f>
        <v>#VALUE!</v>
      </c>
      <c r="Y173" t="e">
        <f>'2.6.Расчет развития'!AB:AB*"BYw!(Yp"</f>
        <v>#VALUE!</v>
      </c>
      <c r="Z173" t="e">
        <f>'2.6.Расчет развития'!AC:AC*"BYw!(Yq"</f>
        <v>#VALUE!</v>
      </c>
      <c r="AA173" t="e">
        <f>'2.6.Расчет развития'!AD:AD*"BYw!(Yr"</f>
        <v>#VALUE!</v>
      </c>
      <c r="AB173" t="e">
        <f>'2.6.Расчет развития'!AE:AE*"BYw!(Ys"</f>
        <v>#VALUE!</v>
      </c>
      <c r="AC173" t="e">
        <f>'2.6.Расчет развития'!AF:AF*"BYw!(Yt"</f>
        <v>#VALUE!</v>
      </c>
      <c r="AD173" t="e">
        <f>'2.6.Расчет развития'!AG:AG*"BYw!(Yu"</f>
        <v>#VALUE!</v>
      </c>
      <c r="AE173" t="e">
        <f>'2.6.Расчет развития'!AH:AH*"BYw!(Yv"</f>
        <v>#VALUE!</v>
      </c>
      <c r="AF173" t="e">
        <f>'2.6.Расчет развития'!AI:AI*"BYw!(Yw"</f>
        <v>#VALUE!</v>
      </c>
      <c r="AG173" t="e">
        <f>'2.6.Расчет развития'!AJ:AJ*"BYw!(Yx"</f>
        <v>#VALUE!</v>
      </c>
      <c r="AH173" t="e">
        <f>'2.6.Расчет развития'!AK:AK*"BYw!(Yy"</f>
        <v>#VALUE!</v>
      </c>
      <c r="AI173" t="e">
        <f>'2.6.Расчет развития'!AL:AL*"BYw!(Yz"</f>
        <v>#VALUE!</v>
      </c>
      <c r="AJ173" t="e">
        <f>'2.6.Расчет развития'!AM:AM*"BYw!(Y{"</f>
        <v>#VALUE!</v>
      </c>
      <c r="AK173" t="e">
        <f>'2.6.Расчет развития'!AN:AN*"BYw!(Y|"</f>
        <v>#VALUE!</v>
      </c>
      <c r="AL173" t="e">
        <f>'2.6.Расчет развития'!AO:AO*"BYw!(Y}"</f>
        <v>#VALUE!</v>
      </c>
      <c r="AM173" t="e">
        <f>'2.6.Расчет развития'!AP:AP*"BYw!(Y~"</f>
        <v>#VALUE!</v>
      </c>
      <c r="AN173" t="e">
        <f>'2.6.Расчет развития'!AQ:AQ*"BYw!(Z#"</f>
        <v>#VALUE!</v>
      </c>
      <c r="AO173" t="e">
        <f>'2.6.Расчет развития'!AR:AR*"BYw!(Z$"</f>
        <v>#VALUE!</v>
      </c>
      <c r="AP173" t="e">
        <f>'2.6.Расчет развития'!AS:AS*"BYw!(Z%"</f>
        <v>#VALUE!</v>
      </c>
      <c r="AQ173" t="e">
        <f>'2.6.Расчет развития'!AT:AT*"BYw!(Z&amp;"</f>
        <v>#VALUE!</v>
      </c>
      <c r="AR173" t="e">
        <f>'2.6.Расчет развития'!AU:AU*"BYw!(Z'"</f>
        <v>#VALUE!</v>
      </c>
      <c r="AS173" t="e">
        <f>'2.6.Расчет развития'!AV:AV*"BYw!(Z("</f>
        <v>#VALUE!</v>
      </c>
      <c r="AT173" t="e">
        <f>'2.6.Расчет развития'!AW:AW*"BYw!(Z)"</f>
        <v>#VALUE!</v>
      </c>
      <c r="AU173" t="e">
        <f>'2.6.Расчет развития'!AX:AX*"BYw!(Z."</f>
        <v>#VALUE!</v>
      </c>
      <c r="AV173" t="e">
        <f>'2.6.Расчет развития'!AY:AY*"BYw!(Z/"</f>
        <v>#VALUE!</v>
      </c>
      <c r="AW173" t="e">
        <f>'2.6.Расчет развития'!AZ:AZ*"BYw!(Z0"</f>
        <v>#VALUE!</v>
      </c>
      <c r="AX173" t="e">
        <f>'2.6.Расчет развития'!BA:BA*"BYw!(Z1"</f>
        <v>#VALUE!</v>
      </c>
      <c r="AY173" t="e">
        <f>'2.6.Расчет развития'!BB:BB*"BYw!(Z2"</f>
        <v>#VALUE!</v>
      </c>
      <c r="AZ173" t="e">
        <f>'2.6.Расчет развития'!BC:BC*"BYw!(Z3"</f>
        <v>#VALUE!</v>
      </c>
      <c r="BA173" t="e">
        <f>'2.6.Расчет развития'!BD:BD*"BYw!(Z4"</f>
        <v>#VALUE!</v>
      </c>
      <c r="BB173" t="e">
        <f>'2.6.Расчет развития'!BE:BE*"BYw!(Z5"</f>
        <v>#VALUE!</v>
      </c>
      <c r="BC173" t="e">
        <f>'2.6.Расчет развития'!BF:BF*"BYw!(Z6"</f>
        <v>#VALUE!</v>
      </c>
      <c r="BD173" t="e">
        <f>'2.6.Расчет развития'!BG:BG*"BYw!(Z7"</f>
        <v>#VALUE!</v>
      </c>
      <c r="BE173" t="e">
        <f>'2.6.Расчет развития'!1:1-"BYw!(Z8"</f>
        <v>#VALUE!</v>
      </c>
      <c r="BF173" t="e">
        <f>'2.6.Расчет развития'!2:2-"BYw!(Z9"</f>
        <v>#VALUE!</v>
      </c>
      <c r="BG173" s="117" t="e">
        <f>'2.6.Расчет развития'!3:3-"BYw!(Z:"</f>
        <v>#VALUE!</v>
      </c>
      <c r="BH173" s="117" t="e">
        <f>'2.6.Расчет развития'!#REF!-"BYw!(Z;"</f>
        <v>#REF!</v>
      </c>
      <c r="BI173" t="e">
        <f>'2.6.Расчет развития'!4:4-"BYw!(Z&lt;"</f>
        <v>#VALUE!</v>
      </c>
      <c r="BJ173" s="119" t="e">
        <f>'2.6.Расчет развития'!5:5-"BYw!(Z="</f>
        <v>#VALUE!</v>
      </c>
      <c r="BK173" s="117" t="e">
        <f>'2.6.Расчет развития'!6:6-"BYw!(Z&gt;"</f>
        <v>#VALUE!</v>
      </c>
      <c r="BL173" s="117" t="e">
        <f>'2.6.Расчет развития'!#REF!-"BYw!(Z?"</f>
        <v>#REF!</v>
      </c>
      <c r="BM173" s="117" t="e">
        <f>'2.6.Расчет развития'!7:7-"BYw!(Z@"</f>
        <v>#VALUE!</v>
      </c>
      <c r="BN173" t="e">
        <f>'2.6.Расчет развития'!#REF!-"BYw!(ZA"</f>
        <v>#REF!</v>
      </c>
      <c r="BO173" t="e">
        <f>'2.6.Расчет развития'!8:8-"BYw!(ZB"</f>
        <v>#VALUE!</v>
      </c>
      <c r="BP173" t="e">
        <f>'2.6.Расчет развития'!9:9-"BYw!(ZC"</f>
        <v>#VALUE!</v>
      </c>
      <c r="BQ173" t="e">
        <f>'2.6.Расчет развития'!10:10-"BYw!(ZD"</f>
        <v>#VALUE!</v>
      </c>
      <c r="BR173" t="e">
        <f>'2.6.Расчет развития'!#REF!-"BYw!(ZE"</f>
        <v>#REF!</v>
      </c>
      <c r="BS173" t="e">
        <f>'2.6.Расчет развития'!11:11-"BYw!(ZF"</f>
        <v>#VALUE!</v>
      </c>
      <c r="BT173" t="e">
        <f>'2.6.Расчет развития'!12:12-"BYw!(ZG"</f>
        <v>#VALUE!</v>
      </c>
      <c r="BU173" t="e">
        <f>'2.6.Расчет развития'!13:13-"BYw!(ZH"</f>
        <v>#VALUE!</v>
      </c>
      <c r="BV173" t="e">
        <f>'2.6.Расчет развития'!14:14-"BYw!(ZI"</f>
        <v>#VALUE!</v>
      </c>
      <c r="BW173" t="e">
        <f>'2.6.Расчет развития'!15:15-"BYw!(ZJ"</f>
        <v>#VALUE!</v>
      </c>
      <c r="BX173" t="e">
        <f>'2.6.Расчет развития'!16:16-"BYw!(ZK"</f>
        <v>#VALUE!</v>
      </c>
      <c r="BY173" t="e">
        <f>'2.6.Расчет развития'!17:17-"BYw!(ZL"</f>
        <v>#VALUE!</v>
      </c>
      <c r="BZ173" t="e">
        <f>'2.6.Расчет развития'!18:18-"BYw!(ZM"</f>
        <v>#VALUE!</v>
      </c>
      <c r="CA173" t="e">
        <f>'2.6.Расчет развития'!19:19-"BYw!(ZN"</f>
        <v>#VALUE!</v>
      </c>
      <c r="CB173" t="e">
        <f>'2.6.Расчет развития'!20:20-"BYw!(ZO"</f>
        <v>#VALUE!</v>
      </c>
      <c r="CC173" t="e">
        <f>'2.6.Расчет развития'!21:21-"BYw!(ZP"</f>
        <v>#VALUE!</v>
      </c>
      <c r="CD173" t="e">
        <f>'2.6.Расчет развития'!22:22-"BYw!(ZQ"</f>
        <v>#VALUE!</v>
      </c>
      <c r="CE173" t="e">
        <f>'2.6.Расчет развития'!23:23-"BYw!(ZR"</f>
        <v>#VALUE!</v>
      </c>
      <c r="CF173" t="e">
        <f>'2.6.Расчет развития'!24:24-"BYw!(ZS"</f>
        <v>#VALUE!</v>
      </c>
      <c r="CG173" t="e">
        <f>'2.6.Расчет развития'!25:25-"BYw!(ZT"</f>
        <v>#VALUE!</v>
      </c>
      <c r="CH173" t="e">
        <f>'2.6.Расчет развития'!26:26-"BYw!(ZU"</f>
        <v>#VALUE!</v>
      </c>
      <c r="CI173" t="e">
        <f>'2.6.Расчет развития'!27:27-"BYw!(ZV"</f>
        <v>#VALUE!</v>
      </c>
      <c r="CJ173" t="e">
        <f>'2.6.Расчет развития'!28:28-"BYw!(ZW"</f>
        <v>#VALUE!</v>
      </c>
      <c r="CK173" t="e">
        <f>'2.6.Расчет развития'!29:29-"BYw!(ZX"</f>
        <v>#VALUE!</v>
      </c>
      <c r="CL173" t="e">
        <f>'2.6.Расчет развития'!30:30-"BYw!(ZY"</f>
        <v>#VALUE!</v>
      </c>
      <c r="CM173" t="e">
        <f>'2.6.Расчет развития'!31:31-"BYw!(ZZ"</f>
        <v>#VALUE!</v>
      </c>
      <c r="CN173" t="e">
        <f>'2.6.Расчет развития'!32:32-"BYw!(Z["</f>
        <v>#VALUE!</v>
      </c>
      <c r="CO173" t="e">
        <f>'2.6.Расчет развития'!33:33-"BYw!(Z\"</f>
        <v>#VALUE!</v>
      </c>
      <c r="CP173" t="e">
        <f>'2.6.Расчет развития'!34:34-"BYw!(Z]"</f>
        <v>#VALUE!</v>
      </c>
      <c r="CQ173" t="e">
        <f>'2.6.Расчет развития'!35:35-"BYw!(Z^"</f>
        <v>#VALUE!</v>
      </c>
      <c r="CR173" t="e">
        <f>'2.6.Расчет развития'!36:36-"BYw!(Z_"</f>
        <v>#VALUE!</v>
      </c>
      <c r="CS173" t="e">
        <f>'2.6.Расчет развития'!37:37-"BYw!(Z`"</f>
        <v>#VALUE!</v>
      </c>
      <c r="CT173" t="e">
        <f>'2.6.Расчет развития'!38:38-"BYw!(Za"</f>
        <v>#VALUE!</v>
      </c>
      <c r="CU173" t="e">
        <f>'2.6.Расчет развития'!39:39-"BYw!(Zb"</f>
        <v>#VALUE!</v>
      </c>
      <c r="CV173" t="e">
        <f>'2.6.Расчет развития'!40:40-"BYw!(Zc"</f>
        <v>#VALUE!</v>
      </c>
      <c r="CW173" t="e">
        <f>'2.6.Расчет развития'!41:41-"BYw!(Zd"</f>
        <v>#VALUE!</v>
      </c>
      <c r="CX173" t="e">
        <f>'2.6.Расчет развития'!42:42-"BYw!(Ze"</f>
        <v>#VALUE!</v>
      </c>
      <c r="CY173" t="e">
        <f>'2.6.Расчет развития'!43:43-"BYw!(Zf"</f>
        <v>#VALUE!</v>
      </c>
      <c r="CZ173" t="e">
        <f>'2.6.Расчет развития'!44:44-"BYw!(Zg"</f>
        <v>#VALUE!</v>
      </c>
      <c r="DA173" t="e">
        <f>'2.6.Расчет развития'!45:45-"BYw!(Zh"</f>
        <v>#VALUE!</v>
      </c>
      <c r="DB173" t="e">
        <f>'2.6.Расчет развития'!46:46-"BYw!(Zi"</f>
        <v>#VALUE!</v>
      </c>
      <c r="DC173" t="e">
        <f>'2.6.Расчет развития'!47:47-"BYw!(Zj"</f>
        <v>#VALUE!</v>
      </c>
      <c r="DD173" t="e">
        <f>'2.6.Расчет развития'!48:48-"BYw!(Zk"</f>
        <v>#VALUE!</v>
      </c>
      <c r="DE173" t="e">
        <f>'2.6.Расчет развития'!49:49-"BYw!(Zl"</f>
        <v>#VALUE!</v>
      </c>
      <c r="DF173" t="e">
        <f>'2.6.Расчет развития'!50:50-"BYw!(Zm"</f>
        <v>#VALUE!</v>
      </c>
      <c r="DG173" t="e">
        <f>'2.6.Расчет развития'!51:51-"BYw!(Zn"</f>
        <v>#VALUE!</v>
      </c>
      <c r="DH173" t="e">
        <f>'2.6.Расчет развития'!52:52-"BYw!(Zo"</f>
        <v>#VALUE!</v>
      </c>
      <c r="DI173" t="e">
        <f>'2.6.Расчет развития'!53:53-"BYw!(Zp"</f>
        <v>#VALUE!</v>
      </c>
      <c r="DJ173" t="e">
        <f>'2.6.Расчет развития'!54:54-"BYw!(Zq"</f>
        <v>#VALUE!</v>
      </c>
      <c r="DK173" t="e">
        <f>'2.6.Расчет развития'!55:55-"BYw!(Zr"</f>
        <v>#VALUE!</v>
      </c>
      <c r="DL173" t="e">
        <f>'2.6.Расчет развития'!56:56-"BYw!(Zs"</f>
        <v>#VALUE!</v>
      </c>
      <c r="DM173" t="e">
        <f>'2.6.Расчет развития'!57:57-"BYw!(Zt"</f>
        <v>#VALUE!</v>
      </c>
      <c r="DN173" t="e">
        <f>'2.6.Расчет развития'!58:58-"BYw!(Zu"</f>
        <v>#VALUE!</v>
      </c>
      <c r="DO173" t="e">
        <f>'2.6.Расчет развития'!59:59-"BYw!(Zv"</f>
        <v>#VALUE!</v>
      </c>
      <c r="DP173" t="e">
        <f>'2.6.Расчет развития'!60:60-"BYw!(Zw"</f>
        <v>#VALUE!</v>
      </c>
      <c r="DQ173" t="e">
        <f>'2.6.Расчет развития'!61:61-"BYw!(Zx"</f>
        <v>#VALUE!</v>
      </c>
      <c r="DR173" t="e">
        <f>'2.6.Расчет развития'!62:62-"BYw!(Zy"</f>
        <v>#VALUE!</v>
      </c>
      <c r="DS173" t="e">
        <f>'2.6.Расчет развития'!63:63-"BYw!(Zz"</f>
        <v>#VALUE!</v>
      </c>
      <c r="DT173" t="e">
        <f>'2.6.Расчет развития'!64:64-"BYw!(Z{"</f>
        <v>#VALUE!</v>
      </c>
      <c r="DU173" t="e">
        <f>'2.6.Расчет развития'!65:65-"BYw!(Z|"</f>
        <v>#VALUE!</v>
      </c>
      <c r="DV173" t="e">
        <f>'2.6.Расчет развития'!66:66-"BYw!(Z}"</f>
        <v>#VALUE!</v>
      </c>
      <c r="DW173" t="e">
        <f>'2.6.Расчет развития'!67:67-"BYw!(Z~"</f>
        <v>#VALUE!</v>
      </c>
      <c r="DX173" t="e">
        <f>'2.6.Расчет развития'!68:68-"BYw!([#"</f>
        <v>#VALUE!</v>
      </c>
      <c r="DY173" t="e">
        <f>'2.6.Расчет развития'!69:69-"BYw!([$"</f>
        <v>#VALUE!</v>
      </c>
      <c r="DZ173" t="e">
        <f>'2.6.Расчет развития'!70:70-"BYw!([%"</f>
        <v>#VALUE!</v>
      </c>
      <c r="EA173" t="e">
        <f>'2.6.Расчет развития'!71:71-"BYw!([&amp;"</f>
        <v>#VALUE!</v>
      </c>
      <c r="EB173" t="e">
        <f>'2.6.Расчет развития'!72:72-"BYw!(['"</f>
        <v>#VALUE!</v>
      </c>
      <c r="EC173" t="e">
        <f>'2.6.Расчет развития'!73:73-"BYw!([("</f>
        <v>#VALUE!</v>
      </c>
      <c r="ED173" t="e">
        <f>'2.6.Расчет развития'!74:74-"BYw!([)"</f>
        <v>#VALUE!</v>
      </c>
      <c r="EE173" t="e">
        <f>'2.6.Расчет развития'!75:75-"BYw!([."</f>
        <v>#VALUE!</v>
      </c>
      <c r="EF173" t="e">
        <f>'2.6.Расчет развития'!76:76-"BYw!([/"</f>
        <v>#VALUE!</v>
      </c>
      <c r="EG173" t="e">
        <f>'2.6.Расчет развития'!77:77-"BYw!([0"</f>
        <v>#VALUE!</v>
      </c>
      <c r="EH173" t="e">
        <f>'2.6.Расчет развития'!78:78-"BYw!([1"</f>
        <v>#VALUE!</v>
      </c>
      <c r="EI173" t="e">
        <f>'2.6.Расчет развития'!79:79-"BYw!([2"</f>
        <v>#VALUE!</v>
      </c>
      <c r="EJ173" t="e">
        <f>'2.6.Расчет развития'!80:80-"BYw!([3"</f>
        <v>#VALUE!</v>
      </c>
      <c r="EK173" t="e">
        <f>'2.6.Расчет развития'!81:81-"BYw!([4"</f>
        <v>#VALUE!</v>
      </c>
      <c r="EL173" t="e">
        <f>'2.6.Расчет развития'!82:82-"BYw!([5"</f>
        <v>#VALUE!</v>
      </c>
      <c r="EM173" t="e">
        <f>'2.6.Расчет развития'!83:83-"BYw!([6"</f>
        <v>#VALUE!</v>
      </c>
      <c r="EN173" t="e">
        <f>'2.6.Расчет развития'!84:84-"BYw!([7"</f>
        <v>#VALUE!</v>
      </c>
      <c r="EO173" t="e">
        <f>'2.6.Расчет развития'!85:85-"BYw!([8"</f>
        <v>#VALUE!</v>
      </c>
      <c r="EP173" t="e">
        <f>'2.6.Расчет развития'!86:86-"BYw!([9"</f>
        <v>#VALUE!</v>
      </c>
      <c r="EQ173" t="e">
        <f>'2.6.Расчет развития'!87:87-"BYw!([:"</f>
        <v>#VALUE!</v>
      </c>
      <c r="ER173" t="e">
        <f>'2.6.Расчет развития'!88:88-"BYw!([;"</f>
        <v>#VALUE!</v>
      </c>
      <c r="ES173" t="e">
        <f>'2.6.Расчет развития'!89:89-"BYw!([&lt;"</f>
        <v>#VALUE!</v>
      </c>
      <c r="ET173" t="e">
        <f>'2.6.Расчет развития'!90:90-"BYw!([="</f>
        <v>#VALUE!</v>
      </c>
      <c r="EU173" t="e">
        <f>'2.6.Расчет развития'!91:91-"BYw!([&gt;"</f>
        <v>#VALUE!</v>
      </c>
      <c r="EV173" t="e">
        <f>'2.6.Расчет развития'!92:92-"BYw!([?"</f>
        <v>#VALUE!</v>
      </c>
      <c r="EW173" t="e">
        <f>'2.6.Расчет развития'!93:93-"BYw!([@"</f>
        <v>#VALUE!</v>
      </c>
      <c r="EX173" t="e">
        <f>'2.6.Расчет развития'!94:94-"BYw!([A"</f>
        <v>#VALUE!</v>
      </c>
      <c r="EY173" t="e">
        <f>'2.6.Расчет развития'!95:95-"BYw!([B"</f>
        <v>#VALUE!</v>
      </c>
      <c r="EZ173" t="e">
        <f>'2.6.Расчет развития'!96:96-"BYw!([C"</f>
        <v>#VALUE!</v>
      </c>
      <c r="FA173" t="e">
        <f>'2.6.Расчет развития'!97:97-"BYw!([D"</f>
        <v>#VALUE!</v>
      </c>
      <c r="FB173" t="e">
        <f>'2.6.Расчет развития'!98:98-"BYw!([E"</f>
        <v>#VALUE!</v>
      </c>
      <c r="FC173" t="e">
        <f>'2.6.Расчет развития'!99:99-"BYw!([F"</f>
        <v>#VALUE!</v>
      </c>
      <c r="FD173" t="e">
        <f>'2.6.Расчет развития'!100:100-"BYw!([G"</f>
        <v>#VALUE!</v>
      </c>
      <c r="FE173" t="e">
        <f>'2.6.Расчет развития'!101:101-"BYw!([H"</f>
        <v>#VALUE!</v>
      </c>
      <c r="FF173" t="e">
        <f>'2.6.Расчет развития'!102:102-"BYw!([I"</f>
        <v>#VALUE!</v>
      </c>
      <c r="FG173" t="e">
        <f>'2.6.Расчет развития'!103:103-"BYw!([J"</f>
        <v>#VALUE!</v>
      </c>
      <c r="FH173" t="e">
        <f>'2.6.Расчет развития'!104:104-"BYw!([K"</f>
        <v>#VALUE!</v>
      </c>
      <c r="FI173" t="e">
        <f>'2.6.Расчет развития'!105:105-"BYw!([L"</f>
        <v>#VALUE!</v>
      </c>
      <c r="FJ173" t="e">
        <f>'2.6.Расчет развития'!106:106-"BYw!([M"</f>
        <v>#VALUE!</v>
      </c>
      <c r="FK173" t="e">
        <f>'2.6.Расчет развития'!107:107-"BYw!([N"</f>
        <v>#VALUE!</v>
      </c>
      <c r="FL173" t="e">
        <f>'2.6.Расчет развития'!108:108-"BYw!([O"</f>
        <v>#VALUE!</v>
      </c>
      <c r="FM173" t="e">
        <f>'2.6.Расчет развития'!109:109-"BYw!([P"</f>
        <v>#VALUE!</v>
      </c>
      <c r="FN173" t="e">
        <f>'2.6.Расчет развития'!110:110-"BYw!([Q"</f>
        <v>#VALUE!</v>
      </c>
      <c r="FO173" t="e">
        <f>'2.6.Расчет развития'!111:111-"BYw!([R"</f>
        <v>#VALUE!</v>
      </c>
      <c r="FP173" t="e">
        <f>'2.6.Расчет развития'!112:112-"BYw!([S"</f>
        <v>#VALUE!</v>
      </c>
      <c r="FQ173" t="e">
        <f>'2.6.Расчет развития'!113:113-"BYw!([T"</f>
        <v>#VALUE!</v>
      </c>
      <c r="FR173" t="e">
        <f>'2.6.Расчет развития'!114:114-"BYw!([U"</f>
        <v>#VALUE!</v>
      </c>
      <c r="FS173" t="e">
        <f>'2.6.Расчет развития'!115:115-"BYw!([V"</f>
        <v>#VALUE!</v>
      </c>
      <c r="FT173" t="e">
        <f>'2.6.Расчет развития'!116:116-"BYw!([W"</f>
        <v>#VALUE!</v>
      </c>
      <c r="FU173" t="e">
        <f>'2.6.Расчет развития'!117:117-"BYw!([X"</f>
        <v>#VALUE!</v>
      </c>
      <c r="FV173" t="e">
        <f>'2.6.Расчет развития'!118:118-"BYw!([Y"</f>
        <v>#VALUE!</v>
      </c>
      <c r="FW173" t="e">
        <f>'2.6.Расчет развития'!119:119-"BYw!([Z"</f>
        <v>#VALUE!</v>
      </c>
      <c r="FX173" t="e">
        <f>'2.6.Расчет развития'!120:120-"BYw!([["</f>
        <v>#VALUE!</v>
      </c>
      <c r="FY173" t="e">
        <f>'2.6.Расчет развития'!121:121-"BYw!([\"</f>
        <v>#VALUE!</v>
      </c>
      <c r="FZ173" t="e">
        <f>'2.6.Расчет развития'!122:122-"BYw!([]"</f>
        <v>#VALUE!</v>
      </c>
      <c r="GA173" t="e">
        <f>'2.6.Расчет развития'!123:123-"BYw!([^"</f>
        <v>#VALUE!</v>
      </c>
      <c r="GB173" t="e">
        <f>'2.6.Расчет развития'!124:124-"BYw!([_"</f>
        <v>#VALUE!</v>
      </c>
      <c r="GC173" t="e">
        <f>'2.6.Расчет развития'!125:125-"BYw!([`"</f>
        <v>#VALUE!</v>
      </c>
      <c r="GD173" t="e">
        <f>'2.6.Расчет развития'!126:126-"BYw!([a"</f>
        <v>#VALUE!</v>
      </c>
      <c r="GE173" t="e">
        <f>'2.6.Расчет развития'!127:127-"BYw!([b"</f>
        <v>#VALUE!</v>
      </c>
      <c r="GF173" t="e">
        <f>'2.6.Расчет развития'!128:128-"BYw!([c"</f>
        <v>#VALUE!</v>
      </c>
      <c r="GG173" t="e">
        <f>'2.6.Расчет развития'!129:129-"BYw!([d"</f>
        <v>#VALUE!</v>
      </c>
      <c r="GH173" t="e">
        <f>'2.6.Расчет развития'!130:130-"BYw!([e"</f>
        <v>#VALUE!</v>
      </c>
      <c r="GI173" t="e">
        <f>'2.6.Расчет развития'!131:131-"BYw!([f"</f>
        <v>#VALUE!</v>
      </c>
      <c r="GJ173" t="e">
        <f>'2.6.Расчет развития'!132:132-"BYw!([g"</f>
        <v>#VALUE!</v>
      </c>
      <c r="GK173" t="e">
        <f>'2.6.Расчет развития'!133:133-"BYw!([h"</f>
        <v>#VALUE!</v>
      </c>
      <c r="GL173" t="e">
        <f>'2.6.Расчет развития'!134:134-"BYw!([i"</f>
        <v>#VALUE!</v>
      </c>
      <c r="GM173" t="e">
        <f>'2.6.Расчет развития'!135:135-"BYw!([j"</f>
        <v>#VALUE!</v>
      </c>
      <c r="GN173" t="e">
        <f>'2.6.Расчет развития'!136:136-"BYw!([k"</f>
        <v>#VALUE!</v>
      </c>
      <c r="GO173" t="e">
        <f>'2.6.Расчет развития'!137:137-"BYw!([l"</f>
        <v>#VALUE!</v>
      </c>
      <c r="GP173" t="e">
        <f>'2.6.Расчет развития'!138:138-"BYw!([m"</f>
        <v>#VALUE!</v>
      </c>
      <c r="GQ173" t="e">
        <f>'2.6.Расчет развития'!139:139-"BYw!([n"</f>
        <v>#VALUE!</v>
      </c>
      <c r="GR173" t="e">
        <f>'2.6.Расчет развития'!140:140-"BYw!([o"</f>
        <v>#VALUE!</v>
      </c>
      <c r="GS173" t="e">
        <f>'2.6.Расчет развития'!141:141-"BYw!([p"</f>
        <v>#VALUE!</v>
      </c>
      <c r="GT173" t="e">
        <f>'2.6.Расчет развития'!142:142-"BYw!([q"</f>
        <v>#VALUE!</v>
      </c>
      <c r="GU173" t="e">
        <f>'2.6.Расчет развития'!143:143-"BYw!([r"</f>
        <v>#VALUE!</v>
      </c>
      <c r="GV173" t="e">
        <f>'2.6.Расчет развития'!144:144-"BYw!([s"</f>
        <v>#VALUE!</v>
      </c>
      <c r="GW173" t="e">
        <f>'2.6.Расчет развития'!145:145-"BYw!([t"</f>
        <v>#VALUE!</v>
      </c>
      <c r="GX173" t="e">
        <f>'2.6.Расчет развития'!146:146-"BYw!([u"</f>
        <v>#VALUE!</v>
      </c>
      <c r="GY173" t="e">
        <f>'2.6.Расчет развития'!147:147-"BYw!([v"</f>
        <v>#VALUE!</v>
      </c>
      <c r="GZ173" t="e">
        <f>'2.6.Расчет развития'!148:148-"BYw!([w"</f>
        <v>#VALUE!</v>
      </c>
      <c r="HA173" t="e">
        <f>'2.6.Расчет развития'!149:149-"BYw!([x"</f>
        <v>#VALUE!</v>
      </c>
      <c r="HB173" t="e">
        <f>'2.6.Расчет развития'!150:150-"BYw!([y"</f>
        <v>#VALUE!</v>
      </c>
      <c r="HC173" t="e">
        <f>'2.6.Расчет развития'!151:151-"BYw!([z"</f>
        <v>#VALUE!</v>
      </c>
      <c r="HD173" t="e">
        <f>'2.6.Расчет развития'!152:152-"BYw!([{"</f>
        <v>#VALUE!</v>
      </c>
      <c r="HE173" t="e">
        <f>'2.6.Расчет развития'!153:153-"BYw!([|"</f>
        <v>#VALUE!</v>
      </c>
      <c r="HF173" t="e">
        <f>'2.6.Расчет развития'!154:154-"BYw!([}"</f>
        <v>#VALUE!</v>
      </c>
      <c r="HG173" t="e">
        <f>'2.6.Расчет развития'!155:155-"BYw!([~"</f>
        <v>#VALUE!</v>
      </c>
      <c r="HH173" t="e">
        <f>'2.6.Расчет развития'!156:156-"BYw!(\#"</f>
        <v>#VALUE!</v>
      </c>
      <c r="HI173" t="e">
        <f>'2.6.Расчет развития'!157:157-"BYw!(\$"</f>
        <v>#VALUE!</v>
      </c>
      <c r="HJ173" t="e">
        <f>'2.6.Расчет развития'!158:158-"BYw!(\%"</f>
        <v>#VALUE!</v>
      </c>
      <c r="HK173" t="e">
        <f>'2.6.Расчет развития'!159:159-"BYw!(\&amp;"</f>
        <v>#VALUE!</v>
      </c>
      <c r="HL173" t="e">
        <f>'2.6.Расчет развития'!160:160-"BYw!(\'"</f>
        <v>#VALUE!</v>
      </c>
      <c r="HM173" t="e">
        <f>'2.6.Расчет развития'!161:161-"BYw!(\("</f>
        <v>#VALUE!</v>
      </c>
      <c r="HN173" t="e">
        <f>'2.6.Расчет развития'!162:162-"BYw!(\)"</f>
        <v>#VALUE!</v>
      </c>
      <c r="HO173" t="e">
        <f>'2.6.Расчет развития'!163:163-"BYw!(\."</f>
        <v>#VALUE!</v>
      </c>
      <c r="HP173" t="e">
        <f>'2.6.Расчет развития'!164:164-"BYw!(\/"</f>
        <v>#VALUE!</v>
      </c>
      <c r="HQ173" t="e">
        <f>'2.6.Расчет развития'!165:165-"BYw!(\0"</f>
        <v>#VALUE!</v>
      </c>
      <c r="HR173" t="e">
        <f>'2.6.Расчет развития'!166:166-"BYw!(\1"</f>
        <v>#VALUE!</v>
      </c>
      <c r="HS173" t="e">
        <f>'2.6.Расчет развития'!167:167-"BYw!(\2"</f>
        <v>#VALUE!</v>
      </c>
      <c r="HT173" t="e">
        <f>'2.6.Расчет развития'!168:168-"BYw!(\3"</f>
        <v>#VALUE!</v>
      </c>
      <c r="HU173" t="e">
        <f>'2.6.Расчет развития'!169:169-"BYw!(\4"</f>
        <v>#VALUE!</v>
      </c>
      <c r="HV173" t="e">
        <f>'2.6.Расчет развития'!170:170-"BYw!(\5"</f>
        <v>#VALUE!</v>
      </c>
      <c r="HW173" t="e">
        <f>'2.6.Расчет развития'!171:171-"BYw!(\6"</f>
        <v>#VALUE!</v>
      </c>
      <c r="HX173" t="e">
        <f>'2.6.Расчет развития'!172:172-"BYw!(\7"</f>
        <v>#VALUE!</v>
      </c>
      <c r="HY173" t="e">
        <f>'2.6.Расчет развития'!173:173-"BYw!(\8"</f>
        <v>#VALUE!</v>
      </c>
      <c r="HZ173" t="e">
        <f>'2.6.Расчет развития'!174:174-"BYw!(\9"</f>
        <v>#VALUE!</v>
      </c>
      <c r="IA173" t="e">
        <f>'2.6.Расчет развития'!175:175-"BYw!(\:"</f>
        <v>#VALUE!</v>
      </c>
      <c r="IB173" t="e">
        <f>'2.6.Расчет развития'!176:176-"BYw!(\;"</f>
        <v>#VALUE!</v>
      </c>
      <c r="IC173" t="e">
        <f>'2.6.Расчет развития'!177:177-"BYw!(\&lt;"</f>
        <v>#VALUE!</v>
      </c>
      <c r="ID173" t="e">
        <f>'2.6.Расчет развития'!178:178-"BYw!(\="</f>
        <v>#VALUE!</v>
      </c>
      <c r="IE173" t="e">
        <f>'2.6.Расчет развития'!179:179-"BYw!(\&gt;"</f>
        <v>#VALUE!</v>
      </c>
      <c r="IF173" t="e">
        <f>'2.6.Расчет развития'!180:180-"BYw!(\?"</f>
        <v>#VALUE!</v>
      </c>
      <c r="IG173" t="e">
        <f>'2.6.Расчет развития'!181:181-"BYw!(\@"</f>
        <v>#VALUE!</v>
      </c>
      <c r="IH173" t="e">
        <f>'2.6.Расчет развития'!182:182-"BYw!(\A"</f>
        <v>#VALUE!</v>
      </c>
      <c r="II173" t="e">
        <f>'2.6.Расчет развития'!183:183-"BYw!(\B"</f>
        <v>#VALUE!</v>
      </c>
      <c r="IJ173" t="e">
        <f>'2.6.Расчет развития'!184:184-"BYw!(\C"</f>
        <v>#VALUE!</v>
      </c>
      <c r="IK173" t="e">
        <f>'2.6.Расчет развития'!185:185-"BYw!(\D"</f>
        <v>#VALUE!</v>
      </c>
      <c r="IL173" t="e">
        <f>'2.6.Расчет развития'!186:186-"BYw!(\E"</f>
        <v>#VALUE!</v>
      </c>
      <c r="IM173" t="e">
        <f>'2.6.Расчет развития'!187:187-"BYw!(\F"</f>
        <v>#VALUE!</v>
      </c>
      <c r="IN173" t="e">
        <f>'2.6.Расчет развития'!188:188-"BYw!(\G"</f>
        <v>#VALUE!</v>
      </c>
      <c r="IO173" t="e">
        <f>'2.6.Расчет развития'!189:189-"BYw!(\H"</f>
        <v>#VALUE!</v>
      </c>
      <c r="IP173" t="e">
        <f>'2.6.Расчет развития'!190:190-"BYw!(\I"</f>
        <v>#VALUE!</v>
      </c>
      <c r="IQ173" t="e">
        <f>'2.6.Расчет развития'!191:191-"BYw!(\J"</f>
        <v>#VALUE!</v>
      </c>
      <c r="IR173" t="e">
        <f>'2.6.Расчет развития'!192:192-"BYw!(\K"</f>
        <v>#VALUE!</v>
      </c>
      <c r="IS173" t="e">
        <f>'2.6.Расчет развития'!193:193-"BYw!(\L"</f>
        <v>#VALUE!</v>
      </c>
      <c r="IT173" t="e">
        <f>'2.6.Расчет развития'!194:194-"BYw!(\M"</f>
        <v>#VALUE!</v>
      </c>
      <c r="IU173" t="e">
        <f>'2.6.Расчет развития'!195:195-"BYw!(\N"</f>
        <v>#VALUE!</v>
      </c>
      <c r="IV173" t="e">
        <f>'2.6.Расчет развития'!196:196-"BYw!(\O"</f>
        <v>#VALUE!</v>
      </c>
    </row>
    <row r="174" spans="6:256" x14ac:dyDescent="0.2">
      <c r="F174" t="e">
        <f>'2.6.Расчет развития'!197:197-"BYw!(\P"</f>
        <v>#VALUE!</v>
      </c>
      <c r="G174" t="e">
        <f>'2.6.Расчет развития'!198:198-"BYw!(\Q"</f>
        <v>#VALUE!</v>
      </c>
      <c r="H174" t="e">
        <f>'2.6.Расчет развития'!199:199-"BYw!(\R"</f>
        <v>#VALUE!</v>
      </c>
      <c r="I174" t="e">
        <f>'2.6.Расчет развития'!200:200-"BYw!(\S"</f>
        <v>#VALUE!</v>
      </c>
      <c r="J174" t="e">
        <f>'2.6.Расчет развития'!201:201-"BYw!(\T"</f>
        <v>#VALUE!</v>
      </c>
      <c r="K174" t="e">
        <f>'2.6.Расчет развития'!202:202-"BYw!(\U"</f>
        <v>#VALUE!</v>
      </c>
      <c r="L174" t="e">
        <f>'2.6.Расчет развития'!203:203-"BYw!(\V"</f>
        <v>#VALUE!</v>
      </c>
      <c r="M174" t="e">
        <f>'2.6.Расчет развития'!204:204-"BYw!(\W"</f>
        <v>#VALUE!</v>
      </c>
      <c r="N174" t="e">
        <f>'2.6.Расчет развития'!205:205-"BYw!(\X"</f>
        <v>#VALUE!</v>
      </c>
      <c r="O174" t="e">
        <f>'2.6.Расчет развития'!206:206-"BYw!(\Y"</f>
        <v>#VALUE!</v>
      </c>
      <c r="P174" t="e">
        <f>'2.6.Расчет развития'!207:207-"BYw!(\Z"</f>
        <v>#VALUE!</v>
      </c>
      <c r="Q174" t="e">
        <f>'2.6.Расчет развития'!208:208-"BYw!(\["</f>
        <v>#VALUE!</v>
      </c>
      <c r="R174" t="e">
        <f>'2.6.Расчет развития'!209:209-"BYw!(\\"</f>
        <v>#VALUE!</v>
      </c>
      <c r="S174" t="e">
        <f>'2.6.Расчет развития'!210:210-"BYw!(\]"</f>
        <v>#VALUE!</v>
      </c>
      <c r="T174" t="e">
        <f>'2.6.Расчет развития'!211:211-"BYw!(\^"</f>
        <v>#VALUE!</v>
      </c>
      <c r="U174" t="e">
        <f>'2.6.Расчет развития'!212:212-"BYw!(\_"</f>
        <v>#VALUE!</v>
      </c>
      <c r="V174" t="e">
        <f>'2.6.Расчет развития'!213:213-"BYw!(\`"</f>
        <v>#VALUE!</v>
      </c>
      <c r="W174" t="e">
        <f>'2.6.Расчет развития'!214:214-"BYw!(\a"</f>
        <v>#VALUE!</v>
      </c>
      <c r="X174" t="e">
        <f>'2.6.Расчет развития'!215:215-"BYw!(\b"</f>
        <v>#VALUE!</v>
      </c>
      <c r="Y174" t="e">
        <f>'2.6.Расчет развития'!216:216-"BYw!(\c"</f>
        <v>#VALUE!</v>
      </c>
      <c r="Z174" t="e">
        <f>'2.6.Расчет развития'!217:217-"BYw!(\d"</f>
        <v>#VALUE!</v>
      </c>
      <c r="AA174" t="e">
        <f>'2.6.Расчет развития'!218:218-"BYw!(\e"</f>
        <v>#VALUE!</v>
      </c>
      <c r="AB174" t="e">
        <f>'2.6.Расчет развития'!219:219-"BYw!(\f"</f>
        <v>#VALUE!</v>
      </c>
      <c r="AC174" t="e">
        <f>'2.6.Расчет развития'!220:220-"BYw!(\g"</f>
        <v>#VALUE!</v>
      </c>
      <c r="AD174" t="e">
        <f>'2.6.Расчет развития'!221:221-"BYw!(\h"</f>
        <v>#VALUE!</v>
      </c>
      <c r="AE174" t="e">
        <f>'2.6.Расчет развития'!222:222-"BYw!(\i"</f>
        <v>#VALUE!</v>
      </c>
      <c r="AF174" t="e">
        <f>'2.6.Расчет развития'!223:223-"BYw!(\j"</f>
        <v>#VALUE!</v>
      </c>
      <c r="AG174" t="e">
        <f>'2.6.Расчет развития'!224:224-"BYw!(\k"</f>
        <v>#VALUE!</v>
      </c>
      <c r="AH174" t="e">
        <f>'2.6.Расчет развития'!225:225-"BYw!(\l"</f>
        <v>#VALUE!</v>
      </c>
      <c r="AI174" t="e">
        <f>'2.6.Расчет развития'!226:226-"BYw!(\m"</f>
        <v>#VALUE!</v>
      </c>
      <c r="AJ174" t="e">
        <f>'2.6.Расчет развития'!227:227-"BYw!(\n"</f>
        <v>#VALUE!</v>
      </c>
      <c r="AK174" t="e">
        <f>'2.6.Расчет развития'!228:228-"BYw!(\o"</f>
        <v>#VALUE!</v>
      </c>
      <c r="AL174" t="e">
        <f>'2.6.Расчет развития'!229:229-"BYw!(\p"</f>
        <v>#VALUE!</v>
      </c>
      <c r="AM174" t="e">
        <f>'2.6.Расчет развития'!230:230-"BYw!(\q"</f>
        <v>#VALUE!</v>
      </c>
      <c r="AN174" t="e">
        <f>'2.6.Расчет развития'!231:231-"BYw!(\r"</f>
        <v>#VALUE!</v>
      </c>
      <c r="AO174" t="e">
        <f>'2.6.Расчет развития'!232:232-"BYw!(\s"</f>
        <v>#VALUE!</v>
      </c>
      <c r="AP174" t="e">
        <f>'2.6.Расчет развития'!233:233-"BYw!(\t"</f>
        <v>#VALUE!</v>
      </c>
      <c r="AQ174" t="e">
        <f>'2.6.Расчет развития'!234:234-"BYw!(\u"</f>
        <v>#VALUE!</v>
      </c>
      <c r="AR174" t="e">
        <f>'2.6.Расчет развития'!235:235-"BYw!(\v"</f>
        <v>#VALUE!</v>
      </c>
      <c r="AS174" t="e">
        <f>'2.6.Расчет развития'!236:236-"BYw!(\w"</f>
        <v>#VALUE!</v>
      </c>
      <c r="AT174" t="e">
        <f>'2.6.Расчет развития'!237:237-"BYw!(\x"</f>
        <v>#VALUE!</v>
      </c>
      <c r="AU174" t="e">
        <f>'2.6.Расчет развития'!238:238-"BYw!(\y"</f>
        <v>#VALUE!</v>
      </c>
      <c r="AV174" t="e">
        <f>'2.6.Расчет развития'!239:239-"BYw!(\z"</f>
        <v>#VALUE!</v>
      </c>
      <c r="AW174" t="e">
        <f>'2.6.Расчет развития'!240:240-"BYw!(\{"</f>
        <v>#VALUE!</v>
      </c>
      <c r="AX174" t="e">
        <f>'2.6.Расчет развития'!241:241-"BYw!(\|"</f>
        <v>#VALUE!</v>
      </c>
      <c r="AY174" t="e">
        <f>'2.6.Расчет развития'!242:242-"BYw!(\}"</f>
        <v>#VALUE!</v>
      </c>
      <c r="AZ174" t="e">
        <f>'2.6.Расчет развития'!243:243-"BYw!(\~"</f>
        <v>#VALUE!</v>
      </c>
      <c r="BA174" t="e">
        <f>'2.6.Расчет развития'!244:244-"BYw!(]#"</f>
        <v>#VALUE!</v>
      </c>
      <c r="BB174" t="e">
        <f>'2.6.Расчет развития'!245:245-"BYw!(]$"</f>
        <v>#VALUE!</v>
      </c>
      <c r="BC174" t="e">
        <f>'2.6.Расчет развития'!246:246-"BYw!(]%"</f>
        <v>#VALUE!</v>
      </c>
      <c r="BD174" t="e">
        <f>'2.6.Расчет развития'!247:247-"BYw!(]&amp;"</f>
        <v>#VALUE!</v>
      </c>
      <c r="BE174" t="e">
        <f>'2.6.Расчет развития'!248:248-"BYw!(]'"</f>
        <v>#VALUE!</v>
      </c>
      <c r="BF174" t="e">
        <f>'2.6.Расчет развития'!249:249-"BYw!(]("</f>
        <v>#VALUE!</v>
      </c>
      <c r="BG174" t="e">
        <f>'2.6.Расчет развития'!250:250-"BYw!(])"</f>
        <v>#VALUE!</v>
      </c>
      <c r="BH174" t="e">
        <f>'2.6.Расчет развития'!251:251-"BYw!(]."</f>
        <v>#VALUE!</v>
      </c>
      <c r="BI174" t="e">
        <f>'2.6.Расчет развития'!252:252-"BYw!(]/"</f>
        <v>#VALUE!</v>
      </c>
      <c r="BJ174" t="e">
        <f>'2.6.Расчет развития'!253:253-"BYw!(]0"</f>
        <v>#VALUE!</v>
      </c>
      <c r="BK174" t="e">
        <f>'2.6.Расчет развития'!254:254-"BYw!(]1"</f>
        <v>#VALUE!</v>
      </c>
      <c r="BL174" t="e">
        <f>'2.6.Расчет развития'!255:255-"BYw!(]2"</f>
        <v>#VALUE!</v>
      </c>
      <c r="BM174" t="e">
        <f>'2.6.Расчет развития'!256:256-"BYw!(]3"</f>
        <v>#VALUE!</v>
      </c>
      <c r="BN174" t="e">
        <f>'2.6.Расчет развития'!257:257-"BYw!(]4"</f>
        <v>#VALUE!</v>
      </c>
      <c r="BO174" t="e">
        <f>'2.6.Расчет развития'!258:258-"BYw!(]5"</f>
        <v>#VALUE!</v>
      </c>
      <c r="BP174" t="e">
        <f>'2.6.Расчет развития'!259:259-"BYw!(]6"</f>
        <v>#VALUE!</v>
      </c>
      <c r="BQ174" t="e">
        <f>'2.6.Расчет развития'!260:260-"BYw!(]7"</f>
        <v>#VALUE!</v>
      </c>
      <c r="BR174" t="e">
        <f>'2.6.Расчет развития'!261:261-"BYw!(]8"</f>
        <v>#VALUE!</v>
      </c>
      <c r="BS174" t="e">
        <f>'2.6.Расчет развития'!262:262-"BYw!(]9"</f>
        <v>#VALUE!</v>
      </c>
      <c r="BT174" t="e">
        <f>'2.6.Расчет развития'!263:263-"BYw!(]:"</f>
        <v>#VALUE!</v>
      </c>
      <c r="BU174" t="e">
        <f>'2.6.Расчет развития'!264:264-"BYw!(];"</f>
        <v>#VALUE!</v>
      </c>
      <c r="BV174" t="e">
        <f>'2.6.Расчет развития'!265:265-"BYw!(]&lt;"</f>
        <v>#VALUE!</v>
      </c>
      <c r="BW174" t="e">
        <f>'2.6.Расчет развития'!266:266-"BYw!(]="</f>
        <v>#VALUE!</v>
      </c>
      <c r="BX174" t="e">
        <f>'2.6.Расчет развития'!267:267-"BYw!(]&gt;"</f>
        <v>#VALUE!</v>
      </c>
      <c r="BY174" t="e">
        <f>'2.6.Расчет развития'!268:268-"BYw!(]?"</f>
        <v>#VALUE!</v>
      </c>
      <c r="BZ174" t="e">
        <f>'2.6.Расчет развития'!269:269-"BYw!(]@"</f>
        <v>#VALUE!</v>
      </c>
      <c r="CA174" t="e">
        <f>'2.6.Расчет развития'!270:270-"BYw!(]A"</f>
        <v>#VALUE!</v>
      </c>
      <c r="CB174" t="e">
        <f>'2.6.Расчет развития'!271:271-"BYw!(]B"</f>
        <v>#VALUE!</v>
      </c>
      <c r="CC174" t="e">
        <f>'2.6.Расчет развития'!272:272-"BYw!(]C"</f>
        <v>#VALUE!</v>
      </c>
      <c r="CD174" t="e">
        <f>'2.6.Расчет развития'!273:273-"BYw!(]D"</f>
        <v>#VALUE!</v>
      </c>
      <c r="CE174" t="e">
        <f>'2.6.Расчет развития'!274:274-"BYw!(]E"</f>
        <v>#VALUE!</v>
      </c>
      <c r="CF174" t="e">
        <f>'2.6.Расчет развития'!275:275-"BYw!(]F"</f>
        <v>#VALUE!</v>
      </c>
      <c r="CG174" t="e">
        <f>'2.6.Расчет развития'!276:276-"BYw!(]G"</f>
        <v>#VALUE!</v>
      </c>
      <c r="CH174" t="e">
        <f>'2.6.Расчет развития'!277:277-"BYw!(]H"</f>
        <v>#VALUE!</v>
      </c>
      <c r="CI174" t="e">
        <f>'2.6.Расчет развития'!278:278-"BYw!(]I"</f>
        <v>#VALUE!</v>
      </c>
      <c r="CJ174" t="e">
        <f>'2.6.Расчет развития'!279:279-"BYw!(]J"</f>
        <v>#VALUE!</v>
      </c>
      <c r="CK174" t="e">
        <f>'2.6.Расчет развития'!280:280-"BYw!(]K"</f>
        <v>#VALUE!</v>
      </c>
      <c r="CL174" t="e">
        <f>'2.6.Расчет развития'!281:281-"BYw!(]L"</f>
        <v>#VALUE!</v>
      </c>
      <c r="CM174" t="e">
        <f>'2.6.Расчет развития'!282:282-"BYw!(]M"</f>
        <v>#VALUE!</v>
      </c>
      <c r="CN174" t="e">
        <f>'2.6.Расчет развития'!283:283-"BYw!(]N"</f>
        <v>#VALUE!</v>
      </c>
      <c r="CO174" t="e">
        <f>'2.6.Расчет развития'!284:284-"BYw!(]O"</f>
        <v>#VALUE!</v>
      </c>
      <c r="CP174" t="e">
        <f>'2.6.Расчет развития'!285:285-"BYw!(]P"</f>
        <v>#VALUE!</v>
      </c>
      <c r="CQ174" t="e">
        <f>'2.6.Расчет развития'!286:286-"BYw!(]Q"</f>
        <v>#VALUE!</v>
      </c>
      <c r="CR174" t="e">
        <f>'2.6.Расчет развития'!287:287-"BYw!(]R"</f>
        <v>#VALUE!</v>
      </c>
      <c r="CS174" t="e">
        <f>'2.6.Расчет развития'!288:288-"BYw!(]S"</f>
        <v>#VALUE!</v>
      </c>
      <c r="CT174" t="e">
        <f>'2.6.Расчет развития'!289:289-"BYw!(]T"</f>
        <v>#VALUE!</v>
      </c>
      <c r="CU174" t="e">
        <f>'2.6.Расчет развития'!290:290-"BYw!(]U"</f>
        <v>#VALUE!</v>
      </c>
      <c r="CV174" t="e">
        <f>'2.6.Расчет развития'!291:291-"BYw!(]V"</f>
        <v>#VALUE!</v>
      </c>
      <c r="CW174" t="e">
        <f>'2.6.Расчет развития'!292:292-"BYw!(]W"</f>
        <v>#VALUE!</v>
      </c>
      <c r="CX174" t="e">
        <f>'2.6.Расчет развития'!293:293-"BYw!(]X"</f>
        <v>#VALUE!</v>
      </c>
      <c r="CY174" t="e">
        <f>'2.6.Расчет развития'!294:294-"BYw!(]Y"</f>
        <v>#VALUE!</v>
      </c>
      <c r="CZ174" t="e">
        <f>'2.6.Расчет развития'!295:295-"BYw!(]Z"</f>
        <v>#VALUE!</v>
      </c>
      <c r="DA174" t="e">
        <f>'2.6.Расчет развития'!296:296-"BYw!(]["</f>
        <v>#VALUE!</v>
      </c>
      <c r="DB174" t="e">
        <f>'2.6.Расчет развития'!297:297-"BYw!(]\"</f>
        <v>#VALUE!</v>
      </c>
      <c r="DC174" t="e">
        <f>'2.6.Расчет развития'!298:298-"BYw!(]]"</f>
        <v>#VALUE!</v>
      </c>
      <c r="DD174" t="e">
        <f>'2.6.Расчет развития'!299:299-"BYw!(]^"</f>
        <v>#VALUE!</v>
      </c>
      <c r="DE174" t="e">
        <f>'2.6.Расчет развития'!300:300-"BYw!(]_"</f>
        <v>#VALUE!</v>
      </c>
      <c r="DF174" t="e">
        <f>'2.6.Расчет развития'!301:301-"BYw!(]`"</f>
        <v>#VALUE!</v>
      </c>
      <c r="DG174" t="e">
        <f>'2.6.Расчет развития'!302:302-"BYw!(]a"</f>
        <v>#VALUE!</v>
      </c>
      <c r="DH174" t="e">
        <f>'2.6.Расчет развития'!303:303-"BYw!(]b"</f>
        <v>#VALUE!</v>
      </c>
      <c r="DI174" t="e">
        <f>'2.6.Расчет развития'!304:304-"BYw!(]c"</f>
        <v>#VALUE!</v>
      </c>
      <c r="DJ174" t="e">
        <f>'2.6.Расчет развития'!305:305-"BYw!(]d"</f>
        <v>#VALUE!</v>
      </c>
      <c r="DK174" t="e">
        <f>'2.6.Расчет развития'!306:306-"BYw!(]e"</f>
        <v>#VALUE!</v>
      </c>
      <c r="DL174" t="e">
        <f>'2.7.Коэффициенты'!B2+"BYw!(]f"</f>
        <v>#VALUE!</v>
      </c>
      <c r="DM174" t="e">
        <f>'2.7.Коэффициенты'!B3+"BYw!(]g"</f>
        <v>#VALUE!</v>
      </c>
      <c r="DN174" t="e">
        <f>'2.7.Коэффициенты'!B5+"BYw!(]h"</f>
        <v>#VALUE!</v>
      </c>
      <c r="DO174" t="e">
        <f>'2.7.Коэффициенты'!C5+"BYw!(]i"</f>
        <v>#VALUE!</v>
      </c>
      <c r="DP174" t="e">
        <f>'2.7.Коэффициенты'!D5+"BYw!(]j"</f>
        <v>#VALUE!</v>
      </c>
      <c r="DQ174" t="e">
        <f>'2.7.Коэффициенты'!E5+"BYw!(]k"</f>
        <v>#VALUE!</v>
      </c>
      <c r="DR174" t="e">
        <f>'2.7.Коэффициенты'!B6+"BYw!(]l"</f>
        <v>#VALUE!</v>
      </c>
      <c r="DS174" t="e">
        <f>'2.7.Коэффициенты'!C6+"BYw!(]m"</f>
        <v>#VALUE!</v>
      </c>
      <c r="DT174" t="e">
        <f>'2.7.Коэффициенты'!D6+"BYw!(]n"</f>
        <v>#VALUE!</v>
      </c>
      <c r="DU174" t="e">
        <f>'2.7.Коэффициенты'!E6+"BYw!(]o"</f>
        <v>#VALUE!</v>
      </c>
      <c r="DV174" t="e">
        <f>'2.7.Коэффициенты'!B8+"BYw!(]p"</f>
        <v>#VALUE!</v>
      </c>
      <c r="DW174" t="e">
        <f>'2.7.Коэффициенты'!B9+"BYw!(]q"</f>
        <v>#VALUE!</v>
      </c>
      <c r="DX174" t="e">
        <f>'2.7.Коэффициенты'!B11+"BYw!(]r"</f>
        <v>#VALUE!</v>
      </c>
      <c r="DY174" t="e">
        <f>'2.7.Коэффициенты'!C11+"BYw!(]s"</f>
        <v>#VALUE!</v>
      </c>
      <c r="DZ174" t="e">
        <f>'2.7.Коэффициенты'!D11+"BYw!(]t"</f>
        <v>#VALUE!</v>
      </c>
      <c r="EA174" t="e">
        <f>'2.7.Коэффициенты'!E11+"BYw!(]u"</f>
        <v>#VALUE!</v>
      </c>
      <c r="EB174" t="e">
        <f>'2.7.Коэффициенты'!B12+"BYw!(]v"</f>
        <v>#VALUE!</v>
      </c>
      <c r="EC174" t="e">
        <f>'2.7.Коэффициенты'!C12+"BYw!(]w"</f>
        <v>#VALUE!</v>
      </c>
      <c r="ED174" t="e">
        <f>'2.7.Коэффициенты'!D12+"BYw!(]x"</f>
        <v>#VALUE!</v>
      </c>
      <c r="EE174" t="e">
        <f>'2.7.Коэффициенты'!E12+"BYw!(]y"</f>
        <v>#VALUE!</v>
      </c>
      <c r="EF174" t="e">
        <f>'2.7.Коэффициенты'!B14+"BYw!(]z"</f>
        <v>#VALUE!</v>
      </c>
      <c r="EG174" t="e">
        <f>'2.7.Коэффициенты'!B15+"BYw!(]{"</f>
        <v>#VALUE!</v>
      </c>
      <c r="EH174" t="e">
        <f>'2.7.Коэффициенты'!B17+"BYw!(]|"</f>
        <v>#VALUE!</v>
      </c>
      <c r="EI174" t="e">
        <f>'2.7.Коэффициенты'!C17+"BYw!(]}"</f>
        <v>#VALUE!</v>
      </c>
      <c r="EJ174" t="e">
        <f>'2.7.Коэффициенты'!D17+"BYw!(]~"</f>
        <v>#VALUE!</v>
      </c>
      <c r="EK174" t="e">
        <f>'2.7.Коэффициенты'!E17+"BYw!(^#"</f>
        <v>#VALUE!</v>
      </c>
      <c r="EL174" t="e">
        <f>'2.7.Коэффициенты'!B18+"BYw!(^$"</f>
        <v>#VALUE!</v>
      </c>
      <c r="EM174" t="e">
        <f>'2.7.Коэффициенты'!C18+"BYw!(^%"</f>
        <v>#VALUE!</v>
      </c>
      <c r="EN174" t="e">
        <f>'2.7.Коэффициенты'!D18+"BYw!(^&amp;"</f>
        <v>#VALUE!</v>
      </c>
      <c r="EO174" t="e">
        <f>'2.7.Коэффициенты'!E18+"BYw!(^'"</f>
        <v>#VALUE!</v>
      </c>
      <c r="EP174" t="e">
        <f>'2.7.Коэффициенты'!B19+"BYw!(^("</f>
        <v>#VALUE!</v>
      </c>
      <c r="EQ174" t="e">
        <f>'2.7.Коэффициенты'!C19+"BYw!(^)"</f>
        <v>#VALUE!</v>
      </c>
      <c r="ER174" t="e">
        <f>'2.7.Коэффициенты'!D19+"BYw!(^."</f>
        <v>#VALUE!</v>
      </c>
      <c r="ES174" t="e">
        <f>'2.7.Коэффициенты'!E19+"BYw!(^/"</f>
        <v>#VALUE!</v>
      </c>
      <c r="ET174" t="e">
        <f>'2.7.Коэффициенты'!B21+"BYw!(^0"</f>
        <v>#VALUE!</v>
      </c>
      <c r="EU174" t="e">
        <f>'2.7.Коэффициенты'!B22+"BYw!(^1"</f>
        <v>#VALUE!</v>
      </c>
      <c r="EV174" t="e">
        <f>'2.7.Коэффициенты'!B24+"BYw!(^2"</f>
        <v>#VALUE!</v>
      </c>
      <c r="EW174" t="e">
        <f>'2.7.Коэффициенты'!C24+"BYw!(^3"</f>
        <v>#VALUE!</v>
      </c>
      <c r="EX174" t="e">
        <f>'2.7.Коэффициенты'!D24+"BYw!(^4"</f>
        <v>#VALUE!</v>
      </c>
      <c r="EY174" t="e">
        <f>'2.7.Коэффициенты'!E24+"BYw!(^5"</f>
        <v>#VALUE!</v>
      </c>
      <c r="EZ174" t="e">
        <f>'2.7.Коэффициенты'!B25+"BYw!(^6"</f>
        <v>#VALUE!</v>
      </c>
      <c r="FA174" t="e">
        <f>'2.7.Коэффициенты'!C25+"BYw!(^7"</f>
        <v>#VALUE!</v>
      </c>
      <c r="FB174" t="e">
        <f>'2.7.Коэффициенты'!D25+"BYw!(^8"</f>
        <v>#VALUE!</v>
      </c>
      <c r="FC174" t="e">
        <f>'2.7.Коэффициенты'!E25+"BYw!(^9"</f>
        <v>#VALUE!</v>
      </c>
      <c r="FD174" t="e">
        <f>'2.7.Коэффициенты'!B27+"BYw!(^:"</f>
        <v>#VALUE!</v>
      </c>
      <c r="FE174" t="e">
        <f>'2.7.Коэффициенты'!B28+"BYw!(^;"</f>
        <v>#VALUE!</v>
      </c>
      <c r="FF174" t="e">
        <f>'2.7.Коэффициенты'!B30+"BYw!(^&lt;"</f>
        <v>#VALUE!</v>
      </c>
      <c r="FG174" t="e">
        <f>'2.7.Коэффициенты'!C30+"BYw!(^="</f>
        <v>#VALUE!</v>
      </c>
      <c r="FH174" t="e">
        <f>'2.7.Коэффициенты'!D30+"BYw!(^&gt;"</f>
        <v>#VALUE!</v>
      </c>
      <c r="FI174" t="e">
        <f>'2.7.Коэффициенты'!B31+"BYw!(^?"</f>
        <v>#VALUE!</v>
      </c>
      <c r="FJ174" t="e">
        <f>'2.7.Коэффициенты'!C31+"BYw!(^@"</f>
        <v>#VALUE!</v>
      </c>
      <c r="FK174" t="e">
        <f>'2.7.Коэффициенты'!D31+"BYw!(^A"</f>
        <v>#VALUE!</v>
      </c>
      <c r="FL174" t="e">
        <f>'2.7.Коэффициенты'!B32+"BYw!(^B"</f>
        <v>#VALUE!</v>
      </c>
      <c r="FM174" t="e">
        <f>'2.7.Коэффициенты'!C32+"BYw!(^C"</f>
        <v>#VALUE!</v>
      </c>
      <c r="FN174" t="e">
        <f>'2.7.Коэффициенты'!D32+"BYw!(^D"</f>
        <v>#VALUE!</v>
      </c>
      <c r="FO174" t="e">
        <f>'2.7.Коэффициенты'!B34+"BYw!(^E"</f>
        <v>#VALUE!</v>
      </c>
      <c r="FP174" t="e">
        <f>'2.7.Коэффициенты'!B35+"BYw!(^F"</f>
        <v>#VALUE!</v>
      </c>
      <c r="FQ174" t="e">
        <f>'2.7.Коэффициенты'!B37+"BYw!(^G"</f>
        <v>#VALUE!</v>
      </c>
      <c r="FR174" t="e">
        <f>'2.7.Коэффициенты'!C37+"BYw!(^H"</f>
        <v>#VALUE!</v>
      </c>
      <c r="FS174" t="e">
        <f>'2.7.Коэффициенты'!D37+"BYw!(^I"</f>
        <v>#VALUE!</v>
      </c>
      <c r="FT174" t="e">
        <f>'2.7.Коэффициенты'!E37+"BYw!(^J"</f>
        <v>#VALUE!</v>
      </c>
      <c r="FU174" t="e">
        <f>'2.7.Коэффициенты'!B38+"BYw!(^K"</f>
        <v>#VALUE!</v>
      </c>
      <c r="FV174" t="e">
        <f>'2.7.Коэффициенты'!C38+"BYw!(^L"</f>
        <v>#VALUE!</v>
      </c>
      <c r="FW174" t="e">
        <f>'2.7.Коэффициенты'!D38+"BYw!(^M"</f>
        <v>#VALUE!</v>
      </c>
      <c r="FX174" t="e">
        <f>'2.7.Коэффициенты'!E38+"BYw!(^N"</f>
        <v>#VALUE!</v>
      </c>
      <c r="FY174" t="e">
        <f>'2.7.Коэффициенты'!B40+"BYw!(^O"</f>
        <v>#VALUE!</v>
      </c>
      <c r="FZ174" t="e">
        <f>'2.7.Коэффициенты'!B41+"BYw!(^P"</f>
        <v>#VALUE!</v>
      </c>
      <c r="GA174" t="e">
        <f>'2.7.Коэффициенты'!B43+"BYw!(^Q"</f>
        <v>#VALUE!</v>
      </c>
      <c r="GB174" t="e">
        <f>'2.7.Коэффициенты'!C43+"BYw!(^R"</f>
        <v>#VALUE!</v>
      </c>
      <c r="GC174" t="e">
        <f>'2.7.Коэффициенты'!D43+"BYw!(^S"</f>
        <v>#VALUE!</v>
      </c>
      <c r="GD174" t="e">
        <f>'2.7.Коэффициенты'!E43+"BYw!(^T"</f>
        <v>#VALUE!</v>
      </c>
      <c r="GE174" t="e">
        <f>'2.7.Коэффициенты'!B44+"BYw!(^U"</f>
        <v>#VALUE!</v>
      </c>
      <c r="GF174" t="e">
        <f>'2.7.Коэффициенты'!C44+"BYw!(^V"</f>
        <v>#VALUE!</v>
      </c>
      <c r="GG174" t="e">
        <f>'2.7.Коэффициенты'!D44+"BYw!(^W"</f>
        <v>#VALUE!</v>
      </c>
      <c r="GH174" t="e">
        <f>'2.7.Коэффициенты'!E44+"BYw!(^X"</f>
        <v>#VALUE!</v>
      </c>
      <c r="GI174" t="e">
        <f>'2.7.Коэффициенты'!B45+"BYw!(^Y"</f>
        <v>#VALUE!</v>
      </c>
      <c r="GJ174" t="e">
        <f>'2.7.Коэффициенты'!C45+"BYw!(^Z"</f>
        <v>#VALUE!</v>
      </c>
      <c r="GK174" t="e">
        <f>'2.7.Коэффициенты'!D45+"BYw!(^["</f>
        <v>#VALUE!</v>
      </c>
      <c r="GL174" t="e">
        <f>'2.7.Коэффициенты'!E45+"BYw!(^\"</f>
        <v>#VALUE!</v>
      </c>
      <c r="GM174" t="e">
        <f>'2.7.Коэффициенты'!B47+"BYw!(^]"</f>
        <v>#VALUE!</v>
      </c>
      <c r="GN174" t="e">
        <f>'2.7.Коэффициенты'!B48+"BYw!(^^"</f>
        <v>#VALUE!</v>
      </c>
      <c r="GO174" t="e">
        <f>'2.7.Коэффициенты'!B50+"BYw!(^_"</f>
        <v>#VALUE!</v>
      </c>
      <c r="GP174" t="e">
        <f>'2.7.Коэффициенты'!C50+"BYw!(^`"</f>
        <v>#VALUE!</v>
      </c>
      <c r="GQ174" t="e">
        <f>'2.7.Коэффициенты'!D50+"BYw!(^a"</f>
        <v>#VALUE!</v>
      </c>
      <c r="GR174" t="e">
        <f>'2.7.Коэффициенты'!E50+"BYw!(^b"</f>
        <v>#VALUE!</v>
      </c>
      <c r="GS174" t="e">
        <f>'2.7.Коэффициенты'!B51+"BYw!(^c"</f>
        <v>#VALUE!</v>
      </c>
      <c r="GT174" t="e">
        <f>'2.7.Коэффициенты'!C51+"BYw!(^d"</f>
        <v>#VALUE!</v>
      </c>
      <c r="GU174" t="e">
        <f>'2.7.Коэффициенты'!D51+"BYw!(^e"</f>
        <v>#VALUE!</v>
      </c>
      <c r="GV174" t="e">
        <f>'2.7.Коэффициенты'!E51+"BYw!(^f"</f>
        <v>#VALUE!</v>
      </c>
      <c r="GW174" t="e">
        <f>'2.7.Коэффициенты'!B52+"BYw!(^g"</f>
        <v>#VALUE!</v>
      </c>
      <c r="GX174" t="e">
        <f>'2.7.Коэффициенты'!C52+"BYw!(^h"</f>
        <v>#VALUE!</v>
      </c>
      <c r="GY174" t="e">
        <f>'2.7.Коэффициенты'!D52+"BYw!(^i"</f>
        <v>#VALUE!</v>
      </c>
      <c r="GZ174" t="e">
        <f>'2.7.Коэффициенты'!E52+"BYw!(^j"</f>
        <v>#VALUE!</v>
      </c>
      <c r="HA174" t="e">
        <f>'2.7.Коэффициенты'!A:A*"BYw!(^k"</f>
        <v>#VALUE!</v>
      </c>
      <c r="HB174" t="e">
        <f>'2.7.Коэффициенты'!B:B*"BYw!(^l"</f>
        <v>#VALUE!</v>
      </c>
      <c r="HC174" t="e">
        <f>'2.7.Коэффициенты'!C:C*"BYw!(^m"</f>
        <v>#VALUE!</v>
      </c>
      <c r="HD174" t="e">
        <f>'2.7.Коэффициенты'!D:D*"BYw!(^n"</f>
        <v>#VALUE!</v>
      </c>
      <c r="HE174" t="e">
        <f>'2.7.Коэффициенты'!E:E*"BYw!(^o"</f>
        <v>#VALUE!</v>
      </c>
      <c r="HF174" t="e">
        <f>'2.7.Коэффициенты'!F:F*"BYw!(^p"</f>
        <v>#VALUE!</v>
      </c>
      <c r="HG174" t="e">
        <f>'2.7.Коэффициенты'!G:G*"BYw!(^q"</f>
        <v>#VALUE!</v>
      </c>
      <c r="HH174" t="e">
        <f>'2.7.Коэффициенты'!H:H*"BYw!(^r"</f>
        <v>#VALUE!</v>
      </c>
      <c r="HI174" t="e">
        <f>'2.7.Коэффициенты'!I:I*"BYw!(^s"</f>
        <v>#VALUE!</v>
      </c>
      <c r="HJ174" t="e">
        <f>'2.7.Коэффициенты'!J:J*"BYw!(^t"</f>
        <v>#VALUE!</v>
      </c>
      <c r="HK174" t="e">
        <f>'2.7.Коэффициенты'!K:K*"BYw!(^u"</f>
        <v>#VALUE!</v>
      </c>
      <c r="HL174" t="e">
        <f>'2.7.Коэффициенты'!L:L*"BYw!(^v"</f>
        <v>#VALUE!</v>
      </c>
      <c r="HM174" t="e">
        <f>'2.7.Коэффициенты'!M:M*"BYw!(^w"</f>
        <v>#VALUE!</v>
      </c>
      <c r="HN174" t="e">
        <f>'2.7.Коэффициенты'!N:N*"BYw!(^x"</f>
        <v>#VALUE!</v>
      </c>
      <c r="HO174" t="e">
        <f>'2.7.Коэффициенты'!O:O*"BYw!(^y"</f>
        <v>#VALUE!</v>
      </c>
      <c r="HP174" t="e">
        <f>'2.7.Коэффициенты'!P:P*"BYw!(^z"</f>
        <v>#VALUE!</v>
      </c>
      <c r="HQ174" t="e">
        <f>'2.7.Коэффициенты'!Q:Q*"BYw!(^{"</f>
        <v>#VALUE!</v>
      </c>
      <c r="HR174" t="e">
        <f>'2.7.Коэффициенты'!R:R*"BYw!(^|"</f>
        <v>#VALUE!</v>
      </c>
      <c r="HS174" t="e">
        <f>'2.7.Коэффициенты'!S:S*"BYw!(^}"</f>
        <v>#VALUE!</v>
      </c>
      <c r="HT174" t="e">
        <f>'2.7.Коэффициенты'!T:T*"BYw!(^~"</f>
        <v>#VALUE!</v>
      </c>
      <c r="HU174" t="e">
        <f>'2.7.Коэффициенты'!U:U*"BYw!(_#"</f>
        <v>#VALUE!</v>
      </c>
      <c r="HV174" t="e">
        <f>'2.7.Коэффициенты'!V:V*"BYw!(_$"</f>
        <v>#VALUE!</v>
      </c>
      <c r="HW174" t="e">
        <f>'2.7.Коэффициенты'!W:W*"BYw!(_%"</f>
        <v>#VALUE!</v>
      </c>
      <c r="HX174" t="e">
        <f>'2.7.Коэффициенты'!X:X*"BYw!(_&amp;"</f>
        <v>#VALUE!</v>
      </c>
      <c r="HY174" t="e">
        <f>'2.7.Коэффициенты'!Y:Y*"BYw!(_'"</f>
        <v>#VALUE!</v>
      </c>
      <c r="HZ174" t="e">
        <f>'2.7.Коэффициенты'!Z:Z*"BYw!(_("</f>
        <v>#VALUE!</v>
      </c>
      <c r="IA174" t="e">
        <f>'2.7.Коэффициенты'!AA:AA*"BYw!(_)"</f>
        <v>#VALUE!</v>
      </c>
      <c r="IB174" t="e">
        <f>'2.7.Коэффициенты'!AB:AB*"BYw!(_."</f>
        <v>#VALUE!</v>
      </c>
      <c r="IC174" t="e">
        <f>'2.7.Коэффициенты'!AC:AC*"BYw!(_/"</f>
        <v>#VALUE!</v>
      </c>
      <c r="ID174" t="e">
        <f>'2.7.Коэффициенты'!AD:AD*"BYw!(_0"</f>
        <v>#VALUE!</v>
      </c>
      <c r="IE174" t="e">
        <f>'2.7.Коэффициенты'!AE:AE*"BYw!(_1"</f>
        <v>#VALUE!</v>
      </c>
      <c r="IF174" t="e">
        <f>'2.7.Коэффициенты'!AF:AF*"BYw!(_2"</f>
        <v>#VALUE!</v>
      </c>
      <c r="IG174" t="e">
        <f>'2.7.Коэффициенты'!AG:AG*"BYw!(_3"</f>
        <v>#VALUE!</v>
      </c>
      <c r="IH174" t="e">
        <f>'2.7.Коэффициенты'!AH:AH*"BYw!(_4"</f>
        <v>#VALUE!</v>
      </c>
      <c r="II174" t="e">
        <f>'2.7.Коэффициенты'!AI:AI*"BYw!(_5"</f>
        <v>#VALUE!</v>
      </c>
      <c r="IJ174" t="e">
        <f>'2.7.Коэффициенты'!AJ:AJ*"BYw!(_6"</f>
        <v>#VALUE!</v>
      </c>
      <c r="IK174" t="e">
        <f>'2.7.Коэффициенты'!AK:AK*"BYw!(_7"</f>
        <v>#VALUE!</v>
      </c>
      <c r="IL174" t="e">
        <f>'2.7.Коэффициенты'!AL:AL*"BYw!(_8"</f>
        <v>#VALUE!</v>
      </c>
      <c r="IM174" t="e">
        <f>'2.7.Коэффициенты'!AM:AM*"BYw!(_9"</f>
        <v>#VALUE!</v>
      </c>
      <c r="IN174" t="e">
        <f>'2.7.Коэффициенты'!AN:AN*"BYw!(_:"</f>
        <v>#VALUE!</v>
      </c>
      <c r="IO174" t="e">
        <f>'2.7.Коэффициенты'!AO:AO*"BYw!(_;"</f>
        <v>#VALUE!</v>
      </c>
      <c r="IP174" t="e">
        <f>'2.7.Коэффициенты'!AP:AP*"BYw!(_&lt;"</f>
        <v>#VALUE!</v>
      </c>
      <c r="IQ174" t="e">
        <f>'2.7.Коэффициенты'!AQ:AQ*"BYw!(_="</f>
        <v>#VALUE!</v>
      </c>
      <c r="IR174" t="e">
        <f>'2.7.Коэффициенты'!AR:AR*"BYw!(_&gt;"</f>
        <v>#VALUE!</v>
      </c>
      <c r="IS174" t="e">
        <f>'2.7.Коэффициенты'!AS:AS*"BYw!(_?"</f>
        <v>#VALUE!</v>
      </c>
      <c r="IT174" t="e">
        <f>'2.7.Коэффициенты'!AT:AT*"BYw!(_@"</f>
        <v>#VALUE!</v>
      </c>
      <c r="IU174" t="e">
        <f>'2.7.Коэффициенты'!AU:AU*"BYw!(_A"</f>
        <v>#VALUE!</v>
      </c>
      <c r="IV174" t="e">
        <f>'2.7.Коэффициенты'!AV:AV*"BYw!(_B"</f>
        <v>#VALUE!</v>
      </c>
    </row>
    <row r="175" spans="6:256" x14ac:dyDescent="0.2">
      <c r="F175" t="e">
        <f>'2.7.Коэффициенты'!AW:AW*"BYw!(_C"</f>
        <v>#VALUE!</v>
      </c>
      <c r="G175" t="e">
        <f>'2.7.Коэффициенты'!AX:AX*"BYw!(_D"</f>
        <v>#VALUE!</v>
      </c>
      <c r="H175" t="e">
        <f>'2.7.Коэффициенты'!AY:AY*"BYw!(_E"</f>
        <v>#VALUE!</v>
      </c>
      <c r="I175" t="e">
        <f>'2.7.Коэффициенты'!AZ:AZ*"BYw!(_F"</f>
        <v>#VALUE!</v>
      </c>
      <c r="J175" t="e">
        <f>'2.7.Коэффициенты'!BA:BA*"BYw!(_G"</f>
        <v>#VALUE!</v>
      </c>
      <c r="K175" t="e">
        <f>'2.7.Коэффициенты'!BB:BB*"BYw!(_H"</f>
        <v>#VALUE!</v>
      </c>
      <c r="L175" t="e">
        <f>'2.7.Коэффициенты'!BC:BC*"BYw!(_I"</f>
        <v>#VALUE!</v>
      </c>
      <c r="M175" t="e">
        <f>'2.7.Коэффициенты'!1:1-"BYw!(_J"</f>
        <v>#VALUE!</v>
      </c>
      <c r="N175" t="e">
        <f>'2.7.Коэффициенты'!2:2-"BYw!(_K"</f>
        <v>#VALUE!</v>
      </c>
      <c r="O175" t="e">
        <f>'2.7.Коэффициенты'!3:3-"BYw!(_L"</f>
        <v>#VALUE!</v>
      </c>
      <c r="P175" t="e">
        <f>'2.7.Коэффициенты'!4:4-"BYw!(_M"</f>
        <v>#VALUE!</v>
      </c>
      <c r="Q175" t="e">
        <f>'2.7.Коэффициенты'!5:5-"BYw!(_N"</f>
        <v>#VALUE!</v>
      </c>
      <c r="R175" t="e">
        <f>'2.7.Коэффициенты'!6:6-"BYw!(_O"</f>
        <v>#VALUE!</v>
      </c>
      <c r="S175" t="e">
        <f>'2.7.Коэффициенты'!7:7-"BYw!(_P"</f>
        <v>#VALUE!</v>
      </c>
      <c r="T175" t="e">
        <f>'2.7.Коэффициенты'!8:8-"BYw!(_Q"</f>
        <v>#VALUE!</v>
      </c>
      <c r="U175" t="e">
        <f>'2.7.Коэффициенты'!9:9-"BYw!(_R"</f>
        <v>#VALUE!</v>
      </c>
      <c r="V175" t="e">
        <f>'2.7.Коэффициенты'!10:10-"BYw!(_S"</f>
        <v>#VALUE!</v>
      </c>
      <c r="W175" t="e">
        <f>'2.7.Коэффициенты'!11:11-"BYw!(_T"</f>
        <v>#VALUE!</v>
      </c>
      <c r="X175" t="e">
        <f>'2.7.Коэффициенты'!12:12-"BYw!(_U"</f>
        <v>#VALUE!</v>
      </c>
      <c r="Y175" t="e">
        <f>'2.7.Коэффициенты'!13:13-"BYw!(_V"</f>
        <v>#VALUE!</v>
      </c>
      <c r="Z175" t="e">
        <f>'2.7.Коэффициенты'!14:14-"BYw!(_W"</f>
        <v>#VALUE!</v>
      </c>
      <c r="AA175" t="e">
        <f>'2.7.Коэффициенты'!15:15-"BYw!(_X"</f>
        <v>#VALUE!</v>
      </c>
      <c r="AB175" t="e">
        <f>'2.7.Коэффициенты'!16:16-"BYw!(_Y"</f>
        <v>#VALUE!</v>
      </c>
      <c r="AC175" t="e">
        <f>'2.7.Коэффициенты'!17:17-"BYw!(_Z"</f>
        <v>#VALUE!</v>
      </c>
      <c r="AD175" t="e">
        <f>'2.7.Коэффициенты'!18:18-"BYw!(_["</f>
        <v>#VALUE!</v>
      </c>
      <c r="AE175" t="e">
        <f>'2.7.Коэффициенты'!19:19-"BYw!(_\"</f>
        <v>#VALUE!</v>
      </c>
      <c r="AF175" t="e">
        <f>'2.7.Коэффициенты'!20:20-"BYw!(_]"</f>
        <v>#VALUE!</v>
      </c>
      <c r="AG175" t="e">
        <f>'2.7.Коэффициенты'!21:21-"BYw!(_^"</f>
        <v>#VALUE!</v>
      </c>
      <c r="AH175" t="e">
        <f>'2.7.Коэффициенты'!22:22-"BYw!(__"</f>
        <v>#VALUE!</v>
      </c>
      <c r="AI175" t="e">
        <f>'2.7.Коэффициенты'!23:23-"BYw!(_`"</f>
        <v>#VALUE!</v>
      </c>
      <c r="AJ175" t="e">
        <f>'2.7.Коэффициенты'!24:24-"BYw!(_a"</f>
        <v>#VALUE!</v>
      </c>
      <c r="AK175" t="e">
        <f>'2.7.Коэффициенты'!25:25-"BYw!(_b"</f>
        <v>#VALUE!</v>
      </c>
      <c r="AL175" t="e">
        <f>'2.7.Коэффициенты'!26:26-"BYw!(_c"</f>
        <v>#VALUE!</v>
      </c>
      <c r="AM175" t="e">
        <f>'2.7.Коэффициенты'!27:27-"BYw!(_d"</f>
        <v>#VALUE!</v>
      </c>
      <c r="AN175" t="e">
        <f>'2.7.Коэффициенты'!28:28-"BYw!(_e"</f>
        <v>#VALUE!</v>
      </c>
      <c r="AO175" t="e">
        <f>'2.7.Коэффициенты'!29:29-"BYw!(_f"</f>
        <v>#VALUE!</v>
      </c>
      <c r="AP175" t="e">
        <f>'2.7.Коэффициенты'!30:30-"BYw!(_g"</f>
        <v>#VALUE!</v>
      </c>
      <c r="AQ175" t="e">
        <f>'2.7.Коэффициенты'!31:31-"BYw!(_h"</f>
        <v>#VALUE!</v>
      </c>
      <c r="AR175" t="e">
        <f>'2.7.Коэффициенты'!32:32-"BYw!(_i"</f>
        <v>#VALUE!</v>
      </c>
      <c r="AS175" t="e">
        <f>'2.7.Коэффициенты'!33:33-"BYw!(_j"</f>
        <v>#VALUE!</v>
      </c>
      <c r="AT175" t="e">
        <f>'2.7.Коэффициенты'!34:34-"BYw!(_k"</f>
        <v>#VALUE!</v>
      </c>
      <c r="AU175" t="e">
        <f>'2.7.Коэффициенты'!35:35-"BYw!(_l"</f>
        <v>#VALUE!</v>
      </c>
      <c r="AV175" t="e">
        <f>'2.7.Коэффициенты'!36:36-"BYw!(_m"</f>
        <v>#VALUE!</v>
      </c>
      <c r="AW175" t="e">
        <f>'2.7.Коэффициенты'!37:37-"BYw!(_n"</f>
        <v>#VALUE!</v>
      </c>
      <c r="AX175" t="e">
        <f>'2.7.Коэффициенты'!38:38-"BYw!(_o"</f>
        <v>#VALUE!</v>
      </c>
      <c r="AY175" t="e">
        <f>'2.7.Коэффициенты'!39:39-"BYw!(_p"</f>
        <v>#VALUE!</v>
      </c>
      <c r="AZ175" t="e">
        <f>'2.7.Коэффициенты'!40:40-"BYw!(_q"</f>
        <v>#VALUE!</v>
      </c>
      <c r="BA175" t="e">
        <f>'2.7.Коэффициенты'!41:41-"BYw!(_r"</f>
        <v>#VALUE!</v>
      </c>
      <c r="BB175" t="e">
        <f>'2.7.Коэффициенты'!42:42-"BYw!(_s"</f>
        <v>#VALUE!</v>
      </c>
      <c r="BC175" t="e">
        <f>'2.7.Коэффициенты'!43:43-"BYw!(_t"</f>
        <v>#VALUE!</v>
      </c>
      <c r="BD175" t="e">
        <f>'2.7.Коэффициенты'!44:44-"BYw!(_u"</f>
        <v>#VALUE!</v>
      </c>
      <c r="BE175" t="e">
        <f>'2.7.Коэффициенты'!45:45-"BYw!(_v"</f>
        <v>#VALUE!</v>
      </c>
      <c r="BF175" t="e">
        <f>'2.7.Коэффициенты'!46:46-"BYw!(_w"</f>
        <v>#VALUE!</v>
      </c>
      <c r="BG175" t="e">
        <f>'2.7.Коэффициенты'!47:47-"BYw!(_x"</f>
        <v>#VALUE!</v>
      </c>
      <c r="BH175" t="e">
        <f>'2.7.Коэффициенты'!48:48-"BYw!(_y"</f>
        <v>#VALUE!</v>
      </c>
      <c r="BI175" t="e">
        <f>'2.7.Коэффициенты'!49:49-"BYw!(_z"</f>
        <v>#VALUE!</v>
      </c>
      <c r="BJ175" t="e">
        <f>'2.7.Коэффициенты'!50:50-"BYw!(_{"</f>
        <v>#VALUE!</v>
      </c>
      <c r="BK175" t="e">
        <f>'2.7.Коэффициенты'!51:51-"BYw!(_|"</f>
        <v>#VALUE!</v>
      </c>
      <c r="BL175" t="e">
        <f>'2.7.Коэффициенты'!52:52-"BYw!(_}"</f>
        <v>#VALUE!</v>
      </c>
      <c r="BM175" t="e">
        <f>'2.7.Коэффициенты'!53:53-"BYw!(_~"</f>
        <v>#VALUE!</v>
      </c>
      <c r="BN175" t="e">
        <f>'2.7.Коэффициенты'!54:54-"BYw!(`#"</f>
        <v>#VALUE!</v>
      </c>
      <c r="BO175" t="e">
        <f>'2.7.Коэффициенты'!55:55-"BYw!(`$"</f>
        <v>#VALUE!</v>
      </c>
      <c r="BP175" t="e">
        <f>'2.7.Коэффициенты'!56:56-"BYw!(`%"</f>
        <v>#VALUE!</v>
      </c>
      <c r="BQ175" t="e">
        <f>'2.7.Коэффициенты'!57:57-"BYw!(`&amp;"</f>
        <v>#VALUE!</v>
      </c>
      <c r="BR175" t="e">
        <f>'2.7.Коэффициенты'!58:58-"BYw!(`'"</f>
        <v>#VALUE!</v>
      </c>
      <c r="BS175" t="e">
        <f>'2.7.Коэффициенты'!59:59-"BYw!(`("</f>
        <v>#VALUE!</v>
      </c>
      <c r="BT175" t="e">
        <f>'2.7.Коэффициенты'!60:60-"BYw!(`)"</f>
        <v>#VALUE!</v>
      </c>
      <c r="BU175" t="e">
        <f>'2.7.Коэффициенты'!61:61-"BYw!(`."</f>
        <v>#VALUE!</v>
      </c>
      <c r="BV175" t="e">
        <f>'2.7.Коэффициенты'!62:62-"BYw!(`/"</f>
        <v>#VALUE!</v>
      </c>
      <c r="BW175" t="e">
        <f>'2.7.Коэффициенты'!63:63-"BYw!(`0"</f>
        <v>#VALUE!</v>
      </c>
      <c r="BX175" t="e">
        <f>'2.7.Коэффициенты'!64:64-"BYw!(`1"</f>
        <v>#VALUE!</v>
      </c>
      <c r="BY175" t="e">
        <f>'2.7.Коэффициенты'!65:65-"BYw!(`2"</f>
        <v>#VALUE!</v>
      </c>
      <c r="BZ175" t="e">
        <f>'2.7.Коэффициенты'!66:66-"BYw!(`3"</f>
        <v>#VALUE!</v>
      </c>
      <c r="CA175" t="e">
        <f>'2.7.Коэффициенты'!67:67-"BYw!(`4"</f>
        <v>#VALUE!</v>
      </c>
      <c r="CB175" t="e">
        <f>'2.7.Коэффициенты'!68:68-"BYw!(`5"</f>
        <v>#VALUE!</v>
      </c>
      <c r="CC175" t="e">
        <f>'2.7.Коэффициенты'!69:69-"BYw!(`6"</f>
        <v>#VALUE!</v>
      </c>
      <c r="CD175" t="e">
        <f>'2.7.Коэффициенты'!70:70-"BYw!(`7"</f>
        <v>#VALUE!</v>
      </c>
      <c r="CE175" t="e">
        <f>'2.7.Коэффициенты'!71:71-"BYw!(`8"</f>
        <v>#VALUE!</v>
      </c>
      <c r="CF175" t="e">
        <f>'2.7.Коэффициенты'!72:72-"BYw!(`9"</f>
        <v>#VALUE!</v>
      </c>
      <c r="CG175" t="e">
        <f>'2.7.Коэффициенты'!73:73-"BYw!(`:"</f>
        <v>#VALUE!</v>
      </c>
      <c r="CH175" t="e">
        <f>'2.7.Коэффициенты'!74:74-"BYw!(`;"</f>
        <v>#VALUE!</v>
      </c>
      <c r="CI175" t="e">
        <f>'2.7.Коэффициенты'!75:75-"BYw!(`&lt;"</f>
        <v>#VALUE!</v>
      </c>
      <c r="CJ175" t="e">
        <f>'2.7.Коэффициенты'!76:76-"BYw!(`="</f>
        <v>#VALUE!</v>
      </c>
      <c r="CK175" t="e">
        <f>'2.7.Коэффициенты'!77:77-"BYw!(`&gt;"</f>
        <v>#VALUE!</v>
      </c>
      <c r="CL175" t="e">
        <f>'2.7.Коэффициенты'!78:78-"BYw!(`?"</f>
        <v>#VALUE!</v>
      </c>
      <c r="CM175" t="e">
        <f>'2.7.Коэффициенты'!79:79-"BYw!(`@"</f>
        <v>#VALUE!</v>
      </c>
      <c r="CN175" t="e">
        <f>'2.7.Коэффициенты'!80:80-"BYw!(`A"</f>
        <v>#VALUE!</v>
      </c>
      <c r="CO175" t="e">
        <f>'2.7.Коэффициенты'!81:81-"BYw!(`B"</f>
        <v>#VALUE!</v>
      </c>
      <c r="CP175" t="e">
        <f>'2.7.Коэффициенты'!82:82-"BYw!(`C"</f>
        <v>#VALUE!</v>
      </c>
      <c r="CQ175" t="e">
        <f>'2.7.Коэффициенты'!83:83-"BYw!(`D"</f>
        <v>#VALUE!</v>
      </c>
      <c r="CR175" t="e">
        <f>'2.7.Коэффициенты'!84:84-"BYw!(`E"</f>
        <v>#VALUE!</v>
      </c>
      <c r="CS175" t="e">
        <f>'2.7.Коэффициенты'!85:85-"BYw!(`F"</f>
        <v>#VALUE!</v>
      </c>
      <c r="CT175" t="e">
        <f>'2.7.Коэффициенты'!86:86-"BYw!(`G"</f>
        <v>#VALUE!</v>
      </c>
      <c r="CU175" t="e">
        <f>'2.7.Коэффициенты'!87:87-"BYw!(`H"</f>
        <v>#VALUE!</v>
      </c>
      <c r="CV175" t="e">
        <f>'2.7.Коэффициенты'!88:88-"BYw!(`I"</f>
        <v>#VALUE!</v>
      </c>
      <c r="CW175" t="e">
        <f>'2.7.Коэффициенты'!89:89-"BYw!(`J"</f>
        <v>#VALUE!</v>
      </c>
      <c r="CX175" t="e">
        <f>'2.7.Коэффициенты'!90:90-"BYw!(`K"</f>
        <v>#VALUE!</v>
      </c>
      <c r="CY175" t="e">
        <f>'2.7.Коэффициенты'!91:91-"BYw!(`L"</f>
        <v>#VALUE!</v>
      </c>
      <c r="CZ175" t="e">
        <f>'2.7.Коэффициенты'!92:92-"BYw!(`M"</f>
        <v>#VALUE!</v>
      </c>
      <c r="DA175" t="e">
        <f>'2.7.Коэффициенты'!93:93-"BYw!(`N"</f>
        <v>#VALUE!</v>
      </c>
      <c r="DB175" t="e">
        <f>'2.7.Коэффициенты'!94:94-"BYw!(`O"</f>
        <v>#VALUE!</v>
      </c>
      <c r="DC175" t="e">
        <f>'2.7.Коэффициенты'!95:95-"BYw!(`P"</f>
        <v>#VALUE!</v>
      </c>
      <c r="DD175" t="e">
        <f>'2.7.Коэффициенты'!96:96-"BYw!(`Q"</f>
        <v>#VALUE!</v>
      </c>
      <c r="DE175" t="e">
        <f>'2.7.Коэффициенты'!97:97-"BYw!(`R"</f>
        <v>#VALUE!</v>
      </c>
      <c r="DF175" t="e">
        <f>'2.7.Коэффициенты'!98:98-"BYw!(`S"</f>
        <v>#VALUE!</v>
      </c>
      <c r="DG175" t="e">
        <f>'2.7.Коэффициенты'!99:99-"BYw!(`T"</f>
        <v>#VALUE!</v>
      </c>
      <c r="DH175" t="e">
        <f>'2.7.Коэффициенты'!100:100-"BYw!(`U"</f>
        <v>#VALUE!</v>
      </c>
      <c r="DI175" t="e">
        <f>'2.7.Коэффициенты'!101:101-"BYw!(`V"</f>
        <v>#VALUE!</v>
      </c>
      <c r="DJ175" t="e">
        <f>'2.7.Коэффициенты'!102:102-"BYw!(`W"</f>
        <v>#VALUE!</v>
      </c>
      <c r="DK175" t="e">
        <f>'2.7.Коэффициенты'!103:103-"BYw!(`X"</f>
        <v>#VALUE!</v>
      </c>
      <c r="DL175" t="e">
        <f>'2.7.Коэффициенты'!104:104-"BYw!(`Y"</f>
        <v>#VALUE!</v>
      </c>
      <c r="DM175" t="e">
        <f>'2.7.Коэффициенты'!105:105-"BYw!(`Z"</f>
        <v>#VALUE!</v>
      </c>
      <c r="DN175" t="e">
        <f>'2.7.Коэффициенты'!106:106-"BYw!(`["</f>
        <v>#VALUE!</v>
      </c>
      <c r="DO175" t="e">
        <f>'2.7.Коэффициенты'!107:107-"BYw!(`\"</f>
        <v>#VALUE!</v>
      </c>
      <c r="DP175" t="e">
        <f>'2.7.Коэффициенты'!108:108-"BYw!(`]"</f>
        <v>#VALUE!</v>
      </c>
      <c r="DQ175" t="e">
        <f>'2.7.Коэффициенты'!109:109-"BYw!(`^"</f>
        <v>#VALUE!</v>
      </c>
      <c r="DR175" t="e">
        <f>'2.7.Коэффициенты'!110:110-"BYw!(`_"</f>
        <v>#VALUE!</v>
      </c>
      <c r="DS175" t="e">
        <f>'2.7.Коэффициенты'!111:111-"BYw!(``"</f>
        <v>#VALUE!</v>
      </c>
      <c r="DT175" t="e">
        <f>'2.7.Коэффициенты'!112:112-"BYw!(`a"</f>
        <v>#VALUE!</v>
      </c>
      <c r="DU175" t="e">
        <f>'2.7.Коэффициенты'!113:113-"BYw!(`b"</f>
        <v>#VALUE!</v>
      </c>
      <c r="DV175" t="e">
        <f>'2.7.Коэффициенты'!114:114-"BYw!(`c"</f>
        <v>#VALUE!</v>
      </c>
      <c r="DW175" t="e">
        <f>'2.7.Коэффициенты'!115:115-"BYw!(`d"</f>
        <v>#VALUE!</v>
      </c>
      <c r="DX175" t="e">
        <f>'2.7.Коэффициенты'!116:116-"BYw!(`e"</f>
        <v>#VALUE!</v>
      </c>
      <c r="DY175" t="e">
        <f>'2.7.Коэффициенты'!117:117-"BYw!(`f"</f>
        <v>#VALUE!</v>
      </c>
      <c r="DZ175" t="e">
        <f>'2.7.Коэффициенты'!118:118-"BYw!(`g"</f>
        <v>#VALUE!</v>
      </c>
      <c r="EA175" t="e">
        <f>'2.7.Коэффициенты'!119:119-"BYw!(`h"</f>
        <v>#VALUE!</v>
      </c>
      <c r="EB175" t="e">
        <f>'2.7.Коэффициенты'!120:120-"BYw!(`i"</f>
        <v>#VALUE!</v>
      </c>
      <c r="EC175" t="e">
        <f>'2.7.Коэффициенты'!121:121-"BYw!(`j"</f>
        <v>#VALUE!</v>
      </c>
      <c r="ED175" t="e">
        <f>'2.7.Коэффициенты'!122:122-"BYw!(`k"</f>
        <v>#VALUE!</v>
      </c>
      <c r="EE175" t="e">
        <f>'2.7.Коэффициенты'!123:123-"BYw!(`l"</f>
        <v>#VALUE!</v>
      </c>
      <c r="EF175" t="e">
        <f>'2.7.Коэффициенты'!124:124-"BYw!(`m"</f>
        <v>#VALUE!</v>
      </c>
      <c r="EG175" t="e">
        <f>'2.7.Коэффициенты'!125:125-"BYw!(`n"</f>
        <v>#VALUE!</v>
      </c>
      <c r="EH175" t="e">
        <f>'2.7.Коэффициенты'!126:126-"BYw!(`o"</f>
        <v>#VALUE!</v>
      </c>
      <c r="EI175" t="e">
        <f>'2.7.Коэффициенты'!127:127-"BYw!(`p"</f>
        <v>#VALUE!</v>
      </c>
      <c r="EJ175" t="e">
        <f>'2.7.Коэффициенты'!128:128-"BYw!(`q"</f>
        <v>#VALUE!</v>
      </c>
      <c r="EK175" t="e">
        <f>'2.7.Коэффициенты'!129:129-"BYw!(`r"</f>
        <v>#VALUE!</v>
      </c>
      <c r="EL175" t="e">
        <f>'2.7.Коэффициенты'!130:130-"BYw!(`s"</f>
        <v>#VALUE!</v>
      </c>
      <c r="EM175" t="e">
        <f>'2.7.Коэффициенты'!131:131-"BYw!(`t"</f>
        <v>#VALUE!</v>
      </c>
      <c r="EN175" t="e">
        <f>'2.7.Коэффициенты'!132:132-"BYw!(`u"</f>
        <v>#VALUE!</v>
      </c>
      <c r="EO175" t="e">
        <f>'2.7.Коэффициенты'!133:133-"BYw!(`v"</f>
        <v>#VALUE!</v>
      </c>
      <c r="EP175" t="e">
        <f>'2.7.Коэффициенты'!134:134-"BYw!(`w"</f>
        <v>#VALUE!</v>
      </c>
      <c r="EQ175" t="e">
        <f>'2.7.Коэффициенты'!135:135-"BYw!(`x"</f>
        <v>#VALUE!</v>
      </c>
      <c r="ER175" t="e">
        <f>'2.7.Коэффициенты'!136:136-"BYw!(`y"</f>
        <v>#VALUE!</v>
      </c>
      <c r="ES175" t="e">
        <f>'2.7.Коэффициенты'!137:137-"BYw!(`z"</f>
        <v>#VALUE!</v>
      </c>
      <c r="ET175" t="e">
        <f>'2.7.Коэффициенты'!138:138-"BYw!(`{"</f>
        <v>#VALUE!</v>
      </c>
      <c r="EU175" t="e">
        <f>'2.7.Коэффициенты'!139:139-"BYw!(`|"</f>
        <v>#VALUE!</v>
      </c>
      <c r="EV175" t="e">
        <f>'2.7.Коэффициенты'!140:140-"BYw!(`}"</f>
        <v>#VALUE!</v>
      </c>
      <c r="EW175" t="e">
        <f>'2.7.Коэффициенты'!141:141-"BYw!(`~"</f>
        <v>#VALUE!</v>
      </c>
      <c r="EX175" t="e">
        <f>'2.7.Коэффициенты'!142:142-"BYw!(a#"</f>
        <v>#VALUE!</v>
      </c>
      <c r="EY175" t="e">
        <f>'2.7.Коэффициенты'!143:143-"BYw!(a$"</f>
        <v>#VALUE!</v>
      </c>
      <c r="EZ175" t="e">
        <f>'2.7.Коэффициенты'!144:144-"BYw!(a%"</f>
        <v>#VALUE!</v>
      </c>
      <c r="FA175" t="e">
        <f>'2.7.Коэффициенты'!145:145-"BYw!(a&amp;"</f>
        <v>#VALUE!</v>
      </c>
      <c r="FB175" t="e">
        <f>'2.7.Коэффициенты'!146:146-"BYw!(a'"</f>
        <v>#VALUE!</v>
      </c>
      <c r="FC175" t="e">
        <f>'2.7.Коэффициенты'!147:147-"BYw!(a("</f>
        <v>#VALUE!</v>
      </c>
      <c r="FD175" t="e">
        <f>'2.7.Коэффициенты'!148:148-"BYw!(a)"</f>
        <v>#VALUE!</v>
      </c>
      <c r="FE175" t="e">
        <f>'2.7.Коэффициенты'!149:149-"BYw!(a."</f>
        <v>#VALUE!</v>
      </c>
      <c r="FF175" t="e">
        <f>'2.7.Коэффициенты'!150:150-"BYw!(a/"</f>
        <v>#VALUE!</v>
      </c>
      <c r="FG175" t="e">
        <f>'2.7.Коэффициенты'!151:151-"BYw!(a0"</f>
        <v>#VALUE!</v>
      </c>
      <c r="FH175" t="e">
        <f>'2.7.Коэффициенты'!152:152-"BYw!(a1"</f>
        <v>#VALUE!</v>
      </c>
      <c r="FI175" t="e">
        <f>'2.7.Коэффициенты'!153:153-"BYw!(a2"</f>
        <v>#VALUE!</v>
      </c>
      <c r="FJ175" t="e">
        <f>'2.7.Коэффициенты'!154:154-"BYw!(a3"</f>
        <v>#VALUE!</v>
      </c>
      <c r="FK175" t="e">
        <f>'2.7.Коэффициенты'!155:155-"BYw!(a4"</f>
        <v>#VALUE!</v>
      </c>
      <c r="FL175" t="e">
        <f>'2.7.Коэффициенты'!156:156-"BYw!(a5"</f>
        <v>#VALUE!</v>
      </c>
      <c r="FM175" t="e">
        <f>'2.7.Коэффициенты'!157:157-"BYw!(a6"</f>
        <v>#VALUE!</v>
      </c>
      <c r="FN175" t="e">
        <f>'2.7.Коэффициенты'!158:158-"BYw!(a7"</f>
        <v>#VALUE!</v>
      </c>
      <c r="FO175" t="e">
        <f>'2.7.Коэффициенты'!159:159-"BYw!(a8"</f>
        <v>#VALUE!</v>
      </c>
      <c r="FP175" t="e">
        <f>'2.7.Коэффициенты'!160:160-"BYw!(a9"</f>
        <v>#VALUE!</v>
      </c>
      <c r="FQ175" t="e">
        <f>'2.7.Коэффициенты'!161:161-"BYw!(a:"</f>
        <v>#VALUE!</v>
      </c>
      <c r="FR175" t="e">
        <f>'2.7.Коэффициенты'!162:162-"BYw!(a;"</f>
        <v>#VALUE!</v>
      </c>
      <c r="FS175" t="e">
        <f>'2.7.Коэффициенты'!163:163-"BYw!(a&lt;"</f>
        <v>#VALUE!</v>
      </c>
      <c r="FT175" t="e">
        <f>'2.7.Коэффициенты'!164:164-"BYw!(a="</f>
        <v>#VALUE!</v>
      </c>
      <c r="FU175" t="e">
        <f>'2.7.Коэффициенты'!165:165-"BYw!(a&gt;"</f>
        <v>#VALUE!</v>
      </c>
      <c r="FV175" t="e">
        <f>'2.7.Коэффициенты'!166:166-"BYw!(a?"</f>
        <v>#VALUE!</v>
      </c>
      <c r="FW175" t="e">
        <f>'2.7.Коэффициенты'!167:167-"BYw!(a@"</f>
        <v>#VALUE!</v>
      </c>
      <c r="FX175" t="e">
        <f>'2.7.Коэффициенты'!168:168-"BYw!(aA"</f>
        <v>#VALUE!</v>
      </c>
      <c r="FY175" t="e">
        <f>'2.7.Коэффициенты'!169:169-"BYw!(aB"</f>
        <v>#VALUE!</v>
      </c>
      <c r="FZ175" t="e">
        <f>'2.7.Коэффициенты'!170:170-"BYw!(aC"</f>
        <v>#VALUE!</v>
      </c>
      <c r="GA175" t="e">
        <f>'2.7.Коэффициенты'!171:171-"BYw!(aD"</f>
        <v>#VALUE!</v>
      </c>
      <c r="GB175" t="e">
        <f>'2.7.Коэффициенты'!172:172-"BYw!(aE"</f>
        <v>#VALUE!</v>
      </c>
      <c r="GC175" t="e">
        <f>'2.7.Коэффициенты'!173:173-"BYw!(aF"</f>
        <v>#VALUE!</v>
      </c>
      <c r="GD175" t="e">
        <f>'2.7.Коэффициенты'!174:174-"BYw!(aG"</f>
        <v>#VALUE!</v>
      </c>
      <c r="GE175" t="e">
        <f>'2.7.Коэффициенты'!175:175-"BYw!(aH"</f>
        <v>#VALUE!</v>
      </c>
      <c r="GF175" t="e">
        <f>'2.7.Коэффициенты'!176:176-"BYw!(aI"</f>
        <v>#VALUE!</v>
      </c>
      <c r="GG175" t="e">
        <f>'2.7.Коэффициенты'!177:177-"BYw!(aJ"</f>
        <v>#VALUE!</v>
      </c>
      <c r="GH175" t="e">
        <f>'2.7.Коэффициенты'!178:178-"BYw!(aK"</f>
        <v>#VALUE!</v>
      </c>
      <c r="GI175" t="e">
        <f>'2.7.Коэффициенты'!179:179-"BYw!(aL"</f>
        <v>#VALUE!</v>
      </c>
      <c r="GJ175" t="e">
        <f>'2.7.Коэффициенты'!180:180-"BYw!(aM"</f>
        <v>#VALUE!</v>
      </c>
      <c r="GK175" t="e">
        <f>'2.7.Коэффициенты'!181:181-"BYw!(aN"</f>
        <v>#VALUE!</v>
      </c>
      <c r="GL175" t="e">
        <f>'2.7.Коэффициенты'!182:182-"BYw!(aO"</f>
        <v>#VALUE!</v>
      </c>
      <c r="GM175" t="e">
        <f>'2.7.Коэффициенты'!183:183-"BYw!(aP"</f>
        <v>#VALUE!</v>
      </c>
      <c r="GN175" t="e">
        <f>'2.7.Коэффициенты'!184:184-"BYw!(aQ"</f>
        <v>#VALUE!</v>
      </c>
      <c r="GO175" t="e">
        <f>'2.7.Коэффициенты'!185:185-"BYw!(aR"</f>
        <v>#VALUE!</v>
      </c>
      <c r="GP175" t="e">
        <f>'2.7.Коэффициенты'!186:186-"BYw!(aS"</f>
        <v>#VALUE!</v>
      </c>
      <c r="GQ175" t="e">
        <f>'2.7.Коэффициенты'!187:187-"BYw!(aT"</f>
        <v>#VALUE!</v>
      </c>
      <c r="GR175" t="e">
        <f>'2.7.Коэффициенты'!188:188-"BYw!(aU"</f>
        <v>#VALUE!</v>
      </c>
      <c r="GS175" t="e">
        <f>'2.7.Коэффициенты'!189:189-"BYw!(aV"</f>
        <v>#VALUE!</v>
      </c>
      <c r="GT175" t="e">
        <f>'2.7.Коэффициенты'!190:190-"BYw!(aW"</f>
        <v>#VALUE!</v>
      </c>
      <c r="GU175" t="e">
        <f>'2.7.Коэффициенты'!191:191-"BYw!(aX"</f>
        <v>#VALUE!</v>
      </c>
      <c r="GV175" t="e">
        <f>'2.7.Коэффициенты'!192:192-"BYw!(aY"</f>
        <v>#VALUE!</v>
      </c>
      <c r="GW175" t="e">
        <f>'2.7.Коэффициенты'!193:193-"BYw!(aZ"</f>
        <v>#VALUE!</v>
      </c>
      <c r="GX175" t="e">
        <f>'2.7.Коэффициенты'!194:194-"BYw!(a["</f>
        <v>#VALUE!</v>
      </c>
      <c r="GY175" t="e">
        <f>'2.7.Коэффициенты'!195:195-"BYw!(a\"</f>
        <v>#VALUE!</v>
      </c>
      <c r="GZ175" t="e">
        <f>'2.7.Коэффициенты'!196:196-"BYw!(a]"</f>
        <v>#VALUE!</v>
      </c>
      <c r="HA175" t="e">
        <f>'2.7.Коэффициенты'!197:197-"BYw!(a^"</f>
        <v>#VALUE!</v>
      </c>
      <c r="HB175" t="e">
        <f>'2.7.Коэффициенты'!198:198-"BYw!(a_"</f>
        <v>#VALUE!</v>
      </c>
      <c r="HC175" t="e">
        <f>'2.7.Коэффициенты'!199:199-"BYw!(a`"</f>
        <v>#VALUE!</v>
      </c>
      <c r="HD175" t="e">
        <f>'2.7.Коэффициенты'!200:200-"BYw!(aa"</f>
        <v>#VALUE!</v>
      </c>
      <c r="HE175" t="e">
        <f>'2.7.Коэффициенты'!201:201-"BYw!(ab"</f>
        <v>#VALUE!</v>
      </c>
      <c r="HF175" t="e">
        <f>'2.7.Коэффициенты'!202:202-"BYw!(ac"</f>
        <v>#VALUE!</v>
      </c>
      <c r="HG175" t="e">
        <f>'2.7.Коэффициенты'!203:203-"BYw!(ad"</f>
        <v>#VALUE!</v>
      </c>
      <c r="HH175" t="e">
        <f>'2.7.Коэффициенты'!204:204-"BYw!(ae"</f>
        <v>#VALUE!</v>
      </c>
      <c r="HI175" t="e">
        <f>'2.7.Коэффициенты'!205:205-"BYw!(af"</f>
        <v>#VALUE!</v>
      </c>
      <c r="HJ175" t="e">
        <f>'2.7.Коэффициенты'!206:206-"BYw!(ag"</f>
        <v>#VALUE!</v>
      </c>
      <c r="HK175" t="e">
        <f>'2.7.Коэффициенты'!207:207-"BYw!(ah"</f>
        <v>#VALUE!</v>
      </c>
      <c r="HL175" t="e">
        <f>'2.7.Коэффициенты'!208:208-"BYw!(ai"</f>
        <v>#VALUE!</v>
      </c>
      <c r="HM175" t="e">
        <f>'2.7.Коэффициенты'!209:209-"BYw!(aj"</f>
        <v>#VALUE!</v>
      </c>
      <c r="HN175" t="e">
        <f>'2.7.Коэффициенты'!210:210-"BYw!(ak"</f>
        <v>#VALUE!</v>
      </c>
      <c r="HO175" t="e">
        <f>'2.7.Коэффициенты'!211:211-"BYw!(al"</f>
        <v>#VALUE!</v>
      </c>
      <c r="HP175" t="e">
        <f>'2.7.Коэффициенты'!212:212-"BYw!(am"</f>
        <v>#VALUE!</v>
      </c>
      <c r="HQ175" t="e">
        <f>'2.7.Коэффициенты'!213:213-"BYw!(an"</f>
        <v>#VALUE!</v>
      </c>
      <c r="HR175" t="e">
        <f>'2.7.Коэффициенты'!214:214-"BYw!(ao"</f>
        <v>#VALUE!</v>
      </c>
      <c r="HS175" t="e">
        <f>'2.7.Коэффициенты'!215:215-"BYw!(ap"</f>
        <v>#VALUE!</v>
      </c>
      <c r="HT175" t="e">
        <f>'2.7.Коэффициенты'!216:216-"BYw!(aq"</f>
        <v>#VALUE!</v>
      </c>
      <c r="HU175" t="e">
        <f>'2.7.Коэффициенты'!217:217-"BYw!(ar"</f>
        <v>#VALUE!</v>
      </c>
      <c r="HV175" t="e">
        <f>'2.7.Коэффициенты'!218:218-"BYw!(as"</f>
        <v>#VALUE!</v>
      </c>
      <c r="HW175" t="e">
        <f>'2.7.Коэффициенты'!219:219-"BYw!(at"</f>
        <v>#VALUE!</v>
      </c>
      <c r="HX175" t="e">
        <f>'2.7.Коэффициенты'!220:220-"BYw!(au"</f>
        <v>#VALUE!</v>
      </c>
      <c r="HY175" t="e">
        <f>'2.7.Коэффициенты'!221:221-"BYw!(av"</f>
        <v>#VALUE!</v>
      </c>
      <c r="HZ175" t="e">
        <f>'2.7.Коэффициенты'!222:222-"BYw!(aw"</f>
        <v>#VALUE!</v>
      </c>
      <c r="IA175" t="e">
        <f>'2.7.Коэффициенты'!223:223-"BYw!(ax"</f>
        <v>#VALUE!</v>
      </c>
      <c r="IB175" t="e">
        <f>'2.7.Коэффициенты'!224:224-"BYw!(ay"</f>
        <v>#VALUE!</v>
      </c>
      <c r="IC175" t="e">
        <f>'2.7.Коэффициенты'!225:225-"BYw!(az"</f>
        <v>#VALUE!</v>
      </c>
      <c r="ID175" t="e">
        <f>'2.7.Коэффициенты'!226:226-"BYw!(a{"</f>
        <v>#VALUE!</v>
      </c>
      <c r="IE175" t="e">
        <f>'2.7.Коэффициенты'!227:227-"BYw!(a|"</f>
        <v>#VALUE!</v>
      </c>
      <c r="IF175" t="e">
        <f>'2.7.Коэффициенты'!228:228-"BYw!(a}"</f>
        <v>#VALUE!</v>
      </c>
      <c r="IG175" t="e">
        <f>'2.7.Коэффициенты'!229:229-"BYw!(a~"</f>
        <v>#VALUE!</v>
      </c>
      <c r="IH175" t="e">
        <f>'2.7.Коэффициенты'!230:230-"BYw!(b#"</f>
        <v>#VALUE!</v>
      </c>
      <c r="II175" t="e">
        <f>'2.7.Коэффициенты'!231:231-"BYw!(b$"</f>
        <v>#VALUE!</v>
      </c>
      <c r="IJ175" t="e">
        <f>'2.7.Коэффициенты'!232:232-"BYw!(b%"</f>
        <v>#VALUE!</v>
      </c>
      <c r="IK175" t="e">
        <f>'2.7.Коэффициенты'!233:233-"BYw!(b&amp;"</f>
        <v>#VALUE!</v>
      </c>
      <c r="IL175" t="e">
        <f>'2.7.Коэффициенты'!234:234-"BYw!(b'"</f>
        <v>#VALUE!</v>
      </c>
      <c r="IM175" t="e">
        <f>'2.7.Коэффициенты'!235:235-"BYw!(b("</f>
        <v>#VALUE!</v>
      </c>
      <c r="IN175" t="e">
        <f>'2.7.Коэффициенты'!236:236-"BYw!(b)"</f>
        <v>#VALUE!</v>
      </c>
      <c r="IO175" t="e">
        <f>'2.7.Коэффициенты'!237:237-"BYw!(b."</f>
        <v>#VALUE!</v>
      </c>
      <c r="IP175" t="e">
        <f>'2.7.Коэффициенты'!238:238-"BYw!(b/"</f>
        <v>#VALUE!</v>
      </c>
      <c r="IQ175" t="e">
        <f>'2.7.Коэффициенты'!239:239-"BYw!(b0"</f>
        <v>#VALUE!</v>
      </c>
      <c r="IR175" t="e">
        <f>'2.7.Коэффициенты'!240:240-"BYw!(b1"</f>
        <v>#VALUE!</v>
      </c>
      <c r="IS175" t="e">
        <f>'2.7.Коэффициенты'!241:241-"BYw!(b2"</f>
        <v>#VALUE!</v>
      </c>
      <c r="IT175" t="e">
        <f>'2.7.Коэффициенты'!242:242-"BYw!(b3"</f>
        <v>#VALUE!</v>
      </c>
      <c r="IU175" t="e">
        <f>'2.7.Коэффициенты'!243:243-"BYw!(b4"</f>
        <v>#VALUE!</v>
      </c>
      <c r="IV175" t="e">
        <f>'2.7.Коэффициенты'!244:244-"BYw!(b5"</f>
        <v>#VALUE!</v>
      </c>
    </row>
    <row r="176" spans="6:256" x14ac:dyDescent="0.2">
      <c r="F176" t="e">
        <f>'2.7.Коэффициенты'!245:245-"BYw!(b6"</f>
        <v>#VALUE!</v>
      </c>
      <c r="G176" t="e">
        <f>'2.7.Коэффициенты'!246:246-"BYw!(b7"</f>
        <v>#VALUE!</v>
      </c>
      <c r="H176" t="e">
        <f>'2.7.Коэффициенты'!247:247-"BYw!(b8"</f>
        <v>#VALUE!</v>
      </c>
      <c r="I176" t="e">
        <f>'2.7.Коэффициенты'!248:248-"BYw!(b9"</f>
        <v>#VALUE!</v>
      </c>
      <c r="J176" t="e">
        <f>'2.7.Коэффициенты'!249:249-"BYw!(b:"</f>
        <v>#VALUE!</v>
      </c>
      <c r="K176" t="e">
        <f>'2.7.Коэффициенты'!250:250-"BYw!(b;"</f>
        <v>#VALUE!</v>
      </c>
      <c r="L176" t="e">
        <f>'2.7.Коэффициенты'!251:251-"BYw!(b&lt;"</f>
        <v>#VALUE!</v>
      </c>
      <c r="M176" t="e">
        <f>'2.7.Коэффициенты'!252:252-"BYw!(b="</f>
        <v>#VALUE!</v>
      </c>
      <c r="N176" t="e">
        <f>'2.7.Коэффициенты'!253:253-"BYw!(b&gt;"</f>
        <v>#VALUE!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291</TotalTime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2.1 Титул</vt:lpstr>
      <vt:lpstr>2.2 Свод по годам</vt:lpstr>
      <vt:lpstr>2.3 Сводная ИТОГО</vt:lpstr>
      <vt:lpstr>2.4.Функции</vt:lpstr>
      <vt:lpstr>2.5.Трудоемкость</vt:lpstr>
      <vt:lpstr>2.6.Расчет развития</vt:lpstr>
      <vt:lpstr>2.7.Коэффициенты</vt:lpstr>
      <vt:lpstr>'2.5.Трудоемкость'!Заголовки_для_печати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description/>
  <cp:lastPrinted>2016-07-19T17:58:28Z</cp:lastPrinted>
  <dcterms:created xsi:type="dcterms:W3CDTF">2004-05-16T18:44:46Z</dcterms:created>
  <dcterms:modified xsi:type="dcterms:W3CDTF">2026-09-09T08:32:21Z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ive_VersionGuid">
    <vt:lpwstr>4eca45182e394717a14fb07748d8443a</vt:lpwstr>
  </property>
  <property fmtid="{D5CDD505-2E9C-101B-9397-08002B2CF9AE}" pid="3" name="Offisync_ProviderInitializationData">
    <vt:lpwstr>https://jive.croc.ru/</vt:lpwstr>
  </property>
  <property fmtid="{D5CDD505-2E9C-101B-9397-08002B2CF9AE}" pid="4" name="Offisync_UniqueId">
    <vt:lpwstr>367448</vt:lpwstr>
  </property>
  <property fmtid="{D5CDD505-2E9C-101B-9397-08002B2CF9AE}" pid="5" name="Offisync_UpdateToken">
    <vt:lpwstr>5</vt:lpwstr>
  </property>
  <property fmtid="{D5CDD505-2E9C-101B-9397-08002B2CF9AE}" pid="6" name="Offisync_ServerID">
    <vt:lpwstr>d81fa5fc-e6d4-4a02-91a9-ab1e2c1de9ed</vt:lpwstr>
  </property>
  <property fmtid="{D5CDD505-2E9C-101B-9397-08002B2CF9AE}" pid="7" name="Jive_LatestUserAccountName">
    <vt:lpwstr>IlOrlov</vt:lpwstr>
  </property>
  <property fmtid="{D5CDD505-2E9C-101B-9397-08002B2CF9AE}" pid="8" name="Jive_ModifiedButNotPublished">
    <vt:lpwstr>False</vt:lpwstr>
  </property>
  <property fmtid="{D5CDD505-2E9C-101B-9397-08002B2CF9AE}" pid="9" name="Jive_PrevVersionNumber">
    <vt:lpwstr>4</vt:lpwstr>
  </property>
  <property fmtid="{D5CDD505-2E9C-101B-9397-08002B2CF9AE}" pid="10" name="Jive_VersionGuid_v2.5">
    <vt:lpwstr>1e5ebdb067464e3395beef639029399a</vt:lpwstr>
  </property>
  <property fmtid="{D5CDD505-2E9C-101B-9397-08002B2CF9AE}" pid="11" name="Jive_LatestFileFullName">
    <vt:lpwstr>def27691cfa5438f165ee373da560bee</vt:lpwstr>
  </property>
</Properties>
</file>