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sd-sv-fs-01\SV-FS\Документация_АСДУ\Общего_назначения\Конкурсы\План закупок 2026\242884 ТП СОИБ 2026 (Дионисы)\Для ответа на замечания АЦ с КП\"/>
    </mc:Choice>
  </mc:AlternateContent>
  <xr:revisionPtr revIDLastSave="0" documentId="13_ncr:1_{201537D9-0131-403F-AFC7-2BF224AF1F02}" xr6:coauthVersionLast="47" xr6:coauthVersionMax="47" xr10:uidLastSave="{00000000-0000-0000-0000-000000000000}"/>
  <bookViews>
    <workbookView xWindow="38280" yWindow="-120" windowWidth="38640" windowHeight="21120" xr2:uid="{466F2818-0916-408F-AAAC-FD4C8B3061FE}"/>
  </bookViews>
  <sheets>
    <sheet name="Смет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9" i="1" l="1"/>
  <c r="J6" i="1"/>
  <c r="I6" i="1" s="1"/>
  <c r="K6" i="1" s="1"/>
  <c r="J7" i="1"/>
  <c r="I7" i="1" s="1"/>
  <c r="K7" i="1" s="1"/>
  <c r="J8" i="1"/>
  <c r="I8" i="1" s="1"/>
  <c r="K8" i="1" s="1"/>
  <c r="J9" i="1"/>
  <c r="I9" i="1" s="1"/>
  <c r="K9" i="1" s="1"/>
  <c r="G10" i="1"/>
  <c r="I5" i="1" s="1"/>
  <c r="J5" i="1" s="1"/>
  <c r="G11" i="1" l="1"/>
  <c r="H6" i="1"/>
  <c r="H7" i="1"/>
  <c r="J10" i="1"/>
  <c r="J11" i="1" s="1"/>
  <c r="L7" i="1"/>
  <c r="L8" i="1"/>
  <c r="L6" i="1"/>
  <c r="L9" i="1"/>
  <c r="H9" i="1"/>
  <c r="H8" i="1"/>
  <c r="H10" i="1" s="1"/>
  <c r="K5" i="1" l="1"/>
  <c r="L5" i="1" s="1"/>
  <c r="L10" i="1" s="1"/>
  <c r="M5" i="1" s="1"/>
  <c r="N8" i="1" l="1"/>
  <c r="N7" i="1"/>
  <c r="N9" i="1"/>
  <c r="N6" i="1"/>
  <c r="L11" i="1"/>
  <c r="O6" i="1" l="1"/>
  <c r="P6" i="1" s="1"/>
  <c r="Q6" i="1"/>
  <c r="Q7" i="1"/>
  <c r="O7" i="1"/>
  <c r="P7" i="1" s="1"/>
  <c r="Q8" i="1"/>
  <c r="O8" i="1"/>
  <c r="P8" i="1" s="1"/>
  <c r="O9" i="1"/>
  <c r="P9" i="1" s="1"/>
  <c r="Q9" i="1"/>
  <c r="N5" i="1" l="1"/>
  <c r="Q5" i="1" s="1"/>
  <c r="Q10" i="1" l="1"/>
  <c r="Q11" i="1" s="1"/>
</calcChain>
</file>

<file path=xl/sharedStrings.xml><?xml version="1.0" encoding="utf-8"?>
<sst xmlns="http://schemas.openxmlformats.org/spreadsheetml/2006/main" count="54" uniqueCount="39">
  <si>
    <t>Итого</t>
  </si>
  <si>
    <t xml:space="preserve">2028 г.:     </t>
  </si>
  <si>
    <t xml:space="preserve">2027 г.:     </t>
  </si>
  <si>
    <t xml:space="preserve">2026 г.:     </t>
  </si>
  <si>
    <t>Платежи:</t>
  </si>
  <si>
    <t>Начальная (максимальная) цена контракта составляет: 64 976 551 (шестьдесят четыре миллиона девятьсот семьдесят шесть тысяч пятьсот пятьдесят один) рубль 52 копейки, в том числе НДС (22%) –  11 717 083 (одиннадцать миллионов семьсот семнадцать тысяч восемьдесят три) рубля 06 копеек</t>
  </si>
  <si>
    <t>X</t>
  </si>
  <si>
    <t>в том числе НДС (22%)</t>
  </si>
  <si>
    <t>ИТОГО, начальная (максимальная) цена контракта</t>
  </si>
  <si>
    <t>усл. ед.</t>
  </si>
  <si>
    <t>Сопровождение и поддержка аппаратного и программного обеспечения информационных систем и ресурсов</t>
  </si>
  <si>
    <t>Системное администрирование ИСиР</t>
  </si>
  <si>
    <t>4.</t>
  </si>
  <si>
    <t>Прикладное администрирование ИСиР</t>
  </si>
  <si>
    <t>3.</t>
  </si>
  <si>
    <t>Поддержка пользователей ИСиР</t>
  </si>
  <si>
    <t>2.</t>
  </si>
  <si>
    <t>x</t>
  </si>
  <si>
    <t>Услуги по организации эксплуатационных служб</t>
  </si>
  <si>
    <t>1.</t>
  </si>
  <si>
    <t>Стоимость  работ (услуг) c учетом снижения по решению Заказчика за 2026 - 2028 года,
 с НДС 22 %, руб.</t>
  </si>
  <si>
    <t>Цена за единицу работ (услуг) c учетом снижения по решению Заказчика, с НДС 22 %, руб. на 2028</t>
  </si>
  <si>
    <t>Цена за единицу работ (услуг) c учетом снижения по решению Заказчика, с НДС 22 %, руб. на 2027</t>
  </si>
  <si>
    <t>Цена за единицу работ (услуг) c учетом снижения по решению Заказчика, с НДС 22 %, руб. на 2026</t>
  </si>
  <si>
    <t>Коэффициент снижения</t>
  </si>
  <si>
    <t>Cтоимость работ (услуг) с выделенным подготовительным этапом, с НДС 22%, руб.</t>
  </si>
  <si>
    <t>Цена за единицу работ (услуг) с выделенным подготовительным этапом, с НДС 22 %, руб.</t>
  </si>
  <si>
    <t>Доля в стоимости услуг, %</t>
  </si>
  <si>
    <t>Cтоимость работ (услуг) без выделения подготовительного этапа, с НДС 22%, руб.</t>
  </si>
  <si>
    <t>Количество</t>
  </si>
  <si>
    <t>Единица измерения</t>
  </si>
  <si>
    <t>Составляющие  стоимости  работ (услуг) по эксплуатации ИСиР</t>
  </si>
  <si>
    <t>№№</t>
  </si>
  <si>
    <t xml:space="preserve">  выполнено методом составления смет в соответствии с порядком расчета планируемой стоимости работ (услуг) по эксплуатации информационных систем и ресурсов города Москвы согласно распоряжения ДЭПиР г.Москвы, ДИТ г.Москвы от 05.08.2024 №ДПР-Р-18/24/64-16-403/24</t>
  </si>
  <si>
    <t>Определение начальной (максимальной) цены контракта на 
оказание услуг по сопровождению системы обеспечения информационной безопасности ИТ-инфраструктуры ГУП "Мосгортранс" в течение 550 дней</t>
  </si>
  <si>
    <t>Приложение №2
 к протоколу начальной (максимальной) цены контракта</t>
  </si>
  <si>
    <t>Цена за единицу работ (услуг) c выделением подготовительного этапа, с НДС 22 %, руб.</t>
  </si>
  <si>
    <t>Cтоимость работ (услуг)  c выделением подготовительного этапа, с НДС 22%, руб.</t>
  </si>
  <si>
    <t xml:space="preserve">И.о. директора филиала Служба информационных технологий и связи ГУП «Мосгортранс»                         ______________________  А.А. Теслик                                                                                                                                                     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</si>
</sst>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0_р_."/>
    <numFmt numFmtId="165" formatCode="#,##0_р_."/>
    <numFmt numFmtId="166" formatCode="#,##0.0000000000000000"/>
  </numFmts>
  <fonts count="12" x14ac:knownFonts="1">
    <font>
      <sz val="10"/>
      <name val="Arial"/>
      <family val="2"/>
    </font>
    <font>
      <sz val="10"/>
      <name val="Arial"/>
      <family val="2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  <xf numFmtId="0" fontId="7" fillId="0" borderId="0"/>
  </cellStyleXfs>
  <cellXfs count="64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right" vertical="top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wrapText="1"/>
    </xf>
    <xf numFmtId="0" fontId="9" fillId="3" borderId="0" xfId="4" applyFont="1" applyFill="1" applyAlignment="1">
      <alignment horizontal="left" vertical="center" wrapText="1"/>
    </xf>
    <xf numFmtId="0" fontId="8" fillId="3" borderId="0" xfId="4" applyFont="1" applyFill="1" applyAlignment="1">
      <alignment horizontal="left" vertical="center"/>
    </xf>
    <xf numFmtId="0" fontId="8" fillId="3" borderId="0" xfId="4" applyFont="1" applyFill="1" applyAlignment="1">
      <alignment horizontal="left" vertical="center" wrapText="1"/>
    </xf>
    <xf numFmtId="0" fontId="8" fillId="3" borderId="0" xfId="4" applyFont="1" applyFill="1" applyAlignment="1">
      <alignment horizontal="center" vertical="center"/>
    </xf>
    <xf numFmtId="164" fontId="8" fillId="0" borderId="2" xfId="4" applyNumberFormat="1" applyFont="1" applyBorder="1" applyAlignment="1">
      <alignment horizontal="center" vertical="center" wrapText="1"/>
    </xf>
    <xf numFmtId="164" fontId="8" fillId="4" borderId="2" xfId="4" applyNumberFormat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8" fillId="3" borderId="2" xfId="4" applyFont="1" applyFill="1" applyBorder="1" applyAlignment="1">
      <alignment horizontal="center" vertical="center"/>
    </xf>
    <xf numFmtId="0" fontId="8" fillId="3" borderId="2" xfId="4" applyFont="1" applyFill="1" applyBorder="1" applyAlignment="1">
      <alignment horizontal="center" vertical="center" wrapText="1"/>
    </xf>
    <xf numFmtId="164" fontId="9" fillId="4" borderId="3" xfId="4" applyNumberFormat="1" applyFont="1" applyFill="1" applyBorder="1" applyAlignment="1">
      <alignment horizontal="center" vertical="center" wrapText="1"/>
    </xf>
    <xf numFmtId="164" fontId="8" fillId="4" borderId="3" xfId="4" applyNumberFormat="1" applyFont="1" applyFill="1" applyBorder="1" applyAlignment="1">
      <alignment horizontal="center" vertical="center" wrapText="1"/>
    </xf>
    <xf numFmtId="164" fontId="9" fillId="0" borderId="4" xfId="4" applyNumberFormat="1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10" fontId="8" fillId="3" borderId="3" xfId="4" applyNumberFormat="1" applyFont="1" applyFill="1" applyBorder="1" applyAlignment="1">
      <alignment horizontal="center" vertical="center"/>
    </xf>
    <xf numFmtId="0" fontId="8" fillId="3" borderId="4" xfId="4" applyFont="1" applyFill="1" applyBorder="1" applyAlignment="1">
      <alignment horizontal="center" vertical="center" wrapText="1"/>
    </xf>
    <xf numFmtId="164" fontId="8" fillId="3" borderId="1" xfId="4" applyNumberFormat="1" applyFont="1" applyFill="1" applyBorder="1" applyAlignment="1">
      <alignment horizontal="center" vertical="center" wrapText="1"/>
    </xf>
    <xf numFmtId="164" fontId="8" fillId="0" borderId="7" xfId="4" applyNumberFormat="1" applyFont="1" applyBorder="1" applyAlignment="1">
      <alignment horizontal="center" vertical="center" wrapText="1"/>
    </xf>
    <xf numFmtId="10" fontId="8" fillId="3" borderId="1" xfId="2" applyNumberFormat="1" applyFont="1" applyFill="1" applyBorder="1" applyAlignment="1">
      <alignment horizontal="center" vertical="center"/>
    </xf>
    <xf numFmtId="165" fontId="8" fillId="3" borderId="8" xfId="4" applyNumberFormat="1" applyFont="1" applyFill="1" applyBorder="1" applyAlignment="1">
      <alignment horizontal="center" vertical="center" wrapText="1"/>
    </xf>
    <xf numFmtId="166" fontId="8" fillId="3" borderId="1" xfId="4" applyNumberFormat="1" applyFont="1" applyFill="1" applyBorder="1" applyAlignment="1">
      <alignment horizontal="center" vertical="center" wrapText="1"/>
    </xf>
    <xf numFmtId="164" fontId="8" fillId="3" borderId="7" xfId="4" applyNumberFormat="1" applyFont="1" applyFill="1" applyBorder="1" applyAlignment="1">
      <alignment horizontal="center" vertical="center" wrapText="1"/>
    </xf>
    <xf numFmtId="10" fontId="8" fillId="3" borderId="1" xfId="4" applyNumberFormat="1" applyFont="1" applyFill="1" applyBorder="1" applyAlignment="1">
      <alignment horizontal="center" vertical="center"/>
    </xf>
    <xf numFmtId="0" fontId="3" fillId="0" borderId="2" xfId="4" applyFont="1" applyBorder="1" applyAlignment="1">
      <alignment horizontal="center" vertical="center" wrapText="1"/>
    </xf>
    <xf numFmtId="0" fontId="3" fillId="3" borderId="8" xfId="4" applyFont="1" applyFill="1" applyBorder="1" applyAlignment="1">
      <alignment horizontal="center" vertical="center" wrapText="1"/>
    </xf>
    <xf numFmtId="0" fontId="3" fillId="3" borderId="2" xfId="4" applyFont="1" applyFill="1" applyBorder="1" applyAlignment="1">
      <alignment horizontal="center" vertical="center" wrapText="1"/>
    </xf>
    <xf numFmtId="0" fontId="11" fillId="3" borderId="1" xfId="4" applyFont="1" applyFill="1" applyBorder="1" applyAlignment="1">
      <alignment horizontal="center" vertical="center" wrapText="1"/>
    </xf>
    <xf numFmtId="0" fontId="3" fillId="3" borderId="1" xfId="4" applyFont="1" applyFill="1" applyBorder="1" applyAlignment="1">
      <alignment horizontal="center" vertical="center" wrapText="1"/>
    </xf>
    <xf numFmtId="0" fontId="3" fillId="3" borderId="7" xfId="4" applyFont="1" applyFill="1" applyBorder="1" applyAlignment="1">
      <alignment horizontal="center" vertical="center" wrapText="1"/>
    </xf>
    <xf numFmtId="0" fontId="8" fillId="3" borderId="1" xfId="4" applyFont="1" applyFill="1" applyBorder="1" applyAlignment="1">
      <alignment horizontal="center" vertical="center" wrapText="1"/>
    </xf>
    <xf numFmtId="0" fontId="3" fillId="0" borderId="8" xfId="4" applyFont="1" applyBorder="1" applyAlignment="1">
      <alignment horizontal="center" vertical="center" wrapText="1"/>
    </xf>
    <xf numFmtId="0" fontId="3" fillId="0" borderId="0" xfId="4" applyFont="1" applyAlignment="1">
      <alignment horizontal="center" vertical="top" wrapText="1"/>
    </xf>
    <xf numFmtId="0" fontId="3" fillId="2" borderId="0" xfId="4" applyFont="1" applyFill="1" applyAlignment="1">
      <alignment horizontal="center" vertical="center" wrapText="1"/>
    </xf>
    <xf numFmtId="164" fontId="8" fillId="0" borderId="2" xfId="4" applyNumberFormat="1" applyFont="1" applyFill="1" applyBorder="1" applyAlignment="1">
      <alignment horizontal="center" vertical="center" wrapText="1"/>
    </xf>
    <xf numFmtId="43" fontId="5" fillId="0" borderId="1" xfId="1" applyFont="1" applyBorder="1" applyAlignment="1">
      <alignment horizontal="center" vertical="center" wrapText="1"/>
    </xf>
    <xf numFmtId="0" fontId="8" fillId="3" borderId="0" xfId="4" applyFont="1" applyFill="1" applyAlignment="1">
      <alignment horizontal="right" vertical="center" wrapText="1"/>
    </xf>
    <xf numFmtId="0" fontId="3" fillId="0" borderId="10" xfId="4" applyFont="1" applyBorder="1" applyAlignment="1">
      <alignment horizontal="center" vertical="center" wrapText="1"/>
    </xf>
    <xf numFmtId="0" fontId="3" fillId="0" borderId="0" xfId="4" applyFont="1" applyAlignment="1">
      <alignment horizontal="center" vertical="center" wrapText="1"/>
    </xf>
    <xf numFmtId="0" fontId="3" fillId="0" borderId="0" xfId="4" applyFont="1" applyAlignment="1">
      <alignment horizontal="center" vertical="top" wrapText="1"/>
    </xf>
    <xf numFmtId="0" fontId="3" fillId="3" borderId="2" xfId="4" applyFont="1" applyFill="1" applyBorder="1" applyAlignment="1">
      <alignment horizontal="left" vertical="center" wrapText="1"/>
    </xf>
    <xf numFmtId="0" fontId="3" fillId="3" borderId="2" xfId="4" applyFont="1" applyFill="1" applyBorder="1" applyAlignment="1">
      <alignment horizontal="center" vertical="center" wrapText="1"/>
    </xf>
    <xf numFmtId="0" fontId="8" fillId="3" borderId="2" xfId="4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3" borderId="8" xfId="4" applyFont="1" applyFill="1" applyBorder="1" applyAlignment="1">
      <alignment horizontal="left" vertical="center" wrapText="1"/>
    </xf>
    <xf numFmtId="0" fontId="3" fillId="3" borderId="7" xfId="4" applyFont="1" applyFill="1" applyBorder="1" applyAlignment="1">
      <alignment horizontal="left" vertical="center" wrapText="1"/>
    </xf>
    <xf numFmtId="2" fontId="8" fillId="3" borderId="8" xfId="4" applyNumberFormat="1" applyFont="1" applyFill="1" applyBorder="1" applyAlignment="1">
      <alignment horizontal="center" vertical="center" wrapText="1"/>
    </xf>
    <xf numFmtId="2" fontId="8" fillId="3" borderId="9" xfId="4" applyNumberFormat="1" applyFont="1" applyFill="1" applyBorder="1" applyAlignment="1">
      <alignment horizontal="center" vertical="center" wrapText="1"/>
    </xf>
    <xf numFmtId="0" fontId="11" fillId="3" borderId="4" xfId="4" applyFont="1" applyFill="1" applyBorder="1" applyAlignment="1">
      <alignment horizontal="left" vertical="center" wrapText="1"/>
    </xf>
    <xf numFmtId="0" fontId="11" fillId="3" borderId="6" xfId="4" applyFont="1" applyFill="1" applyBorder="1" applyAlignment="1">
      <alignment horizontal="left" vertical="center" wrapText="1"/>
    </xf>
    <xf numFmtId="0" fontId="8" fillId="0" borderId="0" xfId="4" applyFont="1" applyAlignment="1">
      <alignment horizontal="left" vertical="center" wrapText="1"/>
    </xf>
    <xf numFmtId="0" fontId="9" fillId="3" borderId="0" xfId="4" applyFont="1" applyFill="1" applyAlignment="1">
      <alignment horizontal="left" vertical="center" wrapText="1"/>
    </xf>
    <xf numFmtId="14" fontId="3" fillId="0" borderId="0" xfId="3" applyNumberFormat="1" applyFont="1" applyFill="1" applyAlignment="1">
      <alignment horizontal="center"/>
    </xf>
  </cellXfs>
  <cellStyles count="5">
    <cellStyle name="Обычный" xfId="0" builtinId="0"/>
    <cellStyle name="Обычный 2" xfId="4" xr:uid="{F333FC08-0DF2-4CF6-85F5-5EFDD391A84A}"/>
    <cellStyle name="Обычный 3 3" xfId="3" xr:uid="{F1D1211E-74BB-4F9A-B1BE-357E89114BC6}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E924A-B84D-4120-9E71-7782465E0635}">
  <sheetPr>
    <tabColor theme="9" tint="0.39997558519241921"/>
    <pageSetUpPr fitToPage="1"/>
  </sheetPr>
  <dimension ref="A1:Q22"/>
  <sheetViews>
    <sheetView tabSelected="1" zoomScale="85" zoomScaleNormal="85" workbookViewId="0">
      <selection activeCell="O20" sqref="O20"/>
    </sheetView>
  </sheetViews>
  <sheetFormatPr defaultColWidth="9.140625" defaultRowHeight="15" x14ac:dyDescent="0.2"/>
  <cols>
    <col min="1" max="1" width="10" style="3" customWidth="1"/>
    <col min="2" max="2" width="23.85546875" style="2" customWidth="1"/>
    <col min="3" max="3" width="23.5703125" style="2" customWidth="1"/>
    <col min="4" max="4" width="7.42578125" style="1" customWidth="1"/>
    <col min="5" max="5" width="5.7109375" style="1" customWidth="1"/>
    <col min="6" max="6" width="9.28515625" style="1" customWidth="1"/>
    <col min="7" max="7" width="21.42578125" style="1" customWidth="1"/>
    <col min="8" max="8" width="12.140625" style="1" customWidth="1"/>
    <col min="9" max="9" width="17.7109375" style="1" hidden="1" customWidth="1"/>
    <col min="10" max="10" width="20.42578125" style="1" hidden="1" customWidth="1"/>
    <col min="11" max="11" width="21" style="1" customWidth="1"/>
    <col min="12" max="12" width="19.28515625" style="1" bestFit="1" customWidth="1"/>
    <col min="13" max="13" width="21.85546875" style="1" hidden="1" customWidth="1"/>
    <col min="14" max="14" width="17.7109375" style="1" bestFit="1" customWidth="1"/>
    <col min="15" max="16" width="17.7109375" style="1" customWidth="1"/>
    <col min="17" max="17" width="17.5703125" style="1" customWidth="1"/>
    <col min="18" max="16384" width="9.140625" style="1"/>
  </cols>
  <sheetData>
    <row r="1" spans="1:17" ht="36" customHeight="1" x14ac:dyDescent="0.2">
      <c r="A1" s="47" t="s">
        <v>35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</row>
    <row r="2" spans="1:17" ht="42" customHeight="1" x14ac:dyDescent="0.2">
      <c r="A2" s="48" t="s">
        <v>34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4"/>
    </row>
    <row r="3" spans="1:17" ht="41.25" customHeight="1" x14ac:dyDescent="0.2">
      <c r="A3" s="50" t="s">
        <v>33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43"/>
    </row>
    <row r="4" spans="1:17" ht="180.75" customHeight="1" x14ac:dyDescent="0.2">
      <c r="A4" s="37" t="s">
        <v>32</v>
      </c>
      <c r="B4" s="51" t="s">
        <v>31</v>
      </c>
      <c r="C4" s="51"/>
      <c r="D4" s="52" t="s">
        <v>30</v>
      </c>
      <c r="E4" s="53"/>
      <c r="F4" s="37" t="s">
        <v>29</v>
      </c>
      <c r="G4" s="42" t="s">
        <v>28</v>
      </c>
      <c r="H4" s="41" t="s">
        <v>27</v>
      </c>
      <c r="I4" s="40" t="s">
        <v>26</v>
      </c>
      <c r="J4" s="39" t="s">
        <v>25</v>
      </c>
      <c r="K4" s="38" t="s">
        <v>36</v>
      </c>
      <c r="L4" s="38" t="s">
        <v>37</v>
      </c>
      <c r="M4" s="38" t="s">
        <v>24</v>
      </c>
      <c r="N4" s="38" t="s">
        <v>23</v>
      </c>
      <c r="O4" s="38" t="s">
        <v>22</v>
      </c>
      <c r="P4" s="38" t="s">
        <v>21</v>
      </c>
      <c r="Q4" s="38" t="s">
        <v>20</v>
      </c>
    </row>
    <row r="5" spans="1:17" ht="37.9" customHeight="1" x14ac:dyDescent="0.2">
      <c r="A5" s="37" t="s">
        <v>19</v>
      </c>
      <c r="B5" s="55" t="s">
        <v>18</v>
      </c>
      <c r="C5" s="56"/>
      <c r="D5" s="57" t="s">
        <v>9</v>
      </c>
      <c r="E5" s="58"/>
      <c r="F5" s="36">
        <v>1</v>
      </c>
      <c r="G5" s="35"/>
      <c r="H5" s="34">
        <v>1E-3</v>
      </c>
      <c r="I5" s="33">
        <f>ROUNDDOWN(G10*H5,2)</f>
        <v>80737.34</v>
      </c>
      <c r="J5" s="28">
        <f>I5*F5</f>
        <v>80737.34</v>
      </c>
      <c r="K5" s="28">
        <f>J10-SUM(L6:L9)</f>
        <v>80737.850000008941</v>
      </c>
      <c r="L5" s="28">
        <f>K5*F5</f>
        <v>80737.850000008941</v>
      </c>
      <c r="M5" s="32">
        <f>64976551.52/L10</f>
        <v>0.80478925335823637</v>
      </c>
      <c r="N5" s="28">
        <f>64976551.52-SUM(Q6:Q9)</f>
        <v>64976.540000006557</v>
      </c>
      <c r="O5" s="28" t="s">
        <v>17</v>
      </c>
      <c r="P5" s="28" t="s">
        <v>17</v>
      </c>
      <c r="Q5" s="28">
        <f>N5*F5</f>
        <v>64976.540000006557</v>
      </c>
    </row>
    <row r="6" spans="1:17" ht="21.6" customHeight="1" x14ac:dyDescent="0.2">
      <c r="A6" s="21" t="s">
        <v>16</v>
      </c>
      <c r="B6" s="51" t="s">
        <v>15</v>
      </c>
      <c r="C6" s="51"/>
      <c r="D6" s="57" t="s">
        <v>9</v>
      </c>
      <c r="E6" s="58"/>
      <c r="F6" s="31">
        <v>18</v>
      </c>
      <c r="G6" s="17">
        <v>3058527.56</v>
      </c>
      <c r="H6" s="30">
        <f>(1-$H$5)*G6/$G$10</f>
        <v>3.7844554429924952E-2</v>
      </c>
      <c r="I6" s="29">
        <f>ROUNDDOWN(J6/F6,2)</f>
        <v>169748.27</v>
      </c>
      <c r="J6" s="28">
        <f>ROUND(G6*0.999,2)</f>
        <v>3055469.03</v>
      </c>
      <c r="K6" s="28">
        <f>I6</f>
        <v>169748.27</v>
      </c>
      <c r="L6" s="28">
        <f>K6*F6</f>
        <v>3055468.86</v>
      </c>
      <c r="M6" s="28"/>
      <c r="N6" s="28">
        <f>ROUNDUP(K6*$M$5,2)</f>
        <v>136611.59</v>
      </c>
      <c r="O6" s="28">
        <f t="shared" ref="O6:P9" si="0">N6</f>
        <v>136611.59</v>
      </c>
      <c r="P6" s="28">
        <f t="shared" si="0"/>
        <v>136611.59</v>
      </c>
      <c r="Q6" s="28">
        <f>N6*F6</f>
        <v>2459008.62</v>
      </c>
    </row>
    <row r="7" spans="1:17" ht="21" customHeight="1" x14ac:dyDescent="0.2">
      <c r="A7" s="21" t="s">
        <v>14</v>
      </c>
      <c r="B7" s="51" t="s">
        <v>13</v>
      </c>
      <c r="C7" s="51"/>
      <c r="D7" s="57" t="s">
        <v>9</v>
      </c>
      <c r="E7" s="58"/>
      <c r="F7" s="31">
        <v>18</v>
      </c>
      <c r="G7" s="17">
        <v>9182088.4399999995</v>
      </c>
      <c r="H7" s="30">
        <f>(1-$H$5)*G7/$G$10</f>
        <v>0.11361416202114087</v>
      </c>
      <c r="I7" s="29">
        <f>ROUNDDOWN(J7/F7,2)</f>
        <v>509605.9</v>
      </c>
      <c r="J7" s="28">
        <f>ROUND(G7*0.999,2)</f>
        <v>9172906.3499999996</v>
      </c>
      <c r="K7" s="28">
        <f>I7</f>
        <v>509605.9</v>
      </c>
      <c r="L7" s="28">
        <f>K7*F7</f>
        <v>9172906.2000000011</v>
      </c>
      <c r="M7" s="28"/>
      <c r="N7" s="28">
        <f>ROUNDUP(K7*$M$5,2)</f>
        <v>410125.36</v>
      </c>
      <c r="O7" s="28">
        <f t="shared" si="0"/>
        <v>410125.36</v>
      </c>
      <c r="P7" s="28">
        <f t="shared" si="0"/>
        <v>410125.36</v>
      </c>
      <c r="Q7" s="28">
        <f>N7*F7</f>
        <v>7382256.4799999995</v>
      </c>
    </row>
    <row r="8" spans="1:17" ht="19.149999999999999" customHeight="1" x14ac:dyDescent="0.2">
      <c r="A8" s="21" t="s">
        <v>12</v>
      </c>
      <c r="B8" s="51" t="s">
        <v>11</v>
      </c>
      <c r="C8" s="51"/>
      <c r="D8" s="57" t="s">
        <v>9</v>
      </c>
      <c r="E8" s="58"/>
      <c r="F8" s="31">
        <v>18</v>
      </c>
      <c r="G8" s="17">
        <v>55027066.359999999</v>
      </c>
      <c r="H8" s="30">
        <f>(1-$H$5)*G8/$G$10</f>
        <v>0.6808749527763327</v>
      </c>
      <c r="I8" s="29">
        <f>ROUNDDOWN(J8/F8,2)</f>
        <v>3054002.18</v>
      </c>
      <c r="J8" s="28">
        <f>ROUND(G8*0.999,2)</f>
        <v>54972039.289999999</v>
      </c>
      <c r="K8" s="28">
        <f>I8</f>
        <v>3054002.18</v>
      </c>
      <c r="L8" s="28">
        <f>K8*F8</f>
        <v>54972039.240000002</v>
      </c>
      <c r="M8" s="28"/>
      <c r="N8" s="28">
        <f>ROUNDUP(K8*$M$5,2)</f>
        <v>2457828.1399999997</v>
      </c>
      <c r="O8" s="28">
        <f t="shared" si="0"/>
        <v>2457828.1399999997</v>
      </c>
      <c r="P8" s="28">
        <f t="shared" si="0"/>
        <v>2457828.1399999997</v>
      </c>
      <c r="Q8" s="28">
        <f>N8*F8</f>
        <v>44240906.519999996</v>
      </c>
    </row>
    <row r="9" spans="1:17" ht="53.45" customHeight="1" x14ac:dyDescent="0.2">
      <c r="A9" s="21">
        <v>5</v>
      </c>
      <c r="B9" s="51" t="s">
        <v>10</v>
      </c>
      <c r="C9" s="51"/>
      <c r="D9" s="57" t="s">
        <v>9</v>
      </c>
      <c r="E9" s="58"/>
      <c r="F9" s="31">
        <v>18</v>
      </c>
      <c r="G9" s="17">
        <v>13469667.529999999</v>
      </c>
      <c r="H9" s="30">
        <f>(1-$H$5)*G9/$G$10</f>
        <v>0.16666633077260148</v>
      </c>
      <c r="I9" s="29">
        <f>ROUNDDOWN(J9/F9,2)</f>
        <v>747566.54</v>
      </c>
      <c r="J9" s="28">
        <f>ROUND(G9*0.999,2)</f>
        <v>13456197.859999999</v>
      </c>
      <c r="K9" s="28">
        <f>I9</f>
        <v>747566.54</v>
      </c>
      <c r="L9" s="28">
        <f>K9*F9</f>
        <v>13456197.720000001</v>
      </c>
      <c r="M9" s="28"/>
      <c r="N9" s="28">
        <f>ROUNDUP(K9*$M$5,2)</f>
        <v>601633.52</v>
      </c>
      <c r="O9" s="28">
        <f t="shared" si="0"/>
        <v>601633.52</v>
      </c>
      <c r="P9" s="28">
        <f t="shared" si="0"/>
        <v>601633.52</v>
      </c>
      <c r="Q9" s="28">
        <f>N9*F9</f>
        <v>10829403.359999999</v>
      </c>
    </row>
    <row r="10" spans="1:17" ht="15.75" x14ac:dyDescent="0.2">
      <c r="A10" s="27"/>
      <c r="B10" s="59" t="s">
        <v>8</v>
      </c>
      <c r="C10" s="59"/>
      <c r="D10" s="59"/>
      <c r="E10" s="59"/>
      <c r="F10" s="60"/>
      <c r="G10" s="24">
        <f>ROUND(SUM(G5:G9),2)</f>
        <v>80737349.890000001</v>
      </c>
      <c r="H10" s="26">
        <f>ROUND(SUM(H5:H9),2)</f>
        <v>1</v>
      </c>
      <c r="I10" s="25" t="s">
        <v>6</v>
      </c>
      <c r="J10" s="24">
        <f>ROUND(SUM(J5:J9),2)</f>
        <v>80737349.870000005</v>
      </c>
      <c r="K10" s="23" t="s">
        <v>6</v>
      </c>
      <c r="L10" s="22">
        <f>SUM(L5:L9)</f>
        <v>80737349.870000005</v>
      </c>
      <c r="M10" s="22"/>
      <c r="N10" s="23" t="s">
        <v>6</v>
      </c>
      <c r="O10" s="23" t="s">
        <v>6</v>
      </c>
      <c r="P10" s="23" t="s">
        <v>6</v>
      </c>
      <c r="Q10" s="22">
        <f>SUM(Q5:Q9)</f>
        <v>64976551.520000003</v>
      </c>
    </row>
    <row r="11" spans="1:17" ht="15.75" x14ac:dyDescent="0.2">
      <c r="A11" s="21"/>
      <c r="B11" s="51" t="s">
        <v>7</v>
      </c>
      <c r="C11" s="51"/>
      <c r="D11" s="51"/>
      <c r="E11" s="51"/>
      <c r="F11" s="51"/>
      <c r="G11" s="17">
        <f>ROUND(G10/122*22,2)</f>
        <v>14559194.24</v>
      </c>
      <c r="H11" s="20" t="s">
        <v>6</v>
      </c>
      <c r="I11" s="19" t="s">
        <v>6</v>
      </c>
      <c r="J11" s="17">
        <f>ROUND(J10/122*22,2)</f>
        <v>14559194.24</v>
      </c>
      <c r="K11" s="18" t="s">
        <v>6</v>
      </c>
      <c r="L11" s="17">
        <f>ROUND(L10/122*22,2)</f>
        <v>14559194.24</v>
      </c>
      <c r="M11" s="18"/>
      <c r="N11" s="18" t="s">
        <v>6</v>
      </c>
      <c r="O11" s="18" t="s">
        <v>6</v>
      </c>
      <c r="P11" s="18" t="s">
        <v>6</v>
      </c>
      <c r="Q11" s="45">
        <f>ROUND(Q10/122*22,2)</f>
        <v>11717083.060000001</v>
      </c>
    </row>
    <row r="12" spans="1:17" ht="15.75" x14ac:dyDescent="0.2">
      <c r="A12" s="16"/>
      <c r="B12" s="15"/>
      <c r="C12" s="15"/>
      <c r="D12" s="14"/>
      <c r="E12" s="14"/>
      <c r="F12" s="14"/>
      <c r="G12" s="14"/>
      <c r="H12" s="62"/>
      <c r="I12" s="62"/>
      <c r="J12" s="62"/>
      <c r="K12" s="62"/>
      <c r="L12" s="62"/>
      <c r="M12" s="13"/>
    </row>
    <row r="13" spans="1:17" ht="41.25" customHeight="1" x14ac:dyDescent="0.2">
      <c r="A13" s="61" t="s">
        <v>5</v>
      </c>
      <c r="B13" s="61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</row>
    <row r="14" spans="1:17" ht="15.75" x14ac:dyDescent="0.25">
      <c r="A14" s="6"/>
      <c r="B14" s="5"/>
      <c r="C14" s="5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1:17" ht="18.75" x14ac:dyDescent="0.3">
      <c r="B15" s="12" t="s">
        <v>4</v>
      </c>
      <c r="C15" s="12"/>
      <c r="D15" s="12"/>
      <c r="E15" s="12"/>
      <c r="F15" s="12"/>
      <c r="G15" s="12"/>
      <c r="H15" s="12"/>
      <c r="I15" s="12"/>
      <c r="J15" s="12"/>
    </row>
    <row r="16" spans="1:17" ht="18.75" x14ac:dyDescent="0.2">
      <c r="B16" s="10" t="s">
        <v>3</v>
      </c>
      <c r="C16" s="46">
        <v>7277373.7599999998</v>
      </c>
      <c r="D16"/>
      <c r="E16" s="11"/>
      <c r="F16"/>
      <c r="G16"/>
      <c r="H16" s="8"/>
      <c r="I16" s="8"/>
      <c r="J16" s="8"/>
    </row>
    <row r="17" spans="1:13" ht="18.75" x14ac:dyDescent="0.2">
      <c r="B17" s="10" t="s">
        <v>2</v>
      </c>
      <c r="C17" s="46">
        <v>43274383.32</v>
      </c>
      <c r="D17" s="8"/>
      <c r="E17" s="9"/>
      <c r="F17"/>
      <c r="G17"/>
      <c r="H17" s="8"/>
      <c r="I17" s="8"/>
      <c r="J17" s="8"/>
    </row>
    <row r="18" spans="1:13" ht="18.75" x14ac:dyDescent="0.2">
      <c r="B18" s="10" t="s">
        <v>1</v>
      </c>
      <c r="C18" s="46">
        <v>14424794.439999999</v>
      </c>
      <c r="D18" s="8"/>
      <c r="E18" s="9"/>
      <c r="F18"/>
      <c r="G18"/>
      <c r="H18" s="8"/>
      <c r="I18" s="8"/>
      <c r="J18" s="8"/>
    </row>
    <row r="19" spans="1:13" ht="18.75" x14ac:dyDescent="0.2">
      <c r="B19" s="10" t="s">
        <v>0</v>
      </c>
      <c r="C19" s="46">
        <f>SUM(C16:C18)</f>
        <v>64976551.519999996</v>
      </c>
      <c r="D19" s="8"/>
      <c r="E19" s="9"/>
      <c r="F19" s="8"/>
      <c r="G19" s="8"/>
      <c r="H19" s="8"/>
      <c r="I19" s="8"/>
      <c r="J19" s="8"/>
    </row>
    <row r="20" spans="1:13" ht="15.75" x14ac:dyDescent="0.25">
      <c r="A20" s="6"/>
      <c r="B20" s="5"/>
      <c r="C20" s="5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3" ht="15.6" customHeight="1" x14ac:dyDescent="0.25">
      <c r="A21" s="54" t="s">
        <v>38</v>
      </c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7"/>
    </row>
    <row r="22" spans="1:13" ht="15.75" x14ac:dyDescent="0.25">
      <c r="A22" s="6"/>
      <c r="B22" s="5"/>
      <c r="C22" s="5"/>
      <c r="D22" s="4"/>
      <c r="E22" s="4"/>
      <c r="F22" s="4"/>
      <c r="G22" s="4"/>
      <c r="H22" s="63">
        <v>46239</v>
      </c>
      <c r="I22" s="63"/>
      <c r="J22" s="4"/>
      <c r="K22" s="4"/>
      <c r="L22" s="4"/>
      <c r="M22" s="4"/>
    </row>
  </sheetData>
  <mergeCells count="21">
    <mergeCell ref="A13:Q13"/>
    <mergeCell ref="B11:F11"/>
    <mergeCell ref="H12:L12"/>
    <mergeCell ref="B9:C9"/>
    <mergeCell ref="D9:E9"/>
    <mergeCell ref="A1:Q1"/>
    <mergeCell ref="H22:I22"/>
    <mergeCell ref="A2:L2"/>
    <mergeCell ref="A3:L3"/>
    <mergeCell ref="B4:C4"/>
    <mergeCell ref="D4:E4"/>
    <mergeCell ref="A21:L21"/>
    <mergeCell ref="B5:C5"/>
    <mergeCell ref="D5:E5"/>
    <mergeCell ref="B6:C6"/>
    <mergeCell ref="D6:E6"/>
    <mergeCell ref="B7:C7"/>
    <mergeCell ref="D7:E7"/>
    <mergeCell ref="B8:C8"/>
    <mergeCell ref="D8:E8"/>
    <mergeCell ref="B10:F10"/>
  </mergeCells>
  <pageMargins left="0.7" right="0.7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Смета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Озеров Алексей Владимирович СИТиС</dc:creator>
  <cp:lastModifiedBy>Круглова Александра Сергеевна СИТиС</cp:lastModifiedBy>
  <dcterms:created xsi:type="dcterms:W3CDTF">2026-06-22T13:58:04Z</dcterms:created>
  <dcterms:modified xsi:type="dcterms:W3CDTF">2026-08-06T07:35:36Z</dcterms:modified>
</cp:coreProperties>
</file>