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R:\Документы\Контрактная служба\Дирекция\Отдел РИАО\Закупки\2026\72. ЕСИП\14. РГ МРГ_отработка\ДКП_2\"/>
    </mc:Choice>
  </mc:AlternateContent>
  <xr:revisionPtr revIDLastSave="0" documentId="13_ncr:1_{C934E6DF-5A37-45A9-B6E3-DFACB92CCF7F}" xr6:coauthVersionLast="47" xr6:coauthVersionMax="47" xr10:uidLastSave="{00000000-0000-0000-0000-000000000000}"/>
  <bookViews>
    <workbookView xWindow="-120" yWindow="-120" windowWidth="29040" windowHeight="15840" tabRatio="858" firstSheet="3" activeTab="14" xr2:uid="{00000000-000D-0000-FFFF-FFFF00000000}"/>
  </bookViews>
  <sheets>
    <sheet name="Свод по годам" sheetId="39" r:id="rId1"/>
    <sheet name="Свод по этапам" sheetId="38" r:id="rId2"/>
    <sheet name="Свод" sheetId="36" r:id="rId3"/>
    <sheet name="Функции" sheetId="25" r:id="rId4"/>
    <sheet name="Трудоемкость" sheetId="20" r:id="rId5"/>
    <sheet name="Расчет развития" sheetId="21" r:id="rId6"/>
    <sheet name="Коэффициенты" sheetId="22" r:id="rId7"/>
    <sheet name="Показатели для расчета НМЦК" sheetId="24" r:id="rId8"/>
    <sheet name="2.Свод сопровод" sheetId="34" r:id="rId9"/>
    <sheet name="2.Расчет_сопровод" sheetId="28" r:id="rId10"/>
    <sheet name="2.Коэф_и_показатели" sheetId="31" r:id="rId11"/>
    <sheet name="2.Услуги" sheetId="33" r:id="rId12"/>
    <sheet name="2.СтоимостьЕдТрудоемкости" sheetId="29" r:id="rId13"/>
    <sheet name="2.Расчет АдапСопр" sheetId="30" state="hidden" r:id="rId14"/>
    <sheet name="2.SLA" sheetId="32" r:id="rId15"/>
  </sheets>
  <externalReferences>
    <externalReference r:id="rId16"/>
  </externalReferences>
  <definedNames>
    <definedName name="_ftn1" localSheetId="4">Трудоемкость!#REF!</definedName>
    <definedName name="_ftnref1" localSheetId="4">Трудоемкость!#REF!</definedName>
    <definedName name="_GoBack" localSheetId="4">Трудоемкость!#REF!</definedName>
    <definedName name="_Toc424036212" localSheetId="4">Трудоемкость!#REF!</definedName>
    <definedName name="_xlnm._FilterDatabase" localSheetId="4" hidden="1">Трудоемкость!$A$3:$AF$4</definedName>
    <definedName name="_xlnm._FilterDatabase" localSheetId="3" hidden="1">Функции!$A$2:$K$3</definedName>
    <definedName name="_xlnm.Print_Titles" localSheetId="4">Трудоемкость!$A:$B,Трудоемкость!$2:$3</definedName>
    <definedName name="_xlnm.Print_Area" localSheetId="14">'2.SLA'!$A$1:$G$10</definedName>
    <definedName name="_xlnm.Print_Area" localSheetId="13">'2.Расчет АдапСопр'!$A$1:$F$19</definedName>
    <definedName name="_xlnm.Print_Area" localSheetId="9">'2.Расчет_сопровод'!$A$1:$AL$70</definedName>
    <definedName name="_xlnm.Print_Area" localSheetId="8">'2.Свод сопровод'!$A$1:$K$32</definedName>
    <definedName name="_xlnm.Print_Area" localSheetId="11">'2.Услуги'!$A$1:$E$34</definedName>
    <definedName name="_xlnm.Print_Area" localSheetId="6">Коэффициенты!$A$1:$L$69</definedName>
    <definedName name="_xlnm.Print_Area" localSheetId="7">'Показатели для расчета НМЦК'!$A$1:$D$49</definedName>
    <definedName name="_xlnm.Print_Area" localSheetId="5">'Расчет развития'!$A$1:$J$46</definedName>
    <definedName name="_xlnm.Print_Area" localSheetId="1">'Свод по этапам'!$A$1:$N$38</definedName>
    <definedName name="_xlnm.Print_Area" localSheetId="4">Трудоемкость!$A$1:$AI$20</definedName>
    <definedName name="_xlnm.Print_Area" localSheetId="3">Функции!$A$1:$K$77</definedName>
  </definedNames>
  <calcPr calcId="191029" fullPrecision="0"/>
</workbook>
</file>

<file path=xl/calcChain.xml><?xml version="1.0" encoding="utf-8"?>
<calcChain xmlns="http://schemas.openxmlformats.org/spreadsheetml/2006/main">
  <c r="A5" i="21" l="1"/>
  <c r="B4" i="20"/>
  <c r="F7" i="39"/>
  <c r="F6" i="39"/>
  <c r="F5" i="39"/>
  <c r="S3" i="28"/>
  <c r="S7" i="28"/>
  <c r="T7" i="28"/>
  <c r="R7" i="28"/>
  <c r="F4" i="39" l="1"/>
  <c r="Q7" i="28"/>
  <c r="P7" i="28" l="1"/>
  <c r="E4" i="39" l="1"/>
  <c r="B8" i="38" l="1"/>
  <c r="A5" i="38" s="1"/>
  <c r="C4" i="25" l="1"/>
  <c r="C37" i="25" l="1"/>
  <c r="K39" i="25" l="1"/>
  <c r="K40" i="25"/>
  <c r="K41" i="25"/>
  <c r="K42" i="25"/>
  <c r="K43" i="25"/>
  <c r="K44" i="25"/>
  <c r="K45" i="25"/>
  <c r="K46" i="25"/>
  <c r="K47" i="25"/>
  <c r="K48" i="25"/>
  <c r="AJ20" i="28" l="1"/>
  <c r="B3" i="34"/>
  <c r="AH32" i="28"/>
  <c r="AG29" i="28"/>
  <c r="AJ19" i="28"/>
  <c r="AI29" i="28" l="1"/>
  <c r="C18" i="34" l="1"/>
  <c r="F4" i="29"/>
  <c r="K56" i="25" l="1"/>
  <c r="K55" i="25"/>
  <c r="K30" i="25"/>
  <c r="K31" i="25"/>
  <c r="K32" i="25"/>
  <c r="K33" i="25"/>
  <c r="K34" i="25"/>
  <c r="K35" i="25"/>
  <c r="K36" i="25"/>
  <c r="D37" i="25"/>
  <c r="D6" i="20" s="1"/>
  <c r="E37" i="25"/>
  <c r="E6" i="20" s="1"/>
  <c r="F37" i="25"/>
  <c r="F6" i="20" s="1"/>
  <c r="G37" i="25"/>
  <c r="G6" i="20" s="1"/>
  <c r="Z16" i="28"/>
  <c r="Z17" i="28"/>
  <c r="J4" i="22" l="1"/>
  <c r="J7" i="22" s="1"/>
  <c r="I11" i="22"/>
  <c r="AD12" i="20" s="1"/>
  <c r="H4" i="22"/>
  <c r="H10" i="22" s="1"/>
  <c r="AC11" i="20" s="1"/>
  <c r="G4" i="22"/>
  <c r="G7" i="22" s="1"/>
  <c r="C4" i="22"/>
  <c r="L13" i="20"/>
  <c r="B12" i="20"/>
  <c r="B11" i="22" s="1"/>
  <c r="B11" i="20"/>
  <c r="B10" i="22" s="1"/>
  <c r="B10" i="20"/>
  <c r="B9" i="22" s="1"/>
  <c r="K75" i="25"/>
  <c r="K76" i="25"/>
  <c r="D49" i="25"/>
  <c r="D7" i="20" s="1"/>
  <c r="E49" i="25"/>
  <c r="E7" i="20" s="1"/>
  <c r="F49" i="25"/>
  <c r="F7" i="20" s="1"/>
  <c r="G49" i="25"/>
  <c r="G7" i="20" s="1"/>
  <c r="H49" i="25"/>
  <c r="H7" i="20" s="1"/>
  <c r="I49" i="25"/>
  <c r="I7" i="20" s="1"/>
  <c r="J49" i="25"/>
  <c r="J7" i="20" s="1"/>
  <c r="H37" i="25"/>
  <c r="H6" i="20" s="1"/>
  <c r="I37" i="25"/>
  <c r="I6" i="20" s="1"/>
  <c r="J37" i="25"/>
  <c r="J6" i="20" s="1"/>
  <c r="D4" i="25"/>
  <c r="E4" i="25"/>
  <c r="F4" i="25"/>
  <c r="G4" i="25"/>
  <c r="H4" i="25"/>
  <c r="I4" i="25"/>
  <c r="J4" i="25"/>
  <c r="C49" i="25"/>
  <c r="D59" i="25"/>
  <c r="D9" i="20" s="1"/>
  <c r="E59" i="25"/>
  <c r="E9" i="20" s="1"/>
  <c r="F59" i="25"/>
  <c r="F9" i="20" s="1"/>
  <c r="G59" i="25"/>
  <c r="G9" i="20" s="1"/>
  <c r="H59" i="25"/>
  <c r="H9" i="20" s="1"/>
  <c r="I59" i="25"/>
  <c r="I9" i="20" s="1"/>
  <c r="J59" i="25"/>
  <c r="J9" i="20" s="1"/>
  <c r="D63" i="25"/>
  <c r="D10" i="20" s="1"/>
  <c r="M10" i="20" s="1"/>
  <c r="E63" i="25"/>
  <c r="E10" i="20" s="1"/>
  <c r="N10" i="20" s="1"/>
  <c r="F63" i="25"/>
  <c r="G63" i="25"/>
  <c r="H63" i="25"/>
  <c r="I63" i="25"/>
  <c r="J63" i="25"/>
  <c r="C63" i="25"/>
  <c r="C10" i="20" s="1"/>
  <c r="L10" i="20" s="1"/>
  <c r="D66" i="25"/>
  <c r="E66" i="25"/>
  <c r="F66" i="25"/>
  <c r="G66" i="25"/>
  <c r="H66" i="25"/>
  <c r="I66" i="25"/>
  <c r="J66" i="25"/>
  <c r="J11" i="20" s="1"/>
  <c r="S11" i="20" s="1"/>
  <c r="C66" i="25"/>
  <c r="C11" i="20" s="1"/>
  <c r="L11" i="20" s="1"/>
  <c r="D69" i="25"/>
  <c r="E69" i="25"/>
  <c r="F69" i="25"/>
  <c r="G69" i="25"/>
  <c r="H69" i="25"/>
  <c r="I69" i="25"/>
  <c r="J69" i="25"/>
  <c r="C69" i="25"/>
  <c r="C12" i="20" s="1"/>
  <c r="L12" i="20" s="1"/>
  <c r="K74" i="25"/>
  <c r="K73" i="25"/>
  <c r="K72" i="25"/>
  <c r="K71" i="25"/>
  <c r="K70" i="25"/>
  <c r="K68" i="25"/>
  <c r="K67" i="25"/>
  <c r="K65" i="25"/>
  <c r="K64" i="25"/>
  <c r="B21" i="21"/>
  <c r="B22" i="21" s="1"/>
  <c r="B23" i="21" s="1"/>
  <c r="I5" i="20" l="1"/>
  <c r="E5" i="20"/>
  <c r="J5" i="20"/>
  <c r="D5" i="20"/>
  <c r="H5" i="20"/>
  <c r="G5" i="20"/>
  <c r="F5" i="20"/>
  <c r="I10" i="20"/>
  <c r="R10" i="20" s="1"/>
  <c r="J10" i="20"/>
  <c r="S10" i="20" s="1"/>
  <c r="I11" i="20"/>
  <c r="R11" i="20" s="1"/>
  <c r="J12" i="20"/>
  <c r="S12" i="20" s="1"/>
  <c r="I12" i="20"/>
  <c r="R12" i="20" s="1"/>
  <c r="H12" i="20"/>
  <c r="Q12" i="20" s="1"/>
  <c r="H11" i="20"/>
  <c r="Q11" i="20" s="1"/>
  <c r="D12" i="20"/>
  <c r="M12" i="20" s="1"/>
  <c r="G11" i="20"/>
  <c r="P11" i="20" s="1"/>
  <c r="H10" i="20"/>
  <c r="Q10" i="20" s="1"/>
  <c r="D11" i="20"/>
  <c r="M11" i="20" s="1"/>
  <c r="F10" i="20"/>
  <c r="O10" i="20" s="1"/>
  <c r="G10" i="20"/>
  <c r="E12" i="20"/>
  <c r="N12" i="20" s="1"/>
  <c r="G12" i="20"/>
  <c r="P12" i="20" s="1"/>
  <c r="F12" i="20"/>
  <c r="O12" i="20" s="1"/>
  <c r="E11" i="20"/>
  <c r="N11" i="20" s="1"/>
  <c r="F11" i="20"/>
  <c r="K63" i="25"/>
  <c r="K10" i="20" s="1"/>
  <c r="K66" i="25"/>
  <c r="K11" i="20" s="1"/>
  <c r="G11" i="22"/>
  <c r="AB12" i="20" s="1"/>
  <c r="G9" i="22"/>
  <c r="AB10" i="20" s="1"/>
  <c r="H7" i="22"/>
  <c r="G10" i="22"/>
  <c r="AB11" i="20" s="1"/>
  <c r="J6" i="22"/>
  <c r="H9" i="22"/>
  <c r="AC10" i="20" s="1"/>
  <c r="H8" i="22"/>
  <c r="J5" i="22"/>
  <c r="G8" i="22"/>
  <c r="J11" i="22"/>
  <c r="AE12" i="20" s="1"/>
  <c r="J10" i="22"/>
  <c r="AE11" i="20" s="1"/>
  <c r="J9" i="22"/>
  <c r="AE10" i="20" s="1"/>
  <c r="H11" i="22"/>
  <c r="AC12" i="20" s="1"/>
  <c r="J8" i="22"/>
  <c r="K69" i="25"/>
  <c r="K12" i="20" s="1"/>
  <c r="Y14" i="28"/>
  <c r="F5" i="29"/>
  <c r="P10" i="20" l="1"/>
  <c r="T10" i="20" s="1"/>
  <c r="W10" i="20" s="1"/>
  <c r="T12" i="20"/>
  <c r="W12" i="20" s="1"/>
  <c r="O11" i="20"/>
  <c r="T11" i="20" s="1"/>
  <c r="W11" i="20" s="1"/>
  <c r="Y15" i="28"/>
  <c r="AG31" i="28" s="1"/>
  <c r="AG30" i="28"/>
  <c r="AI30" i="28" s="1"/>
  <c r="I10" i="34"/>
  <c r="C19" i="34" l="1"/>
  <c r="AI31" i="28"/>
  <c r="C20" i="34" s="1"/>
  <c r="AI35" i="28" l="1"/>
  <c r="E6" i="36" s="1"/>
  <c r="D57" i="25"/>
  <c r="E57" i="25"/>
  <c r="F57" i="25"/>
  <c r="G57" i="25"/>
  <c r="H57" i="25"/>
  <c r="I57" i="25"/>
  <c r="J57" i="25"/>
  <c r="F8" i="20" l="1"/>
  <c r="F4" i="20" s="1"/>
  <c r="F3" i="25"/>
  <c r="J8" i="20"/>
  <c r="J4" i="20" s="1"/>
  <c r="J3" i="25"/>
  <c r="H8" i="20"/>
  <c r="H4" i="20" s="1"/>
  <c r="H3" i="25"/>
  <c r="E8" i="20"/>
  <c r="E4" i="20" s="1"/>
  <c r="E3" i="25"/>
  <c r="I8" i="20"/>
  <c r="I4" i="20" s="1"/>
  <c r="I3" i="25"/>
  <c r="G8" i="20"/>
  <c r="G4" i="20" s="1"/>
  <c r="G3" i="25"/>
  <c r="D8" i="20"/>
  <c r="D4" i="20" s="1"/>
  <c r="D3" i="25"/>
  <c r="AI33" i="28"/>
  <c r="AI36" i="28"/>
  <c r="D25" i="33"/>
  <c r="D13" i="33"/>
  <c r="D5" i="33"/>
  <c r="U7" i="28" s="1"/>
  <c r="D25" i="31"/>
  <c r="D23" i="31"/>
  <c r="D9" i="30"/>
  <c r="E9" i="30" s="1"/>
  <c r="F9" i="30" s="1"/>
  <c r="D8" i="30"/>
  <c r="E8" i="30" s="1"/>
  <c r="F8" i="30" s="1"/>
  <c r="D7" i="30"/>
  <c r="E7" i="30" s="1"/>
  <c r="X10" i="28"/>
  <c r="V7" i="28" l="1"/>
  <c r="AC7" i="28" s="1"/>
  <c r="W7" i="28"/>
  <c r="AD7" i="28" s="1"/>
  <c r="AI34" i="28"/>
  <c r="K13" i="38"/>
  <c r="M13" i="38" s="1"/>
  <c r="L13" i="38" s="1"/>
  <c r="AB7" i="28"/>
  <c r="AB13" i="28" s="1"/>
  <c r="F7" i="30"/>
  <c r="F10" i="30" s="1"/>
  <c r="F12" i="30" s="1"/>
  <c r="E10" i="30"/>
  <c r="AH15" i="28"/>
  <c r="AG15" i="28"/>
  <c r="AF15" i="28"/>
  <c r="AI15" i="28"/>
  <c r="AH13" i="28"/>
  <c r="AF14" i="28"/>
  <c r="AI13" i="28"/>
  <c r="AG14" i="28"/>
  <c r="AF13" i="28"/>
  <c r="AH14" i="28"/>
  <c r="AG13" i="28"/>
  <c r="AI14" i="28"/>
  <c r="AD13" i="28" l="1"/>
  <c r="AD14" i="28"/>
  <c r="AD15" i="28"/>
  <c r="AC15" i="28"/>
  <c r="AB14" i="28"/>
  <c r="AJ7" i="28"/>
  <c r="AB15" i="28"/>
  <c r="AC13" i="28"/>
  <c r="AC14" i="28"/>
  <c r="AG16" i="28"/>
  <c r="AF16" i="28"/>
  <c r="AI16" i="28"/>
  <c r="AH16" i="28"/>
  <c r="AD16" i="28"/>
  <c r="AB8" i="28" l="1"/>
  <c r="AD8" i="28"/>
  <c r="AE8" i="28"/>
  <c r="AC8" i="28"/>
  <c r="AJ14" i="28"/>
  <c r="AJ15" i="28"/>
  <c r="AC16" i="28"/>
  <c r="C21" i="34" l="1"/>
  <c r="K20" i="25"/>
  <c r="K21" i="25"/>
  <c r="K22" i="25"/>
  <c r="K23" i="25"/>
  <c r="K24" i="25"/>
  <c r="K25" i="25"/>
  <c r="K26" i="25"/>
  <c r="K27" i="25"/>
  <c r="K28" i="25"/>
  <c r="K29" i="25"/>
  <c r="K18" i="25" l="1"/>
  <c r="G6" i="22" l="1"/>
  <c r="G5" i="22"/>
  <c r="D8" i="22"/>
  <c r="D7" i="22"/>
  <c r="D6" i="22"/>
  <c r="D5" i="22"/>
  <c r="D4" i="22"/>
  <c r="D11" i="22" l="1"/>
  <c r="Y12" i="20" s="1"/>
  <c r="D10" i="22"/>
  <c r="Y11" i="20" s="1"/>
  <c r="D9" i="22"/>
  <c r="Y10" i="20" s="1"/>
  <c r="K61" i="25"/>
  <c r="K62" i="25"/>
  <c r="K60" i="25"/>
  <c r="K51" i="25"/>
  <c r="K52" i="25"/>
  <c r="K53" i="25"/>
  <c r="K54" i="25"/>
  <c r="K50" i="25"/>
  <c r="K11" i="25"/>
  <c r="K12" i="25"/>
  <c r="K13" i="25"/>
  <c r="K14" i="25"/>
  <c r="K15" i="25"/>
  <c r="K16" i="25"/>
  <c r="K17" i="25"/>
  <c r="K19" i="25"/>
  <c r="K49" i="25" l="1"/>
  <c r="K7" i="20" s="1"/>
  <c r="K59" i="25"/>
  <c r="K9" i="20" s="1"/>
  <c r="N13" i="20"/>
  <c r="O13" i="20"/>
  <c r="Q13" i="20"/>
  <c r="R13" i="20"/>
  <c r="S13" i="20"/>
  <c r="M13" i="20"/>
  <c r="P13" i="20"/>
  <c r="C59" i="25"/>
  <c r="T13" i="20" l="1"/>
  <c r="AF13" i="20"/>
  <c r="F8" i="22" l="1"/>
  <c r="F7" i="22"/>
  <c r="F6" i="22"/>
  <c r="F5" i="22"/>
  <c r="F4" i="22"/>
  <c r="E4" i="22"/>
  <c r="F9" i="22" l="1"/>
  <c r="AA10" i="20" s="1"/>
  <c r="F10" i="22"/>
  <c r="AA11" i="20" s="1"/>
  <c r="F11" i="22"/>
  <c r="AA12" i="20" s="1"/>
  <c r="K58" i="25" l="1"/>
  <c r="K38" i="25"/>
  <c r="K37" i="25" s="1"/>
  <c r="K6" i="25"/>
  <c r="K7" i="25"/>
  <c r="K8" i="25"/>
  <c r="K9" i="25"/>
  <c r="K10" i="25"/>
  <c r="K5" i="25"/>
  <c r="K6" i="20" l="1"/>
  <c r="K4" i="25"/>
  <c r="K5" i="20" s="1"/>
  <c r="C5" i="20"/>
  <c r="AB9" i="20" l="1"/>
  <c r="AE9" i="20"/>
  <c r="AC9" i="20"/>
  <c r="AA9" i="20"/>
  <c r="E8" i="22"/>
  <c r="Y9" i="20"/>
  <c r="C8" i="22"/>
  <c r="B9" i="20"/>
  <c r="B8" i="22" s="1"/>
  <c r="M9" i="20"/>
  <c r="N9" i="20"/>
  <c r="O9" i="20"/>
  <c r="P9" i="20"/>
  <c r="Q9" i="20"/>
  <c r="R9" i="20"/>
  <c r="S9" i="20"/>
  <c r="C9" i="20"/>
  <c r="L9" i="20" s="1"/>
  <c r="Z9" i="20" l="1"/>
  <c r="E9" i="22"/>
  <c r="Z10" i="20" s="1"/>
  <c r="E10" i="22"/>
  <c r="Z11" i="20" s="1"/>
  <c r="E11" i="22"/>
  <c r="Z12" i="20" s="1"/>
  <c r="X9" i="20"/>
  <c r="C9" i="22"/>
  <c r="X10" i="20" s="1"/>
  <c r="C10" i="22"/>
  <c r="X11" i="20" s="1"/>
  <c r="C11" i="22"/>
  <c r="X12" i="20" s="1"/>
  <c r="T9" i="20"/>
  <c r="W9" i="20" s="1"/>
  <c r="AF12" i="20" l="1"/>
  <c r="AH12" i="20" s="1"/>
  <c r="K11" i="22"/>
  <c r="C57" i="25"/>
  <c r="C3" i="25" s="1"/>
  <c r="K57" i="25" l="1"/>
  <c r="B8" i="20"/>
  <c r="B7" i="20"/>
  <c r="B6" i="20"/>
  <c r="C6" i="20"/>
  <c r="K8" i="20" l="1"/>
  <c r="K3" i="25"/>
  <c r="C8" i="20"/>
  <c r="L8" i="20" s="1"/>
  <c r="AB8" i="20"/>
  <c r="E10" i="21"/>
  <c r="B16" i="21" s="1"/>
  <c r="AC8" i="20"/>
  <c r="AE8" i="20"/>
  <c r="E7" i="22"/>
  <c r="Z8" i="20" s="1"/>
  <c r="Y8" i="20"/>
  <c r="C7" i="22"/>
  <c r="AA8" i="20"/>
  <c r="B7" i="22"/>
  <c r="B5" i="20"/>
  <c r="C7" i="20"/>
  <c r="C4" i="20" l="1"/>
  <c r="K4" i="20"/>
  <c r="Q8" i="20"/>
  <c r="X8" i="20"/>
  <c r="O8" i="20" l="1"/>
  <c r="M8" i="20"/>
  <c r="P8" i="20"/>
  <c r="R8" i="20"/>
  <c r="S8" i="20"/>
  <c r="N8" i="20"/>
  <c r="AE7" i="20"/>
  <c r="H6" i="22"/>
  <c r="AC7" i="20" s="1"/>
  <c r="AB7" i="20"/>
  <c r="AA7" i="20"/>
  <c r="AE6" i="20"/>
  <c r="H5" i="22"/>
  <c r="AC6" i="20" s="1"/>
  <c r="AB6" i="20"/>
  <c r="AA6" i="20"/>
  <c r="AE5" i="20"/>
  <c r="I4" i="22"/>
  <c r="AC5" i="20"/>
  <c r="AB5" i="20"/>
  <c r="AA5" i="20"/>
  <c r="AD5" i="20" l="1"/>
  <c r="I6" i="22"/>
  <c r="AD7" i="20" s="1"/>
  <c r="I7" i="22"/>
  <c r="I8" i="22"/>
  <c r="I9" i="22"/>
  <c r="I10" i="22"/>
  <c r="I5" i="22"/>
  <c r="AD6" i="20" s="1"/>
  <c r="T8" i="20"/>
  <c r="W8" i="20" s="1"/>
  <c r="E6" i="22"/>
  <c r="Z7" i="20" s="1"/>
  <c r="Y7" i="20"/>
  <c r="C6" i="22"/>
  <c r="X7" i="20" s="1"/>
  <c r="C5" i="22"/>
  <c r="X6" i="20" s="1"/>
  <c r="K10" i="22" l="1"/>
  <c r="AD11" i="20"/>
  <c r="AF11" i="20" s="1"/>
  <c r="AH11" i="20" s="1"/>
  <c r="K9" i="22"/>
  <c r="AD10" i="20"/>
  <c r="AF10" i="20" s="1"/>
  <c r="AH10" i="20" s="1"/>
  <c r="AD9" i="20"/>
  <c r="AF9" i="20" s="1"/>
  <c r="AH9" i="20" s="1"/>
  <c r="K8" i="22"/>
  <c r="AD8" i="20"/>
  <c r="AF8" i="20" s="1"/>
  <c r="AH8" i="20" s="1"/>
  <c r="K7" i="22"/>
  <c r="K6" i="22"/>
  <c r="AF7" i="20"/>
  <c r="B6" i="22"/>
  <c r="S7" i="20" l="1"/>
  <c r="L6" i="20"/>
  <c r="L7" i="20"/>
  <c r="R7" i="20"/>
  <c r="Q7" i="20"/>
  <c r="P7" i="20"/>
  <c r="O7" i="20"/>
  <c r="N7" i="20"/>
  <c r="M7" i="20"/>
  <c r="T7" i="20" l="1"/>
  <c r="W7" i="20" s="1"/>
  <c r="AH7" i="20" s="1"/>
  <c r="E5" i="22" l="1"/>
  <c r="Z6" i="20" s="1"/>
  <c r="Z5" i="20"/>
  <c r="Y6" i="20"/>
  <c r="Y5" i="20"/>
  <c r="X5" i="20"/>
  <c r="B5" i="22"/>
  <c r="B4" i="22"/>
  <c r="K5" i="22" l="1"/>
  <c r="K4" i="22"/>
  <c r="S6" i="20"/>
  <c r="AF6" i="20" l="1"/>
  <c r="AF5" i="20"/>
  <c r="S5" i="20"/>
  <c r="S4" i="20" s="1"/>
  <c r="M6" i="20"/>
  <c r="N6" i="20"/>
  <c r="O6" i="20"/>
  <c r="P6" i="20"/>
  <c r="Q6" i="20"/>
  <c r="R6" i="20"/>
  <c r="L5" i="20"/>
  <c r="L4" i="20" s="1"/>
  <c r="M5" i="20"/>
  <c r="N5" i="20"/>
  <c r="O5" i="20"/>
  <c r="P5" i="20"/>
  <c r="Q5" i="20"/>
  <c r="R5" i="20"/>
  <c r="R4" i="20" l="1"/>
  <c r="O4" i="20"/>
  <c r="Q4" i="20"/>
  <c r="P4" i="20"/>
  <c r="N4" i="20"/>
  <c r="M4" i="20"/>
  <c r="T6" i="20"/>
  <c r="W6" i="20" s="1"/>
  <c r="AH6" i="20" s="1"/>
  <c r="T5" i="20"/>
  <c r="T4" i="20" l="1"/>
  <c r="W5" i="20"/>
  <c r="W13" i="20" s="1"/>
  <c r="W4" i="20" l="1"/>
  <c r="AH5" i="20"/>
  <c r="AH13" i="20" s="1"/>
  <c r="AH4" i="20" l="1"/>
  <c r="AI13" i="20" s="1"/>
  <c r="AI5" i="20" l="1"/>
  <c r="C16" i="21"/>
  <c r="AI12" i="20"/>
  <c r="AI10" i="20"/>
  <c r="AI11" i="20"/>
  <c r="AI9" i="20"/>
  <c r="AI8" i="20"/>
  <c r="AI7" i="20"/>
  <c r="AI6" i="20"/>
  <c r="C17" i="21" l="1"/>
  <c r="D18" i="21" s="1"/>
  <c r="C22" i="21"/>
  <c r="C21" i="21"/>
  <c r="AI15" i="20"/>
  <c r="AI14" i="20"/>
  <c r="E18" i="21" l="1"/>
  <c r="C23" i="21" s="1"/>
  <c r="D23" i="21" s="1"/>
  <c r="E23" i="21" s="1"/>
  <c r="G23" i="21" s="1"/>
  <c r="D22" i="21"/>
  <c r="E22" i="21" s="1"/>
  <c r="H23" i="21" l="1"/>
  <c r="J24" i="21"/>
  <c r="K10" i="38" s="1"/>
  <c r="M10" i="38" s="1"/>
  <c r="L10" i="38" s="1"/>
  <c r="J25" i="21"/>
  <c r="K11" i="38" s="1"/>
  <c r="M11" i="38" s="1"/>
  <c r="L11" i="38" s="1"/>
  <c r="G22" i="21"/>
  <c r="H22" i="21" s="1"/>
  <c r="K9" i="38" s="1"/>
  <c r="M9" i="38" s="1"/>
  <c r="L9" i="38" s="1"/>
  <c r="D21" i="21"/>
  <c r="E21" i="21" l="1"/>
  <c r="G21" i="21" s="1"/>
  <c r="H21" i="21" s="1"/>
  <c r="K8" i="38" s="1"/>
  <c r="M8" i="38" s="1"/>
  <c r="L8" i="38" s="1"/>
  <c r="D24" i="21"/>
  <c r="E24" i="21" s="1"/>
  <c r="E5" i="36" l="1"/>
  <c r="E7" i="36" s="1"/>
  <c r="F22" i="21"/>
  <c r="F21" i="21"/>
  <c r="H24" i="21"/>
  <c r="F23" i="21"/>
  <c r="M12" i="38" l="1"/>
  <c r="I24" i="21"/>
  <c r="F5" i="36"/>
  <c r="F7" i="36" s="1"/>
  <c r="I28" i="21" s="1"/>
  <c r="I22" i="21"/>
  <c r="J22" i="21" s="1"/>
  <c r="I21" i="21"/>
  <c r="J21" i="21" s="1"/>
  <c r="I25" i="21"/>
  <c r="I23" i="21"/>
  <c r="J23" i="21" s="1"/>
  <c r="K12" i="38" l="1"/>
  <c r="L12" i="38"/>
  <c r="AJ13" i="28"/>
  <c r="AJ16" i="28" s="1"/>
  <c r="AB16" i="28"/>
  <c r="AD18" i="28" l="1"/>
  <c r="AH25" i="28" s="1"/>
  <c r="AMH16" i="28"/>
  <c r="AMI16" i="28" s="1"/>
  <c r="AB18" i="28"/>
  <c r="AF25" i="28" s="1"/>
  <c r="AF23" i="28" s="1"/>
  <c r="AC18" i="28"/>
  <c r="AG25" i="28" s="1"/>
  <c r="AG23" i="28" s="1"/>
  <c r="AE18" i="28"/>
  <c r="AI23" i="28" s="1"/>
  <c r="AJ17" i="28"/>
  <c r="E7" i="34" l="1"/>
  <c r="AF24" i="28"/>
  <c r="AH23" i="28"/>
  <c r="E9" i="34" s="1"/>
  <c r="E8" i="34"/>
  <c r="E12" i="34" l="1"/>
  <c r="AG24" i="28"/>
  <c r="AH24" i="28"/>
  <c r="F7" i="34" l="1"/>
  <c r="G7" i="34" s="1"/>
  <c r="H11" i="34"/>
  <c r="I11" i="34" s="1"/>
  <c r="D21" i="34"/>
  <c r="F10" i="34"/>
  <c r="F8" i="34"/>
  <c r="G8" i="34" s="1"/>
  <c r="E13" i="34"/>
  <c r="F9" i="34"/>
  <c r="G9" i="34" s="1"/>
  <c r="G12" i="34" l="1"/>
  <c r="F12" i="34"/>
  <c r="H7" i="34" s="1"/>
  <c r="I7" i="34" s="1"/>
  <c r="K14" i="38" s="1"/>
  <c r="M14" i="38" s="1"/>
  <c r="H8" i="34"/>
  <c r="I8" i="34" s="1"/>
  <c r="K15" i="38" s="1"/>
  <c r="M15" i="38" s="1"/>
  <c r="AI24" i="28"/>
  <c r="AJ24" i="28" s="1"/>
  <c r="AJ23" i="28"/>
  <c r="AI25" i="28"/>
  <c r="AJ25" i="28" s="1"/>
  <c r="L15" i="38" l="1"/>
  <c r="L14" i="38"/>
  <c r="H9" i="34"/>
  <c r="I9" i="34" s="1"/>
  <c r="K16" i="38" l="1"/>
  <c r="M16" i="38" s="1"/>
  <c r="I12" i="34"/>
  <c r="L16" i="38" l="1"/>
  <c r="M17" i="38"/>
  <c r="M18" i="38"/>
  <c r="J12" i="34"/>
  <c r="K17" i="38"/>
  <c r="L17" i="38" s="1"/>
  <c r="I13" i="34"/>
  <c r="J13" i="34" s="1"/>
  <c r="N15" i="38" l="1"/>
  <c r="N14" i="38"/>
  <c r="N13" i="38"/>
  <c r="N16" i="38"/>
  <c r="N17" i="38"/>
  <c r="N12" i="38"/>
  <c r="N8" i="38"/>
  <c r="N9" i="38"/>
  <c r="M19" i="38"/>
  <c r="N11" i="38"/>
  <c r="N10" i="38"/>
  <c r="N18" i="38" l="1"/>
</calcChain>
</file>

<file path=xl/sharedStrings.xml><?xml version="1.0" encoding="utf-8"?>
<sst xmlns="http://schemas.openxmlformats.org/spreadsheetml/2006/main" count="635" uniqueCount="524">
  <si>
    <t>№</t>
  </si>
  <si>
    <t>Наименование выполняемых работ /модулей ИС</t>
  </si>
  <si>
    <t>ИТОГО</t>
  </si>
  <si>
    <t>Общие расчетные трудозатраты, чел.-мес.</t>
  </si>
  <si>
    <t>Коэффициенты трудоемкости</t>
  </si>
  <si>
    <t>№ п/п</t>
  </si>
  <si>
    <t>К-нт доли з/п в себесто-имости</t>
  </si>
  <si>
    <t xml:space="preserve">К-нт рентабельности </t>
  </si>
  <si>
    <r>
      <t>Значение коэффициента трудоемкости (МТ</t>
    </r>
    <r>
      <rPr>
        <vertAlign val="subscript"/>
        <sz val="12"/>
        <color theme="1"/>
        <rFont val="Times New Roman"/>
        <family val="1"/>
        <charset val="204"/>
      </rPr>
      <t>7</t>
    </r>
    <r>
      <rPr>
        <sz val="12"/>
        <color theme="1"/>
        <rFont val="Times New Roman"/>
        <family val="1"/>
        <charset val="204"/>
      </rPr>
      <t>)</t>
    </r>
  </si>
  <si>
    <t>Характер выполняемых работ</t>
  </si>
  <si>
    <t>Коэффициент определяется отдельно по каждой из подсистем ИС</t>
  </si>
  <si>
    <r>
      <t>Значение коэффициента трудоемкости (МТ</t>
    </r>
    <r>
      <rPr>
        <vertAlign val="subscript"/>
        <sz val="12"/>
        <color theme="1"/>
        <rFont val="Times New Roman"/>
        <family val="1"/>
        <charset val="204"/>
      </rPr>
      <t>6</t>
    </r>
    <r>
      <rPr>
        <sz val="12"/>
        <color theme="1"/>
        <rFont val="Times New Roman"/>
        <family val="1"/>
        <charset val="204"/>
      </rPr>
      <t>)</t>
    </r>
  </si>
  <si>
    <t>чаще чем 1 раз в 6 месяцев</t>
  </si>
  <si>
    <t>от 1 раза в 12 месяцев до 1 раза в 6 месяцев</t>
  </si>
  <si>
    <t xml:space="preserve">Выход обновления ОС либо СУБД   </t>
  </si>
  <si>
    <r>
      <t>6. Коэффициент трудоемкости «Частота обновления</t>
    </r>
    <r>
      <rPr>
        <sz val="12"/>
        <color rgb="FF000000"/>
        <rFont val="Times New Roman"/>
        <family val="1"/>
        <charset val="204"/>
      </rPr>
      <t xml:space="preserve"> платформы</t>
    </r>
    <r>
      <rPr>
        <sz val="12"/>
        <color theme="1"/>
        <rFont val="Times New Roman"/>
        <family val="1"/>
        <charset val="204"/>
      </rPr>
      <t>» (МТ</t>
    </r>
    <r>
      <rPr>
        <vertAlign val="subscript"/>
        <sz val="12"/>
        <color theme="1"/>
        <rFont val="Times New Roman"/>
        <family val="1"/>
        <charset val="204"/>
      </rPr>
      <t>6</t>
    </r>
    <r>
      <rPr>
        <sz val="12"/>
        <color theme="1"/>
        <rFont val="Times New Roman"/>
        <family val="1"/>
        <charset val="204"/>
      </rPr>
      <t xml:space="preserve">) </t>
    </r>
  </si>
  <si>
    <r>
      <t>Значение коэффициента трудоемкости (МТ</t>
    </r>
    <r>
      <rPr>
        <vertAlign val="subscript"/>
        <sz val="12"/>
        <color theme="1"/>
        <rFont val="Times New Roman"/>
        <family val="1"/>
        <charset val="204"/>
      </rPr>
      <t>5</t>
    </r>
    <r>
      <rPr>
        <sz val="12"/>
        <color theme="1"/>
        <rFont val="Times New Roman"/>
        <family val="1"/>
        <charset val="204"/>
      </rPr>
      <t>)</t>
    </r>
  </si>
  <si>
    <t>предусматривается</t>
  </si>
  <si>
    <t>не</t>
  </si>
  <si>
    <t xml:space="preserve">Использование системой мобильных устройств  </t>
  </si>
  <si>
    <r>
      <t>Значение коэффициента трудоемкости (МТ</t>
    </r>
    <r>
      <rPr>
        <vertAlign val="subscript"/>
        <sz val="12"/>
        <color theme="1"/>
        <rFont val="Times New Roman"/>
        <family val="1"/>
        <charset val="204"/>
      </rPr>
      <t>4</t>
    </r>
    <r>
      <rPr>
        <sz val="12"/>
        <color theme="1"/>
        <rFont val="Times New Roman"/>
        <family val="1"/>
        <charset val="204"/>
      </rPr>
      <t>)</t>
    </r>
  </si>
  <si>
    <t>информационно-аналитическая, управляющая</t>
  </si>
  <si>
    <t>обеспечения деятельности ОИВ, портал, прочая</t>
  </si>
  <si>
    <t>информационно-поисковая (реестр, регистр и др.)</t>
  </si>
  <si>
    <t xml:space="preserve">Класс разрабатываемой ИС  </t>
  </si>
  <si>
    <r>
      <t>4. Коэффициент трудоемкости «Сложность</t>
    </r>
    <r>
      <rPr>
        <sz val="12"/>
        <color rgb="FF000000"/>
        <rFont val="Times New Roman"/>
        <family val="1"/>
        <charset val="204"/>
      </rPr>
      <t xml:space="preserve"> информационной системы»</t>
    </r>
    <r>
      <rPr>
        <sz val="12"/>
        <color theme="1"/>
        <rFont val="Times New Roman"/>
        <family val="1"/>
        <charset val="204"/>
      </rPr>
      <t xml:space="preserve"> (МТ</t>
    </r>
    <r>
      <rPr>
        <vertAlign val="subscript"/>
        <sz val="12"/>
        <color theme="1"/>
        <rFont val="Times New Roman"/>
        <family val="1"/>
        <charset val="204"/>
      </rPr>
      <t>4</t>
    </r>
    <r>
      <rPr>
        <sz val="12"/>
        <color theme="1"/>
        <rFont val="Times New Roman"/>
        <family val="1"/>
        <charset val="204"/>
      </rPr>
      <t>)</t>
    </r>
  </si>
  <si>
    <r>
      <t>Значение коэффициента трудоемкости (МТ</t>
    </r>
    <r>
      <rPr>
        <vertAlign val="sub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)</t>
    </r>
  </si>
  <si>
    <t>свыше 20</t>
  </si>
  <si>
    <t>от 10 до 20</t>
  </si>
  <si>
    <t>менее 10</t>
  </si>
  <si>
    <t>Количество интеграций</t>
  </si>
  <si>
    <t>Коэффициент определяется по ИС в целом</t>
  </si>
  <si>
    <r>
      <t>Значение коэффициента трудоемкости (МТ</t>
    </r>
    <r>
      <rPr>
        <vertAlign val="sub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)</t>
    </r>
  </si>
  <si>
    <t xml:space="preserve">Значение отношения кол-во объектов предметной области/размер ИС  </t>
  </si>
  <si>
    <r>
      <t>Значение коэффициента трудоемкости (МТ</t>
    </r>
    <r>
      <rPr>
        <vertAlign val="sub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)</t>
    </r>
  </si>
  <si>
    <t>критичная ИС</t>
  </si>
  <si>
    <t>общегородская ИС</t>
  </si>
  <si>
    <t>отраслевая ИС</t>
  </si>
  <si>
    <t xml:space="preserve">Тип разрабатываемой ИС  </t>
  </si>
  <si>
    <r>
      <t>1. Коэффициент трудоемкости «Требуемая надежность информационной системы» (МТ</t>
    </r>
    <r>
      <rPr>
        <vertAlign val="subscript"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>)</t>
    </r>
  </si>
  <si>
    <t>Год</t>
  </si>
  <si>
    <t>язык высокого уровня</t>
  </si>
  <si>
    <t>Базовые трудозатраты</t>
  </si>
  <si>
    <t>К-нт преобраз. ФТ в БТ</t>
  </si>
  <si>
    <t xml:space="preserve">Стоимость единицы трудозатрат (чел-мес.), руб. </t>
  </si>
  <si>
    <r>
      <t>2. Коэффициент трудоемкости «Среда разработки</t>
    </r>
    <r>
      <rPr>
        <sz val="12"/>
        <color rgb="FF000000"/>
        <rFont val="Times New Roman"/>
        <family val="1"/>
        <charset val="204"/>
      </rPr>
      <t>»</t>
    </r>
    <r>
      <rPr>
        <sz val="12"/>
        <color theme="1"/>
        <rFont val="Times New Roman"/>
        <family val="1"/>
        <charset val="204"/>
      </rPr>
      <t xml:space="preserve"> (МТ</t>
    </r>
    <r>
      <rPr>
        <vertAlign val="sub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>)</t>
    </r>
  </si>
  <si>
    <t>2 среды</t>
  </si>
  <si>
    <t>3 среды</t>
  </si>
  <si>
    <t>4 среды</t>
  </si>
  <si>
    <t>реже чем 1 раз в 12 месяцев</t>
  </si>
  <si>
    <r>
      <t>8. Коэффициент трудоемкости «Сложность аналитической деятельности и проектирования» (МТ</t>
    </r>
    <r>
      <rPr>
        <vertAlign val="subscript"/>
        <sz val="12"/>
        <color theme="1"/>
        <rFont val="Times New Roman"/>
        <family val="1"/>
        <charset val="204"/>
      </rPr>
      <t>8</t>
    </r>
    <r>
      <rPr>
        <sz val="12"/>
        <color theme="1"/>
        <rFont val="Times New Roman"/>
        <family val="1"/>
        <charset val="204"/>
      </rPr>
      <t>)</t>
    </r>
  </si>
  <si>
    <t>общие расчетные трудозатраты, чел.-месяцев</t>
  </si>
  <si>
    <t>Стоимость выполнения работ по разработке информационной системы по годам, (руб.) без НДС</t>
  </si>
  <si>
    <t>Стоимость выполнения работ по разработке информационной системы по годам, (руб.) с НДС</t>
  </si>
  <si>
    <t>Расчет стоимости единицы трудозатрат</t>
  </si>
  <si>
    <r>
      <t>Значение коэффициента трудоемкости (МТ</t>
    </r>
    <r>
      <rPr>
        <vertAlign val="subscript"/>
        <sz val="12"/>
        <color theme="1"/>
        <rFont val="Times New Roman"/>
        <family val="1"/>
        <charset val="204"/>
      </rPr>
      <t>8</t>
    </r>
    <r>
      <rPr>
        <sz val="12"/>
        <color theme="1"/>
        <rFont val="Times New Roman"/>
        <family val="1"/>
        <charset val="204"/>
      </rPr>
      <t>)</t>
    </r>
  </si>
  <si>
    <t>развитие и/или модернизация подсистем действующей ИС</t>
  </si>
  <si>
    <t>создание новых подсистем действующей ИС</t>
  </si>
  <si>
    <t>создание новой ИС</t>
  </si>
  <si>
    <t>Сложность аналитической деятельности и проектирования</t>
  </si>
  <si>
    <t>Не требуется</t>
  </si>
  <si>
    <t>Наличие модели архитектуры (или новая подсистема)</t>
  </si>
  <si>
    <t>Отсутствие модели архитектуры</t>
  </si>
  <si>
    <t>Способ реализации (уровень языка разработки)</t>
  </si>
  <si>
    <t>Количество прочих задач</t>
  </si>
  <si>
    <t>Количество детализированных задач</t>
  </si>
  <si>
    <t>Коэффициент, учитывающий инфляцию в i-й год финансирования</t>
  </si>
  <si>
    <t>Проверка</t>
  </si>
  <si>
    <t>Среднемесячная заработная плата по данным Мосстата, руб.*</t>
  </si>
  <si>
    <r>
      <t>Внутренние логические файлы 
Ф</t>
    </r>
    <r>
      <rPr>
        <b/>
        <vertAlign val="subscript"/>
        <sz val="10"/>
        <rFont val="Times New Roman"/>
        <family val="1"/>
        <charset val="204"/>
      </rPr>
      <t>1</t>
    </r>
  </si>
  <si>
    <r>
      <t>МТ</t>
    </r>
    <r>
      <rPr>
        <b/>
        <vertAlign val="subscript"/>
        <sz val="12"/>
        <rFont val="Times New Roman"/>
        <family val="1"/>
        <charset val="204"/>
      </rPr>
      <t>1</t>
    </r>
  </si>
  <si>
    <r>
      <t>МТ</t>
    </r>
    <r>
      <rPr>
        <b/>
        <vertAlign val="subscript"/>
        <sz val="12"/>
        <rFont val="Times New Roman"/>
        <family val="1"/>
        <charset val="204"/>
      </rPr>
      <t>2</t>
    </r>
    <r>
      <rPr>
        <sz val="10"/>
        <rFont val="Arial"/>
        <family val="2"/>
      </rPr>
      <t/>
    </r>
  </si>
  <si>
    <r>
      <t>МТ</t>
    </r>
    <r>
      <rPr>
        <b/>
        <vertAlign val="subscript"/>
        <sz val="12"/>
        <rFont val="Times New Roman"/>
        <family val="1"/>
        <charset val="204"/>
      </rPr>
      <t>3</t>
    </r>
    <r>
      <rPr>
        <sz val="11"/>
        <color theme="1"/>
        <rFont val="Calibri"/>
        <family val="2"/>
        <charset val="204"/>
        <scheme val="minor"/>
      </rPr>
      <t/>
    </r>
  </si>
  <si>
    <r>
      <t>МТ</t>
    </r>
    <r>
      <rPr>
        <b/>
        <vertAlign val="subscript"/>
        <sz val="12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</si>
  <si>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r>
      <t>МТ</t>
    </r>
    <r>
      <rPr>
        <b/>
        <vertAlign val="subscript"/>
        <sz val="12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</si>
  <si>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r>
      <t>МТ</t>
    </r>
    <r>
      <rPr>
        <b/>
        <vertAlign val="subscript"/>
        <sz val="12"/>
        <rFont val="Times New Roman"/>
        <family val="1"/>
        <charset val="204"/>
      </rPr>
      <t>6</t>
    </r>
  </si>
  <si>
    <r>
      <t>МТ</t>
    </r>
    <r>
      <rPr>
        <b/>
        <vertAlign val="subscript"/>
        <sz val="12"/>
        <rFont val="Times New Roman"/>
        <family val="1"/>
        <charset val="204"/>
      </rPr>
      <t>7</t>
    </r>
    <r>
      <rPr>
        <sz val="11"/>
        <color theme="1"/>
        <rFont val="Calibri"/>
        <family val="2"/>
        <charset val="204"/>
        <scheme val="minor"/>
      </rPr>
      <t/>
    </r>
  </si>
  <si>
    <r>
      <t>МТ</t>
    </r>
    <r>
      <rPr>
        <b/>
        <vertAlign val="subscript"/>
        <sz val="12"/>
        <rFont val="Times New Roman"/>
        <family val="1"/>
        <charset val="204"/>
      </rPr>
      <t>8</t>
    </r>
    <r>
      <rPr>
        <sz val="11"/>
        <color theme="1"/>
        <rFont val="Calibri"/>
        <family val="2"/>
        <charset val="204"/>
        <scheme val="minor"/>
      </rPr>
      <t/>
    </r>
  </si>
  <si>
    <r>
      <t>Количество функций обработки информации (Ф</t>
    </r>
    <r>
      <rPr>
        <b/>
        <vertAlign val="subscript"/>
        <sz val="12"/>
        <color theme="1"/>
        <rFont val="Times New Roman"/>
        <family val="1"/>
        <charset val="204"/>
      </rPr>
      <t>i</t>
    </r>
    <r>
      <rPr>
        <b/>
        <sz val="12"/>
        <color theme="1"/>
        <rFont val="Times New Roman"/>
        <family val="1"/>
        <charset val="204"/>
      </rPr>
      <t>)</t>
    </r>
  </si>
  <si>
    <r>
      <t>Количество функциональных точек (ФТ</t>
    </r>
    <r>
      <rPr>
        <b/>
        <vertAlign val="subscript"/>
        <sz val="12"/>
        <color theme="1"/>
        <rFont val="Times New Roman"/>
        <family val="1"/>
        <charset val="204"/>
      </rPr>
      <t>i</t>
    </r>
    <r>
      <rPr>
        <b/>
        <sz val="12"/>
        <color theme="1"/>
        <rFont val="Times New Roman"/>
        <family val="1"/>
        <charset val="204"/>
      </rPr>
      <t>)</t>
    </r>
  </si>
  <si>
    <r>
      <t>Ф</t>
    </r>
    <r>
      <rPr>
        <b/>
        <vertAlign val="subscript"/>
        <sz val="12"/>
        <color theme="1"/>
        <rFont val="Times New Roman"/>
        <family val="1"/>
        <charset val="204"/>
      </rPr>
      <t>1</t>
    </r>
  </si>
  <si>
    <r>
      <t>Ф</t>
    </r>
    <r>
      <rPr>
        <b/>
        <vertAlign val="subscript"/>
        <sz val="12"/>
        <color theme="1"/>
        <rFont val="Times New Roman"/>
        <family val="1"/>
        <charset val="204"/>
      </rPr>
      <t>2</t>
    </r>
    <r>
      <rPr>
        <sz val="10"/>
        <rFont val="Arial"/>
        <family val="2"/>
      </rPr>
      <t/>
    </r>
  </si>
  <si>
    <r>
      <t>Ф</t>
    </r>
    <r>
      <rPr>
        <b/>
        <vertAlign val="subscript"/>
        <sz val="12"/>
        <color theme="1"/>
        <rFont val="Times New Roman"/>
        <family val="1"/>
        <charset val="204"/>
      </rPr>
      <t>3</t>
    </r>
    <r>
      <rPr>
        <sz val="10"/>
        <rFont val="Arial"/>
        <family val="2"/>
      </rPr>
      <t/>
    </r>
  </si>
  <si>
    <r>
      <t>Ф</t>
    </r>
    <r>
      <rPr>
        <b/>
        <vertAlign val="subscript"/>
        <sz val="12"/>
        <color theme="1"/>
        <rFont val="Times New Roman"/>
        <family val="1"/>
        <charset val="204"/>
      </rPr>
      <t>4</t>
    </r>
    <r>
      <rPr>
        <sz val="10"/>
        <rFont val="Arial"/>
        <family val="2"/>
      </rPr>
      <t/>
    </r>
  </si>
  <si>
    <r>
      <t>Ф</t>
    </r>
    <r>
      <rPr>
        <b/>
        <vertAlign val="subscript"/>
        <sz val="12"/>
        <color theme="1"/>
        <rFont val="Times New Roman"/>
        <family val="1"/>
        <charset val="204"/>
      </rPr>
      <t>5</t>
    </r>
    <r>
      <rPr>
        <sz val="10"/>
        <rFont val="Arial"/>
        <family val="2"/>
      </rPr>
      <t/>
    </r>
  </si>
  <si>
    <r>
      <t>Ф</t>
    </r>
    <r>
      <rPr>
        <b/>
        <vertAlign val="subscript"/>
        <sz val="12"/>
        <color theme="1"/>
        <rFont val="Times New Roman"/>
        <family val="1"/>
        <charset val="204"/>
      </rPr>
      <t>6</t>
    </r>
    <r>
      <rPr>
        <sz val="10"/>
        <rFont val="Arial"/>
        <family val="2"/>
      </rPr>
      <t/>
    </r>
  </si>
  <si>
    <r>
      <t>Ф</t>
    </r>
    <r>
      <rPr>
        <b/>
        <vertAlign val="subscript"/>
        <sz val="12"/>
        <color theme="1"/>
        <rFont val="Times New Roman"/>
        <family val="1"/>
        <charset val="204"/>
      </rPr>
      <t>7</t>
    </r>
    <r>
      <rPr>
        <sz val="10"/>
        <rFont val="Arial"/>
        <family val="2"/>
      </rPr>
      <t/>
    </r>
  </si>
  <si>
    <r>
      <t>Ф</t>
    </r>
    <r>
      <rPr>
        <b/>
        <vertAlign val="subscript"/>
        <sz val="12"/>
        <color theme="1"/>
        <rFont val="Times New Roman"/>
        <family val="1"/>
        <charset val="204"/>
      </rPr>
      <t>8</t>
    </r>
    <r>
      <rPr>
        <sz val="10"/>
        <rFont val="Arial"/>
        <family val="2"/>
      </rPr>
      <t/>
    </r>
  </si>
  <si>
    <r>
      <t>ФТ</t>
    </r>
    <r>
      <rPr>
        <b/>
        <vertAlign val="subscript"/>
        <sz val="12"/>
        <color theme="1"/>
        <rFont val="Times New Roman"/>
        <family val="1"/>
        <charset val="204"/>
      </rPr>
      <t>1</t>
    </r>
  </si>
  <si>
    <r>
      <t>ФТ</t>
    </r>
    <r>
      <rPr>
        <b/>
        <vertAlign val="subscript"/>
        <sz val="12"/>
        <color theme="1"/>
        <rFont val="Times New Roman"/>
        <family val="1"/>
        <charset val="204"/>
      </rPr>
      <t>2</t>
    </r>
    <r>
      <rPr>
        <sz val="10"/>
        <rFont val="Arial"/>
        <family val="2"/>
      </rPr>
      <t/>
    </r>
  </si>
  <si>
    <r>
      <t>ФТ</t>
    </r>
    <r>
      <rPr>
        <b/>
        <vertAlign val="subscript"/>
        <sz val="12"/>
        <color theme="1"/>
        <rFont val="Times New Roman"/>
        <family val="1"/>
        <charset val="204"/>
      </rPr>
      <t>3</t>
    </r>
    <r>
      <rPr>
        <sz val="10"/>
        <rFont val="Arial"/>
        <family val="2"/>
      </rPr>
      <t/>
    </r>
  </si>
  <si>
    <r>
      <t>ФТ</t>
    </r>
    <r>
      <rPr>
        <b/>
        <vertAlign val="subscript"/>
        <sz val="12"/>
        <color theme="1"/>
        <rFont val="Times New Roman"/>
        <family val="1"/>
        <charset val="204"/>
      </rPr>
      <t>4</t>
    </r>
    <r>
      <rPr>
        <sz val="10"/>
        <rFont val="Arial"/>
        <family val="2"/>
      </rPr>
      <t/>
    </r>
  </si>
  <si>
    <r>
      <t>ФТ</t>
    </r>
    <r>
      <rPr>
        <b/>
        <vertAlign val="subscript"/>
        <sz val="12"/>
        <color theme="1"/>
        <rFont val="Times New Roman"/>
        <family val="1"/>
        <charset val="204"/>
      </rPr>
      <t>5</t>
    </r>
    <r>
      <rPr>
        <sz val="10"/>
        <rFont val="Arial"/>
        <family val="2"/>
      </rPr>
      <t/>
    </r>
  </si>
  <si>
    <r>
      <t>ФТ</t>
    </r>
    <r>
      <rPr>
        <b/>
        <vertAlign val="subscript"/>
        <sz val="12"/>
        <color theme="1"/>
        <rFont val="Times New Roman"/>
        <family val="1"/>
        <charset val="204"/>
      </rPr>
      <t>6</t>
    </r>
    <r>
      <rPr>
        <sz val="10"/>
        <rFont val="Arial"/>
        <family val="2"/>
      </rPr>
      <t/>
    </r>
  </si>
  <si>
    <r>
      <t>ФТ</t>
    </r>
    <r>
      <rPr>
        <b/>
        <vertAlign val="subscript"/>
        <sz val="12"/>
        <color theme="1"/>
        <rFont val="Times New Roman"/>
        <family val="1"/>
        <charset val="204"/>
      </rPr>
      <t>7</t>
    </r>
    <r>
      <rPr>
        <sz val="10"/>
        <rFont val="Arial"/>
        <family val="2"/>
      </rPr>
      <t/>
    </r>
  </si>
  <si>
    <r>
      <t>ФТ</t>
    </r>
    <r>
      <rPr>
        <b/>
        <vertAlign val="subscript"/>
        <sz val="12"/>
        <color theme="1"/>
        <rFont val="Times New Roman"/>
        <family val="1"/>
        <charset val="204"/>
      </rPr>
      <t>8</t>
    </r>
    <r>
      <rPr>
        <sz val="10"/>
        <rFont val="Arial"/>
        <family val="2"/>
      </rPr>
      <t/>
    </r>
  </si>
  <si>
    <r>
      <t>3. Коэффициент трудоемкости «Интеграции с внешними системами</t>
    </r>
    <r>
      <rPr>
        <sz val="12"/>
        <color rgb="FF000000"/>
        <rFont val="Times New Roman"/>
        <family val="1"/>
        <charset val="204"/>
      </rPr>
      <t>»</t>
    </r>
    <r>
      <rPr>
        <sz val="12"/>
        <color theme="1"/>
        <rFont val="Times New Roman"/>
        <family val="1"/>
        <charset val="204"/>
      </rPr>
      <t xml:space="preserve"> (МТ</t>
    </r>
    <r>
      <rPr>
        <vertAlign val="sub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)</t>
    </r>
  </si>
  <si>
    <r>
      <t>5. Коэффициент трудоемкости «Размещение компонент на мобильных устройствах» (МТ</t>
    </r>
    <r>
      <rPr>
        <vertAlign val="subscript"/>
        <sz val="12"/>
        <color theme="1"/>
        <rFont val="Times New Roman"/>
        <family val="1"/>
        <charset val="204"/>
      </rPr>
      <t>5</t>
    </r>
    <r>
      <rPr>
        <sz val="12"/>
        <color theme="1"/>
        <rFont val="Times New Roman"/>
        <family val="1"/>
        <charset val="204"/>
      </rPr>
      <t>)</t>
    </r>
  </si>
  <si>
    <r>
      <t>7. Коэффициент трудоемкости «Новизна информационной системы» (МТ</t>
    </r>
    <r>
      <rPr>
        <vertAlign val="subscript"/>
        <sz val="12"/>
        <color theme="1"/>
        <rFont val="Times New Roman"/>
        <family val="1"/>
        <charset val="204"/>
      </rPr>
      <t>7</t>
    </r>
    <r>
      <rPr>
        <sz val="12"/>
        <color theme="1"/>
        <rFont val="Times New Roman"/>
        <family val="1"/>
        <charset val="204"/>
      </rPr>
      <t>)</t>
    </r>
  </si>
  <si>
    <t>по ИС в целом</t>
  </si>
  <si>
    <t xml:space="preserve"> отдельно по каждой из подсистем ИС</t>
  </si>
  <si>
    <t>Итого</t>
  </si>
  <si>
    <r>
      <t xml:space="preserve">Расчет стоимости выполненения работ по разработке ИС (разбивка трудозатрах </t>
    </r>
    <r>
      <rPr>
        <b/>
        <i/>
        <sz val="12"/>
        <color theme="1"/>
        <rFont val="Times New Roman"/>
        <family val="1"/>
        <charset val="204"/>
      </rPr>
      <t>по этапам - годам финансирования</t>
    </r>
    <r>
      <rPr>
        <i/>
        <sz val="12"/>
        <color theme="1"/>
        <rFont val="Times New Roman"/>
        <family val="1"/>
        <charset val="204"/>
      </rPr>
      <t>)</t>
    </r>
  </si>
  <si>
    <t>ИТОГО:</t>
  </si>
  <si>
    <t>Процент от общих расчетных трудозатрат</t>
  </si>
  <si>
    <t>Доля от общих расчетных трудозатрат в i-й год финансирования, %</t>
  </si>
  <si>
    <r>
      <t>К</t>
    </r>
    <r>
      <rPr>
        <b/>
        <vertAlign val="subscript"/>
        <sz val="14"/>
        <color theme="1"/>
        <rFont val="Calibri"/>
        <family val="2"/>
        <charset val="204"/>
        <scheme val="minor"/>
      </rPr>
      <t>ППК</t>
    </r>
  </si>
  <si>
    <t>Приложение № 2 к Протоколу начальной (максимальной) цены контракта (цены лота), начальной цены единицы товара, работы, услуги</t>
  </si>
  <si>
    <t>Определение начальной (максимальной) цены контракта (цены лота)</t>
  </si>
  <si>
    <t>КТ</t>
  </si>
  <si>
    <t>Вид КТ</t>
  </si>
  <si>
    <t>Параметры КТ</t>
  </si>
  <si>
    <t>Значение КТ</t>
  </si>
  <si>
    <t>МТ1</t>
  </si>
  <si>
    <r>
      <t xml:space="preserve">Тип разрабатываемой ИС  
</t>
    </r>
    <r>
      <rPr>
        <sz val="12"/>
        <rFont val="Times New Roman"/>
        <family val="1"/>
        <charset val="204"/>
      </rPr>
      <t>(Коэффициент определяется по ИС в целом)</t>
    </r>
  </si>
  <si>
    <t>МТ2</t>
  </si>
  <si>
    <r>
      <t xml:space="preserve">Значение отношения кол-во объектов предметной области/размер ИС  </t>
    </r>
    <r>
      <rPr>
        <sz val="12"/>
        <rFont val="Times New Roman"/>
        <family val="1"/>
        <charset val="204"/>
      </rPr>
      <t>(Коэффициент определяется по ИС в целом)</t>
    </r>
  </si>
  <si>
    <t>МТ3</t>
  </si>
  <si>
    <r>
      <t xml:space="preserve">Количество интеграций
</t>
    </r>
    <r>
      <rPr>
        <sz val="12"/>
        <rFont val="Times New Roman"/>
        <family val="1"/>
        <charset val="204"/>
      </rPr>
      <t>(Коэффициент определяется по ИС в целом)</t>
    </r>
  </si>
  <si>
    <t>Интеграции с внешними системами:</t>
  </si>
  <si>
    <t>МТ4</t>
  </si>
  <si>
    <t>МТ5</t>
  </si>
  <si>
    <t>не предусматривается</t>
  </si>
  <si>
    <t>МТ6</t>
  </si>
  <si>
    <t xml:space="preserve">Выход обновления ОС либо СУБД  </t>
  </si>
  <si>
    <t>МТ7</t>
  </si>
  <si>
    <t>МТ8</t>
  </si>
  <si>
    <t>Наименование выполняемых работ /подсистем ИС</t>
  </si>
  <si>
    <r>
      <t>Количество функций обработки информации (Ф</t>
    </r>
    <r>
      <rPr>
        <b/>
        <vertAlign val="subscript"/>
        <sz val="10"/>
        <rFont val="Times New Roman"/>
        <family val="1"/>
        <charset val="204"/>
      </rPr>
      <t>i</t>
    </r>
    <r>
      <rPr>
        <b/>
        <sz val="10"/>
        <rFont val="Times New Roman"/>
        <family val="1"/>
        <charset val="204"/>
      </rPr>
      <t>)</t>
    </r>
  </si>
  <si>
    <r>
      <t>Внешние интерфейсные файлы
Ф</t>
    </r>
    <r>
      <rPr>
        <b/>
        <vertAlign val="subscript"/>
        <sz val="10"/>
        <rFont val="Times New Roman"/>
        <family val="1"/>
        <charset val="204"/>
      </rPr>
      <t>2</t>
    </r>
  </si>
  <si>
    <r>
      <t>Внешние входные элементы
Ф</t>
    </r>
    <r>
      <rPr>
        <b/>
        <vertAlign val="subscript"/>
        <sz val="10"/>
        <rFont val="Times New Roman"/>
        <family val="1"/>
        <charset val="204"/>
      </rPr>
      <t>3</t>
    </r>
  </si>
  <si>
    <r>
      <t>Внешние выходные элементы и обработка информации 
Ф</t>
    </r>
    <r>
      <rPr>
        <b/>
        <vertAlign val="subscript"/>
        <sz val="10"/>
        <rFont val="Times New Roman"/>
        <family val="1"/>
        <charset val="204"/>
      </rPr>
      <t>4</t>
    </r>
  </si>
  <si>
    <r>
      <t>Внешние запросы
Ф</t>
    </r>
    <r>
      <rPr>
        <b/>
        <vertAlign val="subscript"/>
        <sz val="10"/>
        <rFont val="Times New Roman"/>
        <family val="1"/>
        <charset val="204"/>
      </rPr>
      <t>5</t>
    </r>
  </si>
  <si>
    <r>
      <t>Развитие функций хранения информации и интеграций 
Ф</t>
    </r>
    <r>
      <rPr>
        <b/>
        <vertAlign val="subscript"/>
        <sz val="10"/>
        <rFont val="Times New Roman"/>
        <family val="1"/>
        <charset val="204"/>
      </rPr>
      <t>6</t>
    </r>
  </si>
  <si>
    <r>
      <t>Развитие функций ввода-вывода информации 
Ф</t>
    </r>
    <r>
      <rPr>
        <b/>
        <vertAlign val="subscript"/>
        <sz val="10"/>
        <rFont val="Times New Roman"/>
        <family val="1"/>
        <charset val="204"/>
      </rPr>
      <t>7</t>
    </r>
  </si>
  <si>
    <r>
      <t>Функции повышения удобства использования 
Ф</t>
    </r>
    <r>
      <rPr>
        <b/>
        <vertAlign val="subscript"/>
        <sz val="10"/>
        <rFont val="Times New Roman"/>
        <family val="1"/>
        <charset val="204"/>
      </rPr>
      <t>8</t>
    </r>
  </si>
  <si>
    <t>Выполнение работ по модернизации __</t>
  </si>
  <si>
    <t>Прочие доработки (по заявкам)</t>
  </si>
  <si>
    <t xml:space="preserve">Приложение № 2 к Протоколу начальной (максимальной) цены контракта (цены лота), начальной цены единицы товара, работы, услуги </t>
  </si>
  <si>
    <t>№ пп</t>
  </si>
  <si>
    <t>Наименование услуг</t>
  </si>
  <si>
    <t>кол-во, усл. ед</t>
  </si>
  <si>
    <t>Доля в стоимости услуг, %:</t>
  </si>
  <si>
    <t>всего</t>
  </si>
  <si>
    <t>с подготовительным этапом</t>
  </si>
  <si>
    <t>Стоимость поддержки пользователей ИСиР, Vпп</t>
  </si>
  <si>
    <t>Стоимость прикладного администрирования ИСиР, Vпа</t>
  </si>
  <si>
    <t>Стоимость системного администрирования ИСиР, Vса</t>
  </si>
  <si>
    <t>Стоимость адаптационного сопровождения, Vам</t>
  </si>
  <si>
    <t>Стоимость подготовительного этапа</t>
  </si>
  <si>
    <t>Итог</t>
  </si>
  <si>
    <t>Начальник Отдела реализации информационно-аналитического обеспечения</t>
  </si>
  <si>
    <t>О.В. Пригожева</t>
  </si>
  <si>
    <t>Начальник Управления 
по информационно-аналитическому 
обеспечению</t>
  </si>
  <si>
    <t>А.В. Козыч</t>
  </si>
  <si>
    <r>
      <t xml:space="preserve">Определение начальной (максимальной) цены контракта (цены лота)
</t>
    </r>
    <r>
      <rPr>
        <b/>
        <sz val="10"/>
        <color rgb="FFFF0000"/>
        <rFont val="Arial"/>
        <family val="2"/>
        <charset val="204"/>
      </rPr>
      <t>Наименование Закупки</t>
    </r>
  </si>
  <si>
    <t>Исходные данные для расчетов из Паспортов информационных систем</t>
  </si>
  <si>
    <t>Коэффициенты функциональной сложности ИСиР</t>
  </si>
  <si>
    <t>Коэффициенты SLA</t>
  </si>
  <si>
    <t xml:space="preserve">Трудоемкость работ (услуг), 
чел.-дней </t>
  </si>
  <si>
    <t>Стоимость эксплуатации ИС, руб.</t>
  </si>
  <si>
    <t>№№</t>
  </si>
  <si>
    <t>Заказчик</t>
  </si>
  <si>
    <t>Наименование ИСиР</t>
  </si>
  <si>
    <t>Количество пользователей ИСиР</t>
  </si>
  <si>
    <t>Эффективное количество процессорных ядер ИСиР, 
Np</t>
  </si>
  <si>
    <t>Количество процессорных ядер аппаратных серверов, используемых ИСиР, с учетом контуров
Na</t>
  </si>
  <si>
    <t>Согласованные уровни фукнкциональной сложности</t>
  </si>
  <si>
    <t>Согласованные уровни сервиса</t>
  </si>
  <si>
    <r>
      <rPr>
        <sz val="11"/>
        <color rgb="FF000000"/>
        <rFont val="Arial"/>
        <family val="2"/>
        <charset val="204"/>
      </rPr>
      <t xml:space="preserve">поддержка пользователей,
</t>
    </r>
    <r>
      <rPr>
        <b/>
        <sz val="11"/>
        <color rgb="FF000000"/>
        <rFont val="Arial"/>
        <family val="2"/>
        <charset val="204"/>
      </rPr>
      <t>Кfпп</t>
    </r>
  </si>
  <si>
    <r>
      <rPr>
        <sz val="11"/>
        <color rgb="FF000000"/>
        <rFont val="Arial"/>
        <family val="2"/>
        <charset val="204"/>
      </rPr>
      <t xml:space="preserve">прикладное администрирование,
</t>
    </r>
    <r>
      <rPr>
        <b/>
        <sz val="11"/>
        <color rgb="FF000000"/>
        <rFont val="Arial"/>
        <family val="2"/>
        <charset val="204"/>
      </rPr>
      <t>Кfпа</t>
    </r>
  </si>
  <si>
    <r>
      <rPr>
        <sz val="11"/>
        <color rgb="FF000000"/>
        <rFont val="Arial"/>
        <family val="2"/>
        <charset val="204"/>
      </rPr>
      <t xml:space="preserve">поддержка пользователей,
</t>
    </r>
    <r>
      <rPr>
        <b/>
        <sz val="11"/>
        <color rgb="FF000000"/>
        <rFont val="Arial"/>
        <family val="2"/>
        <charset val="204"/>
      </rPr>
      <t>Кslaпп</t>
    </r>
  </si>
  <si>
    <r>
      <rPr>
        <sz val="11"/>
        <color rgb="FF000000"/>
        <rFont val="Arial"/>
        <family val="2"/>
        <charset val="204"/>
      </rPr>
      <t xml:space="preserve">администри-рование,
</t>
    </r>
    <r>
      <rPr>
        <b/>
        <sz val="11"/>
        <color rgb="FF000000"/>
        <rFont val="Arial"/>
        <family val="2"/>
        <charset val="204"/>
      </rPr>
      <t>Kslaa</t>
    </r>
  </si>
  <si>
    <t>сопровождение и техническая поддержка аппаратного обеспечения,
Кslaао</t>
  </si>
  <si>
    <t xml:space="preserve">Трудоемкость по поддержке пользователей ИСиР, 
Hпп </t>
  </si>
  <si>
    <t xml:space="preserve">Трудоемкость по прикладному администрированию ИСиР, 
Hпа </t>
  </si>
  <si>
    <t xml:space="preserve">Трудоемкость по системному администрированию ИСиР, 
Hса </t>
  </si>
  <si>
    <t>Согласованный лимит трудоемкости по адаптационному сопровождению ИСиР, 
Hам</t>
  </si>
  <si>
    <t>Трудоемкость по сопровождению аппаратного обеспечения ИСиР,
Hсо</t>
  </si>
  <si>
    <t>Трудоемкость по технической поддержке аппаратного обеспечения ИСиР, 
Hтп</t>
  </si>
  <si>
    <t>Стоимость поддержки пользователей ИСиР,
Vпп</t>
  </si>
  <si>
    <t>Стоимость прикладного администрирования ИСиР,
Vпа</t>
  </si>
  <si>
    <t>Стоимость системного администрирования ИСиР,
Vса</t>
  </si>
  <si>
    <t>Стоимость адаптационного сопровождения,
Vам</t>
  </si>
  <si>
    <t>Стоимость сопровождения аппаратного обеспечения ИСиР,
Vсо</t>
  </si>
  <si>
    <t>Стоимость технической поддержки аппаратного обеспечения ИСиР,
Vтп</t>
  </si>
  <si>
    <t>Согласованный лимит услуг по поддержке аппаратного обеспечения ИСиР производителем
Vва</t>
  </si>
  <si>
    <t>Согласованный лимит услуг по поддержке программного обеспечения ИСиР производителем
Vвп</t>
  </si>
  <si>
    <t>Всего</t>
  </si>
  <si>
    <r>
      <rPr>
        <sz val="11"/>
        <color rgb="FF333333"/>
        <rFont val="Arial"/>
        <family val="2"/>
        <charset val="204"/>
      </rPr>
      <t xml:space="preserve">Физические лица и работники коммерческих организаций,
</t>
    </r>
    <r>
      <rPr>
        <b/>
        <sz val="11"/>
        <color rgb="FF333333"/>
        <rFont val="Arial"/>
        <family val="2"/>
        <charset val="204"/>
      </rPr>
      <t xml:space="preserve">Nk
</t>
    </r>
  </si>
  <si>
    <r>
      <rPr>
        <b/>
        <sz val="11"/>
        <color rgb="FF333333"/>
        <rFont val="Arial"/>
        <family val="2"/>
        <charset val="204"/>
      </rPr>
      <t>прикладной                F</t>
    </r>
    <r>
      <rPr>
        <b/>
        <vertAlign val="subscript"/>
        <sz val="11"/>
        <color rgb="FF333333"/>
        <rFont val="Arial"/>
        <family val="2"/>
        <charset val="204"/>
      </rPr>
      <t>П</t>
    </r>
  </si>
  <si>
    <r>
      <rPr>
        <b/>
        <sz val="11"/>
        <color rgb="FF333333"/>
        <rFont val="Arial"/>
        <family val="2"/>
        <charset val="204"/>
      </rPr>
      <t>системной                F</t>
    </r>
    <r>
      <rPr>
        <b/>
        <vertAlign val="subscript"/>
        <sz val="11"/>
        <color rgb="FF333333"/>
        <rFont val="Arial"/>
        <family val="2"/>
        <charset val="204"/>
      </rPr>
      <t>С</t>
    </r>
  </si>
  <si>
    <r>
      <rPr>
        <b/>
        <sz val="11"/>
        <color rgb="FF333333"/>
        <rFont val="Arial"/>
        <family val="2"/>
        <charset val="204"/>
      </rPr>
      <t>режим поддержка пользователей                      Ksla</t>
    </r>
    <r>
      <rPr>
        <b/>
        <vertAlign val="subscript"/>
        <sz val="11"/>
        <color rgb="FF333333"/>
        <rFont val="Arial"/>
        <family val="2"/>
        <charset val="204"/>
      </rPr>
      <t>с</t>
    </r>
  </si>
  <si>
    <r>
      <rPr>
        <b/>
        <sz val="11"/>
        <color rgb="FF333333"/>
        <rFont val="Arial"/>
        <family val="2"/>
        <charset val="204"/>
      </rPr>
      <t>режим техническое сопровождение           Ksla</t>
    </r>
    <r>
      <rPr>
        <b/>
        <vertAlign val="subscript"/>
        <sz val="11"/>
        <color rgb="FF333333"/>
        <rFont val="Arial"/>
        <family val="2"/>
        <charset val="204"/>
      </rPr>
      <t>и</t>
    </r>
  </si>
  <si>
    <t>режим сопровождение и техническая поддержка АО     Kslaп</t>
  </si>
  <si>
    <r>
      <rPr>
        <b/>
        <sz val="11"/>
        <color rgb="FF333333"/>
        <rFont val="Arial"/>
        <family val="2"/>
        <charset val="204"/>
      </rPr>
      <t>временные параметры                       Ksla</t>
    </r>
    <r>
      <rPr>
        <b/>
        <vertAlign val="subscript"/>
        <sz val="11"/>
        <color rgb="FF333333"/>
        <rFont val="Arial"/>
        <family val="2"/>
        <charset val="204"/>
      </rPr>
      <t>в</t>
    </r>
  </si>
  <si>
    <r>
      <rPr>
        <b/>
        <sz val="11"/>
        <color rgb="FF333333"/>
        <rFont val="Arial"/>
        <family val="2"/>
        <charset val="204"/>
      </rPr>
      <t>уровень доступности                 Ksla</t>
    </r>
    <r>
      <rPr>
        <b/>
        <vertAlign val="subscript"/>
        <sz val="11"/>
        <color rgb="FF333333"/>
        <rFont val="Arial"/>
        <family val="2"/>
        <charset val="204"/>
      </rPr>
      <t>д</t>
    </r>
  </si>
  <si>
    <t>ГКУ ЦОДД</t>
  </si>
  <si>
    <t>ИС ИСО ИТС</t>
  </si>
  <si>
    <t>max на 365 дней</t>
  </si>
  <si>
    <t>Итого на срок осн этапа, дней, чел/дней:</t>
  </si>
  <si>
    <t>Планируемый период эксплуатации в i-й год финансирования, дней</t>
  </si>
  <si>
    <t>Стоимость оказания услуг по поддержке пользователей,
(руб.) с НДС</t>
  </si>
  <si>
    <t>Стоимость оказания услуг по прикладному администрированию ИСиР,
(руб.) с НДС</t>
  </si>
  <si>
    <t>Стоимость оказания услуг по системному администрированию ИСиР,
(руб.) с НДС</t>
  </si>
  <si>
    <t>Стоимость оказания услуг по адаптационному сопровождению ИСиР,
(руб.) с НДС</t>
  </si>
  <si>
    <t>Стоимость оказания услуг по сопровождению аппаратного обеспечения ИСиР, (руб.) с НДС</t>
  </si>
  <si>
    <t>Стоимость оказания услуг по технической поддержке аппаратного обеспечения ИСиР, (руб.) с НДС</t>
  </si>
  <si>
    <t>Стоимость оказания услуг по поддержке аппаратного обеспечения ИСиР производителем, (руб.) с НДС</t>
  </si>
  <si>
    <t>Стоимость оказания услуг по поддержке программного обеспечения ИСиР производителем, (руб.) с НДС</t>
  </si>
  <si>
    <t>Стоимость оказания услуг по эксплуатации информационной системы по годам,
(руб.) с НДС</t>
  </si>
  <si>
    <t>Итоговая стоимость услуг</t>
  </si>
  <si>
    <t>Расчет стоимости единицы трудоемкости</t>
  </si>
  <si>
    <t>Обозначение показателя в Порядке 18р</t>
  </si>
  <si>
    <t>Наименование показателя в Порядке 18р</t>
  </si>
  <si>
    <t>1.</t>
  </si>
  <si>
    <r>
      <rPr>
        <sz val="12"/>
        <color rgb="FF000000"/>
        <rFont val="Times New Roman"/>
        <family val="1"/>
        <charset val="204"/>
      </rPr>
      <t>R</t>
    </r>
    <r>
      <rPr>
        <vertAlign val="subscript"/>
        <sz val="12"/>
        <color rgb="FF000000"/>
        <rFont val="Times New Roman"/>
        <family val="1"/>
        <charset val="204"/>
      </rPr>
      <t>п</t>
    </r>
  </si>
  <si>
    <t>Стоимость единицы трудоемкости поддержки пользователей, администрирования и сопровождения</t>
  </si>
  <si>
    <t>2.</t>
  </si>
  <si>
    <r>
      <rPr>
        <sz val="12"/>
        <color rgb="FF000000"/>
        <rFont val="Times New Roman"/>
        <family val="1"/>
        <charset val="204"/>
      </rPr>
      <t>R</t>
    </r>
    <r>
      <rPr>
        <vertAlign val="subscript"/>
        <sz val="12"/>
        <color rgb="FF000000"/>
        <rFont val="Times New Roman"/>
        <family val="1"/>
        <charset val="204"/>
      </rPr>
      <t>т</t>
    </r>
  </si>
  <si>
    <t>Стоимость единицы трудоемкости технической поддержки аппаратного обеспечения</t>
  </si>
  <si>
    <t xml:space="preserve">Расчет Адаптационного сопровождения </t>
  </si>
  <si>
    <t>Стоимость единицы трудоемкости</t>
  </si>
  <si>
    <t>Год начала оказания услуг</t>
  </si>
  <si>
    <t>ГК (№, дата заключения, предмет)</t>
  </si>
  <si>
    <t>Год начала ГК</t>
  </si>
  <si>
    <t>Сумма ГК (без НДС)</t>
  </si>
  <si>
    <t>Применяемый %</t>
  </si>
  <si>
    <t>% от суммы ГК</t>
  </si>
  <si>
    <t>1154/21 от 14.12.2021
Выполнение работ по модернизации информационной системы индикации состояния объектов
интеллектуальной транспортной системы г. Москвы в части редизайна и создания приложения для
смартфонов (ИС ИСО ИТС)</t>
  </si>
  <si>
    <t>ТК1816/23 от 13.12.2023
Выполнение работ по модернизации информационной системы индикации состояния объектов
интеллектуальной транспортной системы г. Москвы (ИС ИСО ИТС) в течение 335 календарных
дней</t>
  </si>
  <si>
    <t>Предельная трудоемкость для Адаптационного сопровождения, чел./дней (на 365 дней)</t>
  </si>
  <si>
    <t xml:space="preserve">Коэффициенты Порядка расчета планируемой стоимости работ (услуг) по эксплуатации информационных систем и ресурсов города Москвы 
(далее - Порядок) </t>
  </si>
  <si>
    <t>Коэффициенты Порядка</t>
  </si>
  <si>
    <t>Обозначение в Методике</t>
  </si>
  <si>
    <t>Значение</t>
  </si>
  <si>
    <t>Коэффициенты связи:</t>
  </si>
  <si>
    <r>
      <rPr>
        <sz val="11"/>
        <color rgb="FF000000"/>
        <rFont val="Times New Roman"/>
        <family val="1"/>
        <charset val="204"/>
      </rPr>
      <t>a</t>
    </r>
    <r>
      <rPr>
        <vertAlign val="subscript"/>
        <sz val="11"/>
        <color rgb="FF000000"/>
        <rFont val="Times New Roman"/>
        <family val="1"/>
        <charset val="204"/>
      </rPr>
      <t>пп</t>
    </r>
  </si>
  <si>
    <r>
      <rPr>
        <sz val="11"/>
        <color rgb="FF000000"/>
        <rFont val="Times New Roman"/>
        <family val="1"/>
        <charset val="204"/>
      </rPr>
      <t>a</t>
    </r>
    <r>
      <rPr>
        <vertAlign val="subscript"/>
        <sz val="11"/>
        <color rgb="FF000000"/>
        <rFont val="Times New Roman"/>
        <family val="1"/>
        <charset val="204"/>
      </rPr>
      <t>па</t>
    </r>
  </si>
  <si>
    <r>
      <rPr>
        <sz val="11"/>
        <color rgb="FF000000"/>
        <rFont val="Times New Roman"/>
        <family val="1"/>
        <charset val="204"/>
      </rPr>
      <t>a</t>
    </r>
    <r>
      <rPr>
        <vertAlign val="subscript"/>
        <sz val="11"/>
        <color rgb="FF000000"/>
        <rFont val="Times New Roman"/>
        <family val="1"/>
        <charset val="204"/>
      </rPr>
      <t>са</t>
    </r>
  </si>
  <si>
    <r>
      <rPr>
        <sz val="11"/>
        <color rgb="FF000000"/>
        <rFont val="Times New Roman"/>
        <family val="1"/>
        <charset val="204"/>
      </rPr>
      <t>b</t>
    </r>
    <r>
      <rPr>
        <vertAlign val="subscript"/>
        <sz val="11"/>
        <color rgb="FF000000"/>
        <rFont val="Times New Roman"/>
        <family val="1"/>
        <charset val="204"/>
      </rPr>
      <t>са</t>
    </r>
  </si>
  <si>
    <r>
      <rPr>
        <sz val="11"/>
        <color rgb="FF000000"/>
        <rFont val="Times New Roman"/>
        <family val="1"/>
        <charset val="204"/>
      </rPr>
      <t>a</t>
    </r>
    <r>
      <rPr>
        <vertAlign val="subscript"/>
        <sz val="11"/>
        <color rgb="FF000000"/>
        <rFont val="Times New Roman"/>
        <family val="1"/>
        <charset val="204"/>
      </rPr>
      <t>со</t>
    </r>
  </si>
  <si>
    <r>
      <rPr>
        <sz val="11"/>
        <color rgb="FF000000"/>
        <rFont val="Times New Roman"/>
        <family val="1"/>
        <charset val="204"/>
      </rPr>
      <t>b</t>
    </r>
    <r>
      <rPr>
        <vertAlign val="subscript"/>
        <sz val="11"/>
        <color rgb="FF000000"/>
        <rFont val="Times New Roman"/>
        <family val="1"/>
        <charset val="204"/>
      </rPr>
      <t>со</t>
    </r>
  </si>
  <si>
    <r>
      <rPr>
        <sz val="11"/>
        <color rgb="FF000000"/>
        <rFont val="Times New Roman"/>
        <family val="1"/>
        <charset val="204"/>
      </rPr>
      <t>a</t>
    </r>
    <r>
      <rPr>
        <vertAlign val="subscript"/>
        <sz val="11"/>
        <color rgb="FF000000"/>
        <rFont val="Times New Roman"/>
        <family val="1"/>
        <charset val="204"/>
      </rPr>
      <t>тп</t>
    </r>
  </si>
  <si>
    <r>
      <rPr>
        <sz val="11"/>
        <color rgb="FF000000"/>
        <rFont val="Times New Roman"/>
        <family val="1"/>
        <charset val="204"/>
      </rPr>
      <t>b</t>
    </r>
    <r>
      <rPr>
        <vertAlign val="subscript"/>
        <sz val="11"/>
        <color rgb="FF000000"/>
        <rFont val="Times New Roman"/>
        <family val="1"/>
        <charset val="204"/>
      </rPr>
      <t>тп</t>
    </r>
  </si>
  <si>
    <t xml:space="preserve">Коэффициенты масштаба: </t>
  </si>
  <si>
    <r>
      <rPr>
        <sz val="11"/>
        <color rgb="FF000000"/>
        <rFont val="Times New Roman"/>
        <family val="1"/>
        <charset val="204"/>
      </rPr>
      <t>b</t>
    </r>
    <r>
      <rPr>
        <vertAlign val="subscript"/>
        <sz val="11"/>
        <color rgb="FF000000"/>
        <rFont val="Times New Roman"/>
        <family val="1"/>
        <charset val="204"/>
      </rPr>
      <t>пп</t>
    </r>
  </si>
  <si>
    <r>
      <rPr>
        <sz val="11"/>
        <color rgb="FF000000"/>
        <rFont val="Times New Roman"/>
        <family val="1"/>
        <charset val="204"/>
      </rPr>
      <t>c</t>
    </r>
    <r>
      <rPr>
        <vertAlign val="subscript"/>
        <sz val="11"/>
        <color rgb="FF000000"/>
        <rFont val="Times New Roman"/>
        <family val="1"/>
        <charset val="204"/>
      </rPr>
      <t>пп</t>
    </r>
  </si>
  <si>
    <r>
      <rPr>
        <sz val="11"/>
        <color rgb="FF000000"/>
        <rFont val="Times New Roman"/>
        <family val="1"/>
        <charset val="204"/>
      </rPr>
      <t>b</t>
    </r>
    <r>
      <rPr>
        <vertAlign val="subscript"/>
        <sz val="11"/>
        <color rgb="FF000000"/>
        <rFont val="Times New Roman"/>
        <family val="1"/>
        <charset val="204"/>
      </rPr>
      <t>па</t>
    </r>
  </si>
  <si>
    <r>
      <rPr>
        <sz val="11"/>
        <color rgb="FF000000"/>
        <rFont val="Times New Roman"/>
        <family val="1"/>
        <charset val="204"/>
      </rPr>
      <t>c</t>
    </r>
    <r>
      <rPr>
        <vertAlign val="subscript"/>
        <sz val="11"/>
        <color rgb="FF000000"/>
        <rFont val="Times New Roman"/>
        <family val="1"/>
        <charset val="204"/>
      </rPr>
      <t>па</t>
    </r>
  </si>
  <si>
    <r>
      <rPr>
        <sz val="11"/>
        <color rgb="FF000000"/>
        <rFont val="Times New Roman"/>
        <family val="1"/>
        <charset val="204"/>
      </rPr>
      <t>c</t>
    </r>
    <r>
      <rPr>
        <vertAlign val="subscript"/>
        <sz val="11"/>
        <color rgb="FF000000"/>
        <rFont val="Times New Roman"/>
        <family val="1"/>
        <charset val="204"/>
      </rPr>
      <t>са</t>
    </r>
  </si>
  <si>
    <r>
      <rPr>
        <sz val="11"/>
        <color rgb="FF000000"/>
        <rFont val="Times New Roman"/>
        <family val="1"/>
        <charset val="204"/>
      </rPr>
      <t>c</t>
    </r>
    <r>
      <rPr>
        <vertAlign val="subscript"/>
        <sz val="11"/>
        <color rgb="FF000000"/>
        <rFont val="Times New Roman"/>
        <family val="1"/>
        <charset val="204"/>
      </rPr>
      <t>со</t>
    </r>
  </si>
  <si>
    <r>
      <rPr>
        <sz val="11"/>
        <color rgb="FF000000"/>
        <rFont val="Times New Roman"/>
        <family val="1"/>
        <charset val="204"/>
      </rPr>
      <t>c</t>
    </r>
    <r>
      <rPr>
        <vertAlign val="subscript"/>
        <sz val="11"/>
        <color rgb="FF000000"/>
        <rFont val="Times New Roman"/>
        <family val="1"/>
        <charset val="204"/>
      </rPr>
      <t>тп</t>
    </r>
  </si>
  <si>
    <t>3.</t>
  </si>
  <si>
    <t>Коэффициенты связи для расчета коэффициентов функциональной сложности ИС:</t>
  </si>
  <si>
    <r>
      <rPr>
        <sz val="11"/>
        <color rgb="FF000000"/>
        <rFont val="Times New Roman"/>
        <family val="1"/>
        <charset val="204"/>
      </rPr>
      <t>d</t>
    </r>
    <r>
      <rPr>
        <vertAlign val="subscript"/>
        <sz val="11"/>
        <color rgb="FF000000"/>
        <rFont val="Times New Roman"/>
        <family val="1"/>
        <charset val="204"/>
      </rPr>
      <t>пп</t>
    </r>
  </si>
  <si>
    <r>
      <rPr>
        <sz val="11"/>
        <color rgb="FF000000"/>
        <rFont val="Times New Roman"/>
        <family val="1"/>
        <charset val="204"/>
      </rPr>
      <t>g</t>
    </r>
    <r>
      <rPr>
        <vertAlign val="subscript"/>
        <sz val="11"/>
        <color rgb="FF000000"/>
        <rFont val="Times New Roman"/>
        <family val="1"/>
        <charset val="204"/>
      </rPr>
      <t>пп</t>
    </r>
  </si>
  <si>
    <r>
      <rPr>
        <sz val="11"/>
        <color rgb="FF000000"/>
        <rFont val="Times New Roman"/>
        <family val="1"/>
        <charset val="204"/>
      </rPr>
      <t>d</t>
    </r>
    <r>
      <rPr>
        <vertAlign val="subscript"/>
        <sz val="11"/>
        <color rgb="FF000000"/>
        <rFont val="Times New Roman"/>
        <family val="1"/>
        <charset val="204"/>
      </rPr>
      <t>па</t>
    </r>
  </si>
  <si>
    <r>
      <rPr>
        <sz val="11"/>
        <color rgb="FF000000"/>
        <rFont val="Times New Roman"/>
        <family val="1"/>
        <charset val="204"/>
      </rPr>
      <t>g</t>
    </r>
    <r>
      <rPr>
        <vertAlign val="subscript"/>
        <sz val="11"/>
        <color rgb="FF000000"/>
        <rFont val="Times New Roman"/>
        <family val="1"/>
        <charset val="204"/>
      </rPr>
      <t>па</t>
    </r>
  </si>
  <si>
    <t>4.</t>
  </si>
  <si>
    <t>Коэффициенты категорий пользователей:</t>
  </si>
  <si>
    <r>
      <rPr>
        <sz val="11"/>
        <color rgb="FF000000"/>
        <rFont val="Times New Roman"/>
        <family val="1"/>
        <charset val="204"/>
      </rPr>
      <t>Kp</t>
    </r>
    <r>
      <rPr>
        <vertAlign val="subscript"/>
        <sz val="11"/>
        <color rgb="FF000000"/>
        <rFont val="Times New Roman"/>
        <family val="1"/>
        <charset val="204"/>
      </rPr>
      <t>ппг</t>
    </r>
  </si>
  <si>
    <r>
      <rPr>
        <sz val="11"/>
        <color rgb="FF000000"/>
        <rFont val="Times New Roman"/>
        <family val="1"/>
        <charset val="204"/>
      </rPr>
      <t>Kp</t>
    </r>
    <r>
      <rPr>
        <vertAlign val="subscript"/>
        <sz val="11"/>
        <color rgb="FF000000"/>
        <rFont val="Times New Roman"/>
        <family val="1"/>
        <charset val="204"/>
      </rPr>
      <t>ппф</t>
    </r>
  </si>
  <si>
    <r>
      <rPr>
        <sz val="11"/>
        <color rgb="FF000000"/>
        <rFont val="Times New Roman"/>
        <family val="1"/>
        <charset val="204"/>
      </rPr>
      <t>Kp</t>
    </r>
    <r>
      <rPr>
        <vertAlign val="subscript"/>
        <sz val="11"/>
        <color rgb="FF000000"/>
        <rFont val="Times New Roman"/>
        <family val="1"/>
        <charset val="204"/>
      </rPr>
      <t>паг</t>
    </r>
  </si>
  <si>
    <r>
      <rPr>
        <sz val="11"/>
        <color rgb="FF000000"/>
        <rFont val="Times New Roman"/>
        <family val="1"/>
        <charset val="204"/>
      </rPr>
      <t>Kp</t>
    </r>
    <r>
      <rPr>
        <vertAlign val="subscript"/>
        <sz val="11"/>
        <color rgb="FF000000"/>
        <rFont val="Times New Roman"/>
        <family val="1"/>
        <charset val="204"/>
      </rPr>
      <t>паф</t>
    </r>
  </si>
  <si>
    <t xml:space="preserve">5. </t>
  </si>
  <si>
    <t>Коэффициент порогового значения процессорных ядер ИСиР</t>
  </si>
  <si>
    <r>
      <t>K</t>
    </r>
    <r>
      <rPr>
        <vertAlign val="subscript"/>
        <sz val="11"/>
        <color rgb="FF000000"/>
        <rFont val="Times New Roman"/>
        <family val="1"/>
        <charset val="204"/>
      </rPr>
      <t>рм</t>
    </r>
  </si>
  <si>
    <t>5. Коэффициенты уровня сервиса</t>
  </si>
  <si>
    <t>Уровень 1</t>
  </si>
  <si>
    <t>Уровень 2</t>
  </si>
  <si>
    <t>Уровень 3</t>
  </si>
  <si>
    <t>Коэффициент уровня сервиса по показателю «Режим оказания услуг» (сервисное обслуживание)</t>
  </si>
  <si>
    <r>
      <rPr>
        <sz val="11"/>
        <color rgb="FF000000"/>
        <rFont val="Times New Roman"/>
        <family val="1"/>
        <charset val="204"/>
      </rPr>
      <t>Ksla</t>
    </r>
    <r>
      <rPr>
        <vertAlign val="subscript"/>
        <sz val="11"/>
        <color rgb="FF000000"/>
        <rFont val="Times New Roman"/>
        <family val="1"/>
        <charset val="204"/>
      </rPr>
      <t>с</t>
    </r>
  </si>
  <si>
    <t>Коэффициент уровня сервиса по показателю «Режим оказания услуг» (инцидентная работа)</t>
  </si>
  <si>
    <r>
      <rPr>
        <sz val="11"/>
        <color rgb="FF000000"/>
        <rFont val="Times New Roman"/>
        <family val="1"/>
        <charset val="204"/>
      </rPr>
      <t>Ksla</t>
    </r>
    <r>
      <rPr>
        <vertAlign val="subscript"/>
        <sz val="11"/>
        <color rgb="FF000000"/>
        <rFont val="Times New Roman"/>
        <family val="1"/>
        <charset val="204"/>
      </rPr>
      <t>и</t>
    </r>
  </si>
  <si>
    <t>Коэффициент уровня сервиса по показателю «Режим оказания услуг» (сопровождение и техническая поддержка аппаратного обеспечения)</t>
  </si>
  <si>
    <r>
      <rPr>
        <sz val="11"/>
        <color rgb="FF000000"/>
        <rFont val="Times New Roman"/>
        <family val="1"/>
        <charset val="204"/>
      </rPr>
      <t>Ksla</t>
    </r>
    <r>
      <rPr>
        <vertAlign val="subscript"/>
        <sz val="11"/>
        <color rgb="FF000000"/>
        <rFont val="Times New Roman"/>
        <family val="1"/>
        <charset val="204"/>
      </rPr>
      <t>п</t>
    </r>
  </si>
  <si>
    <t>Коэффициент уровня сервиса по показателю «Временные параметры услуг»</t>
  </si>
  <si>
    <r>
      <rPr>
        <sz val="11"/>
        <color rgb="FF000000"/>
        <rFont val="Times New Roman"/>
        <family val="1"/>
        <charset val="204"/>
      </rPr>
      <t>Ksla</t>
    </r>
    <r>
      <rPr>
        <vertAlign val="subscript"/>
        <sz val="11"/>
        <color rgb="FF000000"/>
        <rFont val="Times New Roman"/>
        <family val="1"/>
        <charset val="204"/>
      </rPr>
      <t>в</t>
    </r>
  </si>
  <si>
    <t>Коэффициент уровня сервиса по показателю «Уровень доступности информационной системы»</t>
  </si>
  <si>
    <r>
      <rPr>
        <sz val="11"/>
        <color rgb="FF000000"/>
        <rFont val="Times New Roman"/>
        <family val="1"/>
        <charset val="204"/>
      </rPr>
      <t>Ksla</t>
    </r>
    <r>
      <rPr>
        <vertAlign val="subscript"/>
        <sz val="11"/>
        <color rgb="FF000000"/>
        <rFont val="Times New Roman"/>
        <family val="1"/>
        <charset val="204"/>
      </rPr>
      <t>д</t>
    </r>
  </si>
  <si>
    <t>Отметка 
(если услуга/линия используется - поставьте 1, иначе - 0)</t>
  </si>
  <si>
    <t>Коэффициент</t>
  </si>
  <si>
    <t>Услуга</t>
  </si>
  <si>
    <t>Процент от общей стоимости услуг по комплексу «Поддержка пользователей»</t>
  </si>
  <si>
    <t>Поддержка пользователей, всего</t>
  </si>
  <si>
    <t>в т.ч.   1-я линия поддержки</t>
  </si>
  <si>
    <t xml:space="preserve">            2-я линия поддержки</t>
  </si>
  <si>
    <t>Управление знаниями</t>
  </si>
  <si>
    <t>Процент от общей стоимости услуг по комплексу «Прикладное администрирование»</t>
  </si>
  <si>
    <t>Управление инцидентами, всего</t>
  </si>
  <si>
    <t>в т.ч.    2-я линия поддержки</t>
  </si>
  <si>
    <t xml:space="preserve">             3-я линия поддержки</t>
  </si>
  <si>
    <t>Управление событиями</t>
  </si>
  <si>
    <t>Управление изменениями</t>
  </si>
  <si>
    <t>Функциональное тестирование</t>
  </si>
  <si>
    <t>Управление доступом</t>
  </si>
  <si>
    <t>Управление плановыми работами</t>
  </si>
  <si>
    <t>Процент от общей стоимости услуг по комплексу «Системное администрирование»</t>
  </si>
  <si>
    <t>Нагрузочное тестирование</t>
  </si>
  <si>
    <t>Управление резервным копированием</t>
  </si>
  <si>
    <t>Подготовительный этап</t>
  </si>
  <si>
    <t>НДС 22%</t>
  </si>
  <si>
    <t>НМЦК (расчётная), руб., в том числе НДС 22%</t>
  </si>
  <si>
    <t>НМЦК (расчётная) за единицу, руб., в том числе НДС 22%</t>
  </si>
  <si>
    <t>Итог НМЦК (расчётная), руб., в том числе НДС 22%</t>
  </si>
  <si>
    <t>Начальная (максимальная) цена контракта (расчётная), руб., в том числе НДС 22%</t>
  </si>
  <si>
    <t>Стоимость единицы трудоемкости в ценах 2025 года (руб. за 1 чел.-день)</t>
  </si>
  <si>
    <t>Подсистема идентификации и предоставления доступа</t>
  </si>
  <si>
    <t>Подсистема контекстной авторизации</t>
  </si>
  <si>
    <t>Подсистема хранения и управления данными</t>
  </si>
  <si>
    <t>Подсистема безопасности</t>
  </si>
  <si>
    <t>Подсистема интеграции</t>
  </si>
  <si>
    <t>Подсистема отображения данных</t>
  </si>
  <si>
    <t>Подсистема протоколирования</t>
  </si>
  <si>
    <t>Подсистема самообслуживания</t>
  </si>
  <si>
    <t>Отображение навигации пользователя в личный кабинет для установки TOTP при начале (возобновлении) пользования учетной записью ЕСИП;</t>
  </si>
  <si>
    <t>Вход в личный кабинет в рамках сессии единого входа ЕСИП;</t>
  </si>
  <si>
    <t>Получение статуса подключения второго фактора аутентификации пользователем;</t>
  </si>
  <si>
    <t>Отображение переключения настроек второго фактора пользователем;</t>
  </si>
  <si>
    <t>Самостоятельное подключение пользователем второго фактора в виде TOTP;</t>
  </si>
  <si>
    <t>Отображение QR-кода при подключении TOTP для считывания совместимым приложением для генерации TOTP.</t>
  </si>
  <si>
    <t>Создание механизма "Личный кабинет пользователя" в виде отдельного SPA-приложения;</t>
  </si>
  <si>
    <t>3 среды (среда разработки, среда тестирования, среда промышленной эксплуатации)</t>
  </si>
  <si>
    <t>Кадровая система ГКУ ЦОДД</t>
  </si>
  <si>
    <t>СМКСС</t>
  </si>
  <si>
    <t>СУДИР</t>
  </si>
  <si>
    <t>АИС Москва.Река</t>
  </si>
  <si>
    <t>Входящий/Исходящий</t>
  </si>
  <si>
    <t>Исходящий</t>
  </si>
  <si>
    <t>Подсистема идентификации и предоставления доступа
Подсистема безопасности
Подсистема хранения и управления данными
Подсистема интеграции
Подсистема отображения данных
Подсистема протоколирования
Подсистема централизованного управления учетными записями
Подсистема контекстной авторизации
Подсистема предоставления доступа к рабочим местам
Подсистема самообслуживания</t>
  </si>
  <si>
    <t>Подсистема идентификации и предоставления доступа
Подсистема безопасности
Подсистема хранения и управления данными
Подсистема интеграции
Подсистема отображения данных
Подсистема протоколирования
Подсистема централизованного управления учетными записями
Подсистема контекстной авторизации
Подсистема предоставления доступа к рабочим местам</t>
  </si>
  <si>
    <t>ИС ЕСИП</t>
  </si>
  <si>
    <t>Отображение привязки TOTP к учетной записи в интерфейсе администратора информационной безопасности —  реализация элементов ГПИ для отображения данных без модификации</t>
  </si>
  <si>
    <t>Отображение отключения второго фактора TOTP в интерфейсе администратора информационной безопасности — реализация управляющего элемента ГПИ для отключения второго фактора TOTP</t>
  </si>
  <si>
    <t>Принятие решения о доступе пользователя к ресурсу на основе правил (политик) — приращение функции путем создания политики доступа для поддержки новой интегрируемой системы Концессия</t>
  </si>
  <si>
    <t>Принятие решения о доступе пользователя к ресурсу на основе правил (политик) — приращение функции путем создания политики доступа для поддержки новой интегрируемой системы Мои совещания</t>
  </si>
  <si>
    <t>Принятие решения о доступе пользователя к ресурсу на основе правил (политик) — приращение функции путем создания политики доступа для поддержки новой интегрируемой системы СДО</t>
  </si>
  <si>
    <t>Принятие решения о доступе пользователя к ресурсу на основе правил (политик) — приращение функции путем создания политики доступа для поддержки новой интегрируемой системы АИС Москва.Река</t>
  </si>
  <si>
    <t>Принятие решения о доступе пользователя к ресурсу на основе правил (политик) — приращение функции путем создания политики доступа для поддержки новой интегрируемой системы ИАС МПС</t>
  </si>
  <si>
    <t>Принятие решения о доступе пользователя к ресурсу на основе правил (политик) — приращение функции путем создания политики доступа, разрешающей вход пользователя в личный кабинет с учетной записью ЕСИП без проверки второго фактора аутентификации до момента подключения им второго фактора</t>
  </si>
  <si>
    <t>Принятие решения о доступе пользователя к ресурсу на основе правил (политик) — приращение функции путем создания политики доступа, разрешающей или запрещающей вход пользователя в личный кабинет независимо от наличия подключенного TOTP при прохождении им идентификации посредством СУДИР («войти через СУДИР»)</t>
  </si>
  <si>
    <t>Принятие решения о доступе пользователя к ресурсу на основе правил (политик) — приращение функции путем создания политики доступа, запрещающей вход в защищаемые приложения с учетной записью ЕСИП без прохождения проверки TOTP</t>
  </si>
  <si>
    <t>Принятие решения о доступе пользователя к ресурсу на основе правил (политик) — приращение функции путем создания политики доступа, разрешающей вход в защищаемые приложения с учетной записью ЕСИП без прохождения проверки TOTP</t>
  </si>
  <si>
    <t>Принятие решения о доступе пользователя к ресурсу на основе правил (политик) — приращение функции путем создания политики доступа, разрешающей или запрещающей вход пользователя в защищаемые приложения независимо от наличия подключенного TOTP - при прохождении им идентификации посредством СУДИР («войти через СУДИР»)</t>
  </si>
  <si>
    <t>Предоставление механизмов делегированной аутентификации пользователей для ИС Концессия через ЕСИП по протоколу OAuth 2.0 / OIDC — адаптация существующих механизмов аутентификации для интеграции новой системы</t>
  </si>
  <si>
    <t>Предоставление механизмов делегированной аутентификации пользователей для ИС Мои совещания через ЕСИП по протоколу OAuth 2.0 / OIDC — адаптация существующих механизмов аутентификации для интеграции новой системы</t>
  </si>
  <si>
    <t>Предоставление механизмов делегированной аутентификации пользователей для ИС СДО через ЕСИП по протоколу OAuth 2.0 / OIDC — адаптация существующих механизмов аутентификации для интеграции новой системы</t>
  </si>
  <si>
    <t>Предоставление механизмов делегированной аутентификации пользователей для АИС Москва.Река через ЕСИП по протоколу OAuth 2.0 / OIDC — адаптация существующих механизмов аутентификации для интеграции новой системы</t>
  </si>
  <si>
    <t>Предоставление механизмов делегированной аутентификации пользователей для ИАС ИАС МПС через ЕСИП по протоколу OAuth 2.0 / OIDC — адаптация существующих механизмов аутентификации для интеграции новой системы</t>
  </si>
  <si>
    <t>Предоставление функции управления профилями и учетными записями пользователей для внешней системы Концессия на базе единой учетной записи ЕСИП</t>
  </si>
  <si>
    <t>Предоставление функции управления профилями и учетными записями пользователей для внешней системы Мои совещания на базе единой учетной записи ЕСИП — адаптация существующих механизмов для интеграции новой системы</t>
  </si>
  <si>
    <t>Предоставление функции управления профилями и учетными записями пользователей для внешней системы СДО на базе единой учетной записи ЕСИП — адаптация существующих механизмов для интеграции новой системы</t>
  </si>
  <si>
    <t>Предоставление функции управления профилями и учетными записями пользователей для внешней АИС Москва.Река на базе единой учетной записи ЕСИП — адаптация существующих механизмов для интеграции новой системы</t>
  </si>
  <si>
    <t>Предоставление функции управления профилями и учетными записями пользователей для внешней ИАС МПС на базе единой учетной записи ЕСИП — адаптация существующих механизмов для интеграции новой системы</t>
  </si>
  <si>
    <t>Управление доступами пользователей к системе Концессия на базе единой учетной записи ЕСИП — адаптация существующих механизмов для интеграции новой системы</t>
  </si>
  <si>
    <t>Управление доступами пользователей к системе Мои совещания на базе единой учетной записи ЕСИП — адаптация существующих механизмов для интеграции новой системы</t>
  </si>
  <si>
    <t>Управление доступами пользователей к системе СДО на базе единой учетной записи ЕСИП — адаптация существующих механизмов для интеграции новой системы</t>
  </si>
  <si>
    <t>Управление доступами пользователей к АИС Москва.Река на базе единой учетной записи ЕСИП — адаптация существующих механизмов для интеграции новой системы</t>
  </si>
  <si>
    <t>Управление доступами пользователей к ИАС МПС на базе единой учетной записи ЕСИП — адаптация существующих механизмов для интеграции новой системы</t>
  </si>
  <si>
    <t>Управление сессиями пользователей внешней системы Концессия через выпуск, проверку и отзыв токенов доступа, включая использование токенов обновления для продления сессий и принудительное завершение сессий администратором через ЕСИП — адаптация существующих механизмов для интеграции новой системы</t>
  </si>
  <si>
    <t>Управление сессиями пользователей внешней системы Мои совещания через выпуск, проверку и отзыв токенов доступа, включая использование токенов обновления для продления сессий и принудительное завершение сессий администратором через ЕСИП — адаптация существующих механизмов для интеграции новой системы</t>
  </si>
  <si>
    <t>Управление сессиями пользователей внешней системы СДО через выпуск, проверку и отзыв токенов доступа, включая использование токенов обновления для продления сессий и принудительное завершение сессий администратором через ЕСИП — адаптация существующих механизмов для интеграции новой системы</t>
  </si>
  <si>
    <t>Управление сессиями пользователей внешней АИС Москва.Река через выпуск, проверку и отзыв токенов доступа, включая использование токенов обновления для продления сессий и принудительное завершение сессий администратором через ЕСИП — адаптация существующих механизмов для интеграции новой системы</t>
  </si>
  <si>
    <t>Управление сессиями пользователей внешней ИАС МПС через выпуск, проверку и отзыв токенов доступа, включая использование токенов обновления для продления сессий и принудительное завершение сессий администратором через ЕСИП</t>
  </si>
  <si>
    <t>Передача во внешнюю систему Концессия атрибутов пользователей из ЕСИП и сведений о правах доступа пользователей ЕСИП в этой системе — адаптация существующих механизмов для интеграции новой системы</t>
  </si>
  <si>
    <t>Передача во внешнюю систему Мои совещания атрибутов пользователей из ЕСИП и сведений о правах доступа пользователей ЕСИП в этой системе — адаптация существующих механизмов для интеграции новой системы</t>
  </si>
  <si>
    <t>Передача во внешнюю систему СДО атрибутов пользователей из ЕСИП и сведений о правах доступа пользователей ЕСИП в этой системе — адаптация существующих механизмов для интеграции новой системы</t>
  </si>
  <si>
    <t>Передача во внешнюю АИС Москва.Река атрибутов пользователей из ЕСИП и сведений о правах доступа пользователей ЕСИП в этой системе — адаптация существующих механизмов для интеграции новой системы</t>
  </si>
  <si>
    <t>Передача во внешнюю ИАС МПС атрибутов пользователей из ЕСИП и сведений о правах доступа пользователей ЕСИП в этой системе — адаптация существующих механизмов для интеграции новой системы.</t>
  </si>
  <si>
    <t>Выпуск аутентификаторов пользователей в виде TOTP — реализация управляющей логики процесса</t>
  </si>
  <si>
    <r>
      <rPr>
        <sz val="12"/>
        <rFont val="Times New Roman"/>
        <family val="1"/>
        <charset val="204"/>
      </rPr>
      <t xml:space="preserve">Привязка TOTP к учетной записи ЕСИП </t>
    </r>
    <r>
      <rPr>
        <sz val="12"/>
        <rFont val="Times New Roman"/>
        <family val="1"/>
        <charset val="204"/>
      </rPr>
      <t>с помощью QR-кодов, для использования с совместимыми приложениями для генерации TOTP —</t>
    </r>
    <r>
      <rPr>
        <sz val="12"/>
        <color rgb="FFC0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формирование QR-кода и отображение пользователю на экране</t>
    </r>
  </si>
  <si>
    <t>Проверка наличия привязки TOTP пользователя в сценарии аутентификации — реализация управляющей логики процесса</t>
  </si>
  <si>
    <t>Подтверждение аутентификации с помощью TOTP в качестве второго фактора при входе пользователя в защищаемые приложения с учетной записью ЕСИП — реализация управляющей логики процесса</t>
  </si>
  <si>
    <t>Ограничение количества неверных попыток ввода TOTP — подсчёт неверных попыток с сохранением счётчика в БД</t>
  </si>
  <si>
    <t>Временная блокировка учетной записи при достижении лимита попыток ввода TOTP с сохранением блокировки в БД ЕСИП</t>
  </si>
  <si>
    <t>Удаление (сброс, замена) ранее выпущенных аутентификаторов TOTP с сохранением в БД ЕСИП</t>
  </si>
  <si>
    <t>Хранение в БД ЕСИП настроек второго фактора, выставленных пользователем</t>
  </si>
  <si>
    <t>Хранение в БД ЕСИП выпущенных аутентификаторов TOTP пользователя</t>
  </si>
  <si>
    <t>Перенос существующих пользователей системы Концессия из файла с созданием или обновлением пользователей и назначением прав доступа — чтение, преобразование и загрузка данных в ЕСИП</t>
  </si>
  <si>
    <t>Перенос существующих пользователей системы Мои совещания из файла с созданием или обновлением пользователей и назначением прав доступа — чтение, преобразование и загрузка данных в ЕСИП</t>
  </si>
  <si>
    <t>Перенос существующих пользователей системы СДО из файла с созданием или обновлением пользователей и назначением прав доступа — чтение, преобразование и загрузка данных в ЕСИП</t>
  </si>
  <si>
    <t>Перенос существующих пользователей АИС Москва.Река из файла с созданием или обновлением пользователей и назначением прав доступа — чтение, преобразование и загрузка данных в ЕСИП</t>
  </si>
  <si>
    <t>Перенос существующих пользователей ИАС МПС из файла с созданием или обновлением пользователей и назначением прав доступа — чтение, преобразование и загрузка данных в ЕСИП</t>
  </si>
  <si>
    <t>Предоставление защищенного API для выставления настройки второго фактора аутентификации со стороны пользователя — получение внешних запросов из браузера с последующей обработкой и сохранением в БД</t>
  </si>
  <si>
    <t>Предоставление защищенного API для управления привязкой TOTP со стороны пользователя — получение внешних запросов из браузера с последующей обработкой и сохранением в БД</t>
  </si>
  <si>
    <t>Предоставление защищенного API для сброса настройки второго фактора администратором — получение внешних запросов из браузера с последующей обработкой и сохранением в БД</t>
  </si>
  <si>
    <t>Регистрации событий при управлении TOTP — реализация формирования и сохранения событий в БД</t>
  </si>
  <si>
    <t>Регистрации событий при аутентификации с проверкой TOTP — реализация формирования и сохранения событий в БД</t>
  </si>
  <si>
    <t>Служба Каталогов ГКУ ЦОДД</t>
  </si>
  <si>
    <t>ЕПС</t>
  </si>
  <si>
    <t>Проинфраструктура</t>
  </si>
  <si>
    <t xml:space="preserve">Мобильное приложение Проинфраструктура </t>
  </si>
  <si>
    <t>ДТМ</t>
  </si>
  <si>
    <t>Экокарта</t>
  </si>
  <si>
    <t>СДО</t>
  </si>
  <si>
    <t>Входящий/Исходящий (планируется)</t>
  </si>
  <si>
    <t>Мои совещания</t>
  </si>
  <si>
    <t>Концессия</t>
  </si>
  <si>
    <t>ИАС МПС</t>
  </si>
  <si>
    <t>3.2.1.1.1</t>
  </si>
  <si>
    <t>3.2.1.1.2</t>
  </si>
  <si>
    <t>3.2.1.1.3</t>
  </si>
  <si>
    <t>3.2.1.1.4</t>
  </si>
  <si>
    <t>3.2.1.1.5</t>
  </si>
  <si>
    <t>3.2.1.1.6</t>
  </si>
  <si>
    <t>3.2.1.1.7</t>
  </si>
  <si>
    <t>3.2.1.1.8</t>
  </si>
  <si>
    <t>3.2.1.1.9</t>
  </si>
  <si>
    <t>3.2.1.1.10</t>
  </si>
  <si>
    <t>3.2.1.1.11</t>
  </si>
  <si>
    <t>3.2.1.1.12</t>
  </si>
  <si>
    <t>3.2.1.1.13</t>
  </si>
  <si>
    <t>3.2.1.1.14</t>
  </si>
  <si>
    <t>3.2.1.1.15</t>
  </si>
  <si>
    <t>3.2.1.1.16</t>
  </si>
  <si>
    <t>3.2.1.1.17</t>
  </si>
  <si>
    <t>3.2.1.1.18</t>
  </si>
  <si>
    <t>3.2.1.1.19</t>
  </si>
  <si>
    <t>3.2.1.1.20</t>
  </si>
  <si>
    <t>3.2.1.1.21</t>
  </si>
  <si>
    <t>3.2.1.1.22</t>
  </si>
  <si>
    <t>3.2.1.1.23</t>
  </si>
  <si>
    <t>3.2.1.1.24</t>
  </si>
  <si>
    <t>3.2.1.1.25</t>
  </si>
  <si>
    <t>3.2.1.1.26</t>
  </si>
  <si>
    <t>3.2.1.1.27</t>
  </si>
  <si>
    <t>3.2.1.1.28</t>
  </si>
  <si>
    <t>3.2.1.1.29</t>
  </si>
  <si>
    <t>3.2.1.1.30</t>
  </si>
  <si>
    <t>3.2.1.1.31</t>
  </si>
  <si>
    <t>3.2.1.1.32</t>
  </si>
  <si>
    <t>3.2.1.2.1</t>
  </si>
  <si>
    <t>3.2.1.2.2</t>
  </si>
  <si>
    <t>3.2.1.2.3</t>
  </si>
  <si>
    <t>3.2.1.2.4</t>
  </si>
  <si>
    <t>3.2.1.2.5</t>
  </si>
  <si>
    <t>3.2.1.2.6</t>
  </si>
  <si>
    <t>3.2.1.2.7</t>
  </si>
  <si>
    <t>3.2.1.2.8</t>
  </si>
  <si>
    <t>3.2.1.2.9</t>
  </si>
  <si>
    <t>3.2.1.2.10</t>
  </si>
  <si>
    <t>3.2.1.2.11</t>
  </si>
  <si>
    <t>создание политики доступа, разрешающей вход в защищаемые приложения с учетной записью ЕСИП без создания политики доступа, разрешающей или запрещающей вход пользователя в защищаемые приложения независимо от наличия подключенного TOTP - при прохождении им идентификации посредством СУДИР («войти через СУДИР»).</t>
  </si>
  <si>
    <t>3.2.1.3.1</t>
  </si>
  <si>
    <t>3.2.1.3.2</t>
  </si>
  <si>
    <t>3.2.1.3.3</t>
  </si>
  <si>
    <t>3.2.1.3.4</t>
  </si>
  <si>
    <t>3.2.1.3.5</t>
  </si>
  <si>
    <t>3.2.1.3.6</t>
  </si>
  <si>
    <t>3.2.1.3.7</t>
  </si>
  <si>
    <t>Создание и внедрение в Систему алгоритмов генерации и защиты TOTP, которые следуют требованиям стандарта RFC 6238.</t>
  </si>
  <si>
    <t>3.2.1.5.1</t>
  </si>
  <si>
    <t>3.2.1.5.2</t>
  </si>
  <si>
    <t>3.2.1.5.3</t>
  </si>
  <si>
    <t>3.2.1.4.1</t>
  </si>
  <si>
    <t>3.2.1.6.1</t>
  </si>
  <si>
    <t>3.2.1.6.2</t>
  </si>
  <si>
    <t>3.2.1.7.1</t>
  </si>
  <si>
    <t>3.2.1.7.2</t>
  </si>
  <si>
    <t>3.2.1.8.1</t>
  </si>
  <si>
    <t>3.2.1.8.2</t>
  </si>
  <si>
    <t>3.2.1.8.3</t>
  </si>
  <si>
    <t>3.2.1.8.4</t>
  </si>
  <si>
    <t>3.2.1.8.5</t>
  </si>
  <si>
    <t>3.2.1.8.6</t>
  </si>
  <si>
    <t>3.2.1.8.7</t>
  </si>
  <si>
    <t>Общегородская ИС</t>
  </si>
  <si>
    <t>э</t>
  </si>
  <si>
    <r>
      <t xml:space="preserve">Госслужащие и работники госучреждений,
</t>
    </r>
    <r>
      <rPr>
        <b/>
        <sz val="11"/>
        <color rgb="FF333333"/>
        <rFont val="Arial"/>
        <family val="2"/>
        <charset val="204"/>
      </rPr>
      <t xml:space="preserve">Nk </t>
    </r>
  </si>
  <si>
    <t>С учетом снижения по решению Заказчика</t>
  </si>
  <si>
    <t>НДС</t>
  </si>
  <si>
    <t>Стоимость поддержки пользователей</t>
  </si>
  <si>
    <t>Стоимость прикладного администрирования</t>
  </si>
  <si>
    <t>Стоимость системного администрирования</t>
  </si>
  <si>
    <t>Стоимость адаптационного сопровождения и модернизации</t>
  </si>
  <si>
    <t xml:space="preserve">Итого стоимость эксплуатации в год, (руб) </t>
  </si>
  <si>
    <t>% от общего объема</t>
  </si>
  <si>
    <t>Стоимость оказания услуг по эксплуатации информационной системы по годам, (руб.) с НДС</t>
  </si>
  <si>
    <t>дней по НМЦК</t>
  </si>
  <si>
    <t>на 365 дней</t>
  </si>
  <si>
    <t xml:space="preserve">С учетом коэффициентов инфляции и снижения по решению Заказчика </t>
  </si>
  <si>
    <t>Стоимость подготовительного этапа
(7 дней - 0,10%), руб.:</t>
  </si>
  <si>
    <t xml:space="preserve">Стоимость услуг основного этапа </t>
  </si>
  <si>
    <t>Стоимость выполнения работ по разработке информационной системы по годам, (руб.) с НДС 22% (с учетом цены за единицу)</t>
  </si>
  <si>
    <t>№ п/п</t>
  </si>
  <si>
    <t>Наименование работ</t>
  </si>
  <si>
    <t>Начальная (максимальная) цена контракта с учетом снижения по решению заказчика, руб. в том числе НДС 22%</t>
  </si>
  <si>
    <t>Расчетная начальная (максимальная) цена контракта, руб., в том числе НДС 22%</t>
  </si>
  <si>
    <t xml:space="preserve">Расчетная начальная (максимальная) цена контракта на "Выполнение работ по модернизации информационной системы единый сервис авторизации пользователей (ИС ЕСИП) и поддержание ее работоспособности в 2026-2028 годах", составляет 143 864 502 (Cто сорок три миллиона восемьсот шестьдесят четыре тысячи пятьсот два) рубля 59 копеек, в том числе НДС 22%. </t>
  </si>
  <si>
    <t>Сопровождение информационных систем и ресурсов</t>
  </si>
  <si>
    <t>Работы по модернизации информационных систем и ресурсов</t>
  </si>
  <si>
    <t>Руководствуясь принципом эффективности расходования бюджетных средств, на основании статьи 12 Федерального закона от 05 апреля 2013 г. № 44-ФЗ и п.1.13 Распоряжения Правительства Москвы от 16.05.2014 N 242-РП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услуги», начальная (максимальная) цена контракта, рассчитанная сметным методом, снижена по решению Заказчика и составляет: 
57 043 208 (Пятьдесят семь миллионов сорок три тысячи двести восемь) рублей 36 копеек, в том числе НДС 22% - 10 286 480 (Десять миллионовдвести двести восемьдесят шесть тысяч четыреста восемьдесят) рублей 20 копеек.</t>
  </si>
  <si>
    <t>С учетом снижения  по решению Заказчика в целях экономии бюджетных средств на основании полученного коммерческого предложения НМЦК принимается в размере 143 864 502 (Cто сорок три миллиона восемьсот шестьдесят четыре тысячи пятьсот два) рубля 27 копеек, в том числе НДС 22%, начальная (максимальная) цена контракта на "Выполнение работ по модернизации информационной системы единый сервис авторизации пользователей (ИС ЕСИП) и поддержание ее работоспособности в 2026-2028 годах" принята равной 143 864 502 (Cто сорок три миллиона восемьсот шестьдесят четыре тысячи пятьсот два) рубля 27 копеек, в том числе НДС 22%.</t>
  </si>
  <si>
    <t xml:space="preserve">Приложение № 2 к Протоколу начальной (максимальной) цены контракта (цены лота) </t>
  </si>
  <si>
    <t>Расчет начальной (максимальной) цены контракта (цены лота) - СВОД</t>
  </si>
  <si>
    <t>Состав работ</t>
  </si>
  <si>
    <t>Метод НМЦК</t>
  </si>
  <si>
    <t xml:space="preserve">НМЦК (с НДС 22%), руб. </t>
  </si>
  <si>
    <t xml:space="preserve"> НДС 22%, руб. </t>
  </si>
  <si>
    <t xml:space="preserve">Стоимость работ с НДС 22% в соответствии с лимитами бюджетного финансирования на 2027,2028 год, руб. </t>
  </si>
  <si>
    <t>Процент финансирования</t>
  </si>
  <si>
    <t>Сметный метод
расчет произведен в соответствии с совместным распоряжением Департамента информационных технологий города Москвы и Департамента экономической политики и развития города Москвы от 28.02.2018 № 64-16-89/18/3-р и совместным распоряжением Департамента информационных технологий города Москвы и Департамента экономической политики и развития города Москвы от 21.09.2023 № ДПР-Р-18/23/64-16-504/23</t>
  </si>
  <si>
    <t>1 этап</t>
  </si>
  <si>
    <t>2 этап</t>
  </si>
  <si>
    <t>1</t>
  </si>
  <si>
    <t>Сметный метод
расчет произведен в соответствии с совместным распоряжением Департамента информационных технологий города Москвы и Департамента экономической политики и развития города Москвы от 06.11.2019 г.№ 64-16-568/19/17-Р
«Об утверждении Порядка расчета планируемой стоимости работ (услуг) по эксплуатации информационных систем и ресурсов города Москвы»</t>
  </si>
  <si>
    <t>Организация эксплуатационных служб</t>
  </si>
  <si>
    <t xml:space="preserve">Поддержка пользователей </t>
  </si>
  <si>
    <t>Прикладное администрирование</t>
  </si>
  <si>
    <t>Системное администрирование</t>
  </si>
  <si>
    <t>НДС 22%:</t>
  </si>
  <si>
    <t>3 этап</t>
  </si>
  <si>
    <t>4 этап</t>
  </si>
  <si>
    <t>№ этапа</t>
  </si>
  <si>
    <t>Начальная (максимальная) цена контракта с учетом снижения по решению заказчика, руб.  в том числе НДС 22%</t>
  </si>
  <si>
    <t>Всего, в т.ч. по годам:</t>
  </si>
  <si>
    <t>Начальная (максимальная) цена контракта с учетом рекомендаций ГБУ "Аналитический центр", руб. в том числе НДС 22%</t>
  </si>
  <si>
    <t>С учетом положительного экспертного заключения ГБУ "Аналитический центр" от 18.08.2026 № 1003-5-1-3-180826 начальная (максимальная) цена контракта на "Выполнение работ по модернизации информационной системы единый сервис авторизации пользователей (ИС ЕСИП) и поддержание ее работоспособности в 2026-2028 годах" принята равной 143 864 502 (Cто сорок три миллиона восемьсот шестьдесят четыре тысячи пятьсот два) рубля 27 копеек, в том числе НДС 22%.</t>
  </si>
  <si>
    <t>2</t>
  </si>
  <si>
    <t>Консультант по закупкам отдела реализации информационно-аналитического обеспечения                                                   Д.В. Путро
Начальник Управления по информационно-аналитическому обеспечению                                                                                  А.В. Козыч</t>
  </si>
  <si>
    <t xml:space="preserve">
Консультант по закупкам отдела реализации информационно-аналитического обеспечения                                   Д.В. Путро
Начальник Управления по информационно-аналитическому обеспечению                                                                 А.В. Козыч</t>
  </si>
  <si>
    <t>Выполнение работ по модернизации информационной системы единый сервис идентификации пользователей (ИС ЕСИП) и поддержание ее работоспособности в 2026-2028 годах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</si>
</sst>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0.000"/>
    <numFmt numFmtId="167" formatCode="#,##0.0000"/>
    <numFmt numFmtId="168" formatCode="#,##0.000"/>
    <numFmt numFmtId="169" formatCode="#,##0.00_ ;\-#,##0.00\ "/>
    <numFmt numFmtId="170" formatCode="0.000%"/>
    <numFmt numFmtId="171" formatCode="#,##0_р_.;[Red]\-#,##0_р_."/>
    <numFmt numFmtId="172" formatCode="#,##0_ ;\-#,##0\ "/>
    <numFmt numFmtId="173" formatCode="_-* #,##0_р_._-;\-* #,##0_р_._-;_-* \-_р_._-;_-@_-"/>
    <numFmt numFmtId="174" formatCode="0.00000000%"/>
    <numFmt numFmtId="175" formatCode="0.0000000000000%"/>
  </numFmts>
  <fonts count="108" x14ac:knownFonts="1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b/>
      <sz val="18"/>
      <color indexed="54"/>
      <name val="Calibri Light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  <font>
      <b/>
      <vertAlign val="subscript"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6100"/>
      <name val="Times New Roman"/>
      <family val="2"/>
      <charset val="204"/>
    </font>
    <font>
      <sz val="9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vertAlign val="subscript"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vertAlign val="subscript"/>
      <sz val="12"/>
      <color theme="1"/>
      <name val="Times New Roman"/>
      <family val="1"/>
      <charset val="204"/>
    </font>
    <font>
      <b/>
      <sz val="12"/>
      <color rgb="FF0061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</font>
    <font>
      <b/>
      <sz val="14"/>
      <color theme="1"/>
      <name val="Calibri"/>
      <family val="2"/>
      <charset val="204"/>
      <scheme val="minor"/>
    </font>
    <font>
      <b/>
      <vertAlign val="subscript"/>
      <sz val="14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2"/>
      <color rgb="FF000000"/>
      <name val="Times New Roman"/>
      <family val="1"/>
    </font>
    <font>
      <b/>
      <sz val="11"/>
      <color theme="1"/>
      <name val="Times New Roman"/>
      <family val="1"/>
      <charset val="204"/>
    </font>
    <font>
      <sz val="12"/>
      <name val="Arial"/>
      <family val="2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Arial"/>
      <family val="2"/>
      <charset val="204"/>
    </font>
    <font>
      <b/>
      <sz val="11"/>
      <color rgb="FF333333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333333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vertAlign val="subscript"/>
      <sz val="11"/>
      <color rgb="FF333333"/>
      <name val="Arial"/>
      <family val="2"/>
      <charset val="204"/>
    </font>
    <font>
      <sz val="12"/>
      <color rgb="FF333333"/>
      <name val="Arial"/>
      <family val="2"/>
      <charset val="204"/>
    </font>
    <font>
      <sz val="12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vertAlign val="subscript"/>
      <sz val="12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vertAlign val="subscript"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0"/>
      <color rgb="FF000000"/>
      <name val="Wingdings"/>
      <charset val="2"/>
    </font>
    <font>
      <b/>
      <sz val="10"/>
      <name val="Arial"/>
      <family val="2"/>
    </font>
    <font>
      <sz val="8"/>
      <name val="Arial"/>
      <family val="2"/>
    </font>
    <font>
      <sz val="11"/>
      <name val="Calibri"/>
      <family val="2"/>
      <charset val="204"/>
    </font>
    <font>
      <sz val="12"/>
      <color rgb="FFC00000"/>
      <name val="Times New Roman"/>
      <family val="1"/>
      <charset val="204"/>
    </font>
    <font>
      <sz val="10"/>
      <color rgb="FFFFFFFF"/>
      <name val="Arial"/>
      <family val="2"/>
      <charset val="204"/>
    </font>
    <font>
      <b/>
      <sz val="11"/>
      <color rgb="FFFFFFFF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0"/>
      <name val="Times New Roman"/>
      <family val="1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2"/>
      <color theme="0"/>
      <name val="Times New Roman"/>
      <family val="1"/>
      <charset val="204"/>
    </font>
    <font>
      <b/>
      <sz val="14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7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31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51"/>
        <bgColor indexed="8"/>
      </patternFill>
    </fill>
    <fill>
      <patternFill patternType="solid">
        <fgColor indexed="62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9D9D9"/>
        <bgColor rgb="FFC5E0B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000000"/>
        <bgColor rgb="FF003300"/>
      </patternFill>
    </fill>
    <fill>
      <patternFill patternType="solid">
        <fgColor rgb="FFFFFFCC"/>
        <bgColor rgb="FFFFFFFF"/>
      </patternFill>
    </fill>
    <fill>
      <patternFill patternType="solid">
        <fgColor rgb="FF339966"/>
        <bgColor rgb="FF008080"/>
      </patternFill>
    </fill>
    <fill>
      <patternFill patternType="solid">
        <fgColor rgb="FFC5E0B4"/>
        <bgColor rgb="FFD9D9D9"/>
      </patternFill>
    </fill>
    <fill>
      <patternFill patternType="solid">
        <fgColor rgb="FFA9D18E"/>
        <bgColor rgb="FFC5E0B4"/>
      </patternFill>
    </fill>
    <fill>
      <patternFill patternType="solid">
        <fgColor rgb="FFC5E0B4"/>
        <bgColor rgb="FFFFFFCC"/>
      </patternFill>
    </fill>
    <fill>
      <patternFill patternType="solid">
        <fgColor theme="8" tint="0.59999389629810485"/>
        <bgColor rgb="FFFFFFCC"/>
      </patternFill>
    </fill>
    <fill>
      <patternFill patternType="solid">
        <fgColor rgb="FFFFF2CC"/>
        <bgColor rgb="FFFFFFCC"/>
      </patternFill>
    </fill>
    <fill>
      <patternFill patternType="solid">
        <fgColor theme="9" tint="0.79998168889431442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</fills>
  <borders count="10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7">
    <xf numFmtId="0" fontId="0" fillId="0" borderId="0"/>
    <xf numFmtId="0" fontId="31" fillId="2" borderId="0" applyNumberFormat="0" applyBorder="0" applyAlignment="0" applyProtection="0"/>
    <xf numFmtId="0" fontId="31" fillId="3" borderId="0" applyNumberFormat="0" applyBorder="0" applyAlignment="0" applyProtection="0"/>
    <xf numFmtId="0" fontId="31" fillId="4" borderId="0" applyNumberFormat="0" applyBorder="0" applyAlignment="0" applyProtection="0"/>
    <xf numFmtId="0" fontId="31" fillId="5" borderId="0" applyNumberFormat="0" applyBorder="0" applyAlignment="0" applyProtection="0"/>
    <xf numFmtId="0" fontId="31" fillId="6" borderId="0" applyNumberFormat="0" applyBorder="0" applyAlignment="0" applyProtection="0"/>
    <xf numFmtId="0" fontId="31" fillId="7" borderId="0" applyNumberFormat="0" applyBorder="0" applyAlignment="0" applyProtection="0"/>
    <xf numFmtId="0" fontId="31" fillId="8" borderId="0" applyNumberFormat="0" applyBorder="0" applyAlignment="0" applyProtection="0"/>
    <xf numFmtId="0" fontId="31" fillId="3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8" borderId="0" applyNumberFormat="0" applyBorder="0" applyAlignment="0" applyProtection="0"/>
    <xf numFmtId="0" fontId="31" fillId="10" borderId="0" applyNumberFormat="0" applyBorder="0" applyAlignment="0" applyProtection="0"/>
    <xf numFmtId="0" fontId="30" fillId="8" borderId="0" applyNumberFormat="0" applyBorder="0" applyAlignment="0" applyProtection="0"/>
    <xf numFmtId="0" fontId="30" fillId="3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1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2" borderId="0" applyNumberFormat="0" applyBorder="0" applyAlignment="0" applyProtection="0"/>
    <xf numFmtId="0" fontId="22" fillId="3" borderId="1" applyNumberFormat="0" applyAlignment="0" applyProtection="0"/>
    <xf numFmtId="0" fontId="23" fillId="9" borderId="2" applyNumberFormat="0" applyAlignment="0" applyProtection="0"/>
    <xf numFmtId="0" fontId="24" fillId="9" borderId="1" applyNumberFormat="0" applyAlignment="0" applyProtection="0"/>
    <xf numFmtId="165" fontId="12" fillId="0" borderId="0" applyFont="0" applyFill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29" fillId="0" borderId="6" applyNumberFormat="0" applyFill="0" applyAlignment="0" applyProtection="0"/>
    <xf numFmtId="0" fontId="26" fillId="14" borderId="7" applyNumberFormat="0" applyAlignment="0" applyProtection="0"/>
    <xf numFmtId="0" fontId="15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14" fillId="0" borderId="0"/>
    <xf numFmtId="0" fontId="12" fillId="0" borderId="0"/>
    <xf numFmtId="0" fontId="12" fillId="0" borderId="0"/>
    <xf numFmtId="0" fontId="20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3" fillId="5" borderId="8" applyNumberFormat="0" applyFont="0" applyAlignment="0" applyProtection="0"/>
    <xf numFmtId="9" fontId="12" fillId="0" borderId="0" applyFont="0" applyFill="0" applyBorder="0" applyAlignment="0" applyProtection="0"/>
    <xf numFmtId="0" fontId="25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11" fillId="0" borderId="0"/>
    <xf numFmtId="0" fontId="36" fillId="0" borderId="0"/>
    <xf numFmtId="0" fontId="37" fillId="21" borderId="0" applyNumberFormat="0" applyBorder="0" applyAlignment="0" applyProtection="0"/>
    <xf numFmtId="0" fontId="39" fillId="21" borderId="0" applyNumberFormat="0" applyBorder="0" applyAlignment="0" applyProtection="0"/>
    <xf numFmtId="0" fontId="40" fillId="22" borderId="0" applyNumberFormat="0" applyBorder="0" applyAlignment="0" applyProtection="0"/>
    <xf numFmtId="0" fontId="41" fillId="23" borderId="0" applyNumberFormat="0" applyBorder="0" applyAlignment="0" applyProtection="0"/>
    <xf numFmtId="9" fontId="11" fillId="0" borderId="0" applyFont="0" applyFill="0" applyBorder="0" applyAlignment="0" applyProtection="0"/>
    <xf numFmtId="0" fontId="13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3" fillId="0" borderId="0"/>
    <xf numFmtId="0" fontId="12" fillId="0" borderId="0"/>
    <xf numFmtId="0" fontId="66" fillId="0" borderId="0"/>
    <xf numFmtId="9" fontId="70" fillId="0" borderId="0" applyFont="0" applyFill="0" applyBorder="0" applyAlignment="0" applyProtection="0"/>
    <xf numFmtId="0" fontId="13" fillId="0" borderId="0"/>
    <xf numFmtId="0" fontId="21" fillId="10" borderId="0" applyNumberFormat="0" applyBorder="0" applyAlignment="0" applyProtection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9" fontId="66" fillId="0" borderId="0" applyFont="0" applyFill="0" applyBorder="0" applyAlignment="0" applyProtection="0"/>
    <xf numFmtId="0" fontId="97" fillId="0" borderId="0"/>
    <xf numFmtId="0" fontId="6" fillId="0" borderId="0"/>
    <xf numFmtId="43" fontId="66" fillId="0" borderId="0" applyFont="0" applyFill="0" applyBorder="0" applyAlignment="0" applyProtection="0"/>
    <xf numFmtId="0" fontId="5" fillId="0" borderId="0"/>
    <xf numFmtId="0" fontId="66" fillId="0" borderId="0"/>
    <xf numFmtId="0" fontId="4" fillId="0" borderId="0"/>
    <xf numFmtId="0" fontId="3" fillId="0" borderId="0"/>
    <xf numFmtId="0" fontId="2" fillId="0" borderId="0"/>
    <xf numFmtId="0" fontId="12" fillId="0" borderId="0"/>
  </cellStyleXfs>
  <cellXfs count="579">
    <xf numFmtId="0" fontId="0" fillId="0" borderId="0" xfId="0"/>
    <xf numFmtId="0" fontId="35" fillId="0" borderId="0" xfId="47" applyFont="1"/>
    <xf numFmtId="0" fontId="38" fillId="0" borderId="0" xfId="47" applyFont="1"/>
    <xf numFmtId="0" fontId="11" fillId="0" borderId="0" xfId="47"/>
    <xf numFmtId="0" fontId="43" fillId="0" borderId="13" xfId="47" applyFont="1" applyBorder="1" applyAlignment="1">
      <alignment horizontal="center" vertical="top" wrapText="1"/>
    </xf>
    <xf numFmtId="0" fontId="43" fillId="0" borderId="21" xfId="47" applyFont="1" applyBorder="1" applyAlignment="1">
      <alignment horizontal="center" vertical="top" wrapText="1"/>
    </xf>
    <xf numFmtId="0" fontId="43" fillId="0" borderId="0" xfId="47" applyFont="1"/>
    <xf numFmtId="0" fontId="43" fillId="0" borderId="22" xfId="47" applyFont="1" applyBorder="1" applyAlignment="1">
      <alignment horizontal="center" vertical="top" wrapText="1"/>
    </xf>
    <xf numFmtId="0" fontId="43" fillId="0" borderId="23" xfId="47" applyFont="1" applyBorder="1" applyAlignment="1">
      <alignment horizontal="center" vertical="top" wrapText="1"/>
    </xf>
    <xf numFmtId="0" fontId="45" fillId="0" borderId="0" xfId="48" applyFont="1"/>
    <xf numFmtId="0" fontId="43" fillId="0" borderId="14" xfId="47" applyFont="1" applyBorder="1" applyAlignment="1">
      <alignment horizontal="center" vertical="top" wrapText="1"/>
    </xf>
    <xf numFmtId="166" fontId="35" fillId="0" borderId="0" xfId="47" applyNumberFormat="1" applyFont="1"/>
    <xf numFmtId="0" fontId="43" fillId="0" borderId="23" xfId="47" applyFont="1" applyBorder="1" applyAlignment="1">
      <alignment vertical="top" wrapText="1"/>
    </xf>
    <xf numFmtId="0" fontId="46" fillId="0" borderId="0" xfId="47" applyFont="1"/>
    <xf numFmtId="166" fontId="46" fillId="0" borderId="0" xfId="47" applyNumberFormat="1" applyFont="1"/>
    <xf numFmtId="0" fontId="47" fillId="0" borderId="0" xfId="47" applyFont="1"/>
    <xf numFmtId="166" fontId="43" fillId="0" borderId="0" xfId="47" applyNumberFormat="1" applyFont="1"/>
    <xf numFmtId="0" fontId="49" fillId="0" borderId="0" xfId="47" applyFont="1"/>
    <xf numFmtId="0" fontId="46" fillId="18" borderId="10" xfId="47" applyFont="1" applyFill="1" applyBorder="1" applyAlignment="1">
      <alignment horizontal="center" vertical="center" wrapText="1"/>
    </xf>
    <xf numFmtId="0" fontId="46" fillId="0" borderId="10" xfId="47" applyFont="1" applyBorder="1" applyAlignment="1">
      <alignment horizontal="center" vertical="center"/>
    </xf>
    <xf numFmtId="0" fontId="47" fillId="0" borderId="10" xfId="47" applyFont="1" applyBorder="1" applyAlignment="1">
      <alignment horizontal="center" vertical="center"/>
    </xf>
    <xf numFmtId="0" fontId="52" fillId="18" borderId="10" xfId="50" applyFont="1" applyFill="1" applyBorder="1" applyAlignment="1">
      <alignment horizontal="center" vertical="center"/>
    </xf>
    <xf numFmtId="3" fontId="46" fillId="18" borderId="10" xfId="47" applyNumberFormat="1" applyFont="1" applyFill="1" applyBorder="1" applyAlignment="1">
      <alignment horizontal="center" vertical="center"/>
    </xf>
    <xf numFmtId="166" fontId="46" fillId="18" borderId="10" xfId="47" applyNumberFormat="1" applyFont="1" applyFill="1" applyBorder="1" applyAlignment="1">
      <alignment horizontal="center" vertical="center"/>
    </xf>
    <xf numFmtId="4" fontId="46" fillId="18" borderId="10" xfId="47" applyNumberFormat="1" applyFont="1" applyFill="1" applyBorder="1" applyAlignment="1">
      <alignment horizontal="center" vertical="center"/>
    </xf>
    <xf numFmtId="2" fontId="47" fillId="0" borderId="10" xfId="51" applyNumberFormat="1" applyFont="1" applyFill="1" applyBorder="1" applyAlignment="1">
      <alignment horizontal="center" vertical="center"/>
    </xf>
    <xf numFmtId="0" fontId="47" fillId="0" borderId="10" xfId="52" applyFont="1" applyFill="1" applyBorder="1" applyAlignment="1">
      <alignment horizontal="center" vertical="center"/>
    </xf>
    <xf numFmtId="2" fontId="47" fillId="0" borderId="10" xfId="50" applyNumberFormat="1" applyFont="1" applyFill="1" applyBorder="1" applyAlignment="1">
      <alignment horizontal="center" vertical="center" wrapText="1"/>
    </xf>
    <xf numFmtId="2" fontId="47" fillId="0" borderId="10" xfId="50" applyNumberFormat="1" applyFont="1" applyFill="1" applyBorder="1" applyAlignment="1">
      <alignment horizontal="center" vertical="center"/>
    </xf>
    <xf numFmtId="3" fontId="53" fillId="19" borderId="10" xfId="47" applyNumberFormat="1" applyFont="1" applyFill="1" applyBorder="1" applyAlignment="1">
      <alignment horizontal="center" vertical="center"/>
    </xf>
    <xf numFmtId="1" fontId="54" fillId="20" borderId="10" xfId="47" applyNumberFormat="1" applyFont="1" applyFill="1" applyBorder="1" applyAlignment="1">
      <alignment horizontal="center" vertical="center"/>
    </xf>
    <xf numFmtId="1" fontId="54" fillId="19" borderId="10" xfId="47" applyNumberFormat="1" applyFont="1" applyFill="1" applyBorder="1" applyAlignment="1">
      <alignment horizontal="center" vertical="center" wrapText="1"/>
    </xf>
    <xf numFmtId="166" fontId="54" fillId="19" borderId="10" xfId="47" applyNumberFormat="1" applyFont="1" applyFill="1" applyBorder="1" applyAlignment="1">
      <alignment horizontal="center" vertical="center"/>
    </xf>
    <xf numFmtId="4" fontId="54" fillId="20" borderId="10" xfId="47" applyNumberFormat="1" applyFont="1" applyFill="1" applyBorder="1" applyAlignment="1">
      <alignment horizontal="center" vertical="center"/>
    </xf>
    <xf numFmtId="168" fontId="54" fillId="20" borderId="10" xfId="47" applyNumberFormat="1" applyFont="1" applyFill="1" applyBorder="1" applyAlignment="1">
      <alignment horizontal="center" vertical="center"/>
    </xf>
    <xf numFmtId="0" fontId="55" fillId="0" borderId="0" xfId="47" applyFont="1"/>
    <xf numFmtId="0" fontId="43" fillId="0" borderId="10" xfId="47" applyFont="1" applyBorder="1"/>
    <xf numFmtId="0" fontId="47" fillId="24" borderId="10" xfId="47" applyFont="1" applyFill="1" applyBorder="1" applyAlignment="1">
      <alignment horizontal="center" vertical="center"/>
    </xf>
    <xf numFmtId="0" fontId="47" fillId="25" borderId="10" xfId="47" applyFont="1" applyFill="1" applyBorder="1" applyAlignment="1">
      <alignment horizontal="center" vertical="center"/>
    </xf>
    <xf numFmtId="0" fontId="49" fillId="0" borderId="23" xfId="0" applyFont="1" applyBorder="1" applyAlignment="1">
      <alignment horizontal="center" vertical="center" wrapText="1"/>
    </xf>
    <xf numFmtId="0" fontId="49" fillId="0" borderId="22" xfId="0" applyFont="1" applyBorder="1" applyAlignment="1">
      <alignment horizontal="center" vertical="center" wrapText="1"/>
    </xf>
    <xf numFmtId="0" fontId="49" fillId="0" borderId="0" xfId="0" applyFont="1"/>
    <xf numFmtId="0" fontId="43" fillId="20" borderId="29" xfId="47" applyFont="1" applyFill="1" applyBorder="1" applyAlignment="1">
      <alignment horizontal="center" vertical="center"/>
    </xf>
    <xf numFmtId="0" fontId="43" fillId="19" borderId="29" xfId="47" applyFont="1" applyFill="1" applyBorder="1"/>
    <xf numFmtId="0" fontId="58" fillId="20" borderId="29" xfId="0" applyFont="1" applyFill="1" applyBorder="1" applyAlignment="1">
      <alignment vertical="center" wrapText="1"/>
    </xf>
    <xf numFmtId="4" fontId="46" fillId="18" borderId="29" xfId="47" applyNumberFormat="1" applyFont="1" applyFill="1" applyBorder="1" applyAlignment="1">
      <alignment horizontal="center" vertical="center"/>
    </xf>
    <xf numFmtId="9" fontId="46" fillId="0" borderId="29" xfId="47" applyNumberFormat="1" applyFont="1" applyBorder="1" applyAlignment="1">
      <alignment horizontal="center" vertical="center"/>
    </xf>
    <xf numFmtId="10" fontId="43" fillId="0" borderId="0" xfId="47" applyNumberFormat="1" applyFont="1"/>
    <xf numFmtId="168" fontId="54" fillId="20" borderId="29" xfId="47" applyNumberFormat="1" applyFont="1" applyFill="1" applyBorder="1" applyAlignment="1">
      <alignment horizontal="center" vertical="center"/>
    </xf>
    <xf numFmtId="4" fontId="43" fillId="0" borderId="0" xfId="47" applyNumberFormat="1" applyFont="1"/>
    <xf numFmtId="0" fontId="49" fillId="0" borderId="0" xfId="48" applyFont="1" applyAlignment="1">
      <alignment horizontal="center" vertical="center"/>
    </xf>
    <xf numFmtId="3" fontId="46" fillId="18" borderId="0" xfId="47" applyNumberFormat="1" applyFont="1" applyFill="1"/>
    <xf numFmtId="0" fontId="47" fillId="20" borderId="31" xfId="0" applyFont="1" applyFill="1" applyBorder="1" applyAlignment="1">
      <alignment horizontal="center" vertical="center"/>
    </xf>
    <xf numFmtId="0" fontId="47" fillId="20" borderId="33" xfId="0" applyFont="1" applyFill="1" applyBorder="1" applyAlignment="1">
      <alignment horizontal="center" vertical="center"/>
    </xf>
    <xf numFmtId="0" fontId="47" fillId="20" borderId="36" xfId="0" applyFont="1" applyFill="1" applyBorder="1" applyAlignment="1">
      <alignment horizontal="center" vertical="center"/>
    </xf>
    <xf numFmtId="0" fontId="47" fillId="25" borderId="31" xfId="0" applyFont="1" applyFill="1" applyBorder="1" applyAlignment="1">
      <alignment horizontal="center" vertical="center"/>
    </xf>
    <xf numFmtId="0" fontId="47" fillId="25" borderId="33" xfId="0" applyFont="1" applyFill="1" applyBorder="1" applyAlignment="1">
      <alignment vertical="center" wrapText="1"/>
    </xf>
    <xf numFmtId="0" fontId="49" fillId="25" borderId="33" xfId="0" applyFont="1" applyFill="1" applyBorder="1" applyAlignment="1">
      <alignment vertical="center"/>
    </xf>
    <xf numFmtId="0" fontId="49" fillId="25" borderId="36" xfId="0" applyFont="1" applyFill="1" applyBorder="1" applyAlignment="1">
      <alignment horizontal="center" vertical="center"/>
    </xf>
    <xf numFmtId="0" fontId="47" fillId="25" borderId="19" xfId="0" applyFont="1" applyFill="1" applyBorder="1" applyAlignment="1">
      <alignment horizontal="center" vertical="center"/>
    </xf>
    <xf numFmtId="0" fontId="47" fillId="25" borderId="18" xfId="0" applyFont="1" applyFill="1" applyBorder="1" applyAlignment="1">
      <alignment vertical="center" wrapText="1"/>
    </xf>
    <xf numFmtId="0" fontId="49" fillId="25" borderId="17" xfId="0" applyFont="1" applyFill="1" applyBorder="1" applyAlignment="1">
      <alignment horizontal="center" vertical="center"/>
    </xf>
    <xf numFmtId="0" fontId="49" fillId="0" borderId="34" xfId="0" applyFont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49" fillId="0" borderId="29" xfId="0" applyFont="1" applyBorder="1" applyAlignment="1">
      <alignment vertical="center"/>
    </xf>
    <xf numFmtId="0" fontId="49" fillId="0" borderId="11" xfId="0" applyFont="1" applyBorder="1" applyAlignment="1">
      <alignment horizontal="center" vertical="center"/>
    </xf>
    <xf numFmtId="0" fontId="49" fillId="0" borderId="26" xfId="0" applyFont="1" applyBorder="1" applyAlignment="1">
      <alignment vertical="center"/>
    </xf>
    <xf numFmtId="0" fontId="49" fillId="0" borderId="27" xfId="0" applyFont="1" applyBorder="1" applyAlignment="1">
      <alignment horizontal="center" vertical="center"/>
    </xf>
    <xf numFmtId="0" fontId="47" fillId="25" borderId="18" xfId="0" applyFont="1" applyFill="1" applyBorder="1" applyAlignment="1">
      <alignment vertical="center"/>
    </xf>
    <xf numFmtId="0" fontId="49" fillId="0" borderId="29" xfId="0" applyFont="1" applyBorder="1" applyAlignment="1">
      <alignment vertical="center" wrapText="1"/>
    </xf>
    <xf numFmtId="0" fontId="49" fillId="0" borderId="26" xfId="0" applyFont="1" applyBorder="1" applyAlignment="1">
      <alignment vertical="center" wrapText="1"/>
    </xf>
    <xf numFmtId="0" fontId="49" fillId="25" borderId="18" xfId="0" applyFont="1" applyFill="1" applyBorder="1" applyAlignment="1">
      <alignment vertical="center" wrapText="1"/>
    </xf>
    <xf numFmtId="0" fontId="47" fillId="0" borderId="28" xfId="0" applyFont="1" applyBorder="1" applyAlignment="1">
      <alignment horizontal="center" vertical="center"/>
    </xf>
    <xf numFmtId="0" fontId="0" fillId="0" borderId="26" xfId="0" applyBorder="1"/>
    <xf numFmtId="0" fontId="4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9" fillId="0" borderId="0" xfId="48" applyFont="1" applyAlignment="1">
      <alignment horizontal="center"/>
    </xf>
    <xf numFmtId="0" fontId="32" fillId="20" borderId="29" xfId="48" applyFont="1" applyFill="1" applyBorder="1" applyAlignment="1">
      <alignment horizontal="center" vertical="center" wrapText="1"/>
    </xf>
    <xf numFmtId="0" fontId="57" fillId="0" borderId="29" xfId="48" applyFont="1" applyBorder="1" applyAlignment="1">
      <alignment horizontal="center" vertical="center"/>
    </xf>
    <xf numFmtId="0" fontId="61" fillId="19" borderId="29" xfId="48" applyFont="1" applyFill="1" applyBorder="1" applyAlignment="1">
      <alignment horizontal="center" vertical="center" wrapText="1"/>
    </xf>
    <xf numFmtId="0" fontId="58" fillId="0" borderId="0" xfId="0" applyFont="1" applyAlignment="1">
      <alignment vertical="center" wrapText="1"/>
    </xf>
    <xf numFmtId="2" fontId="49" fillId="0" borderId="0" xfId="51" applyNumberFormat="1" applyFont="1" applyFill="1" applyBorder="1" applyAlignment="1">
      <alignment horizontal="center" vertical="center" wrapText="1"/>
    </xf>
    <xf numFmtId="2" fontId="49" fillId="0" borderId="0" xfId="50" applyNumberFormat="1" applyFont="1" applyFill="1" applyBorder="1" applyAlignment="1">
      <alignment horizontal="center" vertical="center" wrapText="1"/>
    </xf>
    <xf numFmtId="168" fontId="54" fillId="0" borderId="0" xfId="47" applyNumberFormat="1" applyFont="1" applyAlignment="1">
      <alignment horizontal="center" vertical="center"/>
    </xf>
    <xf numFmtId="2" fontId="49" fillId="19" borderId="29" xfId="51" applyNumberFormat="1" applyFont="1" applyFill="1" applyBorder="1" applyAlignment="1">
      <alignment horizontal="center" vertical="center" wrapText="1"/>
    </xf>
    <xf numFmtId="2" fontId="49" fillId="24" borderId="29" xfId="51" applyNumberFormat="1" applyFont="1" applyFill="1" applyBorder="1" applyAlignment="1">
      <alignment horizontal="center" vertical="center" wrapText="1"/>
    </xf>
    <xf numFmtId="2" fontId="49" fillId="25" borderId="29" xfId="51" applyNumberFormat="1" applyFont="1" applyFill="1" applyBorder="1" applyAlignment="1">
      <alignment horizontal="center" vertical="center" wrapText="1"/>
    </xf>
    <xf numFmtId="2" fontId="49" fillId="25" borderId="29" xfId="50" applyNumberFormat="1" applyFont="1" applyFill="1" applyBorder="1" applyAlignment="1">
      <alignment horizontal="center" vertical="center" wrapText="1"/>
    </xf>
    <xf numFmtId="0" fontId="49" fillId="25" borderId="33" xfId="0" applyFont="1" applyFill="1" applyBorder="1" applyAlignment="1">
      <alignment vertical="center" wrapText="1"/>
    </xf>
    <xf numFmtId="0" fontId="49" fillId="0" borderId="29" xfId="48" applyFont="1" applyBorder="1" applyAlignment="1">
      <alignment horizontal="center" vertical="center"/>
    </xf>
    <xf numFmtId="4" fontId="43" fillId="0" borderId="0" xfId="47" applyNumberFormat="1" applyFont="1" applyAlignment="1">
      <alignment wrapText="1"/>
    </xf>
    <xf numFmtId="4" fontId="54" fillId="0" borderId="0" xfId="47" applyNumberFormat="1" applyFont="1" applyAlignment="1">
      <alignment wrapText="1"/>
    </xf>
    <xf numFmtId="4" fontId="43" fillId="0" borderId="19" xfId="47" applyNumberFormat="1" applyFont="1" applyBorder="1" applyAlignment="1">
      <alignment horizontal="center" vertical="top" wrapText="1"/>
    </xf>
    <xf numFmtId="4" fontId="43" fillId="0" borderId="18" xfId="47" applyNumberFormat="1" applyFont="1" applyBorder="1" applyAlignment="1">
      <alignment horizontal="center" vertical="top" wrapText="1"/>
    </xf>
    <xf numFmtId="4" fontId="43" fillId="0" borderId="17" xfId="47" applyNumberFormat="1" applyFont="1" applyBorder="1" applyAlignment="1">
      <alignment horizontal="center" vertical="top" wrapText="1"/>
    </xf>
    <xf numFmtId="3" fontId="43" fillId="0" borderId="11" xfId="47" applyNumberFormat="1" applyFont="1" applyBorder="1" applyAlignment="1">
      <alignment horizontal="center" wrapText="1"/>
    </xf>
    <xf numFmtId="4" fontId="43" fillId="0" borderId="16" xfId="47" applyNumberFormat="1" applyFont="1" applyBorder="1" applyAlignment="1">
      <alignment horizontal="center" wrapText="1"/>
    </xf>
    <xf numFmtId="4" fontId="43" fillId="0" borderId="15" xfId="47" applyNumberFormat="1" applyFont="1" applyBorder="1" applyAlignment="1">
      <alignment horizontal="center" wrapText="1"/>
    </xf>
    <xf numFmtId="0" fontId="43" fillId="0" borderId="19" xfId="47" applyFont="1" applyBorder="1" applyAlignment="1">
      <alignment horizontal="center" vertical="top" wrapText="1"/>
    </xf>
    <xf numFmtId="0" fontId="43" fillId="0" borderId="17" xfId="47" applyFont="1" applyBorder="1" applyAlignment="1">
      <alignment horizontal="center" vertical="top" wrapText="1"/>
    </xf>
    <xf numFmtId="0" fontId="43" fillId="0" borderId="0" xfId="47" applyFont="1" applyAlignment="1">
      <alignment horizontal="center" wrapText="1"/>
    </xf>
    <xf numFmtId="4" fontId="46" fillId="0" borderId="0" xfId="47" applyNumberFormat="1" applyFont="1" applyAlignment="1">
      <alignment horizontal="center" wrapText="1"/>
    </xf>
    <xf numFmtId="4" fontId="43" fillId="0" borderId="0" xfId="47" applyNumberFormat="1" applyFont="1" applyAlignment="1">
      <alignment horizontal="center" wrapText="1"/>
    </xf>
    <xf numFmtId="0" fontId="43" fillId="0" borderId="19" xfId="47" applyFont="1" applyBorder="1" applyAlignment="1">
      <alignment horizontal="center" vertical="center" wrapText="1"/>
    </xf>
    <xf numFmtId="0" fontId="43" fillId="0" borderId="18" xfId="47" applyFont="1" applyBorder="1" applyAlignment="1">
      <alignment horizontal="center" vertical="center" wrapText="1"/>
    </xf>
    <xf numFmtId="0" fontId="42" fillId="0" borderId="18" xfId="47" applyFont="1" applyBorder="1" applyAlignment="1">
      <alignment horizontal="center" vertical="center" wrapText="1"/>
    </xf>
    <xf numFmtId="167" fontId="43" fillId="0" borderId="29" xfId="47" applyNumberFormat="1" applyFont="1" applyBorder="1" applyAlignment="1">
      <alignment horizontal="center" wrapText="1"/>
    </xf>
    <xf numFmtId="4" fontId="43" fillId="0" borderId="29" xfId="47" applyNumberFormat="1" applyFont="1" applyBorder="1" applyAlignment="1">
      <alignment horizontal="center" wrapText="1"/>
    </xf>
    <xf numFmtId="0" fontId="46" fillId="0" borderId="32" xfId="47" applyFont="1" applyBorder="1" applyAlignment="1">
      <alignment horizontal="center"/>
    </xf>
    <xf numFmtId="0" fontId="43" fillId="0" borderId="0" xfId="47" applyFont="1" applyAlignment="1">
      <alignment vertical="center" wrapText="1"/>
    </xf>
    <xf numFmtId="0" fontId="43" fillId="0" borderId="0" xfId="47" applyFont="1" applyAlignment="1">
      <alignment vertical="center"/>
    </xf>
    <xf numFmtId="0" fontId="49" fillId="0" borderId="0" xfId="48" applyFont="1" applyAlignment="1">
      <alignment wrapText="1"/>
    </xf>
    <xf numFmtId="0" fontId="61" fillId="25" borderId="29" xfId="57" applyFont="1" applyFill="1" applyBorder="1" applyAlignment="1">
      <alignment horizontal="left" vertical="top" wrapText="1"/>
    </xf>
    <xf numFmtId="0" fontId="62" fillId="25" borderId="29" xfId="57" applyFont="1" applyFill="1" applyBorder="1" applyAlignment="1">
      <alignment horizontal="center" vertical="top" wrapText="1"/>
    </xf>
    <xf numFmtId="0" fontId="7" fillId="0" borderId="0" xfId="58"/>
    <xf numFmtId="0" fontId="62" fillId="18" borderId="29" xfId="57" applyFont="1" applyFill="1" applyBorder="1" applyAlignment="1">
      <alignment horizontal="center" vertical="top" wrapText="1"/>
    </xf>
    <xf numFmtId="0" fontId="43" fillId="0" borderId="43" xfId="0" applyFont="1" applyBorder="1" applyAlignment="1">
      <alignment horizontal="left" vertical="center" wrapText="1"/>
    </xf>
    <xf numFmtId="4" fontId="43" fillId="0" borderId="0" xfId="47" applyNumberFormat="1" applyFont="1" applyAlignment="1">
      <alignment vertical="center"/>
    </xf>
    <xf numFmtId="170" fontId="43" fillId="0" borderId="0" xfId="47" applyNumberFormat="1" applyFont="1"/>
    <xf numFmtId="0" fontId="49" fillId="0" borderId="29" xfId="0" applyFont="1" applyBorder="1" applyAlignment="1">
      <alignment vertical="top" wrapText="1"/>
    </xf>
    <xf numFmtId="49" fontId="57" fillId="0" borderId="29" xfId="48" applyNumberFormat="1" applyFont="1" applyBorder="1" applyAlignment="1">
      <alignment horizontal="center" vertical="center"/>
    </xf>
    <xf numFmtId="0" fontId="61" fillId="25" borderId="12" xfId="57" applyFont="1" applyFill="1" applyBorder="1" applyAlignment="1">
      <alignment horizontal="center" vertical="top" wrapText="1"/>
    </xf>
    <xf numFmtId="49" fontId="49" fillId="0" borderId="29" xfId="48" applyNumberFormat="1" applyFont="1" applyBorder="1" applyAlignment="1">
      <alignment horizontal="center"/>
    </xf>
    <xf numFmtId="0" fontId="57" fillId="0" borderId="29" xfId="48" applyFont="1" applyBorder="1" applyAlignment="1">
      <alignment horizontal="center" vertical="center" wrapText="1"/>
    </xf>
    <xf numFmtId="168" fontId="43" fillId="0" borderId="0" xfId="47" applyNumberFormat="1" applyFont="1"/>
    <xf numFmtId="0" fontId="47" fillId="0" borderId="0" xfId="48" applyFont="1" applyAlignment="1">
      <alignment horizontal="center" wrapText="1"/>
    </xf>
    <xf numFmtId="0" fontId="12" fillId="0" borderId="0" xfId="60"/>
    <xf numFmtId="0" fontId="67" fillId="0" borderId="0" xfId="61" applyFont="1"/>
    <xf numFmtId="0" fontId="67" fillId="0" borderId="47" xfId="61" applyFont="1" applyBorder="1" applyAlignment="1">
      <alignment horizontal="center"/>
    </xf>
    <xf numFmtId="0" fontId="67" fillId="0" borderId="0" xfId="61" applyFont="1" applyAlignment="1">
      <alignment horizontal="center"/>
    </xf>
    <xf numFmtId="0" fontId="69" fillId="29" borderId="48" xfId="61" applyFont="1" applyFill="1" applyBorder="1" applyAlignment="1">
      <alignment horizontal="center" vertical="center" wrapText="1"/>
    </xf>
    <xf numFmtId="0" fontId="69" fillId="29" borderId="50" xfId="61" applyFont="1" applyFill="1" applyBorder="1" applyAlignment="1">
      <alignment horizontal="center" vertical="center" wrapText="1"/>
    </xf>
    <xf numFmtId="0" fontId="67" fillId="0" borderId="48" xfId="61" applyFont="1" applyBorder="1" applyAlignment="1">
      <alignment horizontal="center" vertical="center"/>
    </xf>
    <xf numFmtId="0" fontId="67" fillId="0" borderId="48" xfId="61" applyFont="1" applyBorder="1" applyAlignment="1">
      <alignment horizontal="left" vertical="center"/>
    </xf>
    <xf numFmtId="4" fontId="67" fillId="0" borderId="48" xfId="61" applyNumberFormat="1" applyFont="1" applyBorder="1" applyAlignment="1">
      <alignment horizontal="center" vertical="center"/>
    </xf>
    <xf numFmtId="10" fontId="67" fillId="0" borderId="48" xfId="61" applyNumberFormat="1" applyFont="1" applyBorder="1" applyAlignment="1">
      <alignment horizontal="center" vertical="center"/>
    </xf>
    <xf numFmtId="4" fontId="67" fillId="0" borderId="29" xfId="61" applyNumberFormat="1" applyFont="1" applyBorder="1" applyAlignment="1">
      <alignment horizontal="center" vertical="center"/>
    </xf>
    <xf numFmtId="2" fontId="67" fillId="0" borderId="0" xfId="61" applyNumberFormat="1" applyFont="1"/>
    <xf numFmtId="0" fontId="71" fillId="0" borderId="0" xfId="61" applyFont="1" applyAlignment="1">
      <alignment horizontal="center" vertical="center"/>
    </xf>
    <xf numFmtId="0" fontId="69" fillId="30" borderId="48" xfId="61" applyFont="1" applyFill="1" applyBorder="1" applyAlignment="1">
      <alignment horizontal="center" vertical="center"/>
    </xf>
    <xf numFmtId="4" fontId="69" fillId="30" borderId="48" xfId="61" applyNumberFormat="1" applyFont="1" applyFill="1" applyBorder="1" applyAlignment="1">
      <alignment horizontal="center" vertical="center"/>
    </xf>
    <xf numFmtId="10" fontId="69" fillId="30" borderId="48" xfId="61" applyNumberFormat="1" applyFont="1" applyFill="1" applyBorder="1" applyAlignment="1">
      <alignment horizontal="center" vertical="center"/>
    </xf>
    <xf numFmtId="10" fontId="69" fillId="30" borderId="50" xfId="61" applyNumberFormat="1" applyFont="1" applyFill="1" applyBorder="1" applyAlignment="1">
      <alignment horizontal="center" vertical="center"/>
    </xf>
    <xf numFmtId="4" fontId="69" fillId="30" borderId="29" xfId="61" applyNumberFormat="1" applyFont="1" applyFill="1" applyBorder="1" applyAlignment="1">
      <alignment horizontal="center" vertical="center"/>
    </xf>
    <xf numFmtId="0" fontId="71" fillId="0" borderId="0" xfId="61" applyFont="1"/>
    <xf numFmtId="0" fontId="67" fillId="0" borderId="0" xfId="61" applyFont="1" applyAlignment="1">
      <alignment horizontal="center" vertical="center"/>
    </xf>
    <xf numFmtId="4" fontId="67" fillId="0" borderId="0" xfId="61" applyNumberFormat="1" applyFont="1" applyAlignment="1">
      <alignment horizontal="center" vertical="center"/>
    </xf>
    <xf numFmtId="10" fontId="67" fillId="0" borderId="0" xfId="61" applyNumberFormat="1" applyFont="1" applyAlignment="1">
      <alignment horizontal="center" vertical="center"/>
    </xf>
    <xf numFmtId="0" fontId="72" fillId="0" borderId="0" xfId="61" applyFont="1" applyAlignment="1">
      <alignment vertical="top" wrapText="1"/>
    </xf>
    <xf numFmtId="4" fontId="72" fillId="0" borderId="0" xfId="61" applyNumberFormat="1" applyFont="1" applyAlignment="1">
      <alignment horizontal="left" vertical="top" wrapText="1"/>
    </xf>
    <xf numFmtId="0" fontId="67" fillId="0" borderId="48" xfId="61" applyFont="1" applyBorder="1" applyAlignment="1">
      <alignment horizontal="center" vertical="center" wrapText="1"/>
    </xf>
    <xf numFmtId="4" fontId="67" fillId="0" borderId="48" xfId="61" applyNumberFormat="1" applyFont="1" applyBorder="1" applyAlignment="1">
      <alignment horizontal="center" vertical="center" wrapText="1"/>
    </xf>
    <xf numFmtId="49" fontId="69" fillId="30" borderId="48" xfId="61" applyNumberFormat="1" applyFont="1" applyFill="1" applyBorder="1" applyAlignment="1">
      <alignment horizontal="center" vertical="center"/>
    </xf>
    <xf numFmtId="0" fontId="12" fillId="27" borderId="0" xfId="38" applyFill="1" applyAlignment="1">
      <alignment vertical="top"/>
    </xf>
    <xf numFmtId="0" fontId="68" fillId="27" borderId="0" xfId="38" applyFont="1" applyFill="1" applyAlignment="1">
      <alignment vertical="top"/>
    </xf>
    <xf numFmtId="2" fontId="67" fillId="0" borderId="0" xfId="61" applyNumberFormat="1" applyFont="1" applyAlignment="1">
      <alignment horizontal="center" vertical="center"/>
    </xf>
    <xf numFmtId="0" fontId="66" fillId="0" borderId="0" xfId="61"/>
    <xf numFmtId="0" fontId="66" fillId="27" borderId="0" xfId="61" applyFill="1"/>
    <xf numFmtId="0" fontId="12" fillId="27" borderId="0" xfId="60" applyFill="1"/>
    <xf numFmtId="0" fontId="66" fillId="31" borderId="0" xfId="61" applyFill="1"/>
    <xf numFmtId="0" fontId="74" fillId="32" borderId="53" xfId="61" applyFont="1" applyFill="1" applyBorder="1" applyAlignment="1">
      <alignment vertical="center"/>
    </xf>
    <xf numFmtId="0" fontId="74" fillId="32" borderId="54" xfId="61" applyFont="1" applyFill="1" applyBorder="1" applyAlignment="1">
      <alignment vertical="center"/>
    </xf>
    <xf numFmtId="0" fontId="76" fillId="33" borderId="55" xfId="61" applyFont="1" applyFill="1" applyBorder="1" applyAlignment="1">
      <alignment horizontal="center" vertical="center" wrapText="1"/>
    </xf>
    <xf numFmtId="0" fontId="75" fillId="33" borderId="48" xfId="61" applyFont="1" applyFill="1" applyBorder="1" applyAlignment="1">
      <alignment horizontal="center" vertical="center" wrapText="1"/>
    </xf>
    <xf numFmtId="0" fontId="77" fillId="32" borderId="49" xfId="61" applyFont="1" applyFill="1" applyBorder="1" applyAlignment="1">
      <alignment horizontal="center" vertical="center" wrapText="1"/>
    </xf>
    <xf numFmtId="0" fontId="74" fillId="32" borderId="49" xfId="61" applyFont="1" applyFill="1" applyBorder="1" applyAlignment="1">
      <alignment horizontal="center" vertical="center" wrapText="1"/>
    </xf>
    <xf numFmtId="0" fontId="74" fillId="32" borderId="59" xfId="61" applyFont="1" applyFill="1" applyBorder="1" applyAlignment="1">
      <alignment horizontal="center" vertical="center" wrapText="1"/>
    </xf>
    <xf numFmtId="0" fontId="66" fillId="36" borderId="60" xfId="61" applyFill="1" applyBorder="1" applyAlignment="1">
      <alignment horizontal="center" vertical="center"/>
    </xf>
    <xf numFmtId="0" fontId="80" fillId="36" borderId="61" xfId="61" applyFont="1" applyFill="1" applyBorder="1" applyAlignment="1" applyProtection="1">
      <alignment horizontal="left" vertical="center" wrapText="1"/>
      <protection locked="0"/>
    </xf>
    <xf numFmtId="0" fontId="34" fillId="37" borderId="62" xfId="61" applyFont="1" applyFill="1" applyBorder="1" applyAlignment="1">
      <alignment horizontal="center" vertical="center" wrapText="1"/>
    </xf>
    <xf numFmtId="171" fontId="75" fillId="36" borderId="61" xfId="61" applyNumberFormat="1" applyFont="1" applyFill="1" applyBorder="1" applyAlignment="1" applyProtection="1">
      <alignment horizontal="center" vertical="center"/>
      <protection locked="0"/>
    </xf>
    <xf numFmtId="171" fontId="81" fillId="37" borderId="62" xfId="61" applyNumberFormat="1" applyFont="1" applyFill="1" applyBorder="1" applyAlignment="1" applyProtection="1">
      <alignment horizontal="center" vertical="center"/>
      <protection locked="0"/>
    </xf>
    <xf numFmtId="166" fontId="76" fillId="31" borderId="61" xfId="61" applyNumberFormat="1" applyFont="1" applyFill="1" applyBorder="1" applyAlignment="1">
      <alignment horizontal="center" vertical="center"/>
    </xf>
    <xf numFmtId="169" fontId="76" fillId="31" borderId="61" xfId="61" applyNumberFormat="1" applyFont="1" applyFill="1" applyBorder="1" applyAlignment="1">
      <alignment vertical="center"/>
    </xf>
    <xf numFmtId="172" fontId="76" fillId="36" borderId="61" xfId="61" applyNumberFormat="1" applyFont="1" applyFill="1" applyBorder="1" applyAlignment="1">
      <alignment vertical="center"/>
    </xf>
    <xf numFmtId="169" fontId="76" fillId="31" borderId="62" xfId="61" applyNumberFormat="1" applyFont="1" applyFill="1" applyBorder="1" applyAlignment="1">
      <alignment vertical="center"/>
    </xf>
    <xf numFmtId="173" fontId="76" fillId="33" borderId="61" xfId="61" applyNumberFormat="1" applyFont="1" applyFill="1" applyBorder="1" applyAlignment="1">
      <alignment vertical="top"/>
    </xf>
    <xf numFmtId="169" fontId="78" fillId="31" borderId="63" xfId="61" applyNumberFormat="1" applyFont="1" applyFill="1" applyBorder="1" applyAlignment="1">
      <alignment vertical="center"/>
    </xf>
    <xf numFmtId="0" fontId="70" fillId="31" borderId="0" xfId="61" applyFont="1" applyFill="1"/>
    <xf numFmtId="169" fontId="66" fillId="31" borderId="0" xfId="61" applyNumberFormat="1" applyFill="1"/>
    <xf numFmtId="0" fontId="66" fillId="0" borderId="29" xfId="61" applyBorder="1"/>
    <xf numFmtId="3" fontId="66" fillId="31" borderId="29" xfId="61" applyNumberFormat="1" applyFill="1" applyBorder="1"/>
    <xf numFmtId="4" fontId="66" fillId="31" borderId="0" xfId="61" applyNumberFormat="1" applyFill="1"/>
    <xf numFmtId="0" fontId="82" fillId="0" borderId="48" xfId="61" applyFont="1" applyBorder="1" applyAlignment="1">
      <alignment horizontal="center" vertical="center" wrapText="1"/>
    </xf>
    <xf numFmtId="0" fontId="66" fillId="31" borderId="48" xfId="61" applyFill="1" applyBorder="1"/>
    <xf numFmtId="0" fontId="82" fillId="38" borderId="48" xfId="61" applyFont="1" applyFill="1" applyBorder="1" applyAlignment="1">
      <alignment horizontal="center" vertical="center" wrapText="1"/>
    </xf>
    <xf numFmtId="167" fontId="82" fillId="39" borderId="48" xfId="61" applyNumberFormat="1" applyFont="1" applyFill="1" applyBorder="1" applyAlignment="1">
      <alignment horizontal="center" vertical="center" wrapText="1"/>
    </xf>
    <xf numFmtId="4" fontId="66" fillId="40" borderId="48" xfId="61" applyNumberFormat="1" applyFill="1" applyBorder="1" applyAlignment="1">
      <alignment horizontal="center" vertical="center"/>
    </xf>
    <xf numFmtId="4" fontId="82" fillId="40" borderId="48" xfId="61" applyNumberFormat="1" applyFont="1" applyFill="1" applyBorder="1" applyAlignment="1">
      <alignment horizontal="center" vertical="center" wrapText="1"/>
    </xf>
    <xf numFmtId="0" fontId="83" fillId="31" borderId="48" xfId="61" applyFont="1" applyFill="1" applyBorder="1" applyAlignment="1">
      <alignment horizontal="center" vertical="center"/>
    </xf>
    <xf numFmtId="4" fontId="84" fillId="31" borderId="48" xfId="61" applyNumberFormat="1" applyFont="1" applyFill="1" applyBorder="1" applyAlignment="1">
      <alignment horizontal="center" vertical="center"/>
    </xf>
    <xf numFmtId="4" fontId="83" fillId="31" borderId="48" xfId="61" applyNumberFormat="1" applyFont="1" applyFill="1" applyBorder="1" applyAlignment="1">
      <alignment horizontal="center" vertical="center" wrapText="1"/>
    </xf>
    <xf numFmtId="10" fontId="66" fillId="31" borderId="0" xfId="61" applyNumberFormat="1" applyFill="1"/>
    <xf numFmtId="4" fontId="67" fillId="0" borderId="0" xfId="61" applyNumberFormat="1" applyFont="1"/>
    <xf numFmtId="0" fontId="34" fillId="31" borderId="48" xfId="61" applyFont="1" applyFill="1" applyBorder="1" applyAlignment="1">
      <alignment vertical="center" wrapText="1"/>
    </xf>
    <xf numFmtId="0" fontId="34" fillId="31" borderId="64" xfId="61" applyFont="1" applyFill="1" applyBorder="1" applyAlignment="1">
      <alignment vertical="center" wrapText="1"/>
    </xf>
    <xf numFmtId="0" fontId="34" fillId="31" borderId="65" xfId="61" applyFont="1" applyFill="1" applyBorder="1" applyAlignment="1">
      <alignment vertical="center" wrapText="1"/>
    </xf>
    <xf numFmtId="0" fontId="34" fillId="31" borderId="50" xfId="61" applyFont="1" applyFill="1" applyBorder="1" applyAlignment="1">
      <alignment horizontal="center" vertical="center" wrapText="1"/>
    </xf>
    <xf numFmtId="0" fontId="34" fillId="0" borderId="50" xfId="61" applyFont="1" applyBorder="1" applyAlignment="1">
      <alignment horizontal="center" vertical="center"/>
    </xf>
    <xf numFmtId="4" fontId="34" fillId="36" borderId="65" xfId="61" applyNumberFormat="1" applyFont="1" applyFill="1" applyBorder="1" applyAlignment="1">
      <alignment horizontal="center" vertical="center" wrapText="1"/>
    </xf>
    <xf numFmtId="9" fontId="66" fillId="31" borderId="0" xfId="61" applyNumberFormat="1" applyFill="1"/>
    <xf numFmtId="0" fontId="49" fillId="0" borderId="0" xfId="63" applyFont="1"/>
    <xf numFmtId="0" fontId="49" fillId="0" borderId="0" xfId="63" applyFont="1" applyAlignment="1">
      <alignment horizontal="right"/>
    </xf>
    <xf numFmtId="4" fontId="49" fillId="0" borderId="0" xfId="63" applyNumberFormat="1" applyFont="1"/>
    <xf numFmtId="1" fontId="80" fillId="36" borderId="0" xfId="61" applyNumberFormat="1" applyFont="1" applyFill="1" applyAlignment="1" applyProtection="1">
      <alignment horizontal="center" vertical="center" wrapText="1"/>
      <protection locked="0"/>
    </xf>
    <xf numFmtId="0" fontId="47" fillId="0" borderId="29" xfId="64" applyFont="1" applyFill="1" applyBorder="1" applyAlignment="1">
      <alignment horizontal="center" vertical="center" wrapText="1"/>
    </xf>
    <xf numFmtId="9" fontId="47" fillId="0" borderId="29" xfId="65" applyFont="1" applyFill="1" applyBorder="1" applyAlignment="1">
      <alignment horizontal="center" vertical="center" wrapText="1"/>
    </xf>
    <xf numFmtId="0" fontId="80" fillId="36" borderId="29" xfId="61" applyFont="1" applyFill="1" applyBorder="1" applyAlignment="1" applyProtection="1">
      <alignment horizontal="left" vertical="center" wrapText="1"/>
      <protection locked="0"/>
    </xf>
    <xf numFmtId="1" fontId="80" fillId="36" borderId="29" xfId="61" applyNumberFormat="1" applyFont="1" applyFill="1" applyBorder="1" applyAlignment="1" applyProtection="1">
      <alignment horizontal="center" vertical="center" wrapText="1"/>
      <protection locked="0"/>
    </xf>
    <xf numFmtId="4" fontId="80" fillId="36" borderId="29" xfId="61" applyNumberFormat="1" applyFont="1" applyFill="1" applyBorder="1" applyAlignment="1" applyProtection="1">
      <alignment horizontal="center" vertical="center" wrapText="1"/>
      <protection locked="0"/>
    </xf>
    <xf numFmtId="10" fontId="80" fillId="0" borderId="29" xfId="61" applyNumberFormat="1" applyFont="1" applyBorder="1" applyAlignment="1" applyProtection="1">
      <alignment horizontal="center" vertical="center" wrapText="1"/>
      <protection locked="0"/>
    </xf>
    <xf numFmtId="164" fontId="49" fillId="0" borderId="29" xfId="66" applyFont="1" applyBorder="1" applyAlignment="1">
      <alignment horizontal="center" vertical="center"/>
    </xf>
    <xf numFmtId="2" fontId="80" fillId="36" borderId="29" xfId="61" applyNumberFormat="1" applyFont="1" applyFill="1" applyBorder="1" applyAlignment="1" applyProtection="1">
      <alignment horizontal="center" vertical="center" wrapText="1"/>
      <protection locked="0"/>
    </xf>
    <xf numFmtId="0" fontId="47" fillId="0" borderId="45" xfId="63" applyFont="1" applyBorder="1" applyAlignment="1">
      <alignment horizontal="right" vertical="center" wrapText="1"/>
    </xf>
    <xf numFmtId="0" fontId="49" fillId="0" borderId="45" xfId="63" applyFont="1" applyBorder="1"/>
    <xf numFmtId="4" fontId="47" fillId="0" borderId="29" xfId="63" applyNumberFormat="1" applyFont="1" applyBorder="1"/>
    <xf numFmtId="164" fontId="49" fillId="0" borderId="0" xfId="63" applyNumberFormat="1" applyFont="1"/>
    <xf numFmtId="164" fontId="49" fillId="0" borderId="0" xfId="63" applyNumberFormat="1" applyFont="1" applyAlignment="1">
      <alignment horizontal="right"/>
    </xf>
    <xf numFmtId="0" fontId="13" fillId="27" borderId="0" xfId="63" applyFill="1"/>
    <xf numFmtId="0" fontId="12" fillId="27" borderId="0" xfId="38" applyFill="1"/>
    <xf numFmtId="0" fontId="68" fillId="27" borderId="0" xfId="38" applyFont="1" applyFill="1"/>
    <xf numFmtId="0" fontId="49" fillId="0" borderId="0" xfId="63" applyFont="1" applyAlignment="1">
      <alignment horizontal="center"/>
    </xf>
    <xf numFmtId="2" fontId="49" fillId="0" borderId="0" xfId="63" applyNumberFormat="1" applyFont="1"/>
    <xf numFmtId="2" fontId="49" fillId="0" borderId="0" xfId="63" applyNumberFormat="1" applyFont="1" applyAlignment="1">
      <alignment horizontal="right"/>
    </xf>
    <xf numFmtId="0" fontId="82" fillId="0" borderId="48" xfId="61" applyFont="1" applyBorder="1" applyAlignment="1">
      <alignment horizontal="justify" vertical="center" wrapText="1"/>
    </xf>
    <xf numFmtId="166" fontId="82" fillId="0" borderId="48" xfId="61" applyNumberFormat="1" applyFont="1" applyBorder="1" applyAlignment="1">
      <alignment horizontal="center" vertical="center" wrapText="1"/>
    </xf>
    <xf numFmtId="0" fontId="82" fillId="0" borderId="49" xfId="61" applyFont="1" applyBorder="1" applyAlignment="1">
      <alignment horizontal="center" vertical="center" wrapText="1"/>
    </xf>
    <xf numFmtId="0" fontId="82" fillId="0" borderId="29" xfId="61" applyFont="1" applyBorder="1" applyAlignment="1">
      <alignment horizontal="center" vertical="center" wrapText="1"/>
    </xf>
    <xf numFmtId="0" fontId="70" fillId="31" borderId="29" xfId="61" applyFont="1" applyFill="1" applyBorder="1" applyAlignment="1">
      <alignment horizontal="left" vertical="top"/>
    </xf>
    <xf numFmtId="0" fontId="82" fillId="0" borderId="29" xfId="61" applyFont="1" applyBorder="1" applyAlignment="1">
      <alignment vertical="center" wrapText="1"/>
    </xf>
    <xf numFmtId="0" fontId="66" fillId="31" borderId="29" xfId="61" applyFill="1" applyBorder="1" applyAlignment="1">
      <alignment horizontal="center" vertical="center"/>
    </xf>
    <xf numFmtId="0" fontId="82" fillId="0" borderId="48" xfId="61" applyFont="1" applyBorder="1" applyAlignment="1">
      <alignment horizontal="left" vertical="center" wrapText="1"/>
    </xf>
    <xf numFmtId="0" fontId="88" fillId="0" borderId="66" xfId="61" applyFont="1" applyBorder="1" applyAlignment="1">
      <alignment horizontal="justify" vertical="center" wrapText="1"/>
    </xf>
    <xf numFmtId="0" fontId="88" fillId="0" borderId="67" xfId="61" applyFont="1" applyBorder="1" applyAlignment="1">
      <alignment vertical="center" wrapText="1"/>
    </xf>
    <xf numFmtId="0" fontId="88" fillId="0" borderId="68" xfId="61" applyFont="1" applyBorder="1" applyAlignment="1">
      <alignment horizontal="justify" vertical="center" wrapText="1"/>
    </xf>
    <xf numFmtId="9" fontId="88" fillId="0" borderId="69" xfId="61" applyNumberFormat="1" applyFont="1" applyBorder="1" applyAlignment="1">
      <alignment horizontal="center" vertical="center" wrapText="1"/>
    </xf>
    <xf numFmtId="0" fontId="89" fillId="0" borderId="68" xfId="61" applyFont="1" applyBorder="1" applyAlignment="1">
      <alignment horizontal="justify" vertical="center" wrapText="1"/>
    </xf>
    <xf numFmtId="9" fontId="89" fillId="0" borderId="69" xfId="61" applyNumberFormat="1" applyFont="1" applyBorder="1" applyAlignment="1">
      <alignment horizontal="center" vertical="center" wrapText="1"/>
    </xf>
    <xf numFmtId="0" fontId="66" fillId="36" borderId="0" xfId="61" applyFill="1"/>
    <xf numFmtId="0" fontId="66" fillId="0" borderId="0" xfId="61" applyAlignment="1">
      <alignment horizontal="center"/>
    </xf>
    <xf numFmtId="0" fontId="88" fillId="0" borderId="68" xfId="61" applyFont="1" applyBorder="1" applyAlignment="1">
      <alignment vertical="center" wrapText="1"/>
    </xf>
    <xf numFmtId="0" fontId="90" fillId="0" borderId="0" xfId="61" applyFont="1"/>
    <xf numFmtId="0" fontId="61" fillId="19" borderId="29" xfId="48" applyFont="1" applyFill="1" applyBorder="1" applyAlignment="1">
      <alignment horizontal="left" vertical="top" wrapText="1"/>
    </xf>
    <xf numFmtId="2" fontId="67" fillId="0" borderId="48" xfId="67" applyNumberFormat="1" applyFont="1" applyFill="1" applyBorder="1" applyAlignment="1">
      <alignment horizontal="center" vertical="center"/>
    </xf>
    <xf numFmtId="10" fontId="43" fillId="0" borderId="29" xfId="47" applyNumberFormat="1" applyFont="1" applyBorder="1" applyAlignment="1">
      <alignment horizontal="center" vertical="center"/>
    </xf>
    <xf numFmtId="4" fontId="11" fillId="0" borderId="0" xfId="47" applyNumberFormat="1"/>
    <xf numFmtId="0" fontId="43" fillId="0" borderId="74" xfId="47" applyFont="1" applyBorder="1" applyAlignment="1">
      <alignment horizontal="center" vertical="top" wrapText="1"/>
    </xf>
    <xf numFmtId="0" fontId="43" fillId="0" borderId="75" xfId="47" applyFont="1" applyBorder="1" applyAlignment="1">
      <alignment horizontal="center" wrapText="1"/>
    </xf>
    <xf numFmtId="4" fontId="43" fillId="0" borderId="11" xfId="47" applyNumberFormat="1" applyFont="1" applyBorder="1" applyAlignment="1">
      <alignment horizontal="center" wrapText="1"/>
    </xf>
    <xf numFmtId="0" fontId="46" fillId="0" borderId="0" xfId="59" applyFont="1" applyAlignment="1">
      <alignment vertical="center" wrapText="1"/>
    </xf>
    <xf numFmtId="0" fontId="46" fillId="0" borderId="0" xfId="59" applyFont="1" applyAlignment="1">
      <alignment vertical="center"/>
    </xf>
    <xf numFmtId="0" fontId="50" fillId="0" borderId="0" xfId="48" applyFont="1" applyAlignment="1">
      <alignment wrapText="1"/>
    </xf>
    <xf numFmtId="0" fontId="70" fillId="0" borderId="0" xfId="61" applyFont="1" applyAlignment="1">
      <alignment horizontal="right"/>
    </xf>
    <xf numFmtId="14" fontId="82" fillId="0" borderId="0" xfId="61" applyNumberFormat="1" applyFont="1" applyAlignment="1">
      <alignment horizontal="center" vertical="center" wrapText="1"/>
    </xf>
    <xf numFmtId="4" fontId="66" fillId="0" borderId="0" xfId="61" applyNumberFormat="1"/>
    <xf numFmtId="0" fontId="69" fillId="0" borderId="48" xfId="61" applyFont="1" applyBorder="1" applyAlignment="1">
      <alignment horizontal="center" vertical="center"/>
    </xf>
    <xf numFmtId="4" fontId="69" fillId="0" borderId="48" xfId="61" applyNumberFormat="1" applyFont="1" applyBorder="1" applyAlignment="1">
      <alignment horizontal="center" vertical="center"/>
    </xf>
    <xf numFmtId="4" fontId="69" fillId="0" borderId="50" xfId="61" applyNumberFormat="1" applyFont="1" applyBorder="1" applyAlignment="1">
      <alignment horizontal="center" vertical="center"/>
    </xf>
    <xf numFmtId="4" fontId="69" fillId="0" borderId="29" xfId="61" applyNumberFormat="1" applyFont="1" applyBorder="1" applyAlignment="1">
      <alignment horizontal="center" vertical="center"/>
    </xf>
    <xf numFmtId="0" fontId="0" fillId="0" borderId="29" xfId="0" applyBorder="1"/>
    <xf numFmtId="2" fontId="66" fillId="0" borderId="0" xfId="61" applyNumberFormat="1"/>
    <xf numFmtId="0" fontId="82" fillId="41" borderId="48" xfId="61" applyFont="1" applyFill="1" applyBorder="1" applyAlignment="1">
      <alignment horizontal="center" vertical="center" wrapText="1"/>
    </xf>
    <xf numFmtId="0" fontId="62" fillId="25" borderId="24" xfId="57" applyFont="1" applyFill="1" applyBorder="1" applyAlignment="1">
      <alignment horizontal="center" vertical="top" wrapText="1"/>
    </xf>
    <xf numFmtId="0" fontId="49" fillId="0" borderId="29" xfId="0" applyFont="1" applyBorder="1" applyAlignment="1">
      <alignment horizontal="justify" vertical="center"/>
    </xf>
    <xf numFmtId="49" fontId="57" fillId="43" borderId="29" xfId="48" applyNumberFormat="1" applyFont="1" applyFill="1" applyBorder="1" applyAlignment="1">
      <alignment horizontal="center" vertical="center"/>
    </xf>
    <xf numFmtId="0" fontId="49" fillId="0" borderId="29" xfId="48" applyFont="1" applyBorder="1" applyAlignment="1">
      <alignment wrapText="1"/>
    </xf>
    <xf numFmtId="0" fontId="63" fillId="43" borderId="29" xfId="48" applyFont="1" applyFill="1" applyBorder="1" applyAlignment="1">
      <alignment vertical="top" wrapText="1"/>
    </xf>
    <xf numFmtId="0" fontId="49" fillId="43" borderId="29" xfId="48" applyFont="1" applyFill="1" applyBorder="1" applyAlignment="1">
      <alignment horizontal="center" vertical="center"/>
    </xf>
    <xf numFmtId="0" fontId="62" fillId="43" borderId="29" xfId="57" applyFont="1" applyFill="1" applyBorder="1" applyAlignment="1">
      <alignment horizontal="center" vertical="top" wrapText="1"/>
    </xf>
    <xf numFmtId="0" fontId="49" fillId="43" borderId="29" xfId="0" applyFont="1" applyFill="1" applyBorder="1" applyAlignment="1">
      <alignment horizontal="justify" vertical="center"/>
    </xf>
    <xf numFmtId="0" fontId="49" fillId="0" borderId="29" xfId="48" applyFont="1" applyBorder="1" applyAlignment="1">
      <alignment vertical="center"/>
    </xf>
    <xf numFmtId="0" fontId="49" fillId="18" borderId="29" xfId="48" applyFont="1" applyFill="1" applyBorder="1" applyAlignment="1">
      <alignment horizontal="center" vertical="center"/>
    </xf>
    <xf numFmtId="3" fontId="53" fillId="19" borderId="29" xfId="47" applyNumberFormat="1" applyFont="1" applyFill="1" applyBorder="1" applyAlignment="1">
      <alignment horizontal="center" vertical="center"/>
    </xf>
    <xf numFmtId="0" fontId="46" fillId="42" borderId="10" xfId="47" applyFont="1" applyFill="1" applyBorder="1" applyAlignment="1">
      <alignment vertical="top" wrapText="1"/>
    </xf>
    <xf numFmtId="0" fontId="93" fillId="0" borderId="29" xfId="0" applyFont="1" applyBorder="1" applyAlignment="1">
      <alignment vertical="center" wrapText="1"/>
    </xf>
    <xf numFmtId="0" fontId="49" fillId="25" borderId="76" xfId="0" applyFont="1" applyFill="1" applyBorder="1" applyAlignment="1">
      <alignment vertical="center"/>
    </xf>
    <xf numFmtId="0" fontId="47" fillId="25" borderId="77" xfId="0" applyFont="1" applyFill="1" applyBorder="1" applyAlignment="1">
      <alignment horizontal="center" vertical="center"/>
    </xf>
    <xf numFmtId="0" fontId="47" fillId="25" borderId="45" xfId="0" applyFont="1" applyFill="1" applyBorder="1" applyAlignment="1">
      <alignment vertical="center"/>
    </xf>
    <xf numFmtId="0" fontId="49" fillId="25" borderId="45" xfId="0" applyFont="1" applyFill="1" applyBorder="1" applyAlignment="1">
      <alignment vertical="center"/>
    </xf>
    <xf numFmtId="0" fontId="49" fillId="25" borderId="78" xfId="0" applyFont="1" applyFill="1" applyBorder="1" applyAlignment="1">
      <alignment horizontal="center" vertical="center"/>
    </xf>
    <xf numFmtId="0" fontId="49" fillId="0" borderId="29" xfId="0" applyFont="1" applyBorder="1" applyAlignment="1">
      <alignment horizontal="center" vertical="center"/>
    </xf>
    <xf numFmtId="0" fontId="49" fillId="0" borderId="29" xfId="48" applyFont="1" applyBorder="1" applyAlignment="1">
      <alignment horizontal="left" vertical="top" wrapText="1"/>
    </xf>
    <xf numFmtId="0" fontId="49" fillId="44" borderId="29" xfId="48" applyFont="1" applyFill="1" applyBorder="1" applyAlignment="1">
      <alignment horizontal="left" vertical="top" wrapText="1"/>
    </xf>
    <xf numFmtId="0" fontId="49" fillId="18" borderId="29" xfId="48" applyFont="1" applyFill="1" applyBorder="1" applyAlignment="1">
      <alignment horizontal="left" vertical="top" wrapText="1"/>
    </xf>
    <xf numFmtId="4" fontId="46" fillId="0" borderId="31" xfId="47" applyNumberFormat="1" applyFont="1" applyBorder="1" applyAlignment="1">
      <alignment horizontal="center" vertical="center" wrapText="1"/>
    </xf>
    <xf numFmtId="168" fontId="46" fillId="18" borderId="10" xfId="47" applyNumberFormat="1" applyFont="1" applyFill="1" applyBorder="1" applyAlignment="1">
      <alignment horizontal="center" vertical="center"/>
    </xf>
    <xf numFmtId="4" fontId="83" fillId="31" borderId="49" xfId="61" applyNumberFormat="1" applyFont="1" applyFill="1" applyBorder="1" applyAlignment="1">
      <alignment horizontal="center" vertical="center" wrapText="1"/>
    </xf>
    <xf numFmtId="0" fontId="91" fillId="27" borderId="29" xfId="38" applyFont="1" applyFill="1" applyBorder="1" applyAlignment="1">
      <alignment horizontal="center" vertical="center" wrapText="1"/>
    </xf>
    <xf numFmtId="0" fontId="42" fillId="19" borderId="28" xfId="47" applyFont="1" applyFill="1" applyBorder="1" applyAlignment="1">
      <alignment horizontal="center" wrapText="1"/>
    </xf>
    <xf numFmtId="167" fontId="42" fillId="19" borderId="29" xfId="47" applyNumberFormat="1" applyFont="1" applyFill="1" applyBorder="1" applyAlignment="1">
      <alignment horizontal="center" wrapText="1"/>
    </xf>
    <xf numFmtId="10" fontId="66" fillId="31" borderId="29" xfId="61" applyNumberFormat="1" applyFill="1" applyBorder="1" applyAlignment="1">
      <alignment horizontal="center"/>
    </xf>
    <xf numFmtId="3" fontId="42" fillId="19" borderId="12" xfId="47" applyNumberFormat="1" applyFont="1" applyFill="1" applyBorder="1" applyAlignment="1">
      <alignment horizontal="center" wrapText="1"/>
    </xf>
    <xf numFmtId="3" fontId="42" fillId="19" borderId="12" xfId="47" applyNumberFormat="1" applyFont="1" applyFill="1" applyBorder="1" applyAlignment="1">
      <alignment horizontal="center" vertical="center" wrapText="1"/>
    </xf>
    <xf numFmtId="0" fontId="91" fillId="27" borderId="46" xfId="38" applyFont="1" applyFill="1" applyBorder="1" applyAlignment="1">
      <alignment horizontal="center" vertical="center" wrapText="1"/>
    </xf>
    <xf numFmtId="4" fontId="64" fillId="20" borderId="79" xfId="47" applyNumberFormat="1" applyFont="1" applyFill="1" applyBorder="1" applyAlignment="1">
      <alignment horizontal="center" wrapText="1"/>
    </xf>
    <xf numFmtId="4" fontId="64" fillId="20" borderId="80" xfId="47" applyNumberFormat="1" applyFont="1" applyFill="1" applyBorder="1" applyAlignment="1">
      <alignment horizontal="center" wrapText="1"/>
    </xf>
    <xf numFmtId="3" fontId="42" fillId="19" borderId="46" xfId="47" applyNumberFormat="1" applyFont="1" applyFill="1" applyBorder="1" applyAlignment="1">
      <alignment horizontal="center" vertical="center" wrapText="1"/>
    </xf>
    <xf numFmtId="2" fontId="49" fillId="19" borderId="10" xfId="51" applyNumberFormat="1" applyFont="1" applyFill="1" applyBorder="1" applyAlignment="1">
      <alignment horizontal="center" vertical="center" wrapText="1"/>
    </xf>
    <xf numFmtId="168" fontId="43" fillId="0" borderId="27" xfId="47" applyNumberFormat="1" applyFont="1" applyBorder="1" applyAlignment="1">
      <alignment horizontal="center" wrapText="1"/>
    </xf>
    <xf numFmtId="0" fontId="66" fillId="45" borderId="0" xfId="61" applyFill="1"/>
    <xf numFmtId="4" fontId="96" fillId="31" borderId="29" xfId="61" applyNumberFormat="1" applyFont="1" applyFill="1" applyBorder="1" applyAlignment="1">
      <alignment horizontal="center" vertical="center" wrapText="1"/>
    </xf>
    <xf numFmtId="0" fontId="95" fillId="45" borderId="29" xfId="61" applyFont="1" applyFill="1" applyBorder="1"/>
    <xf numFmtId="4" fontId="95" fillId="45" borderId="29" xfId="61" applyNumberFormat="1" applyFont="1" applyFill="1" applyBorder="1"/>
    <xf numFmtId="0" fontId="95" fillId="45" borderId="0" xfId="61" applyFont="1" applyFill="1"/>
    <xf numFmtId="10" fontId="42" fillId="0" borderId="29" xfId="47" applyNumberFormat="1" applyFont="1" applyBorder="1" applyAlignment="1">
      <alignment horizontal="center" wrapText="1"/>
    </xf>
    <xf numFmtId="4" fontId="57" fillId="0" borderId="29" xfId="54" applyNumberFormat="1" applyFont="1" applyBorder="1" applyAlignment="1">
      <alignment horizontal="center" vertical="center" wrapText="1"/>
    </xf>
    <xf numFmtId="0" fontId="43" fillId="0" borderId="29" xfId="47" applyFont="1" applyBorder="1" applyAlignment="1">
      <alignment horizontal="center" wrapText="1"/>
    </xf>
    <xf numFmtId="0" fontId="82" fillId="0" borderId="28" xfId="54" applyFont="1" applyBorder="1" applyAlignment="1">
      <alignment horizontal="center" vertical="center" wrapText="1"/>
    </xf>
    <xf numFmtId="0" fontId="83" fillId="0" borderId="11" xfId="54" applyFont="1" applyBorder="1" applyAlignment="1">
      <alignment vertical="center" wrapText="1"/>
    </xf>
    <xf numFmtId="4" fontId="61" fillId="0" borderId="26" xfId="54" applyNumberFormat="1" applyFont="1" applyBorder="1" applyAlignment="1">
      <alignment horizontal="center" vertical="center" wrapText="1"/>
    </xf>
    <xf numFmtId="0" fontId="82" fillId="0" borderId="87" xfId="54" applyFont="1" applyBorder="1" applyAlignment="1">
      <alignment horizontal="center" vertical="center" wrapText="1"/>
    </xf>
    <xf numFmtId="4" fontId="57" fillId="0" borderId="46" xfId="54" applyNumberFormat="1" applyFont="1" applyBorder="1" applyAlignment="1">
      <alignment horizontal="center" vertical="center" wrapText="1"/>
    </xf>
    <xf numFmtId="0" fontId="42" fillId="0" borderId="0" xfId="73" applyFont="1"/>
    <xf numFmtId="49" fontId="46" fillId="18" borderId="29" xfId="73" applyNumberFormat="1" applyFont="1" applyFill="1" applyBorder="1" applyAlignment="1">
      <alignment horizontal="center" vertical="center" wrapText="1" shrinkToFit="1"/>
    </xf>
    <xf numFmtId="0" fontId="46" fillId="0" borderId="46" xfId="73" applyFont="1" applyBorder="1" applyAlignment="1">
      <alignment horizontal="center" vertical="center" wrapText="1"/>
    </xf>
    <xf numFmtId="0" fontId="4" fillId="0" borderId="0" xfId="73"/>
    <xf numFmtId="0" fontId="46" fillId="0" borderId="19" xfId="73" applyFont="1" applyBorder="1" applyAlignment="1">
      <alignment horizontal="center" vertical="center" wrapText="1"/>
    </xf>
    <xf numFmtId="4" fontId="46" fillId="0" borderId="18" xfId="73" applyNumberFormat="1" applyFont="1" applyBorder="1" applyAlignment="1">
      <alignment horizontal="center" vertical="center" wrapText="1"/>
    </xf>
    <xf numFmtId="4" fontId="43" fillId="0" borderId="18" xfId="73" applyNumberFormat="1" applyFont="1" applyBorder="1" applyAlignment="1">
      <alignment horizontal="center" vertical="center" wrapText="1"/>
    </xf>
    <xf numFmtId="175" fontId="43" fillId="0" borderId="17" xfId="73" applyNumberFormat="1" applyFont="1" applyBorder="1" applyAlignment="1">
      <alignment horizontal="center" vertical="center" wrapText="1"/>
    </xf>
    <xf numFmtId="0" fontId="46" fillId="0" borderId="28" xfId="73" applyFont="1" applyBorder="1" applyAlignment="1">
      <alignment horizontal="center" vertical="center" wrapText="1"/>
    </xf>
    <xf numFmtId="4" fontId="46" fillId="0" borderId="29" xfId="73" applyNumberFormat="1" applyFont="1" applyBorder="1" applyAlignment="1">
      <alignment horizontal="center" vertical="center" wrapText="1"/>
    </xf>
    <xf numFmtId="4" fontId="43" fillId="0" borderId="29" xfId="73" applyNumberFormat="1" applyFont="1" applyBorder="1" applyAlignment="1">
      <alignment horizontal="center" vertical="center" wrapText="1"/>
    </xf>
    <xf numFmtId="175" fontId="43" fillId="0" borderId="34" xfId="73" applyNumberFormat="1" applyFont="1" applyBorder="1" applyAlignment="1">
      <alignment horizontal="center" vertical="center" wrapText="1"/>
    </xf>
    <xf numFmtId="4" fontId="4" fillId="0" borderId="0" xfId="73" applyNumberFormat="1"/>
    <xf numFmtId="0" fontId="46" fillId="0" borderId="11" xfId="73" applyFont="1" applyBorder="1" applyAlignment="1">
      <alignment horizontal="center" vertical="center" wrapText="1"/>
    </xf>
    <xf numFmtId="4" fontId="43" fillId="0" borderId="26" xfId="73" applyNumberFormat="1" applyFont="1" applyBorder="1" applyAlignment="1">
      <alignment horizontal="center" vertical="center" wrapText="1"/>
    </xf>
    <xf numFmtId="4" fontId="46" fillId="0" borderId="31" xfId="73" applyNumberFormat="1" applyFont="1" applyBorder="1" applyAlignment="1">
      <alignment horizontal="left" vertical="center" wrapText="1"/>
    </xf>
    <xf numFmtId="4" fontId="46" fillId="0" borderId="36" xfId="73" applyNumberFormat="1" applyFont="1" applyBorder="1" applyAlignment="1">
      <alignment horizontal="center" vertical="center" wrapText="1"/>
    </xf>
    <xf numFmtId="2" fontId="4" fillId="0" borderId="0" xfId="73" applyNumberFormat="1"/>
    <xf numFmtId="0" fontId="43" fillId="0" borderId="0" xfId="73" applyFont="1" applyAlignment="1">
      <alignment vertical="center" wrapText="1" shrinkToFit="1"/>
    </xf>
    <xf numFmtId="49" fontId="99" fillId="0" borderId="0" xfId="73" applyNumberFormat="1" applyFont="1" applyAlignment="1">
      <alignment wrapText="1"/>
    </xf>
    <xf numFmtId="49" fontId="43" fillId="0" borderId="0" xfId="59" applyNumberFormat="1" applyFont="1" applyAlignment="1">
      <alignment horizontal="center" vertical="center" wrapText="1"/>
    </xf>
    <xf numFmtId="0" fontId="46" fillId="0" borderId="0" xfId="59" applyFont="1" applyAlignment="1">
      <alignment wrapText="1"/>
    </xf>
    <xf numFmtId="0" fontId="0" fillId="0" borderId="0" xfId="73" applyFont="1"/>
    <xf numFmtId="0" fontId="57" fillId="0" borderId="0" xfId="0" applyFont="1"/>
    <xf numFmtId="0" fontId="100" fillId="0" borderId="0" xfId="73" applyFont="1"/>
    <xf numFmtId="4" fontId="46" fillId="0" borderId="43" xfId="73" applyNumberFormat="1" applyFont="1" applyBorder="1" applyAlignment="1">
      <alignment horizontal="center" vertical="center" wrapText="1"/>
    </xf>
    <xf numFmtId="4" fontId="101" fillId="0" borderId="0" xfId="73" applyNumberFormat="1" applyFont="1"/>
    <xf numFmtId="0" fontId="42" fillId="0" borderId="28" xfId="74" applyFont="1" applyBorder="1" applyAlignment="1">
      <alignment horizontal="center" vertical="center" wrapText="1"/>
    </xf>
    <xf numFmtId="0" fontId="42" fillId="0" borderId="29" xfId="74" applyFont="1" applyBorder="1" applyAlignment="1">
      <alignment horizontal="center" vertical="center" wrapText="1"/>
    </xf>
    <xf numFmtId="169" fontId="57" fillId="0" borderId="29" xfId="70" applyNumberFormat="1" applyFont="1" applyFill="1" applyBorder="1" applyAlignment="1">
      <alignment horizontal="left" vertical="center" wrapText="1"/>
    </xf>
    <xf numFmtId="169" fontId="57" fillId="0" borderId="29" xfId="70" applyNumberFormat="1" applyFont="1" applyFill="1" applyBorder="1" applyAlignment="1">
      <alignment horizontal="center" vertical="center" wrapText="1"/>
    </xf>
    <xf numFmtId="0" fontId="42" fillId="0" borderId="26" xfId="74" applyFont="1" applyBorder="1" applyAlignment="1">
      <alignment horizontal="center" vertical="center" wrapText="1"/>
    </xf>
    <xf numFmtId="169" fontId="57" fillId="0" borderId="26" xfId="70" applyNumberFormat="1" applyFont="1" applyFill="1" applyBorder="1" applyAlignment="1">
      <alignment horizontal="left" vertical="center" wrapText="1"/>
    </xf>
    <xf numFmtId="169" fontId="57" fillId="0" borderId="26" xfId="70" applyNumberFormat="1" applyFont="1" applyFill="1" applyBorder="1" applyAlignment="1">
      <alignment horizontal="center" vertical="center" wrapText="1"/>
    </xf>
    <xf numFmtId="166" fontId="103" fillId="0" borderId="95" xfId="38" applyNumberFormat="1" applyFont="1" applyBorder="1" applyAlignment="1">
      <alignment horizontal="center" vertical="center"/>
    </xf>
    <xf numFmtId="166" fontId="76" fillId="41" borderId="61" xfId="61" applyNumberFormat="1" applyFont="1" applyFill="1" applyBorder="1" applyAlignment="1">
      <alignment horizontal="center" vertical="center"/>
    </xf>
    <xf numFmtId="4" fontId="105" fillId="42" borderId="17" xfId="61" applyNumberFormat="1" applyFont="1" applyFill="1" applyBorder="1"/>
    <xf numFmtId="4" fontId="105" fillId="42" borderId="34" xfId="61" applyNumberFormat="1" applyFont="1" applyFill="1" applyBorder="1"/>
    <xf numFmtId="4" fontId="105" fillId="42" borderId="27" xfId="61" applyNumberFormat="1" applyFont="1" applyFill="1" applyBorder="1"/>
    <xf numFmtId="0" fontId="101" fillId="18" borderId="0" xfId="47" applyFont="1" applyFill="1"/>
    <xf numFmtId="4" fontId="101" fillId="18" borderId="0" xfId="47" applyNumberFormat="1" applyFont="1" applyFill="1"/>
    <xf numFmtId="0" fontId="106" fillId="18" borderId="0" xfId="47" applyFont="1" applyFill="1" applyAlignment="1">
      <alignment horizontal="center" vertical="center" wrapText="1"/>
    </xf>
    <xf numFmtId="175" fontId="101" fillId="18" borderId="0" xfId="47" applyNumberFormat="1" applyFont="1" applyFill="1"/>
    <xf numFmtId="174" fontId="101" fillId="18" borderId="0" xfId="47" applyNumberFormat="1" applyFont="1" applyFill="1"/>
    <xf numFmtId="175" fontId="101" fillId="18" borderId="0" xfId="47" applyNumberFormat="1" applyFont="1" applyFill="1" applyAlignment="1">
      <alignment vertical="top"/>
    </xf>
    <xf numFmtId="168" fontId="43" fillId="0" borderId="26" xfId="47" applyNumberFormat="1" applyFont="1" applyBorder="1" applyAlignment="1">
      <alignment horizontal="center" wrapText="1"/>
    </xf>
    <xf numFmtId="4" fontId="11" fillId="0" borderId="40" xfId="47" applyNumberFormat="1" applyBorder="1"/>
    <xf numFmtId="4" fontId="43" fillId="0" borderId="46" xfId="47" applyNumberFormat="1" applyFont="1" applyBorder="1" applyAlignment="1">
      <alignment horizontal="center" wrapText="1"/>
    </xf>
    <xf numFmtId="0" fontId="69" fillId="0" borderId="0" xfId="61" applyFont="1"/>
    <xf numFmtId="0" fontId="64" fillId="43" borderId="19" xfId="74" applyFont="1" applyFill="1" applyBorder="1" applyAlignment="1">
      <alignment horizontal="center" vertical="center" wrapText="1"/>
    </xf>
    <xf numFmtId="0" fontId="64" fillId="43" borderId="18" xfId="74" applyFont="1" applyFill="1" applyBorder="1" applyAlignment="1">
      <alignment horizontal="center" vertical="center" wrapText="1"/>
    </xf>
    <xf numFmtId="175" fontId="102" fillId="0" borderId="0" xfId="73" applyNumberFormat="1" applyFont="1" applyAlignment="1">
      <alignment horizontal="center" vertical="center" wrapText="1"/>
    </xf>
    <xf numFmtId="175" fontId="4" fillId="0" borderId="0" xfId="73" applyNumberFormat="1"/>
    <xf numFmtId="4" fontId="46" fillId="0" borderId="96" xfId="73" applyNumberFormat="1" applyFont="1" applyBorder="1" applyAlignment="1">
      <alignment horizontal="center" vertical="center" wrapText="1"/>
    </xf>
    <xf numFmtId="175" fontId="46" fillId="0" borderId="94" xfId="73" applyNumberFormat="1" applyFont="1" applyBorder="1" applyAlignment="1">
      <alignment horizontal="center" vertical="center" wrapText="1"/>
    </xf>
    <xf numFmtId="169" fontId="57" fillId="0" borderId="12" xfId="70" applyNumberFormat="1" applyFont="1" applyFill="1" applyBorder="1" applyAlignment="1">
      <alignment horizontal="center" vertical="center" wrapText="1"/>
    </xf>
    <xf numFmtId="169" fontId="57" fillId="0" borderId="73" xfId="70" applyNumberFormat="1" applyFont="1" applyFill="1" applyBorder="1" applyAlignment="1">
      <alignment horizontal="center" vertical="center" wrapText="1"/>
    </xf>
    <xf numFmtId="169" fontId="57" fillId="0" borderId="91" xfId="70" applyNumberFormat="1" applyFont="1" applyFill="1" applyBorder="1" applyAlignment="1">
      <alignment horizontal="center" vertical="center" wrapText="1"/>
    </xf>
    <xf numFmtId="0" fontId="42" fillId="0" borderId="77" xfId="74" applyFont="1" applyBorder="1" applyAlignment="1">
      <alignment horizontal="center" vertical="center" wrapText="1"/>
    </xf>
    <xf numFmtId="0" fontId="42" fillId="0" borderId="45" xfId="74" applyFont="1" applyBorder="1" applyAlignment="1">
      <alignment horizontal="center" vertical="center" wrapText="1"/>
    </xf>
    <xf numFmtId="169" fontId="57" fillId="0" borderId="45" xfId="70" applyNumberFormat="1" applyFont="1" applyFill="1" applyBorder="1" applyAlignment="1">
      <alignment horizontal="left" vertical="center" wrapText="1"/>
    </xf>
    <xf numFmtId="169" fontId="57" fillId="0" borderId="45" xfId="70" applyNumberFormat="1" applyFont="1" applyFill="1" applyBorder="1" applyAlignment="1">
      <alignment horizontal="center" vertical="center" wrapText="1"/>
    </xf>
    <xf numFmtId="0" fontId="83" fillId="43" borderId="18" xfId="54" applyFont="1" applyFill="1" applyBorder="1" applyAlignment="1">
      <alignment horizontal="center" vertical="center" wrapText="1"/>
    </xf>
    <xf numFmtId="0" fontId="61" fillId="43" borderId="98" xfId="54" applyFont="1" applyFill="1" applyBorder="1" applyAlignment="1">
      <alignment horizontal="center" vertical="center" wrapText="1"/>
    </xf>
    <xf numFmtId="0" fontId="42" fillId="0" borderId="11" xfId="72" applyFont="1" applyBorder="1" applyAlignment="1">
      <alignment vertical="center" wrapText="1"/>
    </xf>
    <xf numFmtId="0" fontId="42" fillId="0" borderId="26" xfId="72" applyFont="1" applyBorder="1" applyAlignment="1">
      <alignment vertical="center" wrapText="1"/>
    </xf>
    <xf numFmtId="164" fontId="42" fillId="0" borderId="26" xfId="66" applyFont="1" applyFill="1" applyBorder="1" applyAlignment="1">
      <alignment vertical="center" wrapText="1"/>
    </xf>
    <xf numFmtId="169" fontId="64" fillId="0" borderId="26" xfId="70" applyNumberFormat="1" applyFont="1" applyFill="1" applyBorder="1" applyAlignment="1">
      <alignment horizontal="center" vertical="center" wrapText="1"/>
    </xf>
    <xf numFmtId="169" fontId="64" fillId="0" borderId="91" xfId="70" applyNumberFormat="1" applyFont="1" applyFill="1" applyBorder="1" applyAlignment="1">
      <alignment horizontal="center" vertical="center" wrapText="1"/>
    </xf>
    <xf numFmtId="0" fontId="61" fillId="43" borderId="17" xfId="54" applyFont="1" applyFill="1" applyBorder="1" applyAlignment="1">
      <alignment horizontal="center" vertical="center" wrapText="1"/>
    </xf>
    <xf numFmtId="4" fontId="57" fillId="0" borderId="78" xfId="0" applyNumberFormat="1" applyFont="1" applyBorder="1" applyAlignment="1">
      <alignment horizontal="center" vertical="center"/>
    </xf>
    <xf numFmtId="4" fontId="57" fillId="0" borderId="34" xfId="0" applyNumberFormat="1" applyFont="1" applyBorder="1" applyAlignment="1">
      <alignment horizontal="center" vertical="center"/>
    </xf>
    <xf numFmtId="4" fontId="61" fillId="0" borderId="27" xfId="0" applyNumberFormat="1" applyFont="1" applyBorder="1" applyAlignment="1">
      <alignment horizontal="center" vertical="center"/>
    </xf>
    <xf numFmtId="4" fontId="57" fillId="0" borderId="34" xfId="70" applyNumberFormat="1" applyFont="1" applyFill="1" applyBorder="1" applyAlignment="1">
      <alignment horizontal="center" vertical="center" wrapText="1"/>
    </xf>
    <xf numFmtId="4" fontId="57" fillId="0" borderId="27" xfId="70" applyNumberFormat="1" applyFont="1" applyFill="1" applyBorder="1" applyAlignment="1">
      <alignment horizontal="center" vertical="center" wrapText="1"/>
    </xf>
    <xf numFmtId="0" fontId="46" fillId="0" borderId="101" xfId="73" applyFont="1" applyBorder="1" applyAlignment="1">
      <alignment horizontal="center" vertical="center" wrapText="1"/>
    </xf>
    <xf numFmtId="4" fontId="43" fillId="0" borderId="76" xfId="73" applyNumberFormat="1" applyFont="1" applyBorder="1" applyAlignment="1">
      <alignment horizontal="center" vertical="center" wrapText="1"/>
    </xf>
    <xf numFmtId="4" fontId="46" fillId="0" borderId="76" xfId="73" applyNumberFormat="1" applyFont="1" applyBorder="1" applyAlignment="1">
      <alignment horizontal="center" vertical="center" wrapText="1"/>
    </xf>
    <xf numFmtId="175" fontId="46" fillId="0" borderId="97" xfId="73" applyNumberFormat="1" applyFont="1" applyBorder="1" applyAlignment="1">
      <alignment horizontal="center" vertical="center" wrapText="1"/>
    </xf>
    <xf numFmtId="0" fontId="46" fillId="0" borderId="102" xfId="73" applyFont="1" applyBorder="1" applyAlignment="1">
      <alignment horizontal="center" vertical="center" wrapText="1"/>
    </xf>
    <xf numFmtId="4" fontId="43" fillId="0" borderId="103" xfId="73" applyNumberFormat="1" applyFont="1" applyBorder="1" applyAlignment="1">
      <alignment horizontal="center" vertical="center" wrapText="1"/>
    </xf>
    <xf numFmtId="4" fontId="46" fillId="0" borderId="104" xfId="73" applyNumberFormat="1" applyFont="1" applyBorder="1" applyAlignment="1">
      <alignment horizontal="center" vertical="center" wrapText="1"/>
    </xf>
    <xf numFmtId="175" fontId="46" fillId="0" borderId="100" xfId="73" applyNumberFormat="1" applyFont="1" applyBorder="1" applyAlignment="1">
      <alignment horizontal="center" vertical="center" wrapText="1"/>
    </xf>
    <xf numFmtId="175" fontId="43" fillId="0" borderId="27" xfId="73" applyNumberFormat="1" applyFont="1" applyBorder="1" applyAlignment="1">
      <alignment horizontal="center" vertical="center" wrapText="1"/>
    </xf>
    <xf numFmtId="0" fontId="97" fillId="0" borderId="0" xfId="0" applyFont="1"/>
    <xf numFmtId="4" fontId="0" fillId="0" borderId="0" xfId="0" applyNumberFormat="1"/>
    <xf numFmtId="0" fontId="42" fillId="0" borderId="29" xfId="74" applyFont="1" applyBorder="1" applyAlignment="1">
      <alignment horizontal="center" vertical="center" wrapText="1"/>
    </xf>
    <xf numFmtId="169" fontId="57" fillId="0" borderId="29" xfId="70" applyNumberFormat="1" applyFont="1" applyFill="1" applyBorder="1" applyAlignment="1">
      <alignment horizontal="center" vertical="center" wrapText="1"/>
    </xf>
    <xf numFmtId="169" fontId="57" fillId="0" borderId="72" xfId="70" applyNumberFormat="1" applyFont="1" applyFill="1" applyBorder="1" applyAlignment="1">
      <alignment horizontal="center" vertical="center" wrapText="1"/>
    </xf>
    <xf numFmtId="169" fontId="57" fillId="0" borderId="73" xfId="70" applyNumberFormat="1" applyFont="1" applyFill="1" applyBorder="1" applyAlignment="1">
      <alignment horizontal="center" vertical="center" wrapText="1"/>
    </xf>
    <xf numFmtId="0" fontId="42" fillId="0" borderId="28" xfId="74" applyFont="1" applyBorder="1" applyAlignment="1">
      <alignment horizontal="center" vertical="center" wrapText="1"/>
    </xf>
    <xf numFmtId="0" fontId="42" fillId="0" borderId="11" xfId="74" applyFont="1" applyBorder="1" applyAlignment="1">
      <alignment horizontal="center" vertical="center" wrapText="1"/>
    </xf>
    <xf numFmtId="0" fontId="64" fillId="43" borderId="39" xfId="74" applyFont="1" applyFill="1" applyBorder="1" applyAlignment="1">
      <alignment horizontal="center" vertical="center" wrapText="1"/>
    </xf>
    <xf numFmtId="0" fontId="64" fillId="43" borderId="42" xfId="74" applyFont="1" applyFill="1" applyBorder="1" applyAlignment="1">
      <alignment horizontal="center" vertical="center" wrapText="1"/>
    </xf>
    <xf numFmtId="0" fontId="64" fillId="43" borderId="21" xfId="74" applyFont="1" applyFill="1" applyBorder="1" applyAlignment="1">
      <alignment horizontal="center" vertical="center" wrapText="1"/>
    </xf>
    <xf numFmtId="4" fontId="57" fillId="0" borderId="35" xfId="0" applyNumberFormat="1" applyFont="1" applyBorder="1" applyAlignment="1">
      <alignment horizontal="center" vertical="center"/>
    </xf>
    <xf numFmtId="4" fontId="57" fillId="0" borderId="78" xfId="0" applyNumberFormat="1" applyFont="1" applyBorder="1" applyAlignment="1">
      <alignment horizontal="center" vertical="center"/>
    </xf>
    <xf numFmtId="0" fontId="98" fillId="0" borderId="0" xfId="59" applyFont="1" applyAlignment="1">
      <alignment horizontal="left" vertical="center" wrapText="1"/>
    </xf>
    <xf numFmtId="0" fontId="98" fillId="0" borderId="0" xfId="59" applyFont="1" applyAlignment="1">
      <alignment horizontal="left" vertical="center"/>
    </xf>
    <xf numFmtId="0" fontId="43" fillId="0" borderId="79" xfId="73" applyFont="1" applyBorder="1" applyAlignment="1">
      <alignment horizontal="center" vertical="center" wrapText="1"/>
    </xf>
    <xf numFmtId="0" fontId="43" fillId="0" borderId="80" xfId="73" applyFont="1" applyBorder="1" applyAlignment="1">
      <alignment horizontal="center" vertical="center" wrapText="1"/>
    </xf>
    <xf numFmtId="0" fontId="49" fillId="0" borderId="30" xfId="73" applyFont="1" applyBorder="1" applyAlignment="1">
      <alignment horizontal="center" vertical="center" wrapText="1"/>
    </xf>
    <xf numFmtId="0" fontId="49" fillId="0" borderId="94" xfId="73" applyFont="1" applyBorder="1" applyAlignment="1">
      <alignment horizontal="center" vertical="center" wrapText="1"/>
    </xf>
    <xf numFmtId="0" fontId="42" fillId="0" borderId="0" xfId="73" applyFont="1" applyAlignment="1">
      <alignment horizontal="center" vertical="center" wrapText="1"/>
    </xf>
    <xf numFmtId="0" fontId="42" fillId="0" borderId="0" xfId="73" applyFont="1" applyAlignment="1">
      <alignment horizontal="center"/>
    </xf>
    <xf numFmtId="0" fontId="64" fillId="0" borderId="0" xfId="73" applyFont="1" applyAlignment="1">
      <alignment horizontal="center" vertical="center" wrapText="1"/>
    </xf>
    <xf numFmtId="0" fontId="46" fillId="0" borderId="29" xfId="73" applyFont="1" applyBorder="1" applyAlignment="1">
      <alignment horizontal="center" vertical="center" wrapText="1" shrinkToFit="1"/>
    </xf>
    <xf numFmtId="0" fontId="46" fillId="0" borderId="29" xfId="73" applyFont="1" applyBorder="1" applyAlignment="1">
      <alignment horizontal="center" vertical="center" wrapText="1"/>
    </xf>
    <xf numFmtId="0" fontId="46" fillId="0" borderId="72" xfId="73" applyFont="1" applyBorder="1" applyAlignment="1">
      <alignment horizontal="center" vertical="center" wrapText="1"/>
    </xf>
    <xf numFmtId="0" fontId="46" fillId="0" borderId="44" xfId="73" applyFont="1" applyBorder="1" applyAlignment="1">
      <alignment horizontal="center" vertical="center" wrapText="1"/>
    </xf>
    <xf numFmtId="49" fontId="43" fillId="18" borderId="46" xfId="73" applyNumberFormat="1" applyFont="1" applyFill="1" applyBorder="1" applyAlignment="1">
      <alignment horizontal="center" vertical="center" wrapText="1" shrinkToFit="1"/>
    </xf>
    <xf numFmtId="49" fontId="43" fillId="18" borderId="43" xfId="73" applyNumberFormat="1" applyFont="1" applyFill="1" applyBorder="1" applyAlignment="1">
      <alignment horizontal="center" vertical="center" wrapText="1" shrinkToFit="1"/>
    </xf>
    <xf numFmtId="49" fontId="43" fillId="18" borderId="45" xfId="73" applyNumberFormat="1" applyFont="1" applyFill="1" applyBorder="1" applyAlignment="1">
      <alignment horizontal="center" vertical="center" wrapText="1" shrinkToFit="1"/>
    </xf>
    <xf numFmtId="0" fontId="43" fillId="0" borderId="72" xfId="73" applyFont="1" applyBorder="1" applyAlignment="1">
      <alignment horizontal="center" vertical="center" wrapText="1" shrinkToFit="1"/>
    </xf>
    <xf numFmtId="0" fontId="43" fillId="0" borderId="92" xfId="73" applyFont="1" applyBorder="1" applyAlignment="1">
      <alignment horizontal="center" vertical="center" wrapText="1" shrinkToFit="1"/>
    </xf>
    <xf numFmtId="0" fontId="43" fillId="0" borderId="88" xfId="73" applyFont="1" applyBorder="1" applyAlignment="1">
      <alignment horizontal="center" vertical="center" wrapText="1" shrinkToFit="1"/>
    </xf>
    <xf numFmtId="0" fontId="43" fillId="0" borderId="41" xfId="73" applyFont="1" applyBorder="1" applyAlignment="1">
      <alignment horizontal="center" vertical="center" wrapText="1" shrinkToFit="1"/>
    </xf>
    <xf numFmtId="0" fontId="43" fillId="0" borderId="0" xfId="73" applyFont="1" applyAlignment="1">
      <alignment horizontal="center" vertical="center" wrapText="1" shrinkToFit="1"/>
    </xf>
    <xf numFmtId="0" fontId="43" fillId="0" borderId="86" xfId="73" applyFont="1" applyBorder="1" applyAlignment="1">
      <alignment horizontal="center" vertical="center" wrapText="1" shrinkToFit="1"/>
    </xf>
    <xf numFmtId="0" fontId="43" fillId="0" borderId="73" xfId="73" applyFont="1" applyBorder="1" applyAlignment="1">
      <alignment horizontal="center" vertical="center" wrapText="1" shrinkToFit="1"/>
    </xf>
    <xf numFmtId="0" fontId="43" fillId="0" borderId="93" xfId="73" applyFont="1" applyBorder="1" applyAlignment="1">
      <alignment horizontal="center" vertical="center" wrapText="1" shrinkToFit="1"/>
    </xf>
    <xf numFmtId="0" fontId="43" fillId="0" borderId="89" xfId="73" applyFont="1" applyBorder="1" applyAlignment="1">
      <alignment horizontal="center" vertical="center" wrapText="1" shrinkToFit="1"/>
    </xf>
    <xf numFmtId="3" fontId="57" fillId="0" borderId="0" xfId="54" applyNumberFormat="1" applyFont="1" applyAlignment="1">
      <alignment horizontal="left" vertical="center" wrapText="1"/>
    </xf>
    <xf numFmtId="3" fontId="57" fillId="18" borderId="0" xfId="54" applyNumberFormat="1" applyFont="1" applyFill="1" applyAlignment="1">
      <alignment horizontal="left" vertical="center" wrapText="1"/>
    </xf>
    <xf numFmtId="3" fontId="57" fillId="0" borderId="12" xfId="54" applyNumberFormat="1" applyFont="1" applyBorder="1" applyAlignment="1">
      <alignment horizontal="left" vertical="center" wrapText="1"/>
    </xf>
    <xf numFmtId="3" fontId="57" fillId="0" borderId="24" xfId="54" applyNumberFormat="1" applyFont="1" applyBorder="1" applyAlignment="1">
      <alignment horizontal="left" vertical="center" wrapText="1"/>
    </xf>
    <xf numFmtId="4" fontId="57" fillId="0" borderId="12" xfId="54" applyNumberFormat="1" applyFont="1" applyBorder="1" applyAlignment="1">
      <alignment horizontal="center" vertical="center" wrapText="1"/>
    </xf>
    <xf numFmtId="4" fontId="57" fillId="0" borderId="25" xfId="54" applyNumberFormat="1" applyFont="1" applyBorder="1" applyAlignment="1">
      <alignment horizontal="center" vertical="center" wrapText="1"/>
    </xf>
    <xf numFmtId="0" fontId="61" fillId="0" borderId="91" xfId="54" applyFont="1" applyBorder="1" applyAlignment="1">
      <alignment horizontal="left" vertical="center" wrapText="1"/>
    </xf>
    <xf numFmtId="0" fontId="61" fillId="0" borderId="84" xfId="54" applyFont="1" applyBorder="1" applyAlignment="1">
      <alignment horizontal="left" vertical="center" wrapText="1"/>
    </xf>
    <xf numFmtId="4" fontId="61" fillId="0" borderId="91" xfId="54" applyNumberFormat="1" applyFont="1" applyBorder="1" applyAlignment="1">
      <alignment horizontal="center" vertical="center" wrapText="1"/>
    </xf>
    <xf numFmtId="4" fontId="61" fillId="0" borderId="83" xfId="54" applyNumberFormat="1" applyFont="1" applyBorder="1" applyAlignment="1">
      <alignment horizontal="center" vertical="center" wrapText="1"/>
    </xf>
    <xf numFmtId="0" fontId="83" fillId="43" borderId="87" xfId="54" applyFont="1" applyFill="1" applyBorder="1" applyAlignment="1">
      <alignment horizontal="center" vertical="center" wrapText="1"/>
    </xf>
    <xf numFmtId="0" fontId="83" fillId="43" borderId="77" xfId="54" applyFont="1" applyFill="1" applyBorder="1" applyAlignment="1">
      <alignment horizontal="center" vertical="center" wrapText="1"/>
    </xf>
    <xf numFmtId="0" fontId="61" fillId="43" borderId="72" xfId="54" applyFont="1" applyFill="1" applyBorder="1" applyAlignment="1">
      <alignment horizontal="center" vertical="center" wrapText="1"/>
    </xf>
    <xf numFmtId="0" fontId="61" fillId="43" borderId="44" xfId="54" applyFont="1" applyFill="1" applyBorder="1" applyAlignment="1">
      <alignment horizontal="center" vertical="center" wrapText="1"/>
    </xf>
    <xf numFmtId="0" fontId="61" fillId="43" borderId="73" xfId="54" applyFont="1" applyFill="1" applyBorder="1" applyAlignment="1">
      <alignment horizontal="center" vertical="center" wrapText="1"/>
    </xf>
    <xf numFmtId="0" fontId="61" fillId="43" borderId="90" xfId="54" applyFont="1" applyFill="1" applyBorder="1" applyAlignment="1">
      <alignment horizontal="center" vertical="center" wrapText="1"/>
    </xf>
    <xf numFmtId="0" fontId="61" fillId="43" borderId="46" xfId="54" applyFont="1" applyFill="1" applyBorder="1" applyAlignment="1">
      <alignment horizontal="center" vertical="center" wrapText="1"/>
    </xf>
    <xf numFmtId="0" fontId="61" fillId="43" borderId="45" xfId="54" applyFont="1" applyFill="1" applyBorder="1" applyAlignment="1">
      <alignment horizontal="center" vertical="center" wrapText="1"/>
    </xf>
    <xf numFmtId="0" fontId="61" fillId="43" borderId="92" xfId="54" applyFont="1" applyFill="1" applyBorder="1" applyAlignment="1">
      <alignment horizontal="center" vertical="center" wrapText="1"/>
    </xf>
    <xf numFmtId="0" fontId="61" fillId="43" borderId="93" xfId="54" applyFont="1" applyFill="1" applyBorder="1" applyAlignment="1">
      <alignment horizontal="center" vertical="center" wrapText="1"/>
    </xf>
    <xf numFmtId="0" fontId="61" fillId="43" borderId="74" xfId="54" applyFont="1" applyFill="1" applyBorder="1" applyAlignment="1">
      <alignment horizontal="center" vertical="center" wrapText="1" shrinkToFit="1"/>
    </xf>
    <xf numFmtId="0" fontId="61" fillId="43" borderId="81" xfId="54" applyFont="1" applyFill="1" applyBorder="1" applyAlignment="1">
      <alignment horizontal="center" vertical="center" wrapText="1" shrinkToFit="1"/>
    </xf>
    <xf numFmtId="0" fontId="61" fillId="43" borderId="99" xfId="54" applyFont="1" applyFill="1" applyBorder="1" applyAlignment="1">
      <alignment horizontal="center" vertical="center" wrapText="1" shrinkToFit="1"/>
    </xf>
    <xf numFmtId="0" fontId="61" fillId="43" borderId="35" xfId="54" applyFont="1" applyFill="1" applyBorder="1" applyAlignment="1">
      <alignment horizontal="center" vertical="center" wrapText="1"/>
    </xf>
    <xf numFmtId="0" fontId="61" fillId="43" borderId="78" xfId="54" applyFont="1" applyFill="1" applyBorder="1" applyAlignment="1">
      <alignment horizontal="center" vertical="center" wrapText="1"/>
    </xf>
    <xf numFmtId="0" fontId="61" fillId="26" borderId="29" xfId="48" applyFont="1" applyFill="1" applyBorder="1" applyAlignment="1">
      <alignment horizontal="center" vertical="center"/>
    </xf>
    <xf numFmtId="0" fontId="45" fillId="20" borderId="29" xfId="48" applyFont="1" applyFill="1" applyBorder="1" applyAlignment="1">
      <alignment horizontal="center" vertical="center" wrapText="1"/>
    </xf>
    <xf numFmtId="0" fontId="32" fillId="20" borderId="29" xfId="48" applyFont="1" applyFill="1" applyBorder="1" applyAlignment="1">
      <alignment horizontal="center" vertical="center" wrapText="1"/>
    </xf>
    <xf numFmtId="0" fontId="50" fillId="18" borderId="0" xfId="48" applyFont="1" applyFill="1" applyAlignment="1">
      <alignment horizontal="left" wrapText="1"/>
    </xf>
    <xf numFmtId="0" fontId="46" fillId="0" borderId="29" xfId="47" applyFont="1" applyBorder="1" applyAlignment="1">
      <alignment horizontal="center" vertical="center" wrapText="1"/>
    </xf>
    <xf numFmtId="0" fontId="46" fillId="0" borderId="10" xfId="47" applyFont="1" applyBorder="1" applyAlignment="1">
      <alignment horizontal="center" vertical="center" wrapText="1"/>
    </xf>
    <xf numFmtId="166" fontId="46" fillId="0" borderId="10" xfId="47" applyNumberFormat="1" applyFont="1" applyBorder="1" applyAlignment="1">
      <alignment horizontal="center" vertical="center" wrapText="1"/>
    </xf>
    <xf numFmtId="0" fontId="46" fillId="18" borderId="10" xfId="47" applyFont="1" applyFill="1" applyBorder="1" applyAlignment="1">
      <alignment horizontal="center" vertical="center" wrapText="1"/>
    </xf>
    <xf numFmtId="0" fontId="47" fillId="0" borderId="12" xfId="47" applyFont="1" applyBorder="1" applyAlignment="1">
      <alignment horizontal="center" vertical="center"/>
    </xf>
    <xf numFmtId="0" fontId="47" fillId="0" borderId="25" xfId="47" applyFont="1" applyBorder="1" applyAlignment="1">
      <alignment horizontal="center" vertical="center"/>
    </xf>
    <xf numFmtId="0" fontId="47" fillId="0" borderId="24" xfId="47" applyFont="1" applyBorder="1" applyAlignment="1">
      <alignment horizontal="center" vertical="center"/>
    </xf>
    <xf numFmtId="0" fontId="59" fillId="0" borderId="46" xfId="47" applyFont="1" applyBorder="1" applyAlignment="1">
      <alignment horizontal="center" vertical="center" wrapText="1"/>
    </xf>
    <xf numFmtId="0" fontId="59" fillId="0" borderId="45" xfId="47" applyFont="1" applyBorder="1" applyAlignment="1">
      <alignment horizontal="center" vertical="center" wrapText="1"/>
    </xf>
    <xf numFmtId="0" fontId="99" fillId="0" borderId="0" xfId="59" applyFont="1" applyAlignment="1">
      <alignment horizontal="left" vertical="center" wrapText="1"/>
    </xf>
    <xf numFmtId="0" fontId="46" fillId="0" borderId="0" xfId="47" applyFont="1" applyAlignment="1">
      <alignment horizontal="left"/>
    </xf>
    <xf numFmtId="0" fontId="46" fillId="0" borderId="0" xfId="47" applyFont="1" applyAlignment="1">
      <alignment horizontal="center" vertical="center" wrapText="1"/>
    </xf>
    <xf numFmtId="0" fontId="46" fillId="0" borderId="0" xfId="47" applyFont="1" applyAlignment="1">
      <alignment horizontal="center"/>
    </xf>
    <xf numFmtId="4" fontId="54" fillId="0" borderId="0" xfId="47" applyNumberFormat="1" applyFont="1" applyAlignment="1">
      <alignment horizontal="left" wrapText="1"/>
    </xf>
    <xf numFmtId="0" fontId="46" fillId="0" borderId="38" xfId="47" applyFont="1" applyBorder="1" applyAlignment="1">
      <alignment horizontal="center"/>
    </xf>
    <xf numFmtId="0" fontId="46" fillId="0" borderId="22" xfId="47" applyFont="1" applyBorder="1" applyAlignment="1">
      <alignment horizontal="center"/>
    </xf>
    <xf numFmtId="0" fontId="46" fillId="19" borderId="10" xfId="47" applyFont="1" applyFill="1" applyBorder="1" applyAlignment="1">
      <alignment horizontal="center" vertical="center" wrapText="1"/>
    </xf>
    <xf numFmtId="0" fontId="43" fillId="0" borderId="20" xfId="47" applyFont="1" applyBorder="1" applyAlignment="1">
      <alignment horizontal="center" vertical="top" wrapText="1"/>
    </xf>
    <xf numFmtId="0" fontId="43" fillId="0" borderId="14" xfId="47" applyFont="1" applyBorder="1" applyAlignment="1">
      <alignment horizontal="center" vertical="top" wrapText="1"/>
    </xf>
    <xf numFmtId="0" fontId="47" fillId="0" borderId="10" xfId="47" applyFont="1" applyBorder="1" applyAlignment="1">
      <alignment horizontal="center" vertical="center"/>
    </xf>
    <xf numFmtId="2" fontId="47" fillId="24" borderId="12" xfId="51" applyNumberFormat="1" applyFont="1" applyFill="1" applyBorder="1" applyAlignment="1">
      <alignment horizontal="center" vertical="center"/>
    </xf>
    <xf numFmtId="2" fontId="47" fillId="24" borderId="25" xfId="51" applyNumberFormat="1" applyFont="1" applyFill="1" applyBorder="1" applyAlignment="1">
      <alignment horizontal="center" vertical="center"/>
    </xf>
    <xf numFmtId="2" fontId="47" fillId="24" borderId="24" xfId="51" applyNumberFormat="1" applyFont="1" applyFill="1" applyBorder="1" applyAlignment="1">
      <alignment horizontal="center" vertical="center"/>
    </xf>
    <xf numFmtId="2" fontId="47" fillId="25" borderId="12" xfId="50" applyNumberFormat="1" applyFont="1" applyFill="1" applyBorder="1" applyAlignment="1">
      <alignment horizontal="center" vertical="center" wrapText="1"/>
    </xf>
    <xf numFmtId="2" fontId="47" fillId="25" borderId="25" xfId="50" applyNumberFormat="1" applyFont="1" applyFill="1" applyBorder="1" applyAlignment="1">
      <alignment horizontal="center" vertical="center" wrapText="1"/>
    </xf>
    <xf numFmtId="2" fontId="47" fillId="25" borderId="24" xfId="50" applyNumberFormat="1" applyFont="1" applyFill="1" applyBorder="1" applyAlignment="1">
      <alignment horizontal="center" vertical="center" wrapText="1"/>
    </xf>
    <xf numFmtId="0" fontId="49" fillId="0" borderId="41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40" xfId="0" applyFont="1" applyBorder="1" applyAlignment="1">
      <alignment horizontal="center" vertical="center"/>
    </xf>
    <xf numFmtId="0" fontId="49" fillId="0" borderId="39" xfId="0" applyFont="1" applyBorder="1" applyAlignment="1">
      <alignment horizontal="center" vertical="center" wrapText="1"/>
    </xf>
    <xf numFmtId="0" fontId="49" fillId="0" borderId="42" xfId="0" applyFont="1" applyBorder="1" applyAlignment="1">
      <alignment horizontal="center" vertical="center" wrapText="1"/>
    </xf>
    <xf numFmtId="0" fontId="49" fillId="0" borderId="21" xfId="0" applyFont="1" applyBorder="1" applyAlignment="1">
      <alignment horizontal="center" vertical="center" wrapText="1"/>
    </xf>
    <xf numFmtId="0" fontId="49" fillId="0" borderId="38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49" fillId="0" borderId="13" xfId="0" applyFont="1" applyBorder="1" applyAlignment="1">
      <alignment horizontal="center" vertical="center" wrapText="1"/>
    </xf>
    <xf numFmtId="0" fontId="49" fillId="0" borderId="30" xfId="0" applyFont="1" applyBorder="1" applyAlignment="1">
      <alignment horizontal="left" vertical="center"/>
    </xf>
    <xf numFmtId="0" fontId="49" fillId="0" borderId="25" xfId="0" applyFont="1" applyBorder="1" applyAlignment="1">
      <alignment horizontal="left" vertical="center"/>
    </xf>
    <xf numFmtId="0" fontId="32" fillId="27" borderId="0" xfId="38" applyFont="1" applyFill="1" applyAlignment="1">
      <alignment horizontal="left" vertical="center" wrapText="1"/>
    </xf>
    <xf numFmtId="0" fontId="69" fillId="30" borderId="48" xfId="61" applyFont="1" applyFill="1" applyBorder="1" applyAlignment="1">
      <alignment horizontal="center" vertical="center"/>
    </xf>
    <xf numFmtId="0" fontId="69" fillId="0" borderId="48" xfId="61" applyFont="1" applyBorder="1" applyAlignment="1">
      <alignment horizontal="center" vertical="center"/>
    </xf>
    <xf numFmtId="0" fontId="12" fillId="27" borderId="0" xfId="60" applyFill="1" applyAlignment="1">
      <alignment horizontal="right"/>
    </xf>
    <xf numFmtId="0" fontId="68" fillId="28" borderId="0" xfId="60" applyFont="1" applyFill="1" applyAlignment="1">
      <alignment horizontal="center" wrapText="1"/>
    </xf>
    <xf numFmtId="0" fontId="68" fillId="28" borderId="0" xfId="60" applyFont="1" applyFill="1" applyAlignment="1">
      <alignment horizontal="center" vertical="top" wrapText="1"/>
    </xf>
    <xf numFmtId="0" fontId="69" fillId="29" borderId="48" xfId="61" applyFont="1" applyFill="1" applyBorder="1" applyAlignment="1">
      <alignment horizontal="center" vertical="center" wrapText="1"/>
    </xf>
    <xf numFmtId="0" fontId="69" fillId="29" borderId="49" xfId="61" applyFont="1" applyFill="1" applyBorder="1" applyAlignment="1">
      <alignment horizontal="center" vertical="center" wrapText="1"/>
    </xf>
    <xf numFmtId="0" fontId="69" fillId="29" borderId="51" xfId="61" applyFont="1" applyFill="1" applyBorder="1" applyAlignment="1">
      <alignment horizontal="center" vertical="center" wrapText="1"/>
    </xf>
    <xf numFmtId="0" fontId="69" fillId="29" borderId="50" xfId="61" applyFont="1" applyFill="1" applyBorder="1" applyAlignment="1">
      <alignment horizontal="center" vertical="center" wrapText="1"/>
    </xf>
    <xf numFmtId="0" fontId="69" fillId="29" borderId="29" xfId="61" applyFont="1" applyFill="1" applyBorder="1" applyAlignment="1">
      <alignment horizontal="center" vertical="center" wrapText="1"/>
    </xf>
    <xf numFmtId="0" fontId="104" fillId="42" borderId="30" xfId="61" applyFont="1" applyFill="1" applyBorder="1" applyAlignment="1">
      <alignment horizontal="center" wrapText="1"/>
    </xf>
    <xf numFmtId="0" fontId="104" fillId="42" borderId="25" xfId="61" applyFont="1" applyFill="1" applyBorder="1" applyAlignment="1">
      <alignment horizontal="center" wrapText="1"/>
    </xf>
    <xf numFmtId="0" fontId="104" fillId="42" borderId="24" xfId="61" applyFont="1" applyFill="1" applyBorder="1" applyAlignment="1">
      <alignment horizontal="center" wrapText="1"/>
    </xf>
    <xf numFmtId="0" fontId="76" fillId="34" borderId="48" xfId="61" applyFont="1" applyFill="1" applyBorder="1" applyAlignment="1">
      <alignment horizontal="center" vertical="center" wrapText="1"/>
    </xf>
    <xf numFmtId="0" fontId="84" fillId="0" borderId="70" xfId="61" applyFont="1" applyBorder="1" applyAlignment="1">
      <alignment horizontal="center"/>
    </xf>
    <xf numFmtId="0" fontId="84" fillId="0" borderId="71" xfId="61" applyFont="1" applyBorder="1" applyAlignment="1">
      <alignment horizontal="center"/>
    </xf>
    <xf numFmtId="0" fontId="95" fillId="45" borderId="29" xfId="61" applyFont="1" applyFill="1" applyBorder="1" applyAlignment="1">
      <alignment horizontal="left"/>
    </xf>
    <xf numFmtId="0" fontId="104" fillId="42" borderId="74" xfId="61" applyFont="1" applyFill="1" applyBorder="1" applyAlignment="1">
      <alignment horizontal="center" wrapText="1"/>
    </xf>
    <xf numFmtId="0" fontId="104" fillId="42" borderId="81" xfId="61" applyFont="1" applyFill="1" applyBorder="1" applyAlignment="1">
      <alignment horizontal="center" wrapText="1"/>
    </xf>
    <xf numFmtId="0" fontId="104" fillId="42" borderId="82" xfId="61" applyFont="1" applyFill="1" applyBorder="1" applyAlignment="1">
      <alignment horizontal="center" wrapText="1"/>
    </xf>
    <xf numFmtId="10" fontId="66" fillId="31" borderId="12" xfId="61" applyNumberFormat="1" applyFill="1" applyBorder="1" applyAlignment="1">
      <alignment horizontal="center"/>
    </xf>
    <xf numFmtId="10" fontId="66" fillId="31" borderId="24" xfId="61" applyNumberFormat="1" applyFill="1" applyBorder="1" applyAlignment="1">
      <alignment horizontal="center"/>
    </xf>
    <xf numFmtId="0" fontId="66" fillId="0" borderId="12" xfId="61" applyBorder="1" applyAlignment="1">
      <alignment horizontal="center"/>
    </xf>
    <xf numFmtId="0" fontId="66" fillId="0" borderId="24" xfId="61" applyBorder="1" applyAlignment="1">
      <alignment horizontal="center"/>
    </xf>
    <xf numFmtId="0" fontId="75" fillId="32" borderId="48" xfId="61" applyFont="1" applyFill="1" applyBorder="1" applyAlignment="1">
      <alignment horizontal="center" vertical="center" wrapText="1"/>
    </xf>
    <xf numFmtId="4" fontId="70" fillId="31" borderId="29" xfId="61" applyNumberFormat="1" applyFont="1" applyFill="1" applyBorder="1" applyAlignment="1">
      <alignment horizontal="right"/>
    </xf>
    <xf numFmtId="0" fontId="83" fillId="31" borderId="48" xfId="61" applyFont="1" applyFill="1" applyBorder="1" applyAlignment="1">
      <alignment horizontal="left"/>
    </xf>
    <xf numFmtId="0" fontId="83" fillId="31" borderId="48" xfId="61" applyFont="1" applyFill="1" applyBorder="1" applyAlignment="1">
      <alignment horizontal="center" vertical="center"/>
    </xf>
    <xf numFmtId="0" fontId="74" fillId="32" borderId="49" xfId="61" applyFont="1" applyFill="1" applyBorder="1" applyAlignment="1">
      <alignment horizontal="center" vertical="center" wrapText="1"/>
    </xf>
    <xf numFmtId="0" fontId="74" fillId="32" borderId="57" xfId="61" applyFont="1" applyFill="1" applyBorder="1" applyAlignment="1">
      <alignment horizontal="center" vertical="center" wrapText="1"/>
    </xf>
    <xf numFmtId="0" fontId="74" fillId="32" borderId="51" xfId="61" applyFont="1" applyFill="1" applyBorder="1" applyAlignment="1">
      <alignment horizontal="center" vertical="center" wrapText="1"/>
    </xf>
    <xf numFmtId="0" fontId="74" fillId="32" borderId="48" xfId="61" applyFont="1" applyFill="1" applyBorder="1" applyAlignment="1">
      <alignment horizontal="center" vertical="center"/>
    </xf>
    <xf numFmtId="0" fontId="77" fillId="32" borderId="56" xfId="61" applyFont="1" applyFill="1" applyBorder="1" applyAlignment="1">
      <alignment horizontal="center" vertical="center"/>
    </xf>
    <xf numFmtId="0" fontId="77" fillId="32" borderId="49" xfId="61" applyFont="1" applyFill="1" applyBorder="1" applyAlignment="1">
      <alignment horizontal="center" vertical="center"/>
    </xf>
    <xf numFmtId="0" fontId="74" fillId="32" borderId="51" xfId="61" applyFont="1" applyFill="1" applyBorder="1" applyAlignment="1">
      <alignment horizontal="center" vertical="center"/>
    </xf>
    <xf numFmtId="0" fontId="74" fillId="32" borderId="55" xfId="61" applyFont="1" applyFill="1" applyBorder="1" applyAlignment="1">
      <alignment horizontal="center" vertical="center"/>
    </xf>
    <xf numFmtId="0" fontId="76" fillId="32" borderId="55" xfId="61" applyFont="1" applyFill="1" applyBorder="1" applyAlignment="1">
      <alignment horizontal="center" vertical="center" wrapText="1"/>
    </xf>
    <xf numFmtId="0" fontId="76" fillId="34" borderId="55" xfId="61" applyFont="1" applyFill="1" applyBorder="1" applyAlignment="1">
      <alignment horizontal="center" vertical="center" wrapText="1"/>
    </xf>
    <xf numFmtId="0" fontId="66" fillId="31" borderId="0" xfId="61" applyFill="1" applyAlignment="1">
      <alignment horizontal="center"/>
    </xf>
    <xf numFmtId="0" fontId="12" fillId="27" borderId="0" xfId="60" applyFill="1" applyAlignment="1">
      <alignment horizontal="center"/>
    </xf>
    <xf numFmtId="0" fontId="68" fillId="0" borderId="0" xfId="60" applyFont="1" applyAlignment="1">
      <alignment horizontal="center" wrapText="1"/>
    </xf>
    <xf numFmtId="0" fontId="68" fillId="0" borderId="52" xfId="60" applyFont="1" applyBorder="1" applyAlignment="1">
      <alignment horizontal="center" vertical="center"/>
    </xf>
    <xf numFmtId="0" fontId="107" fillId="27" borderId="0" xfId="38" applyFont="1" applyFill="1" applyAlignment="1">
      <alignment horizontal="left" vertical="center" wrapText="1"/>
    </xf>
    <xf numFmtId="0" fontId="104" fillId="42" borderId="75" xfId="61" applyFont="1" applyFill="1" applyBorder="1" applyAlignment="1">
      <alignment horizontal="center"/>
    </xf>
    <xf numFmtId="0" fontId="104" fillId="42" borderId="83" xfId="61" applyFont="1" applyFill="1" applyBorder="1" applyAlignment="1">
      <alignment horizontal="center"/>
    </xf>
    <xf numFmtId="0" fontId="104" fillId="42" borderId="84" xfId="61" applyFont="1" applyFill="1" applyBorder="1" applyAlignment="1">
      <alignment horizontal="center"/>
    </xf>
    <xf numFmtId="49" fontId="65" fillId="42" borderId="39" xfId="38" applyNumberFormat="1" applyFont="1" applyFill="1" applyBorder="1" applyAlignment="1">
      <alignment horizontal="center" vertical="center" wrapText="1"/>
    </xf>
    <xf numFmtId="49" fontId="65" fillId="42" borderId="42" xfId="38" applyNumberFormat="1" applyFont="1" applyFill="1" applyBorder="1" applyAlignment="1">
      <alignment horizontal="center" vertical="center" wrapText="1"/>
    </xf>
    <xf numFmtId="49" fontId="65" fillId="42" borderId="21" xfId="38" applyNumberFormat="1" applyFont="1" applyFill="1" applyBorder="1" applyAlignment="1">
      <alignment horizontal="center" vertical="center" wrapText="1"/>
    </xf>
    <xf numFmtId="49" fontId="65" fillId="42" borderId="85" xfId="38" applyNumberFormat="1" applyFont="1" applyFill="1" applyBorder="1" applyAlignment="1">
      <alignment horizontal="center" vertical="center" wrapText="1"/>
    </xf>
    <xf numFmtId="49" fontId="65" fillId="42" borderId="0" xfId="38" applyNumberFormat="1" applyFont="1" applyFill="1" applyAlignment="1">
      <alignment horizontal="center" vertical="center" wrapText="1"/>
    </xf>
    <xf numFmtId="49" fontId="65" fillId="42" borderId="86" xfId="38" applyNumberFormat="1" applyFont="1" applyFill="1" applyBorder="1" applyAlignment="1">
      <alignment horizontal="center" vertical="center" wrapText="1"/>
    </xf>
    <xf numFmtId="49" fontId="65" fillId="42" borderId="38" xfId="38" applyNumberFormat="1" applyFont="1" applyFill="1" applyBorder="1" applyAlignment="1">
      <alignment horizontal="center" vertical="center" wrapText="1"/>
    </xf>
    <xf numFmtId="49" fontId="65" fillId="42" borderId="37" xfId="38" applyNumberFormat="1" applyFont="1" applyFill="1" applyBorder="1" applyAlignment="1">
      <alignment horizontal="center" vertical="center" wrapText="1"/>
    </xf>
    <xf numFmtId="49" fontId="65" fillId="42" borderId="13" xfId="38" applyNumberFormat="1" applyFont="1" applyFill="1" applyBorder="1" applyAlignment="1">
      <alignment horizontal="center" vertical="center" wrapText="1"/>
    </xf>
    <xf numFmtId="0" fontId="78" fillId="35" borderId="58" xfId="61" applyFont="1" applyFill="1" applyBorder="1" applyAlignment="1">
      <alignment horizontal="center" vertical="center" wrapText="1"/>
    </xf>
    <xf numFmtId="0" fontId="82" fillId="0" borderId="29" xfId="61" applyFont="1" applyBorder="1" applyAlignment="1">
      <alignment horizontal="left" vertical="top" wrapText="1"/>
    </xf>
    <xf numFmtId="0" fontId="82" fillId="0" borderId="29" xfId="61" applyFont="1" applyBorder="1" applyAlignment="1">
      <alignment horizontal="left" vertical="center" wrapText="1"/>
    </xf>
    <xf numFmtId="0" fontId="84" fillId="31" borderId="0" xfId="61" applyFont="1" applyFill="1" applyAlignment="1">
      <alignment horizontal="center" wrapText="1"/>
    </xf>
    <xf numFmtId="0" fontId="84" fillId="31" borderId="0" xfId="61" applyFont="1" applyFill="1" applyAlignment="1">
      <alignment horizontal="center"/>
    </xf>
    <xf numFmtId="0" fontId="82" fillId="0" borderId="48" xfId="61" applyFont="1" applyBorder="1" applyAlignment="1">
      <alignment horizontal="left" vertical="top" wrapText="1"/>
    </xf>
    <xf numFmtId="0" fontId="82" fillId="0" borderId="48" xfId="61" applyFont="1" applyBorder="1" applyAlignment="1">
      <alignment horizontal="left" vertical="center" wrapText="1"/>
    </xf>
    <xf numFmtId="0" fontId="82" fillId="0" borderId="49" xfId="61" applyFont="1" applyBorder="1" applyAlignment="1">
      <alignment horizontal="left" vertical="top" wrapText="1"/>
    </xf>
    <xf numFmtId="0" fontId="82" fillId="0" borderId="49" xfId="61" applyFont="1" applyBorder="1" applyAlignment="1">
      <alignment horizontal="center" vertical="center" wrapText="1"/>
    </xf>
    <xf numFmtId="0" fontId="82" fillId="0" borderId="49" xfId="61" applyFont="1" applyBorder="1" applyAlignment="1">
      <alignment horizontal="left" vertical="center" wrapText="1"/>
    </xf>
    <xf numFmtId="0" fontId="66" fillId="0" borderId="0" xfId="61" applyAlignment="1">
      <alignment horizontal="center"/>
    </xf>
    <xf numFmtId="9" fontId="88" fillId="0" borderId="66" xfId="61" applyNumberFormat="1" applyFont="1" applyBorder="1" applyAlignment="1">
      <alignment horizontal="center" vertical="center" wrapText="1"/>
    </xf>
    <xf numFmtId="0" fontId="68" fillId="27" borderId="0" xfId="38" applyFont="1" applyFill="1" applyAlignment="1">
      <alignment horizontal="left" vertical="top" wrapText="1"/>
    </xf>
    <xf numFmtId="0" fontId="76" fillId="31" borderId="0" xfId="61" applyFont="1" applyFill="1" applyAlignment="1">
      <alignment horizontal="center"/>
    </xf>
    <xf numFmtId="0" fontId="34" fillId="31" borderId="48" xfId="61" applyFont="1" applyFill="1" applyBorder="1" applyAlignment="1">
      <alignment horizontal="left" vertical="center" wrapText="1"/>
    </xf>
    <xf numFmtId="0" fontId="34" fillId="31" borderId="48" xfId="61" applyFont="1" applyFill="1" applyBorder="1" applyAlignment="1">
      <alignment horizontal="left" wrapText="1"/>
    </xf>
    <xf numFmtId="0" fontId="86" fillId="0" borderId="0" xfId="63" applyFont="1" applyAlignment="1">
      <alignment horizontal="center"/>
    </xf>
    <xf numFmtId="0" fontId="50" fillId="27" borderId="0" xfId="63" applyFont="1" applyFill="1" applyAlignment="1">
      <alignment horizontal="left" wrapText="1"/>
    </xf>
    <xf numFmtId="0" fontId="50" fillId="27" borderId="0" xfId="63" applyFont="1" applyFill="1" applyAlignment="1">
      <alignment horizontal="left"/>
    </xf>
    <xf numFmtId="0" fontId="68" fillId="27" borderId="0" xfId="38" applyFont="1" applyFill="1" applyAlignment="1">
      <alignment horizontal="left" wrapText="1"/>
    </xf>
    <xf numFmtId="0" fontId="46" fillId="0" borderId="0" xfId="47" applyFont="1" applyAlignment="1">
      <alignment horizontal="left" vertical="top"/>
    </xf>
    <xf numFmtId="0" fontId="88" fillId="0" borderId="66" xfId="61" applyFont="1" applyBorder="1" applyAlignment="1">
      <alignment horizontal="center" vertical="top" wrapText="1"/>
    </xf>
    <xf numFmtId="0" fontId="88" fillId="0" borderId="66" xfId="61" applyFont="1" applyBorder="1" applyAlignment="1">
      <alignment horizontal="justify" vertical="top" wrapText="1"/>
    </xf>
  </cellXfs>
  <cellStyles count="77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Денежный 2" xfId="28" xr:uid="{00000000-0005-0000-0000-00001B000000}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Нейтральный 2" xfId="51" xr:uid="{00000000-0005-0000-0000-000024000000}"/>
    <cellStyle name="Нейтральный 2 2" xfId="64" xr:uid="{00000000-0005-0000-0000-000025000000}"/>
    <cellStyle name="Обычный" xfId="0" builtinId="0"/>
    <cellStyle name="Обычный 2" xfId="37" xr:uid="{00000000-0005-0000-0000-000027000000}"/>
    <cellStyle name="Обычный 2 2" xfId="63" xr:uid="{00000000-0005-0000-0000-000028000000}"/>
    <cellStyle name="Обычный 2 2 2" xfId="69" xr:uid="{00000000-0005-0000-0000-000029000000}"/>
    <cellStyle name="Обычный 2 2 3" xfId="76" xr:uid="{00000000-0005-0000-0000-00002A000000}"/>
    <cellStyle name="Обычный 3" xfId="38" xr:uid="{00000000-0005-0000-0000-00002B000000}"/>
    <cellStyle name="Обычный 3 2" xfId="48" xr:uid="{00000000-0005-0000-0000-00002C000000}"/>
    <cellStyle name="Обычный 3 3" xfId="54" xr:uid="{00000000-0005-0000-0000-00002D000000}"/>
    <cellStyle name="Обычный 3 3 2" xfId="60" xr:uid="{00000000-0005-0000-0000-00002E000000}"/>
    <cellStyle name="Обычный 4" xfId="47" xr:uid="{00000000-0005-0000-0000-00002F000000}"/>
    <cellStyle name="Обычный 4 2" xfId="56" xr:uid="{00000000-0005-0000-0000-000030000000}"/>
    <cellStyle name="Обычный 4 3" xfId="57" xr:uid="{00000000-0005-0000-0000-000031000000}"/>
    <cellStyle name="Обычный 4 4" xfId="75" xr:uid="{00000000-0005-0000-0000-000032000000}"/>
    <cellStyle name="Обычный 5" xfId="55" xr:uid="{00000000-0005-0000-0000-000033000000}"/>
    <cellStyle name="Обычный 5 2" xfId="58" xr:uid="{00000000-0005-0000-0000-000034000000}"/>
    <cellStyle name="Обычный 5 2 2" xfId="72" xr:uid="{00000000-0005-0000-0000-000035000000}"/>
    <cellStyle name="Обычный 5 2 2 2" xfId="73" xr:uid="{00000000-0005-0000-0000-000036000000}"/>
    <cellStyle name="Обычный 5 3" xfId="68" xr:uid="{00000000-0005-0000-0000-000037000000}"/>
    <cellStyle name="Обычный 6" xfId="59" xr:uid="{00000000-0005-0000-0000-000038000000}"/>
    <cellStyle name="Обычный 7" xfId="61" xr:uid="{00000000-0005-0000-0000-000039000000}"/>
    <cellStyle name="Обычный 7 2" xfId="71" xr:uid="{00000000-0005-0000-0000-00003A000000}"/>
    <cellStyle name="Обычный 7 2 2" xfId="74" xr:uid="{00000000-0005-0000-0000-00003B000000}"/>
    <cellStyle name="Обычный 8" xfId="39" xr:uid="{00000000-0005-0000-0000-00003C000000}"/>
    <cellStyle name="Плохой" xfId="40" builtinId="27" customBuiltin="1"/>
    <cellStyle name="Плохой 2" xfId="52" xr:uid="{00000000-0005-0000-0000-00003E000000}"/>
    <cellStyle name="Пояснение" xfId="41" builtinId="53" customBuiltin="1"/>
    <cellStyle name="Примечание" xfId="42" builtinId="10" customBuiltin="1"/>
    <cellStyle name="Процентный 2" xfId="43" xr:uid="{00000000-0005-0000-0000-000041000000}"/>
    <cellStyle name="Процентный 3" xfId="53" xr:uid="{00000000-0005-0000-0000-000042000000}"/>
    <cellStyle name="Процентный 3 2" xfId="65" xr:uid="{00000000-0005-0000-0000-000043000000}"/>
    <cellStyle name="Процентный 4" xfId="62" xr:uid="{00000000-0005-0000-0000-000044000000}"/>
    <cellStyle name="Процентный 5" xfId="67" xr:uid="{00000000-0005-0000-0000-000045000000}"/>
    <cellStyle name="Связанная ячейка" xfId="44" builtinId="24" customBuiltin="1"/>
    <cellStyle name="Текст предупреждения" xfId="45" builtinId="11" customBuiltin="1"/>
    <cellStyle name="Финансовый 2" xfId="70" xr:uid="{00000000-0005-0000-0000-000048000000}"/>
    <cellStyle name="Финансовый 3" xfId="66" xr:uid="{00000000-0005-0000-0000-000049000000}"/>
    <cellStyle name="Хороший" xfId="46" builtinId="26" customBuiltin="1"/>
    <cellStyle name="Хороший 2" xfId="49" xr:uid="{00000000-0005-0000-0000-00004B000000}"/>
    <cellStyle name="Хороший 3" xfId="50" xr:uid="{00000000-0005-0000-0000-00004C000000}"/>
  </cellStyles>
  <dxfs count="4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FF"/>
      <color rgb="FF0B0371"/>
      <color rgb="FF004274"/>
      <color rgb="FF0028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78921</xdr:colOff>
      <xdr:row>2</xdr:row>
      <xdr:rowOff>253773</xdr:rowOff>
    </xdr:from>
    <xdr:ext cx="512320" cy="4099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 txBox="1"/>
          </xdr:nvSpPr>
          <xdr:spPr>
            <a:xfrm>
              <a:off x="19313978" y="1081087"/>
              <a:ext cx="512320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∏"/>
                        <m:subHide m:val="on"/>
                        <m:supHide m:val="on"/>
                        <m:ctrlPr>
                          <a:rPr lang="ru-RU" sz="11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sSub>
                          <m:sSubPr>
                            <m:ctrlPr>
                              <a:rPr lang="ru-RU" sz="11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100" b="0" i="1">
                                <a:latin typeface="Cambria Math" panose="02040503050406030204" pitchFamily="18" charset="0"/>
                              </a:rPr>
                              <m:t>МТ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="" xmlns:a16="http://schemas.microsoft.com/office/drawing/2014/main" xmlns:a14="http://schemas.microsoft.com/office/drawing/2010/main" id="{00000000-0008-0000-0100-000002000000}"/>
                </a:ext>
              </a:extLst>
            </xdr:cNvPr>
            <xdr:cNvSpPr txBox="1"/>
          </xdr:nvSpPr>
          <xdr:spPr>
            <a:xfrm>
              <a:off x="19313978" y="1081087"/>
              <a:ext cx="512320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ru-RU" sz="1100" i="0">
                  <a:latin typeface="Cambria Math" panose="02040503050406030204" pitchFamily="18" charset="0"/>
                </a:rPr>
                <a:t>∏</a:t>
              </a:r>
              <a:r>
                <a:rPr lang="en-US" sz="1100" b="0" i="0">
                  <a:latin typeface="Cambria Math" panose="02040503050406030204" pitchFamily="18" charset="0"/>
                </a:rPr>
                <a:t>▒</a:t>
              </a:r>
              <a:r>
                <a:rPr lang="ru-RU" sz="1100" b="0" i="0">
                  <a:latin typeface="Cambria Math" panose="02040503050406030204" pitchFamily="18" charset="0"/>
                </a:rPr>
                <a:t>〖МТ〗_</a:t>
              </a:r>
              <a:r>
                <a:rPr lang="en-US" sz="1100" b="0" i="0">
                  <a:latin typeface="Cambria Math" panose="02040503050406030204" pitchFamily="18" charset="0"/>
                </a:rPr>
                <a:t>𝑖 </a:t>
              </a:r>
              <a:endParaRPr lang="ru-RU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68356</xdr:colOff>
      <xdr:row>0</xdr:row>
      <xdr:rowOff>32217</xdr:rowOff>
    </xdr:from>
    <xdr:ext cx="512320" cy="4099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B45F0B9E-A36C-4059-A97B-7F30456C781A}"/>
                </a:ext>
              </a:extLst>
            </xdr:cNvPr>
            <xdr:cNvSpPr txBox="1"/>
          </xdr:nvSpPr>
          <xdr:spPr>
            <a:xfrm>
              <a:off x="9660591" y="32217"/>
              <a:ext cx="512320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∏"/>
                        <m:subHide m:val="on"/>
                        <m:supHide m:val="on"/>
                        <m:ctrlPr>
                          <a:rPr lang="ru-RU" sz="11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sSub>
                          <m:sSubPr>
                            <m:ctrlPr>
                              <a:rPr lang="ru-RU" sz="11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100" b="0" i="1">
                                <a:latin typeface="Cambria Math" panose="02040503050406030204" pitchFamily="18" charset="0"/>
                              </a:rPr>
                              <m:t>МТ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B45F0B9E-A36C-4059-A97B-7F30456C781A}"/>
                </a:ext>
              </a:extLst>
            </xdr:cNvPr>
            <xdr:cNvSpPr txBox="1"/>
          </xdr:nvSpPr>
          <xdr:spPr>
            <a:xfrm>
              <a:off x="9660591" y="32217"/>
              <a:ext cx="512320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ru-RU" sz="1100" i="0">
                  <a:latin typeface="Cambria Math" panose="02040503050406030204" pitchFamily="18" charset="0"/>
                </a:rPr>
                <a:t>∏</a:t>
              </a:r>
              <a:r>
                <a:rPr lang="en-US" sz="1100" b="0" i="0">
                  <a:latin typeface="Cambria Math" panose="02040503050406030204" pitchFamily="18" charset="0"/>
                </a:rPr>
                <a:t>▒</a:t>
              </a:r>
              <a:r>
                <a:rPr lang="ru-RU" sz="1100" b="0" i="0">
                  <a:latin typeface="Cambria Math" panose="02040503050406030204" pitchFamily="18" charset="0"/>
                </a:rPr>
                <a:t>〖МТ〗_</a:t>
              </a:r>
              <a:r>
                <a:rPr lang="en-US" sz="1100" b="0" i="0">
                  <a:latin typeface="Cambria Math" panose="02040503050406030204" pitchFamily="18" charset="0"/>
                </a:rPr>
                <a:t>𝑖 </a:t>
              </a:r>
              <a:endParaRPr lang="ru-RU" sz="11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 по годам"/>
      <sheetName val="Свод по этапам"/>
      <sheetName val="Свод"/>
      <sheetName val="Функции"/>
      <sheetName val="Трудоемкость"/>
      <sheetName val="Расчет развития"/>
      <sheetName val="Коэффициенты"/>
      <sheetName val="Показатели для расчета НМЦК"/>
      <sheetName val="2.Свод сопровод"/>
      <sheetName val="2.Расчет_сопровод"/>
      <sheetName val="2.Коэф_и_показатели"/>
      <sheetName val="2.Услуги"/>
      <sheetName val="2.СтоимостьЕдТрудоемкости"/>
      <sheetName val="2.Расчет АдапСопр"/>
      <sheetName val="2.SLA"/>
      <sheetName val="S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D4">
            <v>1.25</v>
          </cell>
          <cell r="E4">
            <v>1.1000000000000001</v>
          </cell>
          <cell r="F4">
            <v>1</v>
          </cell>
        </row>
        <row r="5">
          <cell r="D5">
            <v>1.25</v>
          </cell>
          <cell r="E5">
            <v>1.1000000000000001</v>
          </cell>
          <cell r="F5">
            <v>1</v>
          </cell>
        </row>
        <row r="6">
          <cell r="D6">
            <v>1.25</v>
          </cell>
          <cell r="E6">
            <v>1.1000000000000001</v>
          </cell>
          <cell r="F6">
            <v>1</v>
          </cell>
        </row>
        <row r="7">
          <cell r="D7">
            <v>1.1499999999999999</v>
          </cell>
          <cell r="E7">
            <v>1.1000000000000001</v>
          </cell>
          <cell r="F7">
            <v>1</v>
          </cell>
        </row>
        <row r="8">
          <cell r="D8">
            <v>1.1499999999999999</v>
          </cell>
          <cell r="E8">
            <v>1.1000000000000001</v>
          </cell>
          <cell r="F8">
            <v>1</v>
          </cell>
        </row>
      </sheetData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12"/>
  <sheetViews>
    <sheetView workbookViewId="0">
      <selection activeCell="F3" sqref="F3"/>
    </sheetView>
  </sheetViews>
  <sheetFormatPr defaultRowHeight="12.75" x14ac:dyDescent="0.2"/>
  <cols>
    <col min="2" max="2" width="11" customWidth="1"/>
    <col min="3" max="3" width="16" customWidth="1"/>
    <col min="4" max="4" width="31.85546875" customWidth="1"/>
    <col min="5" max="5" width="48.42578125" customWidth="1"/>
    <col min="6" max="6" width="51.5703125" customWidth="1"/>
    <col min="7" max="7" width="50.85546875" customWidth="1"/>
    <col min="9" max="9" width="19.85546875" customWidth="1"/>
  </cols>
  <sheetData>
    <row r="1" spans="2:9" ht="13.5" thickBot="1" x14ac:dyDescent="0.25"/>
    <row r="2" spans="2:9" ht="48" customHeight="1" thickBot="1" x14ac:dyDescent="0.25">
      <c r="B2" s="404" t="s">
        <v>523</v>
      </c>
      <c r="C2" s="405"/>
      <c r="D2" s="405"/>
      <c r="E2" s="405"/>
      <c r="F2" s="405"/>
      <c r="G2" s="406"/>
    </row>
    <row r="3" spans="2:9" ht="67.5" customHeight="1" x14ac:dyDescent="0.2">
      <c r="B3" s="361" t="s">
        <v>515</v>
      </c>
      <c r="C3" s="362" t="s">
        <v>40</v>
      </c>
      <c r="D3" s="362" t="s">
        <v>487</v>
      </c>
      <c r="E3" s="374" t="s">
        <v>489</v>
      </c>
      <c r="F3" s="375" t="s">
        <v>516</v>
      </c>
      <c r="G3" s="381" t="s">
        <v>518</v>
      </c>
    </row>
    <row r="4" spans="2:9" ht="30.75" thickBot="1" x14ac:dyDescent="0.25">
      <c r="B4" s="376"/>
      <c r="C4" s="377" t="s">
        <v>517</v>
      </c>
      <c r="D4" s="378"/>
      <c r="E4" s="379">
        <f>SUM(E5:E12)</f>
        <v>143864502.59</v>
      </c>
      <c r="F4" s="380">
        <f>SUM(F5:F12)</f>
        <v>143864502.27000001</v>
      </c>
      <c r="G4" s="384">
        <v>143864502.27000001</v>
      </c>
    </row>
    <row r="5" spans="2:9" ht="45.75" customHeight="1" x14ac:dyDescent="0.2">
      <c r="B5" s="370">
        <v>1</v>
      </c>
      <c r="C5" s="371">
        <v>2026</v>
      </c>
      <c r="D5" s="372" t="s">
        <v>492</v>
      </c>
      <c r="E5" s="373">
        <v>21622306.280000001</v>
      </c>
      <c r="F5" s="368">
        <f>'Расчет развития'!J21</f>
        <v>21622306.100000001</v>
      </c>
      <c r="G5" s="382">
        <v>21622306.100000001</v>
      </c>
      <c r="I5" s="397"/>
    </row>
    <row r="6" spans="2:9" ht="45.75" customHeight="1" x14ac:dyDescent="0.2">
      <c r="B6" s="339">
        <v>2</v>
      </c>
      <c r="C6" s="340">
        <v>2027</v>
      </c>
      <c r="D6" s="341" t="s">
        <v>492</v>
      </c>
      <c r="E6" s="342">
        <v>43201620.859999999</v>
      </c>
      <c r="F6" s="367">
        <f>'Расчет развития'!J22</f>
        <v>43201620.859999999</v>
      </c>
      <c r="G6" s="383">
        <v>43201620.859999999</v>
      </c>
      <c r="I6" s="397"/>
    </row>
    <row r="7" spans="2:9" ht="45" x14ac:dyDescent="0.2">
      <c r="B7" s="339">
        <v>3</v>
      </c>
      <c r="C7" s="398">
        <v>2028</v>
      </c>
      <c r="D7" s="341" t="s">
        <v>492</v>
      </c>
      <c r="E7" s="399">
        <v>21997367.09</v>
      </c>
      <c r="F7" s="400">
        <f>'Расчет развития'!J23</f>
        <v>21997366.949999999</v>
      </c>
      <c r="G7" s="407">
        <v>21997366.949999999</v>
      </c>
      <c r="I7" s="397"/>
    </row>
    <row r="8" spans="2:9" ht="45" x14ac:dyDescent="0.2">
      <c r="B8" s="339">
        <v>4</v>
      </c>
      <c r="C8" s="398"/>
      <c r="D8" s="341" t="s">
        <v>492</v>
      </c>
      <c r="E8" s="399"/>
      <c r="F8" s="401"/>
      <c r="G8" s="408"/>
    </row>
    <row r="9" spans="2:9" ht="30" x14ac:dyDescent="0.2">
      <c r="B9" s="339">
        <v>5</v>
      </c>
      <c r="C9" s="340">
        <v>2026</v>
      </c>
      <c r="D9" s="341" t="s">
        <v>491</v>
      </c>
      <c r="E9" s="342">
        <v>57043.199999999997</v>
      </c>
      <c r="F9" s="367">
        <v>57043.199999999997</v>
      </c>
      <c r="G9" s="385">
        <v>57043.199999999997</v>
      </c>
    </row>
    <row r="10" spans="2:9" ht="30" x14ac:dyDescent="0.2">
      <c r="B10" s="402">
        <v>6</v>
      </c>
      <c r="C10" s="340">
        <v>2026</v>
      </c>
      <c r="D10" s="341" t="s">
        <v>491</v>
      </c>
      <c r="E10" s="342">
        <v>2261271.56</v>
      </c>
      <c r="F10" s="367">
        <v>2261271.56</v>
      </c>
      <c r="G10" s="385">
        <v>2261271.56</v>
      </c>
    </row>
    <row r="11" spans="2:9" ht="30" x14ac:dyDescent="0.2">
      <c r="B11" s="402"/>
      <c r="C11" s="340">
        <v>2027</v>
      </c>
      <c r="D11" s="341" t="s">
        <v>491</v>
      </c>
      <c r="E11" s="342">
        <v>28785384.399999999</v>
      </c>
      <c r="F11" s="367">
        <v>28785384.399999999</v>
      </c>
      <c r="G11" s="385">
        <v>28785384.399999999</v>
      </c>
    </row>
    <row r="12" spans="2:9" ht="30.75" thickBot="1" x14ac:dyDescent="0.25">
      <c r="B12" s="403"/>
      <c r="C12" s="343">
        <v>2028</v>
      </c>
      <c r="D12" s="344" t="s">
        <v>491</v>
      </c>
      <c r="E12" s="345">
        <v>25939509.199999999</v>
      </c>
      <c r="F12" s="369">
        <v>25939509.199999999</v>
      </c>
      <c r="G12" s="386">
        <v>25939509.199999999</v>
      </c>
    </row>
  </sheetData>
  <mergeCells count="6">
    <mergeCell ref="C7:C8"/>
    <mergeCell ref="E7:E8"/>
    <mergeCell ref="F7:F8"/>
    <mergeCell ref="B10:B12"/>
    <mergeCell ref="B2:G2"/>
    <mergeCell ref="G7:G8"/>
  </mergeCells>
  <pageMargins left="0.25" right="0.25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4"/>
  <sheetViews>
    <sheetView view="pageBreakPreview" topLeftCell="A4" zoomScale="70" zoomScaleNormal="70" zoomScaleSheetLayoutView="70" workbookViewId="0">
      <selection activeCell="B8" sqref="B8:H17"/>
    </sheetView>
  </sheetViews>
  <sheetFormatPr defaultColWidth="9.140625" defaultRowHeight="15" x14ac:dyDescent="0.25"/>
  <cols>
    <col min="1" max="6" width="9.140625" style="315"/>
    <col min="7" max="7" width="7.85546875" style="315" customWidth="1"/>
    <col min="8" max="8" width="9.140625" style="315" hidden="1" customWidth="1"/>
    <col min="9" max="9" width="60.140625" style="315" customWidth="1"/>
    <col min="10" max="10" width="31.28515625" style="315" customWidth="1"/>
    <col min="11" max="12" width="23" style="315" customWidth="1"/>
    <col min="13" max="13" width="35.140625" style="315" customWidth="1"/>
    <col min="14" max="14" width="31.28515625" style="315" customWidth="1"/>
    <col min="15" max="15" width="27.85546875" style="315" customWidth="1"/>
    <col min="16" max="16" width="14.42578125" style="315" bestFit="1" customWidth="1"/>
    <col min="17" max="16384" width="9.140625" style="315"/>
  </cols>
  <sheetData>
    <row r="1" spans="1:16" s="312" customFormat="1" ht="52.5" customHeight="1" x14ac:dyDescent="0.25">
      <c r="K1" s="415" t="s">
        <v>495</v>
      </c>
      <c r="L1" s="415"/>
      <c r="M1" s="415"/>
    </row>
    <row r="2" spans="1:16" s="312" customFormat="1" x14ac:dyDescent="0.25"/>
    <row r="3" spans="1:16" s="312" customFormat="1" x14ac:dyDescent="0.25">
      <c r="A3" s="416" t="s">
        <v>496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416"/>
    </row>
    <row r="4" spans="1:16" s="312" customFormat="1" x14ac:dyDescent="0.25"/>
    <row r="5" spans="1:16" s="312" customFormat="1" ht="28.15" customHeight="1" x14ac:dyDescent="0.25">
      <c r="A5" s="417" t="str">
        <f>B8</f>
        <v>Выполнение работ по модернизации информационной системы единый сервис идентификации пользователей (ИС ЕСИП) и поддержание ее работоспособности в 2026-2028 годах</v>
      </c>
      <c r="B5" s="417"/>
      <c r="C5" s="417"/>
      <c r="D5" s="417"/>
      <c r="E5" s="417"/>
      <c r="F5" s="417"/>
      <c r="G5" s="417"/>
      <c r="H5" s="417"/>
      <c r="I5" s="417"/>
      <c r="J5" s="417"/>
      <c r="K5" s="417"/>
      <c r="L5" s="417"/>
      <c r="M5" s="417"/>
    </row>
    <row r="6" spans="1:16" s="312" customFormat="1" x14ac:dyDescent="0.25"/>
    <row r="7" spans="1:16" ht="63.75" thickBot="1" x14ac:dyDescent="0.3">
      <c r="A7" s="313" t="s">
        <v>0</v>
      </c>
      <c r="B7" s="418" t="s">
        <v>497</v>
      </c>
      <c r="C7" s="418"/>
      <c r="D7" s="418"/>
      <c r="E7" s="418"/>
      <c r="F7" s="418"/>
      <c r="G7" s="418"/>
      <c r="H7" s="419"/>
      <c r="I7" s="420" t="s">
        <v>498</v>
      </c>
      <c r="J7" s="421"/>
      <c r="K7" s="314" t="s">
        <v>499</v>
      </c>
      <c r="L7" s="314" t="s">
        <v>500</v>
      </c>
      <c r="M7" s="314" t="s">
        <v>501</v>
      </c>
      <c r="N7" s="314" t="s">
        <v>502</v>
      </c>
    </row>
    <row r="8" spans="1:16" ht="15.75" x14ac:dyDescent="0.25">
      <c r="A8" s="422" t="s">
        <v>506</v>
      </c>
      <c r="B8" s="425" t="str">
        <f>Свод!B2</f>
        <v>Выполнение работ по модернизации информационной системы единый сервис идентификации пользователей (ИС ЕСИП) и поддержание ее работоспособности в 2026-2028 годах</v>
      </c>
      <c r="C8" s="426"/>
      <c r="D8" s="426"/>
      <c r="E8" s="426"/>
      <c r="F8" s="426"/>
      <c r="G8" s="426"/>
      <c r="H8" s="427"/>
      <c r="I8" s="411" t="s">
        <v>503</v>
      </c>
      <c r="J8" s="316" t="s">
        <v>504</v>
      </c>
      <c r="K8" s="317">
        <f>'Расчет развития'!H21</f>
        <v>21622306.100000001</v>
      </c>
      <c r="L8" s="318">
        <f t="shared" ref="L8:L11" si="0">M8*22/122</f>
        <v>3899104.38</v>
      </c>
      <c r="M8" s="317">
        <f t="shared" ref="M8:M11" si="1">K8</f>
        <v>21622306.100000001</v>
      </c>
      <c r="N8" s="319">
        <f>M8/$M$18</f>
        <v>0.15029632577061999</v>
      </c>
    </row>
    <row r="9" spans="1:16" ht="15.6" customHeight="1" x14ac:dyDescent="0.25">
      <c r="A9" s="423"/>
      <c r="B9" s="428"/>
      <c r="C9" s="429"/>
      <c r="D9" s="429"/>
      <c r="E9" s="429"/>
      <c r="F9" s="429"/>
      <c r="G9" s="429"/>
      <c r="H9" s="430"/>
      <c r="I9" s="412"/>
      <c r="J9" s="320" t="s">
        <v>505</v>
      </c>
      <c r="K9" s="321">
        <f>'Расчет развития'!H22</f>
        <v>43201620.859999999</v>
      </c>
      <c r="L9" s="322">
        <f t="shared" si="0"/>
        <v>7790456.2199999997</v>
      </c>
      <c r="M9" s="321">
        <f t="shared" si="1"/>
        <v>43201620.859999999</v>
      </c>
      <c r="N9" s="323">
        <f>M9/$M$18</f>
        <v>0.300293819380966</v>
      </c>
    </row>
    <row r="10" spans="1:16" ht="15.6" customHeight="1" x14ac:dyDescent="0.25">
      <c r="A10" s="423"/>
      <c r="B10" s="428"/>
      <c r="C10" s="429"/>
      <c r="D10" s="429"/>
      <c r="E10" s="429"/>
      <c r="F10" s="429"/>
      <c r="G10" s="429"/>
      <c r="H10" s="430"/>
      <c r="I10" s="412"/>
      <c r="J10" s="320" t="s">
        <v>513</v>
      </c>
      <c r="K10" s="337">
        <f>'Расчет развития'!J24</f>
        <v>10274199.289999999</v>
      </c>
      <c r="L10" s="322">
        <f t="shared" si="0"/>
        <v>1852724.46</v>
      </c>
      <c r="M10" s="321">
        <f t="shared" si="1"/>
        <v>10274199.289999999</v>
      </c>
      <c r="N10" s="323">
        <f t="shared" ref="N10:N11" si="2">M10/$M$18</f>
        <v>7.1415805343820998E-2</v>
      </c>
    </row>
    <row r="11" spans="1:16" ht="15.6" customHeight="1" thickBot="1" x14ac:dyDescent="0.3">
      <c r="A11" s="423"/>
      <c r="B11" s="428"/>
      <c r="C11" s="429"/>
      <c r="D11" s="429"/>
      <c r="E11" s="429"/>
      <c r="F11" s="429"/>
      <c r="G11" s="429"/>
      <c r="H11" s="430"/>
      <c r="I11" s="412"/>
      <c r="J11" s="320" t="s">
        <v>514</v>
      </c>
      <c r="K11" s="337">
        <f>'Расчет развития'!J25</f>
        <v>11723167.66</v>
      </c>
      <c r="L11" s="322">
        <f t="shared" si="0"/>
        <v>2114013.84</v>
      </c>
      <c r="M11" s="321">
        <f t="shared" si="1"/>
        <v>11723167.66</v>
      </c>
      <c r="N11" s="323">
        <f t="shared" si="2"/>
        <v>8.1487562776245998E-2</v>
      </c>
    </row>
    <row r="12" spans="1:16" ht="122.45" customHeight="1" thickBot="1" x14ac:dyDescent="0.3">
      <c r="A12" s="424"/>
      <c r="B12" s="428"/>
      <c r="C12" s="429"/>
      <c r="D12" s="429"/>
      <c r="E12" s="429"/>
      <c r="F12" s="429"/>
      <c r="G12" s="429"/>
      <c r="H12" s="430"/>
      <c r="I12" s="412"/>
      <c r="J12" s="387" t="s">
        <v>101</v>
      </c>
      <c r="K12" s="388">
        <f>M12</f>
        <v>86821293.909999996</v>
      </c>
      <c r="L12" s="388">
        <f>M12*22/122</f>
        <v>15656298.9</v>
      </c>
      <c r="M12" s="389">
        <f>'Расчет развития'!H24</f>
        <v>86821293.909999996</v>
      </c>
      <c r="N12" s="390">
        <f>M12/M18</f>
        <v>0.60349351327165301</v>
      </c>
      <c r="O12" s="324"/>
      <c r="P12" s="324"/>
    </row>
    <row r="13" spans="1:16" ht="35.25" customHeight="1" x14ac:dyDescent="0.25">
      <c r="A13" s="422" t="s">
        <v>520</v>
      </c>
      <c r="B13" s="428"/>
      <c r="C13" s="429"/>
      <c r="D13" s="429"/>
      <c r="E13" s="429"/>
      <c r="F13" s="429"/>
      <c r="G13" s="429"/>
      <c r="H13" s="430"/>
      <c r="I13" s="413" t="s">
        <v>507</v>
      </c>
      <c r="J13" s="316" t="s">
        <v>508</v>
      </c>
      <c r="K13" s="318">
        <f>'2.Расчет_сопровод'!AI33</f>
        <v>57043.199999999997</v>
      </c>
      <c r="L13" s="318">
        <f>M13*22/122</f>
        <v>10286.48</v>
      </c>
      <c r="M13" s="318">
        <f t="shared" ref="M13:M16" si="3">K13</f>
        <v>57043.199999999997</v>
      </c>
      <c r="N13" s="319">
        <f>M13/$M$18</f>
        <v>3.9650642861800001E-4</v>
      </c>
      <c r="O13" s="338"/>
      <c r="P13" s="324"/>
    </row>
    <row r="14" spans="1:16" ht="30.6" customHeight="1" x14ac:dyDescent="0.25">
      <c r="A14" s="423"/>
      <c r="B14" s="428"/>
      <c r="C14" s="429"/>
      <c r="D14" s="429"/>
      <c r="E14" s="429"/>
      <c r="F14" s="429"/>
      <c r="G14" s="429"/>
      <c r="H14" s="430"/>
      <c r="I14" s="413"/>
      <c r="J14" s="320" t="s">
        <v>509</v>
      </c>
      <c r="K14" s="322">
        <f>'2.Свод сопровод'!I7</f>
        <v>18795737.16</v>
      </c>
      <c r="L14" s="322">
        <f t="shared" ref="L14:L16" si="4">M14*22/122</f>
        <v>3389395.23</v>
      </c>
      <c r="M14" s="322">
        <f t="shared" si="3"/>
        <v>18795737.16</v>
      </c>
      <c r="N14" s="323">
        <f>M14/$M$18</f>
        <v>0.13064888741438699</v>
      </c>
      <c r="O14" s="338"/>
      <c r="P14" s="324"/>
    </row>
    <row r="15" spans="1:16" ht="34.5" customHeight="1" x14ac:dyDescent="0.25">
      <c r="A15" s="423"/>
      <c r="B15" s="428"/>
      <c r="C15" s="429"/>
      <c r="D15" s="429"/>
      <c r="E15" s="429"/>
      <c r="F15" s="429"/>
      <c r="G15" s="429"/>
      <c r="H15" s="430"/>
      <c r="I15" s="413"/>
      <c r="J15" s="320" t="s">
        <v>510</v>
      </c>
      <c r="K15" s="322">
        <f>'2.Свод сопровод'!I8</f>
        <v>27819972.719999999</v>
      </c>
      <c r="L15" s="322">
        <f t="shared" si="4"/>
        <v>5016716.3899999997</v>
      </c>
      <c r="M15" s="322">
        <f t="shared" si="3"/>
        <v>27819972.719999999</v>
      </c>
      <c r="N15" s="323">
        <f>M15/$M$18</f>
        <v>0.19337621359707199</v>
      </c>
      <c r="O15" s="363"/>
      <c r="P15" s="324"/>
    </row>
    <row r="16" spans="1:16" ht="43.5" customHeight="1" thickBot="1" x14ac:dyDescent="0.3">
      <c r="A16" s="423"/>
      <c r="B16" s="428"/>
      <c r="C16" s="429"/>
      <c r="D16" s="429"/>
      <c r="E16" s="429"/>
      <c r="F16" s="429"/>
      <c r="G16" s="429"/>
      <c r="H16" s="430"/>
      <c r="I16" s="413"/>
      <c r="J16" s="325" t="s">
        <v>511</v>
      </c>
      <c r="K16" s="326">
        <f>'2.Свод сопровод'!I9</f>
        <v>10370455.279999999</v>
      </c>
      <c r="L16" s="326">
        <f t="shared" si="4"/>
        <v>1870082.1</v>
      </c>
      <c r="M16" s="326">
        <f t="shared" si="3"/>
        <v>10370455.279999999</v>
      </c>
      <c r="N16" s="395">
        <f>M16/$M$18</f>
        <v>7.2084879288269996E-2</v>
      </c>
      <c r="O16" s="338"/>
      <c r="P16" s="324"/>
    </row>
    <row r="17" spans="1:15" ht="43.15" customHeight="1" thickBot="1" x14ac:dyDescent="0.3">
      <c r="A17" s="424"/>
      <c r="B17" s="431"/>
      <c r="C17" s="432"/>
      <c r="D17" s="432"/>
      <c r="E17" s="432"/>
      <c r="F17" s="432"/>
      <c r="G17" s="432"/>
      <c r="H17" s="433"/>
      <c r="I17" s="414"/>
      <c r="J17" s="391" t="s">
        <v>101</v>
      </c>
      <c r="K17" s="392">
        <f>'2.Свод сопровод'!I12</f>
        <v>57043208.359999999</v>
      </c>
      <c r="L17" s="392">
        <f>K17*22/122</f>
        <v>10286480.199999999</v>
      </c>
      <c r="M17" s="393">
        <f>SUM(M13:M16)</f>
        <v>57043208.359999999</v>
      </c>
      <c r="N17" s="394">
        <f>M17/M18</f>
        <v>0.39650648672834699</v>
      </c>
      <c r="O17" s="364"/>
    </row>
    <row r="18" spans="1:15" ht="16.5" thickBot="1" x14ac:dyDescent="0.3">
      <c r="L18" s="327" t="s">
        <v>103</v>
      </c>
      <c r="M18" s="365">
        <f>M12+M17</f>
        <v>143864502.27000001</v>
      </c>
      <c r="N18" s="366">
        <f>N12+N17</f>
        <v>1</v>
      </c>
    </row>
    <row r="19" spans="1:15" ht="16.5" thickBot="1" x14ac:dyDescent="0.3">
      <c r="L19" s="327" t="s">
        <v>512</v>
      </c>
      <c r="M19" s="328">
        <f>M18*22/122</f>
        <v>25942779.100000001</v>
      </c>
      <c r="N19" s="329"/>
    </row>
    <row r="20" spans="1:15" ht="15" customHeight="1" x14ac:dyDescent="0.25">
      <c r="A20" s="330"/>
      <c r="B20" s="330"/>
      <c r="C20" s="330"/>
      <c r="D20" s="330"/>
      <c r="E20" s="330"/>
      <c r="F20" s="330"/>
      <c r="G20" s="330"/>
      <c r="H20" s="330"/>
      <c r="I20" s="330"/>
      <c r="J20" s="330"/>
      <c r="K20" s="330"/>
      <c r="L20" s="330"/>
    </row>
    <row r="21" spans="1:15" ht="15.75" customHeight="1" x14ac:dyDescent="0.25">
      <c r="A21" s="330"/>
      <c r="B21" s="330"/>
      <c r="C21" s="330"/>
      <c r="D21" s="330"/>
      <c r="E21" s="330"/>
      <c r="F21" s="330"/>
      <c r="G21" s="330"/>
      <c r="H21" s="330"/>
      <c r="I21" s="330"/>
      <c r="J21" s="330"/>
      <c r="K21" s="330"/>
      <c r="L21" s="330"/>
    </row>
    <row r="22" spans="1:15" ht="6.75" customHeight="1" x14ac:dyDescent="0.25">
      <c r="A22" s="330"/>
      <c r="B22" s="330"/>
      <c r="C22" s="330"/>
      <c r="D22" s="330"/>
      <c r="E22" s="330"/>
      <c r="F22" s="330"/>
      <c r="G22" s="330"/>
      <c r="H22" s="330"/>
      <c r="I22" s="330"/>
      <c r="J22" s="330"/>
      <c r="K22" s="330"/>
      <c r="L22" s="330"/>
      <c r="M22" s="330"/>
    </row>
    <row r="23" spans="1:15" ht="15.75" hidden="1" customHeight="1" x14ac:dyDescent="0.25">
      <c r="A23" s="330"/>
      <c r="B23" s="330"/>
      <c r="C23" s="330"/>
      <c r="D23" s="330"/>
      <c r="E23" s="330"/>
      <c r="F23" s="330"/>
      <c r="G23" s="330"/>
      <c r="H23" s="330"/>
      <c r="I23" s="330"/>
      <c r="J23" s="330"/>
      <c r="K23" s="330"/>
      <c r="L23" s="330"/>
      <c r="M23" s="330"/>
    </row>
    <row r="24" spans="1:15" ht="51.75" customHeight="1" x14ac:dyDescent="0.25">
      <c r="C24" s="409" t="s">
        <v>521</v>
      </c>
      <c r="D24" s="410"/>
      <c r="E24" s="410"/>
      <c r="F24" s="410"/>
      <c r="G24" s="410"/>
      <c r="H24" s="410"/>
      <c r="I24" s="410"/>
      <c r="J24" s="410"/>
      <c r="K24" s="410"/>
      <c r="L24" s="410"/>
      <c r="M24" s="410"/>
    </row>
    <row r="25" spans="1:15" ht="50.25" customHeight="1" x14ac:dyDescent="0.3">
      <c r="A25" s="331"/>
      <c r="B25" s="332"/>
      <c r="C25" s="410"/>
      <c r="D25" s="410"/>
      <c r="E25" s="410"/>
      <c r="F25" s="410"/>
      <c r="G25" s="410"/>
      <c r="H25" s="410"/>
      <c r="I25" s="410"/>
      <c r="J25" s="410"/>
      <c r="K25" s="410"/>
      <c r="L25" s="410"/>
      <c r="M25" s="410"/>
    </row>
    <row r="26" spans="1:15" ht="15.75" x14ac:dyDescent="0.25">
      <c r="B26" s="332"/>
      <c r="C26" s="410"/>
      <c r="D26" s="410"/>
      <c r="E26" s="410"/>
      <c r="F26" s="410"/>
      <c r="G26" s="410"/>
      <c r="H26" s="410"/>
      <c r="I26" s="410"/>
      <c r="J26" s="410"/>
      <c r="K26" s="410"/>
      <c r="L26" s="410"/>
      <c r="M26" s="410"/>
      <c r="N26" s="396"/>
    </row>
    <row r="27" spans="1:15" ht="15.75" x14ac:dyDescent="0.25">
      <c r="B27" s="332"/>
      <c r="C27" s="410"/>
      <c r="D27" s="410"/>
      <c r="E27" s="410"/>
      <c r="F27" s="410"/>
      <c r="G27" s="410"/>
      <c r="H27" s="410"/>
      <c r="I27" s="410"/>
      <c r="J27" s="410"/>
      <c r="K27" s="410"/>
      <c r="L27" s="410"/>
      <c r="M27" s="410"/>
      <c r="N27" s="396"/>
    </row>
    <row r="28" spans="1:15" ht="15.75" x14ac:dyDescent="0.25">
      <c r="B28" s="333"/>
      <c r="C28" s="410"/>
      <c r="D28" s="410"/>
      <c r="E28" s="410"/>
      <c r="F28" s="410"/>
      <c r="G28" s="410"/>
      <c r="H28" s="410"/>
      <c r="I28" s="410"/>
      <c r="J28" s="410"/>
      <c r="K28" s="410"/>
      <c r="L28" s="410"/>
      <c r="M28" s="410"/>
      <c r="N28" s="396"/>
    </row>
    <row r="29" spans="1:15" ht="15.75" customHeight="1" x14ac:dyDescent="0.25">
      <c r="C29" s="410"/>
      <c r="D29" s="410"/>
      <c r="E29" s="410"/>
      <c r="F29" s="410"/>
      <c r="G29" s="410"/>
      <c r="H29" s="410"/>
      <c r="I29" s="410"/>
      <c r="J29" s="410"/>
      <c r="K29" s="410"/>
      <c r="L29" s="410"/>
      <c r="M29" s="410"/>
      <c r="N29" s="396"/>
    </row>
    <row r="30" spans="1:15" x14ac:dyDescent="0.25">
      <c r="B30" s="334"/>
      <c r="C30" s="410"/>
      <c r="D30" s="410"/>
      <c r="E30" s="410"/>
      <c r="F30" s="410"/>
      <c r="G30" s="410"/>
      <c r="H30" s="410"/>
      <c r="I30" s="410"/>
      <c r="J30" s="410"/>
      <c r="K30" s="410"/>
      <c r="L30" s="410"/>
      <c r="M30" s="410"/>
    </row>
    <row r="31" spans="1:15" x14ac:dyDescent="0.25">
      <c r="C31" s="410"/>
      <c r="D31" s="410"/>
      <c r="E31" s="410"/>
      <c r="F31" s="410"/>
      <c r="G31" s="410"/>
      <c r="H31" s="410"/>
      <c r="I31" s="410"/>
      <c r="J31" s="410"/>
      <c r="K31" s="410"/>
      <c r="L31" s="410"/>
      <c r="M31" s="410"/>
    </row>
    <row r="32" spans="1:15" x14ac:dyDescent="0.25">
      <c r="C32" s="410"/>
      <c r="D32" s="410"/>
      <c r="E32" s="410"/>
      <c r="F32" s="410"/>
      <c r="G32" s="410"/>
      <c r="H32" s="410"/>
      <c r="I32" s="410"/>
      <c r="J32" s="410"/>
      <c r="K32" s="410"/>
      <c r="L32" s="410"/>
      <c r="M32" s="410"/>
    </row>
    <row r="33" spans="3:13" x14ac:dyDescent="0.25">
      <c r="C33" s="410"/>
      <c r="D33" s="410"/>
      <c r="E33" s="410"/>
      <c r="F33" s="410"/>
      <c r="G33" s="410"/>
      <c r="H33" s="410"/>
      <c r="I33" s="410"/>
      <c r="J33" s="410"/>
      <c r="K33" s="410"/>
      <c r="L33" s="410"/>
      <c r="M33" s="410"/>
    </row>
    <row r="34" spans="3:13" x14ac:dyDescent="0.25">
      <c r="C34" s="410"/>
      <c r="D34" s="410"/>
      <c r="E34" s="410"/>
      <c r="F34" s="410"/>
      <c r="G34" s="410"/>
      <c r="H34" s="410"/>
      <c r="I34" s="410"/>
      <c r="J34" s="410"/>
      <c r="K34" s="410"/>
      <c r="L34" s="410"/>
      <c r="M34" s="410"/>
    </row>
    <row r="35" spans="3:13" x14ac:dyDescent="0.25">
      <c r="C35" s="410"/>
      <c r="D35" s="410"/>
      <c r="E35" s="410"/>
      <c r="F35" s="410"/>
      <c r="G35" s="410"/>
      <c r="H35" s="410"/>
      <c r="I35" s="410"/>
      <c r="J35" s="410"/>
      <c r="K35" s="410"/>
      <c r="L35" s="410"/>
      <c r="M35" s="410"/>
    </row>
    <row r="36" spans="3:13" x14ac:dyDescent="0.25">
      <c r="C36" s="410"/>
      <c r="D36" s="410"/>
      <c r="E36" s="410"/>
      <c r="F36" s="410"/>
      <c r="G36" s="410"/>
      <c r="H36" s="410"/>
      <c r="I36" s="410"/>
      <c r="J36" s="410"/>
      <c r="K36" s="410"/>
      <c r="L36" s="410"/>
      <c r="M36" s="410"/>
    </row>
    <row r="37" spans="3:13" x14ac:dyDescent="0.25">
      <c r="C37" s="410"/>
      <c r="D37" s="410"/>
      <c r="E37" s="410"/>
      <c r="F37" s="410"/>
      <c r="G37" s="410"/>
      <c r="H37" s="410"/>
      <c r="I37" s="410"/>
      <c r="J37" s="410"/>
      <c r="K37" s="410"/>
      <c r="L37" s="410"/>
      <c r="M37" s="410"/>
    </row>
    <row r="39" spans="3:13" x14ac:dyDescent="0.25">
      <c r="K39" s="335"/>
    </row>
    <row r="42" spans="3:13" x14ac:dyDescent="0.25">
      <c r="K42" s="324"/>
    </row>
    <row r="43" spans="3:13" x14ac:dyDescent="0.25">
      <c r="K43" s="324"/>
    </row>
    <row r="44" spans="3:13" x14ac:dyDescent="0.25">
      <c r="K44" s="336"/>
    </row>
  </sheetData>
  <mergeCells count="11">
    <mergeCell ref="C24:M37"/>
    <mergeCell ref="I8:I12"/>
    <mergeCell ref="I13:I17"/>
    <mergeCell ref="K1:M1"/>
    <mergeCell ref="A3:M3"/>
    <mergeCell ref="A5:M5"/>
    <mergeCell ref="B7:H7"/>
    <mergeCell ref="I7:J7"/>
    <mergeCell ref="A8:A12"/>
    <mergeCell ref="B8:H17"/>
    <mergeCell ref="A13:A17"/>
  </mergeCells>
  <phoneticPr fontId="92" type="noConversion"/>
  <pageMargins left="0.7" right="0.7" top="0.75" bottom="0.75" header="0.3" footer="0.3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13"/>
  <sheetViews>
    <sheetView view="pageBreakPreview" zoomScale="60" zoomScaleNormal="110" workbookViewId="0">
      <selection activeCell="K4" sqref="K4"/>
    </sheetView>
  </sheetViews>
  <sheetFormatPr defaultRowHeight="12.75" x14ac:dyDescent="0.2"/>
  <cols>
    <col min="3" max="3" width="17" customWidth="1"/>
    <col min="4" max="4" width="17.5703125" customWidth="1"/>
    <col min="5" max="5" width="38" customWidth="1"/>
    <col min="6" max="6" width="14.28515625" customWidth="1"/>
    <col min="7" max="7" width="32.85546875" customWidth="1"/>
    <col min="8" max="8" width="46.5703125" customWidth="1"/>
  </cols>
  <sheetData>
    <row r="1" spans="2:8" ht="13.5" thickBot="1" x14ac:dyDescent="0.25"/>
    <row r="2" spans="2:8" ht="39" customHeight="1" x14ac:dyDescent="0.2">
      <c r="B2" s="454" t="s">
        <v>523</v>
      </c>
      <c r="C2" s="455"/>
      <c r="D2" s="455"/>
      <c r="E2" s="455"/>
      <c r="F2" s="455"/>
      <c r="G2" s="455"/>
      <c r="H2" s="456"/>
    </row>
    <row r="3" spans="2:8" ht="18" customHeight="1" x14ac:dyDescent="0.2">
      <c r="B3" s="444" t="s">
        <v>486</v>
      </c>
      <c r="C3" s="446" t="s">
        <v>487</v>
      </c>
      <c r="D3" s="447"/>
      <c r="E3" s="450" t="s">
        <v>489</v>
      </c>
      <c r="F3" s="446" t="s">
        <v>488</v>
      </c>
      <c r="G3" s="452"/>
      <c r="H3" s="457" t="s">
        <v>518</v>
      </c>
    </row>
    <row r="4" spans="2:8" ht="93.75" customHeight="1" x14ac:dyDescent="0.2">
      <c r="B4" s="445"/>
      <c r="C4" s="448"/>
      <c r="D4" s="449"/>
      <c r="E4" s="451"/>
      <c r="F4" s="448"/>
      <c r="G4" s="453"/>
      <c r="H4" s="458"/>
    </row>
    <row r="5" spans="2:8" ht="99.75" customHeight="1" x14ac:dyDescent="0.2">
      <c r="B5" s="307">
        <v>1</v>
      </c>
      <c r="C5" s="436" t="s">
        <v>492</v>
      </c>
      <c r="D5" s="437"/>
      <c r="E5" s="305">
        <f>'Расчет развития'!E24</f>
        <v>86821294.230000004</v>
      </c>
      <c r="F5" s="438">
        <f>'Расчет развития'!H24</f>
        <v>86821293.909999996</v>
      </c>
      <c r="G5" s="439"/>
      <c r="H5" s="383">
        <v>86821293.909999996</v>
      </c>
    </row>
    <row r="6" spans="2:8" ht="99.75" customHeight="1" x14ac:dyDescent="0.2">
      <c r="B6" s="310">
        <v>2</v>
      </c>
      <c r="C6" s="436" t="s">
        <v>491</v>
      </c>
      <c r="D6" s="437"/>
      <c r="E6" s="311">
        <f>'2.Расчет_сопровод'!AI35</f>
        <v>57043208.359999999</v>
      </c>
      <c r="F6" s="438">
        <v>57043208.359999999</v>
      </c>
      <c r="G6" s="439"/>
      <c r="H6" s="383">
        <v>57043208.359999999</v>
      </c>
    </row>
    <row r="7" spans="2:8" ht="15" thickBot="1" x14ac:dyDescent="0.25">
      <c r="B7" s="308"/>
      <c r="C7" s="440" t="s">
        <v>101</v>
      </c>
      <c r="D7" s="441"/>
      <c r="E7" s="309">
        <f>SUM(E5:E6)</f>
        <v>143864502.59</v>
      </c>
      <c r="F7" s="442">
        <f>SUM(F5:G6)</f>
        <v>143864502.27000001</v>
      </c>
      <c r="G7" s="443"/>
      <c r="H7" s="384">
        <v>143864502.27000001</v>
      </c>
    </row>
    <row r="9" spans="2:8" ht="73.5" customHeight="1" x14ac:dyDescent="0.2">
      <c r="B9" s="434" t="s">
        <v>490</v>
      </c>
      <c r="C9" s="434"/>
      <c r="D9" s="434"/>
      <c r="E9" s="434"/>
      <c r="F9" s="434"/>
      <c r="G9" s="434"/>
    </row>
    <row r="11" spans="2:8" ht="102" customHeight="1" x14ac:dyDescent="0.2">
      <c r="B11" s="435" t="s">
        <v>494</v>
      </c>
      <c r="C11" s="435"/>
      <c r="D11" s="435"/>
      <c r="E11" s="435"/>
      <c r="F11" s="435"/>
      <c r="G11" s="435"/>
    </row>
    <row r="13" spans="2:8" ht="80.25" customHeight="1" x14ac:dyDescent="0.2">
      <c r="B13" s="434" t="s">
        <v>519</v>
      </c>
      <c r="C13" s="434"/>
      <c r="D13" s="434"/>
      <c r="E13" s="434"/>
      <c r="F13" s="434"/>
      <c r="G13" s="434"/>
    </row>
  </sheetData>
  <mergeCells count="15">
    <mergeCell ref="B3:B4"/>
    <mergeCell ref="C3:D4"/>
    <mergeCell ref="E3:E4"/>
    <mergeCell ref="F3:G4"/>
    <mergeCell ref="B2:H2"/>
    <mergeCell ref="H3:H4"/>
    <mergeCell ref="B9:G9"/>
    <mergeCell ref="B11:G11"/>
    <mergeCell ref="B13:G13"/>
    <mergeCell ref="C5:D5"/>
    <mergeCell ref="F5:G5"/>
    <mergeCell ref="C7:D7"/>
    <mergeCell ref="F7:G7"/>
    <mergeCell ref="C6:D6"/>
    <mergeCell ref="F6:G6"/>
  </mergeCells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76"/>
  <sheetViews>
    <sheetView view="pageBreakPreview" zoomScale="70" zoomScaleNormal="60" zoomScaleSheetLayoutView="70" workbookViewId="0">
      <pane ySplit="2" topLeftCell="A3" activePane="bottomLeft" state="frozen"/>
      <selection pane="bottomLeft" activeCell="C3" sqref="C3"/>
    </sheetView>
  </sheetViews>
  <sheetFormatPr defaultColWidth="9.140625" defaultRowHeight="15.75" x14ac:dyDescent="0.25"/>
  <cols>
    <col min="1" max="1" width="10.140625" style="76" customWidth="1"/>
    <col min="2" max="2" width="105.140625" style="111" customWidth="1"/>
    <col min="3" max="3" width="12.140625" style="50" customWidth="1"/>
    <col min="4" max="4" width="14" style="50" customWidth="1"/>
    <col min="5" max="7" width="12.28515625" style="50" customWidth="1"/>
    <col min="8" max="8" width="14.7109375" style="50" customWidth="1"/>
    <col min="9" max="9" width="12.7109375" style="50" customWidth="1"/>
    <col min="10" max="10" width="16.140625" style="50" customWidth="1"/>
    <col min="11" max="11" width="10.7109375" style="50" customWidth="1"/>
    <col min="12" max="15" width="9.140625" style="9"/>
    <col min="16" max="16" width="53.28515625" style="9" customWidth="1"/>
    <col min="17" max="16384" width="9.140625" style="9"/>
  </cols>
  <sheetData>
    <row r="1" spans="1:16" ht="12.75" x14ac:dyDescent="0.2">
      <c r="A1" s="460" t="s">
        <v>5</v>
      </c>
      <c r="B1" s="461" t="s">
        <v>127</v>
      </c>
      <c r="C1" s="461" t="s">
        <v>128</v>
      </c>
      <c r="D1" s="461"/>
      <c r="E1" s="461"/>
      <c r="F1" s="461"/>
      <c r="G1" s="461"/>
      <c r="H1" s="461"/>
      <c r="I1" s="461"/>
      <c r="J1" s="461"/>
      <c r="K1" s="459" t="s">
        <v>67</v>
      </c>
    </row>
    <row r="2" spans="1:16" ht="78" x14ac:dyDescent="0.25">
      <c r="A2" s="460"/>
      <c r="B2" s="461"/>
      <c r="C2" s="77" t="s">
        <v>69</v>
      </c>
      <c r="D2" s="77" t="s">
        <v>129</v>
      </c>
      <c r="E2" s="77" t="s">
        <v>130</v>
      </c>
      <c r="F2" s="77" t="s">
        <v>131</v>
      </c>
      <c r="G2" s="77" t="s">
        <v>132</v>
      </c>
      <c r="H2" s="77" t="s">
        <v>133</v>
      </c>
      <c r="I2" s="77" t="s">
        <v>134</v>
      </c>
      <c r="J2" s="77" t="s">
        <v>135</v>
      </c>
      <c r="K2" s="459"/>
      <c r="P2" s="125"/>
    </row>
    <row r="3" spans="1:16" ht="28.5" x14ac:dyDescent="0.2">
      <c r="A3" s="123"/>
      <c r="B3" s="242" t="s">
        <v>523</v>
      </c>
      <c r="C3" s="79">
        <f>C4+C37+C49+C57+C59+C63+C66+C69</f>
        <v>3</v>
      </c>
      <c r="D3" s="79">
        <f t="shared" ref="D3:J3" si="0">D4+D37+D49+D57+D59+D63+D66+D69</f>
        <v>0</v>
      </c>
      <c r="E3" s="79">
        <f t="shared" si="0"/>
        <v>3</v>
      </c>
      <c r="F3" s="79">
        <f t="shared" si="0"/>
        <v>16</v>
      </c>
      <c r="G3" s="79">
        <f t="shared" si="0"/>
        <v>7</v>
      </c>
      <c r="H3" s="79">
        <f t="shared" si="0"/>
        <v>36</v>
      </c>
      <c r="I3" s="79">
        <f t="shared" si="0"/>
        <v>0</v>
      </c>
      <c r="J3" s="79">
        <f t="shared" si="0"/>
        <v>0</v>
      </c>
      <c r="K3" s="79">
        <f>K4+K37+K49+K57+K59+K63+K66+K69</f>
        <v>65</v>
      </c>
    </row>
    <row r="4" spans="1:16" ht="15" x14ac:dyDescent="0.2">
      <c r="A4" s="121">
        <v>1</v>
      </c>
      <c r="B4" s="112" t="s">
        <v>309</v>
      </c>
      <c r="C4" s="113">
        <f>SUM(C5:C36)</f>
        <v>1</v>
      </c>
      <c r="D4" s="113">
        <f t="shared" ref="D4:J4" si="1">SUM(D5:D36)</f>
        <v>0</v>
      </c>
      <c r="E4" s="113">
        <f t="shared" si="1"/>
        <v>0</v>
      </c>
      <c r="F4" s="113">
        <f t="shared" si="1"/>
        <v>3</v>
      </c>
      <c r="G4" s="113">
        <f t="shared" si="1"/>
        <v>3</v>
      </c>
      <c r="H4" s="113">
        <f>SUM(H5:H36)</f>
        <v>25</v>
      </c>
      <c r="I4" s="113">
        <f t="shared" si="1"/>
        <v>0</v>
      </c>
      <c r="J4" s="113">
        <f t="shared" si="1"/>
        <v>0</v>
      </c>
      <c r="K4" s="113">
        <f>SUM(K5:K36)</f>
        <v>32</v>
      </c>
    </row>
    <row r="5" spans="1:16" ht="47.25" x14ac:dyDescent="0.2">
      <c r="A5" s="120" t="s">
        <v>401</v>
      </c>
      <c r="B5" s="281" t="s">
        <v>346</v>
      </c>
      <c r="C5" s="89"/>
      <c r="D5" s="89"/>
      <c r="E5" s="89"/>
      <c r="F5" s="89"/>
      <c r="G5" s="89"/>
      <c r="H5" s="89">
        <v>1</v>
      </c>
      <c r="I5" s="89"/>
      <c r="J5" s="89"/>
      <c r="K5" s="78">
        <f>SUM(C5:J5)</f>
        <v>1</v>
      </c>
    </row>
    <row r="6" spans="1:16" ht="47.25" x14ac:dyDescent="0.2">
      <c r="A6" s="120" t="s">
        <v>402</v>
      </c>
      <c r="B6" s="281" t="s">
        <v>347</v>
      </c>
      <c r="C6" s="89"/>
      <c r="D6" s="89"/>
      <c r="E6" s="89"/>
      <c r="F6" s="270"/>
      <c r="G6" s="89"/>
      <c r="H6" s="89">
        <v>1</v>
      </c>
      <c r="I6" s="89"/>
      <c r="J6" s="89"/>
      <c r="K6" s="78">
        <f t="shared" ref="K6:K36" si="2">SUM(C6:J6)</f>
        <v>1</v>
      </c>
    </row>
    <row r="7" spans="1:16" ht="47.25" x14ac:dyDescent="0.2">
      <c r="A7" s="120" t="s">
        <v>403</v>
      </c>
      <c r="B7" s="281" t="s">
        <v>348</v>
      </c>
      <c r="C7" s="89"/>
      <c r="D7" s="89"/>
      <c r="E7" s="89"/>
      <c r="F7" s="270"/>
      <c r="G7" s="89"/>
      <c r="H7" s="89">
        <v>1</v>
      </c>
      <c r="I7" s="89"/>
      <c r="J7" s="89"/>
      <c r="K7" s="78">
        <f t="shared" si="2"/>
        <v>1</v>
      </c>
    </row>
    <row r="8" spans="1:16" ht="47.25" x14ac:dyDescent="0.2">
      <c r="A8" s="120" t="s">
        <v>404</v>
      </c>
      <c r="B8" s="281" t="s">
        <v>349</v>
      </c>
      <c r="C8" s="89"/>
      <c r="D8" s="89"/>
      <c r="E8" s="89"/>
      <c r="F8" s="270"/>
      <c r="G8" s="89"/>
      <c r="H8" s="89">
        <v>1</v>
      </c>
      <c r="I8" s="89"/>
      <c r="J8" s="89"/>
      <c r="K8" s="78">
        <f t="shared" si="2"/>
        <v>1</v>
      </c>
    </row>
    <row r="9" spans="1:16" ht="47.25" x14ac:dyDescent="0.2">
      <c r="A9" s="120" t="s">
        <v>405</v>
      </c>
      <c r="B9" s="281" t="s">
        <v>350</v>
      </c>
      <c r="C9" s="89"/>
      <c r="D9" s="89"/>
      <c r="E9" s="89"/>
      <c r="F9" s="270"/>
      <c r="G9" s="89"/>
      <c r="H9" s="89">
        <v>1</v>
      </c>
      <c r="I9" s="89"/>
      <c r="J9" s="89"/>
      <c r="K9" s="78">
        <f t="shared" si="2"/>
        <v>1</v>
      </c>
    </row>
    <row r="10" spans="1:16" ht="31.5" x14ac:dyDescent="0.2">
      <c r="A10" s="120" t="s">
        <v>406</v>
      </c>
      <c r="B10" s="281" t="s">
        <v>351</v>
      </c>
      <c r="C10" s="89"/>
      <c r="D10" s="89"/>
      <c r="E10" s="89"/>
      <c r="F10" s="270"/>
      <c r="G10" s="89"/>
      <c r="H10" s="89">
        <v>1</v>
      </c>
      <c r="I10" s="89"/>
      <c r="J10" s="89"/>
      <c r="K10" s="78">
        <f t="shared" si="2"/>
        <v>1</v>
      </c>
    </row>
    <row r="11" spans="1:16" ht="47.25" x14ac:dyDescent="0.2">
      <c r="A11" s="120" t="s">
        <v>407</v>
      </c>
      <c r="B11" s="281" t="s">
        <v>352</v>
      </c>
      <c r="C11" s="89"/>
      <c r="D11" s="89"/>
      <c r="E11" s="89"/>
      <c r="F11" s="270"/>
      <c r="G11" s="89"/>
      <c r="H11" s="89">
        <v>1</v>
      </c>
      <c r="I11" s="89"/>
      <c r="J11" s="89"/>
      <c r="K11" s="78">
        <f t="shared" si="2"/>
        <v>1</v>
      </c>
    </row>
    <row r="12" spans="1:16" ht="33.6" customHeight="1" x14ac:dyDescent="0.2">
      <c r="A12" s="120" t="s">
        <v>408</v>
      </c>
      <c r="B12" s="281" t="s">
        <v>353</v>
      </c>
      <c r="C12" s="89"/>
      <c r="D12" s="89"/>
      <c r="E12" s="89"/>
      <c r="F12" s="270"/>
      <c r="G12" s="89"/>
      <c r="H12" s="89">
        <v>1</v>
      </c>
      <c r="I12" s="89"/>
      <c r="J12" s="89"/>
      <c r="K12" s="78">
        <f t="shared" si="2"/>
        <v>1</v>
      </c>
    </row>
    <row r="13" spans="1:16" ht="47.25" x14ac:dyDescent="0.2">
      <c r="A13" s="120" t="s">
        <v>409</v>
      </c>
      <c r="B13" s="281" t="s">
        <v>354</v>
      </c>
      <c r="C13" s="89"/>
      <c r="D13" s="89"/>
      <c r="E13" s="89"/>
      <c r="F13" s="270"/>
      <c r="G13" s="89"/>
      <c r="H13" s="89">
        <v>1</v>
      </c>
      <c r="I13" s="89"/>
      <c r="J13" s="89"/>
      <c r="K13" s="78">
        <f t="shared" si="2"/>
        <v>1</v>
      </c>
    </row>
    <row r="14" spans="1:16" ht="47.25" x14ac:dyDescent="0.2">
      <c r="A14" s="120" t="s">
        <v>410</v>
      </c>
      <c r="B14" s="281" t="s">
        <v>355</v>
      </c>
      <c r="C14" s="89"/>
      <c r="D14" s="89"/>
      <c r="E14" s="89"/>
      <c r="F14" s="89"/>
      <c r="G14" s="89"/>
      <c r="H14" s="89">
        <v>1</v>
      </c>
      <c r="I14" s="89"/>
      <c r="J14" s="89"/>
      <c r="K14" s="78">
        <f t="shared" si="2"/>
        <v>1</v>
      </c>
    </row>
    <row r="15" spans="1:16" ht="31.5" x14ac:dyDescent="0.2">
      <c r="A15" s="120" t="s">
        <v>411</v>
      </c>
      <c r="B15" s="281" t="s">
        <v>356</v>
      </c>
      <c r="C15" s="89"/>
      <c r="D15" s="89"/>
      <c r="E15" s="89"/>
      <c r="F15" s="270"/>
      <c r="G15" s="89"/>
      <c r="H15" s="89">
        <v>1</v>
      </c>
      <c r="I15" s="89"/>
      <c r="J15" s="89"/>
      <c r="K15" s="78">
        <f t="shared" si="2"/>
        <v>1</v>
      </c>
    </row>
    <row r="16" spans="1:16" ht="31.5" x14ac:dyDescent="0.2">
      <c r="A16" s="120" t="s">
        <v>412</v>
      </c>
      <c r="B16" s="281" t="s">
        <v>357</v>
      </c>
      <c r="C16" s="89"/>
      <c r="D16" s="89"/>
      <c r="E16" s="89"/>
      <c r="F16" s="270"/>
      <c r="G16" s="89"/>
      <c r="H16" s="89">
        <v>1</v>
      </c>
      <c r="I16" s="89"/>
      <c r="J16" s="89"/>
      <c r="K16" s="78">
        <f t="shared" si="2"/>
        <v>1</v>
      </c>
    </row>
    <row r="17" spans="1:11" ht="31.5" x14ac:dyDescent="0.2">
      <c r="A17" s="120" t="s">
        <v>413</v>
      </c>
      <c r="B17" s="281" t="s">
        <v>358</v>
      </c>
      <c r="C17" s="89"/>
      <c r="D17" s="89"/>
      <c r="E17" s="89"/>
      <c r="F17" s="270"/>
      <c r="G17" s="89"/>
      <c r="H17" s="89">
        <v>1</v>
      </c>
      <c r="I17" s="89"/>
      <c r="J17" s="89"/>
      <c r="K17" s="78">
        <f t="shared" si="2"/>
        <v>1</v>
      </c>
    </row>
    <row r="18" spans="1:11" ht="31.5" x14ac:dyDescent="0.2">
      <c r="A18" s="120" t="s">
        <v>414</v>
      </c>
      <c r="B18" s="281" t="s">
        <v>359</v>
      </c>
      <c r="C18" s="89"/>
      <c r="D18" s="89"/>
      <c r="E18" s="89"/>
      <c r="F18" s="270"/>
      <c r="G18" s="89"/>
      <c r="H18" s="89">
        <v>1</v>
      </c>
      <c r="I18" s="89"/>
      <c r="J18" s="89"/>
      <c r="K18" s="78">
        <f t="shared" si="2"/>
        <v>1</v>
      </c>
    </row>
    <row r="19" spans="1:11" ht="31.5" x14ac:dyDescent="0.2">
      <c r="A19" s="120" t="s">
        <v>415</v>
      </c>
      <c r="B19" s="281" t="s">
        <v>360</v>
      </c>
      <c r="C19" s="89"/>
      <c r="D19" s="89"/>
      <c r="E19" s="89"/>
      <c r="F19" s="270"/>
      <c r="G19" s="89"/>
      <c r="H19" s="89">
        <v>1</v>
      </c>
      <c r="I19" s="89"/>
      <c r="J19" s="89"/>
      <c r="K19" s="78">
        <f t="shared" si="2"/>
        <v>1</v>
      </c>
    </row>
    <row r="20" spans="1:11" ht="63" x14ac:dyDescent="0.2">
      <c r="A20" s="120" t="s">
        <v>416</v>
      </c>
      <c r="B20" s="281" t="s">
        <v>361</v>
      </c>
      <c r="C20" s="271"/>
      <c r="D20" s="89"/>
      <c r="E20" s="89"/>
      <c r="F20" s="270"/>
      <c r="G20" s="89"/>
      <c r="H20" s="89">
        <v>1</v>
      </c>
      <c r="I20" s="89"/>
      <c r="J20" s="89"/>
      <c r="K20" s="78">
        <f t="shared" si="2"/>
        <v>1</v>
      </c>
    </row>
    <row r="21" spans="1:11" ht="63" x14ac:dyDescent="0.2">
      <c r="A21" s="120" t="s">
        <v>417</v>
      </c>
      <c r="B21" s="281" t="s">
        <v>362</v>
      </c>
      <c r="C21" s="89"/>
      <c r="D21" s="89"/>
      <c r="E21" s="89"/>
      <c r="F21" s="270"/>
      <c r="G21" s="89"/>
      <c r="H21" s="89">
        <v>1</v>
      </c>
      <c r="I21" s="89"/>
      <c r="J21" s="89"/>
      <c r="K21" s="78">
        <f t="shared" si="2"/>
        <v>1</v>
      </c>
    </row>
    <row r="22" spans="1:11" ht="63" x14ac:dyDescent="0.2">
      <c r="A22" s="120" t="s">
        <v>418</v>
      </c>
      <c r="B22" s="281" t="s">
        <v>363</v>
      </c>
      <c r="C22" s="89"/>
      <c r="D22" s="89"/>
      <c r="E22" s="89"/>
      <c r="F22" s="270"/>
      <c r="G22" s="89"/>
      <c r="H22" s="89">
        <v>1</v>
      </c>
      <c r="I22" s="89"/>
      <c r="J22" s="89"/>
      <c r="K22" s="78">
        <f t="shared" si="2"/>
        <v>1</v>
      </c>
    </row>
    <row r="23" spans="1:11" ht="63" x14ac:dyDescent="0.2">
      <c r="A23" s="120" t="s">
        <v>419</v>
      </c>
      <c r="B23" s="281" t="s">
        <v>364</v>
      </c>
      <c r="C23" s="89"/>
      <c r="D23" s="89"/>
      <c r="E23" s="89"/>
      <c r="F23" s="270"/>
      <c r="G23" s="89"/>
      <c r="H23" s="89">
        <v>1</v>
      </c>
      <c r="I23" s="89"/>
      <c r="J23" s="89"/>
      <c r="K23" s="78">
        <f t="shared" si="2"/>
        <v>1</v>
      </c>
    </row>
    <row r="24" spans="1:11" ht="47.25" x14ac:dyDescent="0.2">
      <c r="A24" s="120" t="s">
        <v>420</v>
      </c>
      <c r="B24" s="281" t="s">
        <v>365</v>
      </c>
      <c r="C24" s="89"/>
      <c r="D24" s="89"/>
      <c r="E24" s="89"/>
      <c r="F24" s="270"/>
      <c r="G24" s="89"/>
      <c r="H24" s="89">
        <v>1</v>
      </c>
      <c r="I24" s="89"/>
      <c r="J24" s="89"/>
      <c r="K24" s="78">
        <f t="shared" si="2"/>
        <v>1</v>
      </c>
    </row>
    <row r="25" spans="1:11" ht="47.25" x14ac:dyDescent="0.2">
      <c r="A25" s="120" t="s">
        <v>421</v>
      </c>
      <c r="B25" s="281" t="s">
        <v>366</v>
      </c>
      <c r="C25" s="89"/>
      <c r="D25" s="89"/>
      <c r="E25" s="89"/>
      <c r="F25" s="270"/>
      <c r="G25" s="89"/>
      <c r="H25" s="89">
        <v>1</v>
      </c>
      <c r="I25" s="89"/>
      <c r="J25" s="89"/>
      <c r="K25" s="78">
        <f t="shared" si="2"/>
        <v>1</v>
      </c>
    </row>
    <row r="26" spans="1:11" ht="47.25" x14ac:dyDescent="0.2">
      <c r="A26" s="120" t="s">
        <v>422</v>
      </c>
      <c r="B26" s="281" t="s">
        <v>367</v>
      </c>
      <c r="C26" s="89"/>
      <c r="D26" s="89"/>
      <c r="E26" s="89"/>
      <c r="F26" s="270"/>
      <c r="G26" s="89"/>
      <c r="H26" s="89">
        <v>1</v>
      </c>
      <c r="I26" s="89"/>
      <c r="J26" s="89"/>
      <c r="K26" s="78">
        <f t="shared" si="2"/>
        <v>1</v>
      </c>
    </row>
    <row r="27" spans="1:11" ht="47.25" x14ac:dyDescent="0.2">
      <c r="A27" s="120" t="s">
        <v>423</v>
      </c>
      <c r="B27" s="281" t="s">
        <v>368</v>
      </c>
      <c r="C27" s="89"/>
      <c r="D27" s="89"/>
      <c r="E27" s="89"/>
      <c r="F27" s="270"/>
      <c r="G27" s="89"/>
      <c r="H27" s="89">
        <v>1</v>
      </c>
      <c r="I27" s="89"/>
      <c r="J27" s="89"/>
      <c r="K27" s="78">
        <f t="shared" si="2"/>
        <v>1</v>
      </c>
    </row>
    <row r="28" spans="1:11" ht="37.9" customHeight="1" x14ac:dyDescent="0.2">
      <c r="A28" s="120" t="s">
        <v>424</v>
      </c>
      <c r="B28" s="281" t="s">
        <v>369</v>
      </c>
      <c r="C28" s="89"/>
      <c r="D28" s="89"/>
      <c r="E28" s="89"/>
      <c r="F28" s="270"/>
      <c r="G28" s="89"/>
      <c r="H28" s="89">
        <v>1</v>
      </c>
      <c r="I28" s="89"/>
      <c r="J28" s="89"/>
      <c r="K28" s="78">
        <f t="shared" si="2"/>
        <v>1</v>
      </c>
    </row>
    <row r="29" spans="1:11" ht="47.25" x14ac:dyDescent="0.2">
      <c r="A29" s="120" t="s">
        <v>425</v>
      </c>
      <c r="B29" s="281" t="s">
        <v>370</v>
      </c>
      <c r="C29" s="89"/>
      <c r="D29" s="89"/>
      <c r="E29" s="89"/>
      <c r="F29" s="270"/>
      <c r="G29" s="89"/>
      <c r="H29" s="89">
        <v>1</v>
      </c>
      <c r="I29" s="89"/>
      <c r="J29" s="89"/>
      <c r="K29" s="78">
        <f t="shared" si="2"/>
        <v>1</v>
      </c>
    </row>
    <row r="30" spans="1:11" ht="28.5" customHeight="1" x14ac:dyDescent="0.2">
      <c r="A30" s="120" t="s">
        <v>426</v>
      </c>
      <c r="B30" s="281" t="s">
        <v>371</v>
      </c>
      <c r="C30" s="267">
        <v>1</v>
      </c>
      <c r="D30" s="267"/>
      <c r="E30" s="267"/>
      <c r="F30" s="267"/>
      <c r="G30" s="267"/>
      <c r="H30" s="267"/>
      <c r="I30" s="267"/>
      <c r="J30" s="267"/>
      <c r="K30" s="78">
        <f t="shared" si="2"/>
        <v>1</v>
      </c>
    </row>
    <row r="31" spans="1:11" ht="47.25" x14ac:dyDescent="0.2">
      <c r="A31" s="120" t="s">
        <v>427</v>
      </c>
      <c r="B31" s="281" t="s">
        <v>372</v>
      </c>
      <c r="C31" s="267"/>
      <c r="D31" s="267"/>
      <c r="E31" s="267"/>
      <c r="F31" s="267">
        <v>1</v>
      </c>
      <c r="G31" s="267"/>
      <c r="H31" s="267"/>
      <c r="I31" s="267"/>
      <c r="J31" s="267"/>
      <c r="K31" s="78">
        <f t="shared" si="2"/>
        <v>1</v>
      </c>
    </row>
    <row r="32" spans="1:11" ht="31.5" x14ac:dyDescent="0.2">
      <c r="A32" s="120" t="s">
        <v>428</v>
      </c>
      <c r="B32" s="281" t="s">
        <v>373</v>
      </c>
      <c r="C32" s="267"/>
      <c r="D32" s="267"/>
      <c r="E32" s="267"/>
      <c r="F32" s="267"/>
      <c r="G32" s="267">
        <v>1</v>
      </c>
      <c r="H32" s="267"/>
      <c r="I32" s="267"/>
      <c r="J32" s="267"/>
      <c r="K32" s="78">
        <f t="shared" si="2"/>
        <v>1</v>
      </c>
    </row>
    <row r="33" spans="1:11" ht="47.25" x14ac:dyDescent="0.2">
      <c r="A33" s="120" t="s">
        <v>429</v>
      </c>
      <c r="B33" s="281" t="s">
        <v>374</v>
      </c>
      <c r="C33" s="267"/>
      <c r="D33" s="267"/>
      <c r="E33" s="267"/>
      <c r="F33" s="267"/>
      <c r="G33" s="267">
        <v>1</v>
      </c>
      <c r="H33" s="267"/>
      <c r="I33" s="267"/>
      <c r="J33" s="267"/>
      <c r="K33" s="78">
        <f t="shared" si="2"/>
        <v>1</v>
      </c>
    </row>
    <row r="34" spans="1:11" ht="31.5" x14ac:dyDescent="0.2">
      <c r="A34" s="120" t="s">
        <v>430</v>
      </c>
      <c r="B34" s="281" t="s">
        <v>375</v>
      </c>
      <c r="C34" s="267"/>
      <c r="D34" s="267"/>
      <c r="E34" s="267"/>
      <c r="F34" s="267"/>
      <c r="G34" s="267">
        <v>1</v>
      </c>
      <c r="H34" s="267"/>
      <c r="I34" s="267"/>
      <c r="J34" s="267"/>
      <c r="K34" s="78">
        <f t="shared" si="2"/>
        <v>1</v>
      </c>
    </row>
    <row r="35" spans="1:11" ht="31.5" x14ac:dyDescent="0.2">
      <c r="A35" s="120" t="s">
        <v>431</v>
      </c>
      <c r="B35" s="281" t="s">
        <v>376</v>
      </c>
      <c r="C35" s="267"/>
      <c r="D35" s="267"/>
      <c r="E35" s="267"/>
      <c r="F35" s="267">
        <v>1</v>
      </c>
      <c r="G35" s="267"/>
      <c r="H35" s="267"/>
      <c r="I35" s="267"/>
      <c r="J35" s="267"/>
      <c r="K35" s="78">
        <f t="shared" si="2"/>
        <v>1</v>
      </c>
    </row>
    <row r="36" spans="1:11" x14ac:dyDescent="0.2">
      <c r="A36" s="120" t="s">
        <v>432</v>
      </c>
      <c r="B36" s="281" t="s">
        <v>377</v>
      </c>
      <c r="C36" s="267"/>
      <c r="D36" s="267"/>
      <c r="E36" s="267"/>
      <c r="F36" s="267">
        <v>1</v>
      </c>
      <c r="G36" s="267"/>
      <c r="H36" s="267"/>
      <c r="I36" s="267"/>
      <c r="J36" s="267"/>
      <c r="K36" s="78">
        <f t="shared" si="2"/>
        <v>1</v>
      </c>
    </row>
    <row r="37" spans="1:11" ht="15" x14ac:dyDescent="0.2">
      <c r="A37" s="121">
        <v>2</v>
      </c>
      <c r="B37" s="112" t="s">
        <v>310</v>
      </c>
      <c r="C37" s="262">
        <f>SUM(C38:C48)</f>
        <v>0</v>
      </c>
      <c r="D37" s="262">
        <f t="shared" ref="D37:J37" si="3">SUM(D38:D48)</f>
        <v>0</v>
      </c>
      <c r="E37" s="262">
        <f t="shared" si="3"/>
        <v>0</v>
      </c>
      <c r="F37" s="262">
        <f t="shared" si="3"/>
        <v>0</v>
      </c>
      <c r="G37" s="262">
        <f t="shared" si="3"/>
        <v>0</v>
      </c>
      <c r="H37" s="262">
        <f t="shared" si="3"/>
        <v>11</v>
      </c>
      <c r="I37" s="262">
        <f t="shared" si="3"/>
        <v>0</v>
      </c>
      <c r="J37" s="262">
        <f t="shared" si="3"/>
        <v>0</v>
      </c>
      <c r="K37" s="113">
        <f>SUM(K38:K48)</f>
        <v>11</v>
      </c>
    </row>
    <row r="38" spans="1:11" ht="31.5" x14ac:dyDescent="0.25">
      <c r="A38" s="122" t="s">
        <v>433</v>
      </c>
      <c r="B38" s="281" t="s">
        <v>336</v>
      </c>
      <c r="C38" s="89"/>
      <c r="D38" s="89"/>
      <c r="E38" s="89"/>
      <c r="F38" s="89"/>
      <c r="G38" s="89"/>
      <c r="H38" s="89">
        <v>1</v>
      </c>
      <c r="I38" s="89"/>
      <c r="J38" s="89"/>
      <c r="K38" s="78">
        <f>SUM(C38:J38)</f>
        <v>1</v>
      </c>
    </row>
    <row r="39" spans="1:11" ht="47.25" x14ac:dyDescent="0.25">
      <c r="A39" s="122" t="s">
        <v>434</v>
      </c>
      <c r="B39" s="281" t="s">
        <v>337</v>
      </c>
      <c r="C39" s="89"/>
      <c r="D39" s="89"/>
      <c r="E39" s="89"/>
      <c r="F39" s="89"/>
      <c r="G39" s="89"/>
      <c r="H39" s="89">
        <v>1</v>
      </c>
      <c r="I39" s="89"/>
      <c r="J39" s="89"/>
      <c r="K39" s="78">
        <f t="shared" ref="K39:K48" si="4">SUM(C39:J39)</f>
        <v>1</v>
      </c>
    </row>
    <row r="40" spans="1:11" ht="31.5" x14ac:dyDescent="0.25">
      <c r="A40" s="122" t="s">
        <v>435</v>
      </c>
      <c r="B40" s="281" t="s">
        <v>338</v>
      </c>
      <c r="C40" s="89"/>
      <c r="D40" s="89"/>
      <c r="E40" s="89"/>
      <c r="F40" s="89"/>
      <c r="G40" s="89"/>
      <c r="H40" s="89">
        <v>1</v>
      </c>
      <c r="I40" s="89"/>
      <c r="J40" s="89"/>
      <c r="K40" s="78">
        <f t="shared" si="4"/>
        <v>1</v>
      </c>
    </row>
    <row r="41" spans="1:11" ht="47.25" x14ac:dyDescent="0.25">
      <c r="A41" s="122" t="s">
        <v>436</v>
      </c>
      <c r="B41" s="281" t="s">
        <v>339</v>
      </c>
      <c r="C41" s="89"/>
      <c r="D41" s="89"/>
      <c r="E41" s="89"/>
      <c r="F41" s="89"/>
      <c r="G41" s="89"/>
      <c r="H41" s="89">
        <v>1</v>
      </c>
      <c r="I41" s="89"/>
      <c r="J41" s="89"/>
      <c r="K41" s="78">
        <f t="shared" si="4"/>
        <v>1</v>
      </c>
    </row>
    <row r="42" spans="1:11" ht="31.5" x14ac:dyDescent="0.25">
      <c r="A42" s="122" t="s">
        <v>437</v>
      </c>
      <c r="B42" s="281" t="s">
        <v>340</v>
      </c>
      <c r="C42" s="89"/>
      <c r="D42" s="89"/>
      <c r="E42" s="89"/>
      <c r="F42" s="89"/>
      <c r="G42" s="89"/>
      <c r="H42" s="89">
        <v>1</v>
      </c>
      <c r="I42" s="89"/>
      <c r="J42" s="89"/>
      <c r="K42" s="78">
        <f t="shared" si="4"/>
        <v>1</v>
      </c>
    </row>
    <row r="43" spans="1:11" ht="63" x14ac:dyDescent="0.25">
      <c r="A43" s="122" t="s">
        <v>438</v>
      </c>
      <c r="B43" s="281" t="s">
        <v>341</v>
      </c>
      <c r="C43" s="89"/>
      <c r="D43" s="89"/>
      <c r="E43" s="89"/>
      <c r="F43" s="89"/>
      <c r="G43" s="89"/>
      <c r="H43" s="89">
        <v>1</v>
      </c>
      <c r="I43" s="89"/>
      <c r="J43" s="89"/>
      <c r="K43" s="78">
        <f t="shared" si="4"/>
        <v>1</v>
      </c>
    </row>
    <row r="44" spans="1:11" ht="63" x14ac:dyDescent="0.25">
      <c r="A44" s="122" t="s">
        <v>439</v>
      </c>
      <c r="B44" s="282" t="s">
        <v>342</v>
      </c>
      <c r="C44" s="267"/>
      <c r="D44" s="267"/>
      <c r="E44" s="267"/>
      <c r="F44" s="267"/>
      <c r="G44" s="267"/>
      <c r="H44" s="267">
        <v>1</v>
      </c>
      <c r="I44" s="267"/>
      <c r="J44" s="267"/>
      <c r="K44" s="78">
        <f t="shared" si="4"/>
        <v>1</v>
      </c>
    </row>
    <row r="45" spans="1:11" ht="47.25" x14ac:dyDescent="0.25">
      <c r="A45" s="122" t="s">
        <v>440</v>
      </c>
      <c r="B45" s="282" t="s">
        <v>343</v>
      </c>
      <c r="C45" s="267"/>
      <c r="D45" s="267"/>
      <c r="E45" s="267"/>
      <c r="F45" s="267"/>
      <c r="G45" s="267"/>
      <c r="H45" s="267">
        <v>1</v>
      </c>
      <c r="I45" s="267"/>
      <c r="J45" s="267"/>
      <c r="K45" s="78">
        <f t="shared" si="4"/>
        <v>1</v>
      </c>
    </row>
    <row r="46" spans="1:11" ht="47.25" x14ac:dyDescent="0.25">
      <c r="A46" s="122" t="s">
        <v>441</v>
      </c>
      <c r="B46" s="282" t="s">
        <v>344</v>
      </c>
      <c r="C46" s="267"/>
      <c r="D46" s="267"/>
      <c r="E46" s="267"/>
      <c r="F46" s="267"/>
      <c r="G46" s="267"/>
      <c r="H46" s="267">
        <v>1</v>
      </c>
      <c r="I46" s="267"/>
      <c r="J46" s="267"/>
      <c r="K46" s="78">
        <f t="shared" si="4"/>
        <v>1</v>
      </c>
    </row>
    <row r="47" spans="1:11" ht="63" x14ac:dyDescent="0.25">
      <c r="A47" s="122" t="s">
        <v>442</v>
      </c>
      <c r="B47" s="282" t="s">
        <v>345</v>
      </c>
      <c r="C47" s="267"/>
      <c r="D47" s="267"/>
      <c r="E47" s="267"/>
      <c r="F47" s="267"/>
      <c r="G47" s="267"/>
      <c r="H47" s="267">
        <v>1</v>
      </c>
      <c r="I47" s="267"/>
      <c r="J47" s="267"/>
      <c r="K47" s="78">
        <f t="shared" si="4"/>
        <v>1</v>
      </c>
    </row>
    <row r="48" spans="1:11" ht="63" x14ac:dyDescent="0.25">
      <c r="A48" s="122" t="s">
        <v>443</v>
      </c>
      <c r="B48" s="269" t="s">
        <v>444</v>
      </c>
      <c r="C48" s="267"/>
      <c r="D48" s="267"/>
      <c r="E48" s="267"/>
      <c r="F48" s="267"/>
      <c r="G48" s="267"/>
      <c r="H48" s="267">
        <v>1</v>
      </c>
      <c r="I48" s="267"/>
      <c r="J48" s="267"/>
      <c r="K48" s="78">
        <f t="shared" si="4"/>
        <v>1</v>
      </c>
    </row>
    <row r="49" spans="1:11" ht="15" x14ac:dyDescent="0.2">
      <c r="A49" s="121">
        <v>3</v>
      </c>
      <c r="B49" s="112" t="s">
        <v>311</v>
      </c>
      <c r="C49" s="262">
        <f>SUM(C50:C56)</f>
        <v>0</v>
      </c>
      <c r="D49" s="262">
        <f t="shared" ref="D49:J49" si="5">SUM(D50:D56)</f>
        <v>0</v>
      </c>
      <c r="E49" s="262">
        <f t="shared" si="5"/>
        <v>1</v>
      </c>
      <c r="F49" s="262">
        <f t="shared" si="5"/>
        <v>6</v>
      </c>
      <c r="G49" s="262">
        <f t="shared" si="5"/>
        <v>0</v>
      </c>
      <c r="H49" s="262">
        <f t="shared" si="5"/>
        <v>0</v>
      </c>
      <c r="I49" s="262">
        <f t="shared" si="5"/>
        <v>0</v>
      </c>
      <c r="J49" s="262">
        <f t="shared" si="5"/>
        <v>0</v>
      </c>
      <c r="K49" s="113">
        <f>SUM(K50:K56)</f>
        <v>7</v>
      </c>
    </row>
    <row r="50" spans="1:11" x14ac:dyDescent="0.2">
      <c r="A50" s="120" t="s">
        <v>445</v>
      </c>
      <c r="B50" s="281" t="s">
        <v>378</v>
      </c>
      <c r="C50" s="89"/>
      <c r="D50" s="89"/>
      <c r="E50" s="89">
        <v>1</v>
      </c>
      <c r="F50" s="89"/>
      <c r="G50" s="89"/>
      <c r="H50" s="89"/>
      <c r="I50" s="89"/>
      <c r="J50" s="89"/>
      <c r="K50" s="115">
        <f t="shared" ref="K50:K56" si="6">SUM(C50:J50)</f>
        <v>1</v>
      </c>
    </row>
    <row r="51" spans="1:11" x14ac:dyDescent="0.2">
      <c r="A51" s="120" t="s">
        <v>446</v>
      </c>
      <c r="B51" s="281" t="s">
        <v>379</v>
      </c>
      <c r="C51" s="89"/>
      <c r="D51" s="89"/>
      <c r="E51" s="89"/>
      <c r="F51" s="89">
        <v>1</v>
      </c>
      <c r="G51" s="89"/>
      <c r="H51" s="89"/>
      <c r="I51" s="89"/>
      <c r="J51" s="89"/>
      <c r="K51" s="115">
        <f t="shared" si="6"/>
        <v>1</v>
      </c>
    </row>
    <row r="52" spans="1:11" ht="31.5" x14ac:dyDescent="0.2">
      <c r="A52" s="120" t="s">
        <v>447</v>
      </c>
      <c r="B52" s="281" t="s">
        <v>380</v>
      </c>
      <c r="C52" s="89"/>
      <c r="D52" s="89"/>
      <c r="E52" s="89"/>
      <c r="F52" s="89">
        <v>1</v>
      </c>
      <c r="G52" s="89"/>
      <c r="H52" s="89"/>
      <c r="I52" s="89"/>
      <c r="J52" s="89"/>
      <c r="K52" s="115">
        <f t="shared" si="6"/>
        <v>1</v>
      </c>
    </row>
    <row r="53" spans="1:11" ht="47.25" x14ac:dyDescent="0.2">
      <c r="A53" s="120" t="s">
        <v>448</v>
      </c>
      <c r="B53" s="281" t="s">
        <v>381</v>
      </c>
      <c r="C53" s="89"/>
      <c r="D53" s="89"/>
      <c r="E53" s="89"/>
      <c r="F53" s="89">
        <v>1</v>
      </c>
      <c r="G53" s="89"/>
      <c r="H53" s="89"/>
      <c r="I53" s="89"/>
      <c r="J53" s="89"/>
      <c r="K53" s="115">
        <f t="shared" si="6"/>
        <v>1</v>
      </c>
    </row>
    <row r="54" spans="1:11" ht="31.5" x14ac:dyDescent="0.2">
      <c r="A54" s="120" t="s">
        <v>449</v>
      </c>
      <c r="B54" s="281" t="s">
        <v>382</v>
      </c>
      <c r="C54" s="89"/>
      <c r="D54" s="89"/>
      <c r="E54" s="89"/>
      <c r="F54" s="89">
        <v>1</v>
      </c>
      <c r="G54" s="89"/>
      <c r="H54" s="89"/>
      <c r="I54" s="89"/>
      <c r="J54" s="89"/>
      <c r="K54" s="115">
        <f t="shared" si="6"/>
        <v>1</v>
      </c>
    </row>
    <row r="55" spans="1:11" ht="31.5" x14ac:dyDescent="0.2">
      <c r="A55" s="120" t="s">
        <v>450</v>
      </c>
      <c r="B55" s="281" t="s">
        <v>383</v>
      </c>
      <c r="C55" s="267"/>
      <c r="D55" s="267"/>
      <c r="E55" s="267"/>
      <c r="F55" s="267">
        <v>1</v>
      </c>
      <c r="G55" s="267"/>
      <c r="H55" s="267"/>
      <c r="I55" s="267"/>
      <c r="J55" s="267"/>
      <c r="K55" s="268">
        <f t="shared" si="6"/>
        <v>1</v>
      </c>
    </row>
    <row r="56" spans="1:11" ht="31.5" x14ac:dyDescent="0.2">
      <c r="A56" s="120" t="s">
        <v>451</v>
      </c>
      <c r="B56" s="281" t="s">
        <v>384</v>
      </c>
      <c r="C56" s="267"/>
      <c r="D56" s="267"/>
      <c r="E56" s="267"/>
      <c r="F56" s="267">
        <v>1</v>
      </c>
      <c r="G56" s="267"/>
      <c r="H56" s="267"/>
      <c r="I56" s="267"/>
      <c r="J56" s="267"/>
      <c r="K56" s="268">
        <f t="shared" si="6"/>
        <v>1</v>
      </c>
    </row>
    <row r="57" spans="1:11" ht="15" x14ac:dyDescent="0.2">
      <c r="A57" s="121">
        <v>4</v>
      </c>
      <c r="B57" s="112" t="s">
        <v>312</v>
      </c>
      <c r="C57" s="262">
        <f t="shared" ref="C57:K57" si="7">SUM(C58:C58)</f>
        <v>1</v>
      </c>
      <c r="D57" s="113">
        <f t="shared" si="7"/>
        <v>0</v>
      </c>
      <c r="E57" s="113">
        <f t="shared" si="7"/>
        <v>0</v>
      </c>
      <c r="F57" s="113">
        <f t="shared" si="7"/>
        <v>0</v>
      </c>
      <c r="G57" s="113">
        <f t="shared" si="7"/>
        <v>0</v>
      </c>
      <c r="H57" s="113">
        <f t="shared" si="7"/>
        <v>0</v>
      </c>
      <c r="I57" s="113">
        <f t="shared" si="7"/>
        <v>0</v>
      </c>
      <c r="J57" s="113">
        <f t="shared" si="7"/>
        <v>0</v>
      </c>
      <c r="K57" s="113">
        <f t="shared" si="7"/>
        <v>1</v>
      </c>
    </row>
    <row r="58" spans="1:11" ht="31.5" x14ac:dyDescent="0.2">
      <c r="A58" s="264" t="s">
        <v>456</v>
      </c>
      <c r="B58" s="266" t="s">
        <v>452</v>
      </c>
      <c r="C58" s="267">
        <v>1</v>
      </c>
      <c r="D58" s="267"/>
      <c r="E58" s="267"/>
      <c r="F58" s="267"/>
      <c r="G58" s="267"/>
      <c r="H58" s="267"/>
      <c r="I58" s="267"/>
      <c r="J58" s="267"/>
      <c r="K58" s="267">
        <f>SUM(C58:J58)</f>
        <v>1</v>
      </c>
    </row>
    <row r="59" spans="1:11" ht="15" x14ac:dyDescent="0.2">
      <c r="A59" s="121">
        <v>5</v>
      </c>
      <c r="B59" s="112" t="s">
        <v>313</v>
      </c>
      <c r="C59" s="262">
        <f>SUM(C60:C62)</f>
        <v>0</v>
      </c>
      <c r="D59" s="262">
        <f t="shared" ref="D59:J59" si="8">SUM(D60:D62)</f>
        <v>0</v>
      </c>
      <c r="E59" s="262">
        <f t="shared" si="8"/>
        <v>0</v>
      </c>
      <c r="F59" s="262">
        <f t="shared" si="8"/>
        <v>3</v>
      </c>
      <c r="G59" s="262">
        <f t="shared" si="8"/>
        <v>0</v>
      </c>
      <c r="H59" s="262">
        <f t="shared" si="8"/>
        <v>0</v>
      </c>
      <c r="I59" s="262">
        <f t="shared" si="8"/>
        <v>0</v>
      </c>
      <c r="J59" s="262">
        <f t="shared" si="8"/>
        <v>0</v>
      </c>
      <c r="K59" s="113">
        <f>SUM(K60:K62)</f>
        <v>3</v>
      </c>
    </row>
    <row r="60" spans="1:11" ht="47.25" x14ac:dyDescent="0.2">
      <c r="A60" s="264" t="s">
        <v>453</v>
      </c>
      <c r="B60" s="281" t="s">
        <v>385</v>
      </c>
      <c r="C60" s="267"/>
      <c r="D60" s="267"/>
      <c r="E60" s="267"/>
      <c r="F60" s="267">
        <v>1</v>
      </c>
      <c r="G60" s="267"/>
      <c r="H60" s="267"/>
      <c r="I60" s="267"/>
      <c r="J60" s="267"/>
      <c r="K60" s="267">
        <f>SUM(C60:I60)</f>
        <v>1</v>
      </c>
    </row>
    <row r="61" spans="1:11" ht="31.5" x14ac:dyDescent="0.2">
      <c r="A61" s="264" t="s">
        <v>454</v>
      </c>
      <c r="B61" s="281" t="s">
        <v>386</v>
      </c>
      <c r="C61" s="267"/>
      <c r="D61" s="267"/>
      <c r="E61" s="267"/>
      <c r="F61" s="267">
        <v>1</v>
      </c>
      <c r="G61" s="267"/>
      <c r="H61" s="267"/>
      <c r="I61" s="267"/>
      <c r="J61" s="267"/>
      <c r="K61" s="267">
        <f>SUM(C61:I61)</f>
        <v>1</v>
      </c>
    </row>
    <row r="62" spans="1:11" ht="31.5" x14ac:dyDescent="0.2">
      <c r="A62" s="264" t="s">
        <v>455</v>
      </c>
      <c r="B62" s="281" t="s">
        <v>387</v>
      </c>
      <c r="C62" s="267"/>
      <c r="D62" s="267"/>
      <c r="E62" s="267"/>
      <c r="F62" s="267">
        <v>1</v>
      </c>
      <c r="G62" s="267"/>
      <c r="H62" s="267"/>
      <c r="I62" s="267"/>
      <c r="J62" s="267"/>
      <c r="K62" s="267">
        <f>SUM(C62:I62)</f>
        <v>1</v>
      </c>
    </row>
    <row r="63" spans="1:11" ht="15" x14ac:dyDescent="0.2">
      <c r="A63" s="121">
        <v>6</v>
      </c>
      <c r="B63" s="112" t="s">
        <v>314</v>
      </c>
      <c r="C63" s="262">
        <f>SUM(C64:C65)</f>
        <v>0</v>
      </c>
      <c r="D63" s="262">
        <f t="shared" ref="D63:J63" si="9">SUM(D64:D65)</f>
        <v>0</v>
      </c>
      <c r="E63" s="262">
        <f t="shared" si="9"/>
        <v>0</v>
      </c>
      <c r="F63" s="262">
        <f t="shared" si="9"/>
        <v>2</v>
      </c>
      <c r="G63" s="262">
        <f t="shared" si="9"/>
        <v>0</v>
      </c>
      <c r="H63" s="262">
        <f t="shared" si="9"/>
        <v>0</v>
      </c>
      <c r="I63" s="262">
        <f t="shared" si="9"/>
        <v>0</v>
      </c>
      <c r="J63" s="262">
        <f t="shared" si="9"/>
        <v>0</v>
      </c>
      <c r="K63" s="113">
        <f>SUM(K64:K65)</f>
        <v>2</v>
      </c>
    </row>
    <row r="64" spans="1:11" ht="35.450000000000003" customHeight="1" x14ac:dyDescent="0.2">
      <c r="A64" s="120" t="s">
        <v>457</v>
      </c>
      <c r="B64" s="283" t="s">
        <v>334</v>
      </c>
      <c r="C64" s="89"/>
      <c r="D64" s="89"/>
      <c r="E64" s="89"/>
      <c r="F64" s="89">
        <v>1</v>
      </c>
      <c r="G64" s="89"/>
      <c r="H64" s="89"/>
      <c r="I64" s="89"/>
      <c r="J64" s="89"/>
      <c r="K64" s="89">
        <f>SUM(C64:I64)</f>
        <v>1</v>
      </c>
    </row>
    <row r="65" spans="1:11" ht="31.5" x14ac:dyDescent="0.2">
      <c r="A65" s="120" t="s">
        <v>458</v>
      </c>
      <c r="B65" s="283" t="s">
        <v>335</v>
      </c>
      <c r="C65" s="89"/>
      <c r="D65" s="89"/>
      <c r="E65" s="89"/>
      <c r="F65" s="89">
        <v>1</v>
      </c>
      <c r="G65" s="89"/>
      <c r="H65" s="89"/>
      <c r="I65" s="89"/>
      <c r="J65" s="89"/>
      <c r="K65" s="89">
        <f>SUM(C65:I65)</f>
        <v>1</v>
      </c>
    </row>
    <row r="66" spans="1:11" ht="15" x14ac:dyDescent="0.2">
      <c r="A66" s="121">
        <v>7</v>
      </c>
      <c r="B66" s="112" t="s">
        <v>315</v>
      </c>
      <c r="C66" s="262">
        <f>SUM(C67:C68)</f>
        <v>0</v>
      </c>
      <c r="D66" s="262">
        <f t="shared" ref="D66:J66" si="10">SUM(D67:D68)</f>
        <v>0</v>
      </c>
      <c r="E66" s="262">
        <f t="shared" si="10"/>
        <v>0</v>
      </c>
      <c r="F66" s="262">
        <f t="shared" si="10"/>
        <v>2</v>
      </c>
      <c r="G66" s="262">
        <f t="shared" si="10"/>
        <v>0</v>
      </c>
      <c r="H66" s="262">
        <f t="shared" si="10"/>
        <v>0</v>
      </c>
      <c r="I66" s="262">
        <f t="shared" si="10"/>
        <v>0</v>
      </c>
      <c r="J66" s="262">
        <f t="shared" si="10"/>
        <v>0</v>
      </c>
      <c r="K66" s="113">
        <f>SUM(K67:K68)</f>
        <v>2</v>
      </c>
    </row>
    <row r="67" spans="1:11" ht="31.5" x14ac:dyDescent="0.2">
      <c r="A67" s="120" t="s">
        <v>459</v>
      </c>
      <c r="B67" s="281" t="s">
        <v>388</v>
      </c>
      <c r="C67" s="89"/>
      <c r="D67" s="89"/>
      <c r="E67" s="89"/>
      <c r="F67" s="89">
        <v>1</v>
      </c>
      <c r="G67" s="89"/>
      <c r="H67" s="89"/>
      <c r="I67" s="89"/>
      <c r="J67" s="89"/>
      <c r="K67" s="89">
        <f>SUM(C67:I67)</f>
        <v>1</v>
      </c>
    </row>
    <row r="68" spans="1:11" ht="31.5" x14ac:dyDescent="0.2">
      <c r="A68" s="120" t="s">
        <v>460</v>
      </c>
      <c r="B68" s="281" t="s">
        <v>389</v>
      </c>
      <c r="C68" s="89"/>
      <c r="D68" s="89"/>
      <c r="E68" s="89"/>
      <c r="F68" s="89">
        <v>1</v>
      </c>
      <c r="G68" s="89"/>
      <c r="H68" s="89"/>
      <c r="I68" s="89"/>
      <c r="J68" s="89"/>
      <c r="K68" s="89">
        <f>SUM(C68:I68)</f>
        <v>1</v>
      </c>
    </row>
    <row r="69" spans="1:11" ht="15" x14ac:dyDescent="0.2">
      <c r="A69" s="121">
        <v>8</v>
      </c>
      <c r="B69" s="112" t="s">
        <v>316</v>
      </c>
      <c r="C69" s="262">
        <f>SUM(C70:C76)</f>
        <v>1</v>
      </c>
      <c r="D69" s="262">
        <f t="shared" ref="D69:J69" si="11">SUM(D70:D76)</f>
        <v>0</v>
      </c>
      <c r="E69" s="262">
        <f t="shared" si="11"/>
        <v>2</v>
      </c>
      <c r="F69" s="262">
        <f t="shared" si="11"/>
        <v>0</v>
      </c>
      <c r="G69" s="262">
        <f t="shared" si="11"/>
        <v>4</v>
      </c>
      <c r="H69" s="262">
        <f t="shared" si="11"/>
        <v>0</v>
      </c>
      <c r="I69" s="262">
        <f t="shared" si="11"/>
        <v>0</v>
      </c>
      <c r="J69" s="262">
        <f t="shared" si="11"/>
        <v>0</v>
      </c>
      <c r="K69" s="113">
        <f>SUM(K70:K76)</f>
        <v>7</v>
      </c>
    </row>
    <row r="70" spans="1:11" x14ac:dyDescent="0.2">
      <c r="A70" s="120" t="s">
        <v>461</v>
      </c>
      <c r="B70" s="263" t="s">
        <v>323</v>
      </c>
      <c r="C70" s="89">
        <v>1</v>
      </c>
      <c r="D70" s="89"/>
      <c r="E70" s="89"/>
      <c r="F70" s="89"/>
      <c r="G70" s="89"/>
      <c r="H70" s="89"/>
      <c r="I70" s="89"/>
      <c r="J70" s="89"/>
      <c r="K70" s="89">
        <f>SUM(C70:I70)</f>
        <v>1</v>
      </c>
    </row>
    <row r="71" spans="1:11" ht="31.5" x14ac:dyDescent="0.2">
      <c r="A71" s="120" t="s">
        <v>462</v>
      </c>
      <c r="B71" s="263" t="s">
        <v>317</v>
      </c>
      <c r="C71" s="89"/>
      <c r="D71" s="89"/>
      <c r="E71" s="89"/>
      <c r="F71" s="89"/>
      <c r="G71" s="89">
        <v>1</v>
      </c>
      <c r="H71" s="89"/>
      <c r="I71" s="89"/>
      <c r="J71" s="89"/>
      <c r="K71" s="89">
        <f>SUM(C71:I71)</f>
        <v>1</v>
      </c>
    </row>
    <row r="72" spans="1:11" x14ac:dyDescent="0.2">
      <c r="A72" s="120" t="s">
        <v>463</v>
      </c>
      <c r="B72" s="263" t="s">
        <v>318</v>
      </c>
      <c r="C72" s="89"/>
      <c r="D72" s="89"/>
      <c r="E72" s="89">
        <v>1</v>
      </c>
      <c r="F72" s="89"/>
      <c r="G72" s="89"/>
      <c r="H72" s="89"/>
      <c r="I72" s="89"/>
      <c r="J72" s="89"/>
      <c r="K72" s="89">
        <f>SUM(C72:I72)</f>
        <v>1</v>
      </c>
    </row>
    <row r="73" spans="1:11" x14ac:dyDescent="0.2">
      <c r="A73" s="120" t="s">
        <v>464</v>
      </c>
      <c r="B73" s="119" t="s">
        <v>319</v>
      </c>
      <c r="C73" s="89"/>
      <c r="D73" s="89"/>
      <c r="E73" s="89"/>
      <c r="F73" s="89"/>
      <c r="G73" s="89">
        <v>1</v>
      </c>
      <c r="H73" s="89"/>
      <c r="I73" s="89"/>
      <c r="J73" s="89"/>
      <c r="K73" s="89">
        <f t="shared" ref="K73:K76" si="12">SUM(C73:J73)</f>
        <v>1</v>
      </c>
    </row>
    <row r="74" spans="1:11" x14ac:dyDescent="0.2">
      <c r="A74" s="120" t="s">
        <v>465</v>
      </c>
      <c r="B74" s="119" t="s">
        <v>320</v>
      </c>
      <c r="C74" s="89"/>
      <c r="D74" s="89"/>
      <c r="E74" s="89"/>
      <c r="F74" s="89"/>
      <c r="G74" s="89">
        <v>1</v>
      </c>
      <c r="H74" s="89"/>
      <c r="I74" s="89"/>
      <c r="J74" s="89"/>
      <c r="K74" s="89">
        <f t="shared" si="12"/>
        <v>1</v>
      </c>
    </row>
    <row r="75" spans="1:11" x14ac:dyDescent="0.25">
      <c r="A75" s="120" t="s">
        <v>466</v>
      </c>
      <c r="B75" s="265" t="s">
        <v>321</v>
      </c>
      <c r="C75" s="89"/>
      <c r="D75" s="89"/>
      <c r="E75" s="89">
        <v>1</v>
      </c>
      <c r="F75" s="89"/>
      <c r="G75" s="89"/>
      <c r="H75" s="89"/>
      <c r="I75" s="89"/>
      <c r="J75" s="89"/>
      <c r="K75" s="89">
        <f t="shared" si="12"/>
        <v>1</v>
      </c>
    </row>
    <row r="76" spans="1:11" ht="31.5" x14ac:dyDescent="0.25">
      <c r="A76" s="120" t="s">
        <v>467</v>
      </c>
      <c r="B76" s="265" t="s">
        <v>322</v>
      </c>
      <c r="C76" s="89"/>
      <c r="D76" s="89"/>
      <c r="E76" s="89"/>
      <c r="F76" s="89"/>
      <c r="G76" s="89">
        <v>1</v>
      </c>
      <c r="H76" s="89"/>
      <c r="I76" s="89"/>
      <c r="J76" s="89"/>
      <c r="K76" s="89">
        <f t="shared" si="12"/>
        <v>1</v>
      </c>
    </row>
  </sheetData>
  <mergeCells count="4">
    <mergeCell ref="K1:K2"/>
    <mergeCell ref="A1:A2"/>
    <mergeCell ref="B1:B2"/>
    <mergeCell ref="C1:J1"/>
  </mergeCells>
  <phoneticPr fontId="92" type="noConversion"/>
  <pageMargins left="0.7" right="0.7" top="0.75" bottom="0.75" header="0.3" footer="0.3"/>
  <pageSetup paperSize="9" scale="2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34"/>
  <sheetViews>
    <sheetView view="pageBreakPreview" zoomScale="60" zoomScaleNormal="50" zoomScalePageLayoutView="80" workbookViewId="0">
      <pane xSplit="2" ySplit="3" topLeftCell="C4" activePane="bottomRight" state="frozen"/>
      <selection activeCell="J58" sqref="J58"/>
      <selection pane="topRight" activeCell="J58" sqref="J58"/>
      <selection pane="bottomLeft" activeCell="J58" sqref="J58"/>
      <selection pane="bottomRight" activeCell="B4" sqref="B4"/>
    </sheetView>
  </sheetViews>
  <sheetFormatPr defaultColWidth="8.7109375" defaultRowHeight="12" x14ac:dyDescent="0.2"/>
  <cols>
    <col min="1" max="1" width="5.7109375" style="1" customWidth="1"/>
    <col min="2" max="2" width="45.42578125" style="1" customWidth="1"/>
    <col min="3" max="3" width="7.7109375" style="1" customWidth="1"/>
    <col min="4" max="4" width="7" style="1" customWidth="1"/>
    <col min="5" max="5" width="7.42578125" style="1" customWidth="1"/>
    <col min="6" max="10" width="7" style="1" customWidth="1"/>
    <col min="11" max="19" width="8.42578125" style="1" customWidth="1"/>
    <col min="20" max="20" width="14" style="1" customWidth="1"/>
    <col min="21" max="21" width="13.7109375" style="1" customWidth="1"/>
    <col min="22" max="22" width="11" style="11" customWidth="1"/>
    <col min="23" max="23" width="11" style="1" customWidth="1"/>
    <col min="24" max="24" width="6.42578125" style="2" customWidth="1"/>
    <col min="25" max="26" width="7" style="2" customWidth="1"/>
    <col min="27" max="28" width="5.42578125" style="2" customWidth="1"/>
    <col min="29" max="29" width="7.42578125" style="2" customWidth="1"/>
    <col min="30" max="31" width="6.42578125" style="2" customWidth="1"/>
    <col min="32" max="33" width="9.42578125" style="1" customWidth="1"/>
    <col min="34" max="34" width="17.42578125" style="1" customWidth="1"/>
    <col min="35" max="35" width="20.42578125" style="1" customWidth="1"/>
    <col min="36" max="36" width="25" style="1" customWidth="1"/>
    <col min="37" max="37" width="14.28515625" style="1" customWidth="1"/>
    <col min="38" max="16384" width="8.7109375" style="1"/>
  </cols>
  <sheetData>
    <row r="1" spans="1:36" s="13" customFormat="1" ht="40.5" customHeight="1" x14ac:dyDescent="0.25">
      <c r="A1" s="576" t="s">
        <v>136</v>
      </c>
      <c r="V1" s="14"/>
      <c r="X1" s="15"/>
      <c r="Y1" s="15"/>
      <c r="Z1" s="15"/>
      <c r="AA1" s="15"/>
      <c r="AB1" s="15"/>
      <c r="AC1" s="15"/>
      <c r="AD1" s="15"/>
      <c r="AE1" s="15"/>
    </row>
    <row r="2" spans="1:36" s="13" customFormat="1" ht="19.5" customHeight="1" x14ac:dyDescent="0.25">
      <c r="A2" s="464" t="s">
        <v>0</v>
      </c>
      <c r="B2" s="464" t="s">
        <v>1</v>
      </c>
      <c r="C2" s="464" t="s">
        <v>78</v>
      </c>
      <c r="D2" s="464"/>
      <c r="E2" s="464"/>
      <c r="F2" s="464"/>
      <c r="G2" s="464"/>
      <c r="H2" s="464"/>
      <c r="I2" s="464"/>
      <c r="J2" s="464"/>
      <c r="K2" s="464"/>
      <c r="L2" s="464" t="s">
        <v>79</v>
      </c>
      <c r="M2" s="464"/>
      <c r="N2" s="464"/>
      <c r="O2" s="464"/>
      <c r="P2" s="464"/>
      <c r="Q2" s="464"/>
      <c r="R2" s="464"/>
      <c r="S2" s="464"/>
      <c r="T2" s="464"/>
      <c r="U2" s="464" t="s">
        <v>63</v>
      </c>
      <c r="V2" s="465" t="s">
        <v>43</v>
      </c>
      <c r="W2" s="466" t="s">
        <v>42</v>
      </c>
      <c r="X2" s="467" t="s">
        <v>4</v>
      </c>
      <c r="Y2" s="468"/>
      <c r="Z2" s="468"/>
      <c r="AA2" s="468"/>
      <c r="AB2" s="468"/>
      <c r="AC2" s="468"/>
      <c r="AD2" s="468"/>
      <c r="AE2" s="469"/>
      <c r="AF2" s="464"/>
      <c r="AG2" s="470" t="s">
        <v>106</v>
      </c>
      <c r="AH2" s="463" t="s">
        <v>3</v>
      </c>
      <c r="AI2" s="463" t="s">
        <v>104</v>
      </c>
    </row>
    <row r="3" spans="1:36" s="13" customFormat="1" ht="78.75" customHeight="1" x14ac:dyDescent="0.25">
      <c r="A3" s="464"/>
      <c r="B3" s="464"/>
      <c r="C3" s="19" t="s">
        <v>80</v>
      </c>
      <c r="D3" s="19" t="s">
        <v>81</v>
      </c>
      <c r="E3" s="19" t="s">
        <v>82</v>
      </c>
      <c r="F3" s="19" t="s">
        <v>83</v>
      </c>
      <c r="G3" s="19" t="s">
        <v>84</v>
      </c>
      <c r="H3" s="19" t="s">
        <v>85</v>
      </c>
      <c r="I3" s="19" t="s">
        <v>86</v>
      </c>
      <c r="J3" s="19" t="s">
        <v>87</v>
      </c>
      <c r="K3" s="19" t="s">
        <v>2</v>
      </c>
      <c r="L3" s="19" t="s">
        <v>88</v>
      </c>
      <c r="M3" s="19" t="s">
        <v>89</v>
      </c>
      <c r="N3" s="19" t="s">
        <v>90</v>
      </c>
      <c r="O3" s="19" t="s">
        <v>91</v>
      </c>
      <c r="P3" s="19" t="s">
        <v>92</v>
      </c>
      <c r="Q3" s="19" t="s">
        <v>93</v>
      </c>
      <c r="R3" s="19" t="s">
        <v>94</v>
      </c>
      <c r="S3" s="19" t="s">
        <v>95</v>
      </c>
      <c r="T3" s="19" t="s">
        <v>2</v>
      </c>
      <c r="U3" s="464"/>
      <c r="V3" s="465"/>
      <c r="W3" s="466"/>
      <c r="X3" s="20" t="s">
        <v>70</v>
      </c>
      <c r="Y3" s="20" t="s">
        <v>71</v>
      </c>
      <c r="Z3" s="20" t="s">
        <v>72</v>
      </c>
      <c r="AA3" s="20" t="s">
        <v>73</v>
      </c>
      <c r="AB3" s="20" t="s">
        <v>74</v>
      </c>
      <c r="AC3" s="20" t="s">
        <v>75</v>
      </c>
      <c r="AD3" s="20" t="s">
        <v>76</v>
      </c>
      <c r="AE3" s="20" t="s">
        <v>77</v>
      </c>
      <c r="AF3" s="464"/>
      <c r="AG3" s="471"/>
      <c r="AH3" s="463"/>
      <c r="AI3" s="463"/>
    </row>
    <row r="4" spans="1:36" s="13" customFormat="1" ht="100.9" customHeight="1" x14ac:dyDescent="0.25">
      <c r="A4" s="21"/>
      <c r="B4" s="273" t="str">
        <f>Функции!B3</f>
        <v>Выполнение работ по модернизации информационной системы единый сервис идентификации пользователей (ИС ЕСИП) и поддержание ее работоспособности в 2026-2028 годах</v>
      </c>
      <c r="C4" s="22">
        <f t="shared" ref="C4:T4" si="0">SUBTOTAL(9,C5:C13)</f>
        <v>3</v>
      </c>
      <c r="D4" s="22">
        <f t="shared" si="0"/>
        <v>0</v>
      </c>
      <c r="E4" s="22">
        <f t="shared" si="0"/>
        <v>3</v>
      </c>
      <c r="F4" s="22">
        <f t="shared" si="0"/>
        <v>16</v>
      </c>
      <c r="G4" s="22">
        <f t="shared" si="0"/>
        <v>7</v>
      </c>
      <c r="H4" s="22">
        <f t="shared" si="0"/>
        <v>36</v>
      </c>
      <c r="I4" s="22">
        <f t="shared" si="0"/>
        <v>0</v>
      </c>
      <c r="J4" s="22">
        <f t="shared" si="0"/>
        <v>0</v>
      </c>
      <c r="K4" s="22">
        <f t="shared" si="0"/>
        <v>65</v>
      </c>
      <c r="L4" s="22">
        <f t="shared" si="0"/>
        <v>33</v>
      </c>
      <c r="M4" s="22">
        <f t="shared" si="0"/>
        <v>0</v>
      </c>
      <c r="N4" s="22">
        <f t="shared" si="0"/>
        <v>15</v>
      </c>
      <c r="O4" s="22">
        <f t="shared" si="0"/>
        <v>80</v>
      </c>
      <c r="P4" s="22">
        <f t="shared" si="0"/>
        <v>28</v>
      </c>
      <c r="Q4" s="22">
        <f t="shared" si="0"/>
        <v>144</v>
      </c>
      <c r="R4" s="22">
        <f t="shared" si="0"/>
        <v>0</v>
      </c>
      <c r="S4" s="22">
        <f t="shared" si="0"/>
        <v>0</v>
      </c>
      <c r="T4" s="22">
        <f t="shared" si="0"/>
        <v>300</v>
      </c>
      <c r="U4" s="18"/>
      <c r="V4" s="23"/>
      <c r="W4" s="285">
        <f>SUM(W5:W13)</f>
        <v>157.63</v>
      </c>
      <c r="X4" s="25"/>
      <c r="Y4" s="26"/>
      <c r="Z4" s="26"/>
      <c r="AA4" s="27"/>
      <c r="AB4" s="26"/>
      <c r="AC4" s="28"/>
      <c r="AD4" s="28"/>
      <c r="AE4" s="28"/>
      <c r="AF4" s="24"/>
      <c r="AG4" s="45"/>
      <c r="AH4" s="285">
        <f>SUM(AH5:AH13)</f>
        <v>158.096</v>
      </c>
      <c r="AI4" s="46">
        <v>1</v>
      </c>
    </row>
    <row r="5" spans="1:36" s="6" customFormat="1" ht="55.5" customHeight="1" x14ac:dyDescent="0.25">
      <c r="A5" s="42">
        <v>1</v>
      </c>
      <c r="B5" s="44" t="str">
        <f>Функции!B4</f>
        <v>Подсистема идентификации и предоставления доступа</v>
      </c>
      <c r="C5" s="29">
        <f>Функции!C4</f>
        <v>1</v>
      </c>
      <c r="D5" s="29">
        <f>Функции!D4</f>
        <v>0</v>
      </c>
      <c r="E5" s="29">
        <f>Функции!E4</f>
        <v>0</v>
      </c>
      <c r="F5" s="29">
        <f>Функции!F4</f>
        <v>3</v>
      </c>
      <c r="G5" s="29">
        <f>Функции!G4</f>
        <v>3</v>
      </c>
      <c r="H5" s="29">
        <f>Функции!H4</f>
        <v>25</v>
      </c>
      <c r="I5" s="29">
        <f>Функции!I4</f>
        <v>0</v>
      </c>
      <c r="J5" s="29">
        <f>Функции!J4</f>
        <v>0</v>
      </c>
      <c r="K5" s="29">
        <f>Функции!K4</f>
        <v>32</v>
      </c>
      <c r="L5" s="30">
        <f t="shared" ref="L5:L13" si="1">C5*11</f>
        <v>11</v>
      </c>
      <c r="M5" s="30">
        <f t="shared" ref="M5:M13" si="2">D5*6</f>
        <v>0</v>
      </c>
      <c r="N5" s="30">
        <f t="shared" ref="N5:O7" si="3">E5*5</f>
        <v>0</v>
      </c>
      <c r="O5" s="30">
        <f t="shared" si="3"/>
        <v>15</v>
      </c>
      <c r="P5" s="30">
        <f t="shared" ref="P5:Q13" si="4">G5*4</f>
        <v>12</v>
      </c>
      <c r="Q5" s="30">
        <f t="shared" si="4"/>
        <v>100</v>
      </c>
      <c r="R5" s="30">
        <f t="shared" ref="R5:R13" si="5">I5*2</f>
        <v>0</v>
      </c>
      <c r="S5" s="30">
        <f t="shared" ref="S5:S13" si="6">J5*1</f>
        <v>0</v>
      </c>
      <c r="T5" s="30">
        <f t="shared" ref="T5:T13" si="7">SUM(L5:S5)</f>
        <v>138</v>
      </c>
      <c r="U5" s="31" t="s">
        <v>41</v>
      </c>
      <c r="V5" s="32">
        <v>0.255</v>
      </c>
      <c r="W5" s="33">
        <f>ROUND(POWER(T5,0.94)*V5,2)</f>
        <v>26.18</v>
      </c>
      <c r="X5" s="297">
        <f>Коэффициенты!C4</f>
        <v>1</v>
      </c>
      <c r="Y5" s="297">
        <f>Коэффициенты!D4</f>
        <v>1</v>
      </c>
      <c r="Z5" s="297">
        <f>Коэффициенты!E4</f>
        <v>1</v>
      </c>
      <c r="AA5" s="297">
        <f>Коэффициенты!F4</f>
        <v>1</v>
      </c>
      <c r="AB5" s="297">
        <f>Коэффициенты!G4</f>
        <v>1</v>
      </c>
      <c r="AC5" s="297">
        <f>Коэффициенты!H4</f>
        <v>1</v>
      </c>
      <c r="AD5" s="297">
        <f>Коэффициенты!I4</f>
        <v>0.97</v>
      </c>
      <c r="AE5" s="297">
        <f>Коэффициенты!J4</f>
        <v>1.03</v>
      </c>
      <c r="AF5" s="34">
        <f t="shared" ref="AF5:AF13" si="8">ROUND(X5*Y5*Z5*AA5*AB5*AC5*AD5*AE5,3)</f>
        <v>0.999</v>
      </c>
      <c r="AG5" s="48">
        <v>1</v>
      </c>
      <c r="AH5" s="285">
        <f>ROUND(W5*AF5*AG5,3)</f>
        <v>26.154</v>
      </c>
      <c r="AI5" s="244">
        <f t="shared" ref="AI5:AI12" si="9">AH5/$AH$4</f>
        <v>0.16539999999999999</v>
      </c>
    </row>
    <row r="6" spans="1:36" s="6" customFormat="1" ht="55.5" customHeight="1" x14ac:dyDescent="0.25">
      <c r="A6" s="42">
        <v>2</v>
      </c>
      <c r="B6" s="44" t="str">
        <f>Функции!B37</f>
        <v>Подсистема контекстной авторизации</v>
      </c>
      <c r="C6" s="29">
        <f>Функции!C37</f>
        <v>0</v>
      </c>
      <c r="D6" s="29">
        <f>Функции!D37</f>
        <v>0</v>
      </c>
      <c r="E6" s="29">
        <f>Функции!E37</f>
        <v>0</v>
      </c>
      <c r="F6" s="29">
        <f>Функции!F37</f>
        <v>0</v>
      </c>
      <c r="G6" s="29">
        <f>Функции!G37</f>
        <v>0</v>
      </c>
      <c r="H6" s="29">
        <f>Функции!H37</f>
        <v>11</v>
      </c>
      <c r="I6" s="29">
        <f>Функции!I37</f>
        <v>0</v>
      </c>
      <c r="J6" s="29">
        <f>Функции!J37</f>
        <v>0</v>
      </c>
      <c r="K6" s="29">
        <f>Функции!K37</f>
        <v>11</v>
      </c>
      <c r="L6" s="30">
        <f t="shared" si="1"/>
        <v>0</v>
      </c>
      <c r="M6" s="30">
        <f t="shared" si="2"/>
        <v>0</v>
      </c>
      <c r="N6" s="30">
        <f t="shared" si="3"/>
        <v>0</v>
      </c>
      <c r="O6" s="30">
        <f t="shared" si="3"/>
        <v>0</v>
      </c>
      <c r="P6" s="30">
        <f t="shared" si="4"/>
        <v>0</v>
      </c>
      <c r="Q6" s="30">
        <f t="shared" si="4"/>
        <v>44</v>
      </c>
      <c r="R6" s="30">
        <f t="shared" si="5"/>
        <v>0</v>
      </c>
      <c r="S6" s="30">
        <f t="shared" si="6"/>
        <v>0</v>
      </c>
      <c r="T6" s="30">
        <f t="shared" si="7"/>
        <v>44</v>
      </c>
      <c r="U6" s="31" t="s">
        <v>41</v>
      </c>
      <c r="V6" s="32">
        <v>0.255</v>
      </c>
      <c r="W6" s="33">
        <f>ROUND(POWER(T6,0.94)*V6,2)</f>
        <v>8.94</v>
      </c>
      <c r="X6" s="297">
        <f>Коэффициенты!C5</f>
        <v>1</v>
      </c>
      <c r="Y6" s="297">
        <f>Коэффициенты!D5</f>
        <v>1</v>
      </c>
      <c r="Z6" s="297">
        <f>Коэффициенты!E5</f>
        <v>1</v>
      </c>
      <c r="AA6" s="297">
        <f>Коэффициенты!F5</f>
        <v>1</v>
      </c>
      <c r="AB6" s="297">
        <f>Коэффициенты!G5</f>
        <v>1</v>
      </c>
      <c r="AC6" s="297">
        <f>Коэффициенты!H5</f>
        <v>1</v>
      </c>
      <c r="AD6" s="297">
        <f>Коэффициенты!I5</f>
        <v>0.97</v>
      </c>
      <c r="AE6" s="297">
        <f>Коэффициенты!J5</f>
        <v>1.03</v>
      </c>
      <c r="AF6" s="34">
        <f t="shared" si="8"/>
        <v>0.999</v>
      </c>
      <c r="AG6" s="48">
        <v>1</v>
      </c>
      <c r="AH6" s="285">
        <f>ROUND(W6*AF6*AG6,3)</f>
        <v>8.9309999999999992</v>
      </c>
      <c r="AI6" s="244">
        <f t="shared" si="9"/>
        <v>5.6500000000000002E-2</v>
      </c>
    </row>
    <row r="7" spans="1:36" s="6" customFormat="1" ht="55.5" customHeight="1" x14ac:dyDescent="0.25">
      <c r="A7" s="42">
        <v>3</v>
      </c>
      <c r="B7" s="44" t="str">
        <f>Функции!B49</f>
        <v>Подсистема хранения и управления данными</v>
      </c>
      <c r="C7" s="29">
        <f>Функции!C49</f>
        <v>0</v>
      </c>
      <c r="D7" s="29">
        <f>Функции!D49</f>
        <v>0</v>
      </c>
      <c r="E7" s="29">
        <f>Функции!E49</f>
        <v>1</v>
      </c>
      <c r="F7" s="29">
        <f>Функции!F49</f>
        <v>6</v>
      </c>
      <c r="G7" s="29">
        <f>Функции!G49</f>
        <v>0</v>
      </c>
      <c r="H7" s="29">
        <f>Функции!H49</f>
        <v>0</v>
      </c>
      <c r="I7" s="29">
        <f>Функции!I49</f>
        <v>0</v>
      </c>
      <c r="J7" s="29">
        <f>Функции!J49</f>
        <v>0</v>
      </c>
      <c r="K7" s="29">
        <f>Функции!K49</f>
        <v>7</v>
      </c>
      <c r="L7" s="30">
        <f t="shared" si="1"/>
        <v>0</v>
      </c>
      <c r="M7" s="30">
        <f t="shared" si="2"/>
        <v>0</v>
      </c>
      <c r="N7" s="30">
        <f t="shared" si="3"/>
        <v>5</v>
      </c>
      <c r="O7" s="30">
        <f t="shared" si="3"/>
        <v>30</v>
      </c>
      <c r="P7" s="30">
        <f t="shared" si="4"/>
        <v>0</v>
      </c>
      <c r="Q7" s="30">
        <f t="shared" si="4"/>
        <v>0</v>
      </c>
      <c r="R7" s="30">
        <f t="shared" si="5"/>
        <v>0</v>
      </c>
      <c r="S7" s="30">
        <f t="shared" si="6"/>
        <v>0</v>
      </c>
      <c r="T7" s="30">
        <f t="shared" si="7"/>
        <v>35</v>
      </c>
      <c r="U7" s="31" t="s">
        <v>41</v>
      </c>
      <c r="V7" s="32">
        <v>0.255</v>
      </c>
      <c r="W7" s="33">
        <f>ROUND(POWER(T7,0.94)*V7,2)</f>
        <v>7.21</v>
      </c>
      <c r="X7" s="84">
        <f>Коэффициенты!C6</f>
        <v>1</v>
      </c>
      <c r="Y7" s="84">
        <f>Коэффициенты!D6</f>
        <v>1</v>
      </c>
      <c r="Z7" s="84">
        <f>Коэффициенты!E6</f>
        <v>1</v>
      </c>
      <c r="AA7" s="84">
        <f>Коэффициенты!F6</f>
        <v>1</v>
      </c>
      <c r="AB7" s="84">
        <f>Коэффициенты!G6</f>
        <v>1</v>
      </c>
      <c r="AC7" s="84">
        <f>Коэффициенты!H6</f>
        <v>1</v>
      </c>
      <c r="AD7" s="84">
        <f>Коэффициенты!I6</f>
        <v>0.97</v>
      </c>
      <c r="AE7" s="84">
        <f>Коэффициенты!J6</f>
        <v>1.03</v>
      </c>
      <c r="AF7" s="34">
        <f t="shared" si="8"/>
        <v>0.999</v>
      </c>
      <c r="AG7" s="48">
        <v>1</v>
      </c>
      <c r="AH7" s="285">
        <f>ROUND(W7*AF7*AG7,3)</f>
        <v>7.2030000000000003</v>
      </c>
      <c r="AI7" s="244">
        <f t="shared" si="9"/>
        <v>4.5600000000000002E-2</v>
      </c>
    </row>
    <row r="8" spans="1:36" s="6" customFormat="1" ht="55.5" customHeight="1" x14ac:dyDescent="0.25">
      <c r="A8" s="42">
        <v>4</v>
      </c>
      <c r="B8" s="44" t="str">
        <f>Функции!B57</f>
        <v>Подсистема безопасности</v>
      </c>
      <c r="C8" s="29">
        <f>Функции!C57</f>
        <v>1</v>
      </c>
      <c r="D8" s="29">
        <f>Функции!D57</f>
        <v>0</v>
      </c>
      <c r="E8" s="29">
        <f>Функции!E57</f>
        <v>0</v>
      </c>
      <c r="F8" s="29">
        <f>Функции!F57</f>
        <v>0</v>
      </c>
      <c r="G8" s="29">
        <f>Функции!G57</f>
        <v>0</v>
      </c>
      <c r="H8" s="29">
        <f>Функции!H57</f>
        <v>0</v>
      </c>
      <c r="I8" s="29">
        <f>Функции!I57</f>
        <v>0</v>
      </c>
      <c r="J8" s="29">
        <f>Функции!J57</f>
        <v>0</v>
      </c>
      <c r="K8" s="29">
        <f>Функции!K57</f>
        <v>1</v>
      </c>
      <c r="L8" s="30">
        <f t="shared" si="1"/>
        <v>11</v>
      </c>
      <c r="M8" s="30">
        <f t="shared" si="2"/>
        <v>0</v>
      </c>
      <c r="N8" s="30">
        <f t="shared" ref="N8:O13" si="10">E8*5</f>
        <v>0</v>
      </c>
      <c r="O8" s="30">
        <f t="shared" si="10"/>
        <v>0</v>
      </c>
      <c r="P8" s="30">
        <f t="shared" si="4"/>
        <v>0</v>
      </c>
      <c r="Q8" s="30">
        <f t="shared" si="4"/>
        <v>0</v>
      </c>
      <c r="R8" s="30">
        <f t="shared" si="5"/>
        <v>0</v>
      </c>
      <c r="S8" s="30">
        <f t="shared" si="6"/>
        <v>0</v>
      </c>
      <c r="T8" s="30">
        <f t="shared" si="7"/>
        <v>11</v>
      </c>
      <c r="U8" s="31" t="s">
        <v>41</v>
      </c>
      <c r="V8" s="32">
        <v>0.255</v>
      </c>
      <c r="W8" s="33">
        <f>ROUND(POWER(T8,0.94)*V8,2)</f>
        <v>2.4300000000000002</v>
      </c>
      <c r="X8" s="84">
        <f>Коэффициенты!C7</f>
        <v>1</v>
      </c>
      <c r="Y8" s="84">
        <f>Коэффициенты!D7</f>
        <v>1</v>
      </c>
      <c r="Z8" s="84">
        <f>Коэффициенты!E7</f>
        <v>1</v>
      </c>
      <c r="AA8" s="84">
        <f>Коэффициенты!F7</f>
        <v>1</v>
      </c>
      <c r="AB8" s="84">
        <f>Коэффициенты!G7</f>
        <v>1</v>
      </c>
      <c r="AC8" s="84">
        <f>Коэффициенты!H7</f>
        <v>1</v>
      </c>
      <c r="AD8" s="84">
        <f>Коэффициенты!I7</f>
        <v>0.97</v>
      </c>
      <c r="AE8" s="84">
        <f>Коэффициенты!J7</f>
        <v>1.03</v>
      </c>
      <c r="AF8" s="34">
        <f t="shared" si="8"/>
        <v>0.999</v>
      </c>
      <c r="AG8" s="48">
        <v>1</v>
      </c>
      <c r="AH8" s="285">
        <f>ROUND(W8*AF8*AG8,3)</f>
        <v>2.4279999999999999</v>
      </c>
      <c r="AI8" s="244">
        <f t="shared" si="9"/>
        <v>1.54E-2</v>
      </c>
      <c r="AJ8" s="49"/>
    </row>
    <row r="9" spans="1:36" s="6" customFormat="1" ht="55.5" customHeight="1" x14ac:dyDescent="0.25">
      <c r="A9" s="42">
        <v>5</v>
      </c>
      <c r="B9" s="44" t="str">
        <f>Функции!B59</f>
        <v>Подсистема интеграции</v>
      </c>
      <c r="C9" s="29">
        <f>Функции!C59</f>
        <v>0</v>
      </c>
      <c r="D9" s="29">
        <f>Функции!D59</f>
        <v>0</v>
      </c>
      <c r="E9" s="29">
        <f>Функции!E59</f>
        <v>0</v>
      </c>
      <c r="F9" s="29">
        <f>Функции!F59</f>
        <v>3</v>
      </c>
      <c r="G9" s="29">
        <f>Функции!G59</f>
        <v>0</v>
      </c>
      <c r="H9" s="29">
        <f>Функции!H59</f>
        <v>0</v>
      </c>
      <c r="I9" s="29">
        <f>Функции!I59</f>
        <v>0</v>
      </c>
      <c r="J9" s="29">
        <f>Функции!J59</f>
        <v>0</v>
      </c>
      <c r="K9" s="29">
        <f>Функции!K59</f>
        <v>3</v>
      </c>
      <c r="L9" s="30">
        <f t="shared" si="1"/>
        <v>0</v>
      </c>
      <c r="M9" s="30">
        <f t="shared" si="2"/>
        <v>0</v>
      </c>
      <c r="N9" s="30">
        <f t="shared" si="10"/>
        <v>0</v>
      </c>
      <c r="O9" s="30">
        <f t="shared" si="10"/>
        <v>15</v>
      </c>
      <c r="P9" s="30">
        <f t="shared" si="4"/>
        <v>0</v>
      </c>
      <c r="Q9" s="30">
        <f t="shared" si="4"/>
        <v>0</v>
      </c>
      <c r="R9" s="30">
        <f t="shared" si="5"/>
        <v>0</v>
      </c>
      <c r="S9" s="30">
        <f t="shared" si="6"/>
        <v>0</v>
      </c>
      <c r="T9" s="30">
        <f t="shared" si="7"/>
        <v>15</v>
      </c>
      <c r="U9" s="31" t="s">
        <v>41</v>
      </c>
      <c r="V9" s="32">
        <v>0.255</v>
      </c>
      <c r="W9" s="33">
        <f>ROUND(POWER(T9,0.94)*V9,2)</f>
        <v>3.25</v>
      </c>
      <c r="X9" s="84">
        <f>Коэффициенты!C8</f>
        <v>1</v>
      </c>
      <c r="Y9" s="84">
        <f>Коэффициенты!D8</f>
        <v>1</v>
      </c>
      <c r="Z9" s="84">
        <f>Коэффициенты!E8</f>
        <v>1</v>
      </c>
      <c r="AA9" s="84">
        <f>Коэффициенты!F8</f>
        <v>1</v>
      </c>
      <c r="AB9" s="84">
        <f>Коэффициенты!G8</f>
        <v>1</v>
      </c>
      <c r="AC9" s="84">
        <f>Коэффициенты!H8</f>
        <v>1</v>
      </c>
      <c r="AD9" s="84">
        <f>Коэффициенты!I8</f>
        <v>0.97</v>
      </c>
      <c r="AE9" s="84">
        <f>Коэффициенты!J8</f>
        <v>1.03</v>
      </c>
      <c r="AF9" s="34">
        <f t="shared" si="8"/>
        <v>0.999</v>
      </c>
      <c r="AG9" s="48">
        <v>1</v>
      </c>
      <c r="AH9" s="285">
        <f>ROUND(W9*AF9*AG9,3)</f>
        <v>3.2469999999999999</v>
      </c>
      <c r="AI9" s="244">
        <f t="shared" si="9"/>
        <v>2.0500000000000001E-2</v>
      </c>
      <c r="AJ9" s="49"/>
    </row>
    <row r="10" spans="1:36" s="6" customFormat="1" ht="55.5" customHeight="1" x14ac:dyDescent="0.25">
      <c r="A10" s="42">
        <v>6</v>
      </c>
      <c r="B10" s="44" t="str">
        <f>Функции!B63</f>
        <v>Подсистема отображения данных</v>
      </c>
      <c r="C10" s="272">
        <f>Функции!C63</f>
        <v>0</v>
      </c>
      <c r="D10" s="272">
        <f>Функции!D63</f>
        <v>0</v>
      </c>
      <c r="E10" s="272">
        <f>Функции!E63</f>
        <v>0</v>
      </c>
      <c r="F10" s="272">
        <f>Функции!F63</f>
        <v>2</v>
      </c>
      <c r="G10" s="272">
        <f>Функции!G63</f>
        <v>0</v>
      </c>
      <c r="H10" s="272">
        <f>Функции!H63</f>
        <v>0</v>
      </c>
      <c r="I10" s="272">
        <f>Функции!I63</f>
        <v>0</v>
      </c>
      <c r="J10" s="272">
        <f>Функции!J63</f>
        <v>0</v>
      </c>
      <c r="K10" s="272">
        <f>Функции!K63</f>
        <v>2</v>
      </c>
      <c r="L10" s="30">
        <f t="shared" ref="L10:L12" si="11">C10*11</f>
        <v>0</v>
      </c>
      <c r="M10" s="30">
        <f t="shared" ref="M10:M12" si="12">D10*6</f>
        <v>0</v>
      </c>
      <c r="N10" s="30">
        <f t="shared" ref="N10:N12" si="13">E10*5</f>
        <v>0</v>
      </c>
      <c r="O10" s="30">
        <f t="shared" ref="O10:O12" si="14">F10*5</f>
        <v>10</v>
      </c>
      <c r="P10" s="30">
        <f t="shared" ref="P10:P12" si="15">G10*4</f>
        <v>0</v>
      </c>
      <c r="Q10" s="30">
        <f t="shared" ref="Q10:Q12" si="16">H10*4</f>
        <v>0</v>
      </c>
      <c r="R10" s="30">
        <f t="shared" ref="R10:R12" si="17">I10*2</f>
        <v>0</v>
      </c>
      <c r="S10" s="30">
        <f t="shared" ref="S10:S12" si="18">J10*1</f>
        <v>0</v>
      </c>
      <c r="T10" s="30">
        <f t="shared" ref="T10:T12" si="19">SUM(L10:S10)</f>
        <v>10</v>
      </c>
      <c r="U10" s="31" t="s">
        <v>41</v>
      </c>
      <c r="V10" s="32">
        <v>0.255</v>
      </c>
      <c r="W10" s="33">
        <f t="shared" ref="W10:W12" si="20">ROUND(POWER(T10,0.94)*V10,2)</f>
        <v>2.2200000000000002</v>
      </c>
      <c r="X10" s="84">
        <f>Коэффициенты!C9</f>
        <v>1</v>
      </c>
      <c r="Y10" s="84">
        <f>Коэффициенты!D9</f>
        <v>1</v>
      </c>
      <c r="Z10" s="84">
        <f>Коэффициенты!E9</f>
        <v>1</v>
      </c>
      <c r="AA10" s="84">
        <f>Коэффициенты!F9</f>
        <v>1</v>
      </c>
      <c r="AB10" s="84">
        <f>Коэффициенты!G9</f>
        <v>1</v>
      </c>
      <c r="AC10" s="84">
        <f>Коэффициенты!H9</f>
        <v>1</v>
      </c>
      <c r="AD10" s="84">
        <f>Коэффициенты!I9</f>
        <v>0.97</v>
      </c>
      <c r="AE10" s="84">
        <f>Коэффициенты!J9</f>
        <v>1.03</v>
      </c>
      <c r="AF10" s="34">
        <f t="shared" si="8"/>
        <v>0.999</v>
      </c>
      <c r="AG10" s="48">
        <v>1</v>
      </c>
      <c r="AH10" s="285">
        <f t="shared" ref="AH10:AH12" si="21">ROUND(W10*AF10*AG10,3)</f>
        <v>2.218</v>
      </c>
      <c r="AI10" s="244">
        <f t="shared" si="9"/>
        <v>1.4E-2</v>
      </c>
      <c r="AJ10" s="49"/>
    </row>
    <row r="11" spans="1:36" s="6" customFormat="1" ht="55.5" customHeight="1" x14ac:dyDescent="0.25">
      <c r="A11" s="42">
        <v>7</v>
      </c>
      <c r="B11" s="44" t="str">
        <f>Функции!B66</f>
        <v>Подсистема протоколирования</v>
      </c>
      <c r="C11" s="272">
        <f>Функции!C66</f>
        <v>0</v>
      </c>
      <c r="D11" s="272">
        <f>Функции!D66</f>
        <v>0</v>
      </c>
      <c r="E11" s="272">
        <f>Функции!E66</f>
        <v>0</v>
      </c>
      <c r="F11" s="272">
        <f>Функции!F66</f>
        <v>2</v>
      </c>
      <c r="G11" s="272">
        <f>Функции!G66</f>
        <v>0</v>
      </c>
      <c r="H11" s="272">
        <f>Функции!H66</f>
        <v>0</v>
      </c>
      <c r="I11" s="272">
        <f>Функции!I66</f>
        <v>0</v>
      </c>
      <c r="J11" s="272">
        <f>Функции!J66</f>
        <v>0</v>
      </c>
      <c r="K11" s="272">
        <f>Функции!K66</f>
        <v>2</v>
      </c>
      <c r="L11" s="30">
        <f t="shared" si="11"/>
        <v>0</v>
      </c>
      <c r="M11" s="30">
        <f t="shared" si="12"/>
        <v>0</v>
      </c>
      <c r="N11" s="30">
        <f t="shared" si="13"/>
        <v>0</v>
      </c>
      <c r="O11" s="30">
        <f t="shared" si="14"/>
        <v>10</v>
      </c>
      <c r="P11" s="30">
        <f t="shared" si="15"/>
        <v>0</v>
      </c>
      <c r="Q11" s="30">
        <f t="shared" si="16"/>
        <v>0</v>
      </c>
      <c r="R11" s="30">
        <f t="shared" si="17"/>
        <v>0</v>
      </c>
      <c r="S11" s="30">
        <f t="shared" si="18"/>
        <v>0</v>
      </c>
      <c r="T11" s="30">
        <f t="shared" si="19"/>
        <v>10</v>
      </c>
      <c r="U11" s="31" t="s">
        <v>41</v>
      </c>
      <c r="V11" s="32">
        <v>0.255</v>
      </c>
      <c r="W11" s="33">
        <f t="shared" si="20"/>
        <v>2.2200000000000002</v>
      </c>
      <c r="X11" s="84">
        <f>Коэффициенты!C10</f>
        <v>1</v>
      </c>
      <c r="Y11" s="84">
        <f>Коэффициенты!D10</f>
        <v>1</v>
      </c>
      <c r="Z11" s="84">
        <f>Коэффициенты!E10</f>
        <v>1</v>
      </c>
      <c r="AA11" s="84">
        <f>Коэффициенты!F10</f>
        <v>1</v>
      </c>
      <c r="AB11" s="84">
        <f>Коэффициенты!G10</f>
        <v>1</v>
      </c>
      <c r="AC11" s="84">
        <f>Коэффициенты!H10</f>
        <v>1</v>
      </c>
      <c r="AD11" s="84">
        <f>Коэффициенты!I10</f>
        <v>0.97</v>
      </c>
      <c r="AE11" s="84">
        <f>Коэффициенты!J10</f>
        <v>1.03</v>
      </c>
      <c r="AF11" s="34">
        <f t="shared" si="8"/>
        <v>0.999</v>
      </c>
      <c r="AG11" s="48">
        <v>1</v>
      </c>
      <c r="AH11" s="285">
        <f t="shared" si="21"/>
        <v>2.218</v>
      </c>
      <c r="AI11" s="244">
        <f t="shared" si="9"/>
        <v>1.4E-2</v>
      </c>
      <c r="AJ11" s="49"/>
    </row>
    <row r="12" spans="1:36" s="6" customFormat="1" ht="55.5" customHeight="1" x14ac:dyDescent="0.25">
      <c r="A12" s="42">
        <v>8</v>
      </c>
      <c r="B12" s="44" t="str">
        <f>Функции!B69</f>
        <v>Подсистема самообслуживания</v>
      </c>
      <c r="C12" s="272">
        <f>Функции!C69</f>
        <v>1</v>
      </c>
      <c r="D12" s="272">
        <f>Функции!D69</f>
        <v>0</v>
      </c>
      <c r="E12" s="272">
        <f>Функции!E69</f>
        <v>2</v>
      </c>
      <c r="F12" s="272">
        <f>Функции!F69</f>
        <v>0</v>
      </c>
      <c r="G12" s="272">
        <f>Функции!G69</f>
        <v>4</v>
      </c>
      <c r="H12" s="272">
        <f>Функции!H69</f>
        <v>0</v>
      </c>
      <c r="I12" s="272">
        <f>Функции!I69</f>
        <v>0</v>
      </c>
      <c r="J12" s="272">
        <f>Функции!J69</f>
        <v>0</v>
      </c>
      <c r="K12" s="272">
        <f>Функции!K69</f>
        <v>7</v>
      </c>
      <c r="L12" s="30">
        <f t="shared" si="11"/>
        <v>11</v>
      </c>
      <c r="M12" s="30">
        <f t="shared" si="12"/>
        <v>0</v>
      </c>
      <c r="N12" s="30">
        <f t="shared" si="13"/>
        <v>10</v>
      </c>
      <c r="O12" s="30">
        <f t="shared" si="14"/>
        <v>0</v>
      </c>
      <c r="P12" s="30">
        <f t="shared" si="15"/>
        <v>16</v>
      </c>
      <c r="Q12" s="30">
        <f t="shared" si="16"/>
        <v>0</v>
      </c>
      <c r="R12" s="30">
        <f t="shared" si="17"/>
        <v>0</v>
      </c>
      <c r="S12" s="30">
        <f t="shared" si="18"/>
        <v>0</v>
      </c>
      <c r="T12" s="30">
        <f t="shared" si="19"/>
        <v>37</v>
      </c>
      <c r="U12" s="31" t="s">
        <v>41</v>
      </c>
      <c r="V12" s="32">
        <v>0.255</v>
      </c>
      <c r="W12" s="33">
        <f t="shared" si="20"/>
        <v>7.6</v>
      </c>
      <c r="X12" s="84">
        <f>Коэффициенты!C11</f>
        <v>1</v>
      </c>
      <c r="Y12" s="84">
        <f>Коэффициенты!D11</f>
        <v>1</v>
      </c>
      <c r="Z12" s="84">
        <f>Коэффициенты!E11</f>
        <v>1</v>
      </c>
      <c r="AA12" s="84">
        <f>Коэффициенты!F11</f>
        <v>1</v>
      </c>
      <c r="AB12" s="84">
        <f>Коэффициенты!G11</f>
        <v>1</v>
      </c>
      <c r="AC12" s="84">
        <f>Коэффициенты!H11</f>
        <v>1</v>
      </c>
      <c r="AD12" s="84">
        <f>Коэффициенты!I11</f>
        <v>1</v>
      </c>
      <c r="AE12" s="84">
        <f>Коэффициенты!J11</f>
        <v>1.03</v>
      </c>
      <c r="AF12" s="34">
        <f t="shared" si="8"/>
        <v>1.03</v>
      </c>
      <c r="AG12" s="48">
        <v>1</v>
      </c>
      <c r="AH12" s="285">
        <f t="shared" si="21"/>
        <v>7.8280000000000003</v>
      </c>
      <c r="AI12" s="244">
        <f t="shared" si="9"/>
        <v>4.9500000000000002E-2</v>
      </c>
      <c r="AJ12" s="49"/>
    </row>
    <row r="13" spans="1:36" s="6" customFormat="1" ht="55.5" customHeight="1" x14ac:dyDescent="0.25">
      <c r="A13" s="42">
        <v>9</v>
      </c>
      <c r="B13" s="44" t="s">
        <v>137</v>
      </c>
      <c r="C13" s="29"/>
      <c r="D13" s="29"/>
      <c r="E13" s="29"/>
      <c r="F13" s="29"/>
      <c r="G13" s="29"/>
      <c r="H13" s="29"/>
      <c r="I13" s="29"/>
      <c r="J13" s="29"/>
      <c r="K13" s="29"/>
      <c r="L13" s="30">
        <f t="shared" si="1"/>
        <v>0</v>
      </c>
      <c r="M13" s="30">
        <f t="shared" si="2"/>
        <v>0</v>
      </c>
      <c r="N13" s="30">
        <f t="shared" si="10"/>
        <v>0</v>
      </c>
      <c r="O13" s="30">
        <f t="shared" si="10"/>
        <v>0</v>
      </c>
      <c r="P13" s="30">
        <f t="shared" si="4"/>
        <v>0</v>
      </c>
      <c r="Q13" s="30">
        <f t="shared" si="4"/>
        <v>0</v>
      </c>
      <c r="R13" s="30">
        <f t="shared" si="5"/>
        <v>0</v>
      </c>
      <c r="S13" s="30">
        <f t="shared" si="6"/>
        <v>0</v>
      </c>
      <c r="T13" s="30">
        <f t="shared" si="7"/>
        <v>0</v>
      </c>
      <c r="U13" s="31" t="s">
        <v>41</v>
      </c>
      <c r="V13" s="32">
        <v>0.255</v>
      </c>
      <c r="W13" s="84">
        <f>ROUND(SUM(W5:W12)/C15*C16,2)</f>
        <v>97.58</v>
      </c>
      <c r="X13" s="84"/>
      <c r="Y13" s="84"/>
      <c r="Z13" s="84"/>
      <c r="AA13" s="84"/>
      <c r="AB13" s="84"/>
      <c r="AC13" s="84"/>
      <c r="AD13" s="84"/>
      <c r="AE13" s="84"/>
      <c r="AF13" s="34">
        <f t="shared" si="8"/>
        <v>0</v>
      </c>
      <c r="AG13" s="48">
        <v>0</v>
      </c>
      <c r="AH13" s="285">
        <f>ROUND(SUM(AH5:AH12)/C15*C16,3)</f>
        <v>97.869</v>
      </c>
      <c r="AI13" s="244">
        <f>AH13/AH4+0.0001</f>
        <v>0.61909999999999998</v>
      </c>
      <c r="AJ13" s="49"/>
    </row>
    <row r="14" spans="1:36" s="6" customFormat="1" ht="24.75" customHeight="1" x14ac:dyDescent="0.25">
      <c r="V14" s="16"/>
      <c r="X14" s="17"/>
      <c r="Y14" s="17"/>
      <c r="Z14" s="17"/>
      <c r="AA14" s="17"/>
      <c r="AB14" s="17"/>
      <c r="AC14" s="17"/>
      <c r="AD14" s="17"/>
      <c r="AE14" s="17"/>
      <c r="AH14" s="124"/>
      <c r="AI14" s="47">
        <f>SUM(AI5:AI13)</f>
        <v>1</v>
      </c>
    </row>
    <row r="15" spans="1:36" s="6" customFormat="1" ht="15.75" x14ac:dyDescent="0.25">
      <c r="B15" s="6" t="s">
        <v>65</v>
      </c>
      <c r="C15" s="51">
        <v>8</v>
      </c>
      <c r="V15" s="16"/>
      <c r="X15" s="17"/>
      <c r="Y15" s="17"/>
      <c r="Z15" s="17"/>
      <c r="AA15" s="17"/>
      <c r="AB15" s="17"/>
      <c r="AC15" s="17"/>
      <c r="AD15" s="17"/>
      <c r="AE15" s="17"/>
      <c r="AF15" s="16"/>
      <c r="AG15" s="16"/>
      <c r="AI15" s="47">
        <f>SUM(AI5:AI9)</f>
        <v>0.3034</v>
      </c>
    </row>
    <row r="16" spans="1:36" s="6" customFormat="1" ht="15.75" x14ac:dyDescent="0.25">
      <c r="B16" s="6" t="s">
        <v>64</v>
      </c>
      <c r="C16" s="51">
        <v>13</v>
      </c>
      <c r="V16" s="16"/>
      <c r="X16" s="17"/>
      <c r="Y16" s="17"/>
      <c r="Z16" s="17"/>
      <c r="AA16" s="17"/>
      <c r="AB16" s="17"/>
      <c r="AC16" s="17"/>
      <c r="AD16" s="17"/>
      <c r="AE16" s="17"/>
    </row>
    <row r="17" spans="1:36" s="6" customFormat="1" ht="15.75" x14ac:dyDescent="0.25">
      <c r="V17" s="16"/>
      <c r="X17" s="17"/>
      <c r="Y17" s="17"/>
      <c r="Z17" s="17"/>
      <c r="AA17" s="17"/>
      <c r="AB17" s="17"/>
      <c r="AC17" s="17"/>
      <c r="AD17" s="17"/>
      <c r="AE17" s="17"/>
      <c r="AH17" s="118"/>
    </row>
    <row r="18" spans="1:36" s="6" customFormat="1" ht="15.75" x14ac:dyDescent="0.25">
      <c r="V18" s="16"/>
      <c r="X18" s="17"/>
      <c r="Y18" s="17"/>
      <c r="Z18" s="17"/>
      <c r="AA18" s="17"/>
      <c r="AB18" s="17"/>
      <c r="AC18" s="17"/>
      <c r="AD18" s="17"/>
      <c r="AE18" s="17"/>
      <c r="AJ18" s="124"/>
    </row>
    <row r="19" spans="1:36" s="9" customFormat="1" ht="18.75" x14ac:dyDescent="0.3">
      <c r="A19" s="462"/>
      <c r="B19" s="462"/>
      <c r="C19" s="462"/>
      <c r="D19" s="462"/>
      <c r="E19" s="462"/>
      <c r="F19" s="462"/>
      <c r="G19" s="462"/>
      <c r="H19" s="462"/>
      <c r="I19" s="462"/>
      <c r="J19" s="462"/>
      <c r="K19" s="462"/>
      <c r="L19" s="462"/>
      <c r="M19" s="462"/>
      <c r="N19" s="462"/>
      <c r="O19" s="462"/>
      <c r="P19" s="462"/>
      <c r="Q19" s="462"/>
      <c r="R19" s="462"/>
      <c r="S19" s="462"/>
      <c r="T19" s="462"/>
      <c r="U19" s="462"/>
      <c r="V19" s="462"/>
      <c r="W19" s="462"/>
      <c r="X19" s="462"/>
      <c r="Y19" s="462"/>
      <c r="Z19" s="462"/>
      <c r="AA19" s="462"/>
      <c r="AB19" s="462"/>
      <c r="AC19" s="462"/>
      <c r="AD19" s="462"/>
      <c r="AE19" s="462"/>
      <c r="AF19" s="462"/>
      <c r="AG19" s="462"/>
      <c r="AH19" s="462"/>
      <c r="AI19" s="462"/>
    </row>
    <row r="20" spans="1:36" s="6" customFormat="1" ht="15.75" x14ac:dyDescent="0.25">
      <c r="V20" s="16"/>
      <c r="X20" s="17"/>
      <c r="Y20" s="17"/>
      <c r="Z20" s="17"/>
      <c r="AA20" s="17"/>
      <c r="AB20" s="17"/>
      <c r="AC20" s="17"/>
      <c r="AD20" s="17"/>
      <c r="AE20" s="17"/>
    </row>
    <row r="21" spans="1:36" s="6" customFormat="1" ht="15.6" customHeight="1" x14ac:dyDescent="0.25">
      <c r="C21" s="109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7"/>
      <c r="AC21" s="17"/>
      <c r="AD21" s="17"/>
      <c r="AE21" s="17"/>
    </row>
    <row r="22" spans="1:36" s="6" customFormat="1" ht="15.75" x14ac:dyDescent="0.25"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250"/>
      <c r="T22" s="114"/>
      <c r="U22" s="114"/>
      <c r="V22" s="114"/>
      <c r="W22" s="114"/>
      <c r="X22" s="114"/>
      <c r="Y22" s="114"/>
      <c r="Z22" s="114"/>
      <c r="AA22" s="114"/>
      <c r="AI22" s="250"/>
    </row>
    <row r="23" spans="1:36" s="6" customFormat="1" ht="48" customHeight="1" x14ac:dyDescent="0.25"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250"/>
      <c r="T23" s="114"/>
      <c r="U23" s="114"/>
      <c r="V23" s="114"/>
      <c r="W23" s="114"/>
      <c r="X23" s="114"/>
      <c r="Y23" s="114"/>
      <c r="Z23" s="114"/>
      <c r="AA23" s="114"/>
      <c r="AC23" s="17"/>
      <c r="AD23" s="17"/>
      <c r="AE23" s="17"/>
      <c r="AF23" s="35"/>
      <c r="AG23" s="35"/>
      <c r="AI23" s="250"/>
    </row>
    <row r="24" spans="1:36" ht="18" customHeight="1" x14ac:dyDescent="0.2"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250"/>
      <c r="T24" s="249"/>
      <c r="U24" s="249"/>
      <c r="V24" s="249"/>
      <c r="W24" s="249"/>
      <c r="X24" s="249"/>
      <c r="Y24" s="249"/>
      <c r="Z24" s="249"/>
      <c r="AA24" s="249"/>
      <c r="AI24" s="250"/>
    </row>
    <row r="25" spans="1:36" ht="12" customHeight="1" x14ac:dyDescent="0.2"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</row>
    <row r="26" spans="1:36" ht="12" customHeight="1" x14ac:dyDescent="0.2"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</row>
    <row r="27" spans="1:36" ht="12" customHeight="1" x14ac:dyDescent="0.2"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</row>
    <row r="28" spans="1:36" ht="12" customHeight="1" x14ac:dyDescent="0.2"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  <c r="AA28" s="110"/>
    </row>
    <row r="29" spans="1:36" ht="12" customHeight="1" x14ac:dyDescent="0.2"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</row>
    <row r="30" spans="1:36" ht="12" customHeight="1" x14ac:dyDescent="0.2">
      <c r="C30" s="110"/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</row>
    <row r="31" spans="1:36" ht="12" customHeight="1" x14ac:dyDescent="0.2"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</row>
    <row r="32" spans="1:36" ht="12" customHeight="1" x14ac:dyDescent="0.2"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</row>
    <row r="33" spans="3:27" ht="12" customHeight="1" x14ac:dyDescent="0.2"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</row>
    <row r="34" spans="3:27" ht="12" customHeight="1" x14ac:dyDescent="0.2"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</row>
  </sheetData>
  <mergeCells count="13">
    <mergeCell ref="A19:AI19"/>
    <mergeCell ref="AI2:AI3"/>
    <mergeCell ref="AH2:AH3"/>
    <mergeCell ref="A2:A3"/>
    <mergeCell ref="B2:B3"/>
    <mergeCell ref="AF2:AF3"/>
    <mergeCell ref="C2:K2"/>
    <mergeCell ref="L2:T2"/>
    <mergeCell ref="U2:U3"/>
    <mergeCell ref="V2:V3"/>
    <mergeCell ref="W2:W3"/>
    <mergeCell ref="X2:AE2"/>
    <mergeCell ref="AG2:AG3"/>
  </mergeCells>
  <conditionalFormatting sqref="X1:X4 X14:X18 X20 X35:X1048576">
    <cfRule type="cellIs" dxfId="47" priority="246" operator="equal">
      <formula>0.9</formula>
    </cfRule>
    <cfRule type="cellIs" dxfId="46" priority="256" operator="equal">
      <formula>1.15</formula>
    </cfRule>
    <cfRule type="cellIs" dxfId="45" priority="257" operator="equal">
      <formula>0.9</formula>
    </cfRule>
  </conditionalFormatting>
  <conditionalFormatting sqref="X1:X4">
    <cfRule type="cellIs" dxfId="44" priority="245" operator="equal">
      <formula>1</formula>
    </cfRule>
    <cfRule type="cellIs" dxfId="43" priority="258" operator="equal">
      <formula>1</formula>
    </cfRule>
  </conditionalFormatting>
  <conditionalFormatting sqref="Y1 X14:Y18 X20:Y20 X35:Y1048576">
    <cfRule type="cellIs" dxfId="42" priority="243" operator="equal">
      <formula>1</formula>
    </cfRule>
  </conditionalFormatting>
  <conditionalFormatting sqref="Y1 Y4 Y14:Y18 Y20 Y35:Y1048576">
    <cfRule type="cellIs" dxfId="41" priority="244" operator="equal">
      <formula>0.93</formula>
    </cfRule>
    <cfRule type="cellIs" dxfId="40" priority="253" operator="equal">
      <formula>0.93</formula>
    </cfRule>
    <cfRule type="cellIs" dxfId="39" priority="255" operator="equal">
      <formula>1.07</formula>
    </cfRule>
  </conditionalFormatting>
  <conditionalFormatting sqref="Y3">
    <cfRule type="cellIs" dxfId="38" priority="102" operator="equal">
      <formula>0.9</formula>
    </cfRule>
    <cfRule type="cellIs" dxfId="37" priority="104" operator="equal">
      <formula>0.9</formula>
    </cfRule>
    <cfRule type="cellIs" dxfId="36" priority="105" operator="equal">
      <formula>1</formula>
    </cfRule>
  </conditionalFormatting>
  <conditionalFormatting sqref="Y3:Y4">
    <cfRule type="cellIs" dxfId="35" priority="101" operator="equal">
      <formula>1</formula>
    </cfRule>
  </conditionalFormatting>
  <conditionalFormatting sqref="Y1:AA1 X14:AA18 X20:AA20 X35:AA1048576 Y4:AA4">
    <cfRule type="cellIs" dxfId="34" priority="249" operator="equal">
      <formula>1</formula>
    </cfRule>
  </conditionalFormatting>
  <conditionalFormatting sqref="Y3:AB3">
    <cfRule type="cellIs" dxfId="33" priority="103" operator="equal">
      <formula>1.15</formula>
    </cfRule>
  </conditionalFormatting>
  <conditionalFormatting sqref="Z1 Z4 Z14:Z18 Z20 Z35:Z1048576">
    <cfRule type="cellIs" dxfId="32" priority="241" operator="equal">
      <formula>1</formula>
    </cfRule>
    <cfRule type="cellIs" dxfId="31" priority="242" operator="equal">
      <formula>0.95</formula>
    </cfRule>
    <cfRule type="cellIs" dxfId="30" priority="250" operator="equal">
      <formula>0.95</formula>
    </cfRule>
    <cfRule type="cellIs" dxfId="29" priority="252" operator="equal">
      <formula>1.05</formula>
    </cfRule>
  </conditionalFormatting>
  <conditionalFormatting sqref="Z3:AB3">
    <cfRule type="cellIs" dxfId="28" priority="235" operator="equal">
      <formula>1</formula>
    </cfRule>
  </conditionalFormatting>
  <conditionalFormatting sqref="AA1 AA4 AA14:AA18 AA20 AA35:AA1048576">
    <cfRule type="cellIs" dxfId="27" priority="239" operator="equal">
      <formula>0.85</formula>
    </cfRule>
    <cfRule type="cellIs" dxfId="26" priority="240" operator="equal">
      <formula>1</formula>
    </cfRule>
    <cfRule type="cellIs" dxfId="25" priority="247" operator="equal">
      <formula>0.85</formula>
    </cfRule>
    <cfRule type="cellIs" dxfId="24" priority="248" operator="equal">
      <formula>1.15</formula>
    </cfRule>
  </conditionalFormatting>
  <conditionalFormatting sqref="AB1 AB4 AB14:AB18 AB20:AB21 AI22:AI24 AB25:AB1048576">
    <cfRule type="cellIs" dxfId="23" priority="237" operator="equal">
      <formula>1.07</formula>
    </cfRule>
    <cfRule type="cellIs" dxfId="22" priority="238" operator="equal">
      <formula>1</formula>
    </cfRule>
  </conditionalFormatting>
  <conditionalFormatting sqref="AC1 Z3:AB3 AD3:AE3 AC3:AC4 AC14:AC18 AC20:AC1048576">
    <cfRule type="cellIs" dxfId="21" priority="236" operator="equal">
      <formula>0.87</formula>
    </cfRule>
  </conditionalFormatting>
  <conditionalFormatting sqref="AC1 AD3:AE3 AC3:AC4 AC14:AC18 AC20:AC1048576">
    <cfRule type="cellIs" dxfId="20" priority="234" operator="equal">
      <formula>1.15</formula>
    </cfRule>
  </conditionalFormatting>
  <conditionalFormatting sqref="AC1:AE1 AC3:AE4 AC14:AE18 AC20:AE1048576">
    <cfRule type="cellIs" dxfId="19" priority="232" operator="equal">
      <formula>1</formula>
    </cfRule>
  </conditionalFormatting>
  <conditionalFormatting sqref="AD1:AE1 AD4:AE4 AD14:AE18 AD20:AE1048576">
    <cfRule type="cellIs" dxfId="18" priority="231" operator="equal">
      <formula>1.04</formula>
    </cfRule>
    <cfRule type="cellIs" dxfId="17" priority="233" operator="equal">
      <formula>0.97</formula>
    </cfRule>
  </conditionalFormatting>
  <pageMargins left="0.7" right="0.7" top="0.75" bottom="0.75" header="0.3" footer="0.3"/>
  <pageSetup paperSize="9" scale="3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W46"/>
  <sheetViews>
    <sheetView view="pageBreakPreview" zoomScale="70" zoomScaleNormal="85" zoomScaleSheetLayoutView="70" zoomScalePageLayoutView="80" workbookViewId="0">
      <selection activeCell="A5" sqref="A5:E5"/>
    </sheetView>
  </sheetViews>
  <sheetFormatPr defaultColWidth="8.7109375" defaultRowHeight="15" x14ac:dyDescent="0.25"/>
  <cols>
    <col min="1" max="1" width="25" style="3" customWidth="1"/>
    <col min="2" max="2" width="50.42578125" style="3" customWidth="1"/>
    <col min="3" max="3" width="21.42578125" style="3" customWidth="1"/>
    <col min="4" max="4" width="27.42578125" style="3" customWidth="1"/>
    <col min="5" max="5" width="27.85546875" style="3" customWidth="1"/>
    <col min="6" max="6" width="26" style="3" customWidth="1"/>
    <col min="7" max="7" width="15.7109375" style="3" customWidth="1"/>
    <col min="8" max="8" width="29.7109375" style="3" customWidth="1"/>
    <col min="9" max="9" width="24" style="3" customWidth="1"/>
    <col min="10" max="10" width="25.7109375" style="3" customWidth="1"/>
    <col min="11" max="16384" width="8.7109375" style="3"/>
  </cols>
  <sheetData>
    <row r="1" spans="1:10" ht="15.75" x14ac:dyDescent="0.25">
      <c r="A1" s="13"/>
      <c r="B1" s="13"/>
      <c r="C1" s="473" t="s">
        <v>107</v>
      </c>
      <c r="D1" s="473"/>
      <c r="E1" s="473"/>
    </row>
    <row r="2" spans="1:10" ht="15.75" x14ac:dyDescent="0.25">
      <c r="A2" s="13"/>
      <c r="B2" s="13"/>
      <c r="C2" s="13"/>
      <c r="D2" s="13"/>
      <c r="E2" s="13"/>
    </row>
    <row r="3" spans="1:10" ht="15.75" x14ac:dyDescent="0.25">
      <c r="A3" s="475" t="s">
        <v>108</v>
      </c>
      <c r="B3" s="475"/>
      <c r="C3" s="475"/>
      <c r="D3" s="475"/>
      <c r="E3" s="475"/>
    </row>
    <row r="5" spans="1:10" ht="35.25" customHeight="1" x14ac:dyDescent="0.25">
      <c r="A5" s="474" t="str">
        <f>Функции!B3</f>
        <v>Выполнение работ по модернизации информационной системы единый сервис идентификации пользователей (ИС ЕСИП) и поддержание ее работоспособности в 2026-2028 годах</v>
      </c>
      <c r="B5" s="474"/>
      <c r="C5" s="474"/>
      <c r="D5" s="474"/>
      <c r="E5" s="474"/>
    </row>
    <row r="6" spans="1:10" ht="15.75" x14ac:dyDescent="0.25">
      <c r="A6" s="6"/>
      <c r="B6" s="6"/>
      <c r="C6" s="6"/>
      <c r="D6" s="6"/>
      <c r="E6" s="6"/>
    </row>
    <row r="7" spans="1:10" ht="15.75" x14ac:dyDescent="0.25">
      <c r="A7" s="90"/>
      <c r="B7" s="91" t="s">
        <v>54</v>
      </c>
      <c r="C7" s="90"/>
      <c r="D7" s="90"/>
      <c r="E7" s="90"/>
    </row>
    <row r="8" spans="1:10" ht="16.5" thickBot="1" x14ac:dyDescent="0.3">
      <c r="A8" s="90"/>
      <c r="B8" s="90"/>
      <c r="C8" s="90"/>
      <c r="D8" s="90"/>
      <c r="E8" s="90"/>
    </row>
    <row r="9" spans="1:10" ht="47.25" x14ac:dyDescent="0.25">
      <c r="A9" s="92" t="s">
        <v>5</v>
      </c>
      <c r="B9" s="93" t="s">
        <v>68</v>
      </c>
      <c r="C9" s="93" t="s">
        <v>7</v>
      </c>
      <c r="D9" s="93" t="s">
        <v>6</v>
      </c>
      <c r="E9" s="94" t="s">
        <v>44</v>
      </c>
    </row>
    <row r="10" spans="1:10" ht="16.5" thickBot="1" x14ac:dyDescent="0.3">
      <c r="A10" s="95">
        <v>1</v>
      </c>
      <c r="B10" s="96">
        <v>274521.09999999998</v>
      </c>
      <c r="C10" s="96">
        <v>1.05</v>
      </c>
      <c r="D10" s="96">
        <v>0.67</v>
      </c>
      <c r="E10" s="97">
        <f>ROUND(B10/D10*C10,2)</f>
        <v>430219.63</v>
      </c>
    </row>
    <row r="11" spans="1:10" ht="15.75" x14ac:dyDescent="0.25">
      <c r="A11" s="90"/>
      <c r="B11" s="90"/>
      <c r="C11" s="90"/>
      <c r="D11" s="90"/>
      <c r="E11" s="90"/>
    </row>
    <row r="12" spans="1:10" ht="15.75" x14ac:dyDescent="0.25">
      <c r="A12" s="90"/>
      <c r="B12" s="90"/>
      <c r="C12" s="90"/>
      <c r="D12" s="90"/>
      <c r="E12" s="90"/>
    </row>
    <row r="13" spans="1:10" ht="18" customHeight="1" x14ac:dyDescent="0.25">
      <c r="A13" s="90"/>
      <c r="B13" s="476" t="s">
        <v>102</v>
      </c>
      <c r="C13" s="476"/>
      <c r="D13" s="476"/>
      <c r="E13" s="476"/>
    </row>
    <row r="14" spans="1:10" ht="16.5" thickBot="1" x14ac:dyDescent="0.3">
      <c r="A14" s="6"/>
      <c r="B14" s="6"/>
      <c r="C14" s="6"/>
      <c r="D14" s="6"/>
      <c r="E14" s="6"/>
    </row>
    <row r="15" spans="1:10" ht="48" thickBot="1" x14ac:dyDescent="0.3">
      <c r="A15" s="246" t="s">
        <v>5</v>
      </c>
      <c r="B15" s="98" t="s">
        <v>44</v>
      </c>
      <c r="C15" s="99" t="s">
        <v>51</v>
      </c>
      <c r="D15" s="298">
        <v>40.094999999999999</v>
      </c>
      <c r="F15" s="351"/>
      <c r="G15" s="351"/>
      <c r="H15" s="351"/>
      <c r="I15" s="351"/>
      <c r="J15" s="351"/>
    </row>
    <row r="16" spans="1:10" ht="16.5" thickBot="1" x14ac:dyDescent="0.3">
      <c r="A16" s="247">
        <v>1</v>
      </c>
      <c r="B16" s="248">
        <f>E10</f>
        <v>430219.63</v>
      </c>
      <c r="C16" s="298">
        <f>Трудоемкость!AH4</f>
        <v>158.096</v>
      </c>
      <c r="D16" s="298">
        <v>78.498999999999995</v>
      </c>
      <c r="E16" s="245"/>
      <c r="F16" s="352"/>
      <c r="G16" s="351"/>
      <c r="H16" s="351"/>
      <c r="I16" s="351"/>
      <c r="J16" s="351"/>
    </row>
    <row r="17" spans="1:23" ht="16.5" thickBot="1" x14ac:dyDescent="0.3">
      <c r="A17" s="100"/>
      <c r="B17" s="101" t="s">
        <v>103</v>
      </c>
      <c r="C17" s="298">
        <f>SUM(C16)</f>
        <v>158.096</v>
      </c>
      <c r="D17" s="298">
        <v>18.45</v>
      </c>
      <c r="E17" s="245"/>
      <c r="F17" s="351"/>
      <c r="G17" s="351"/>
      <c r="H17" s="351"/>
      <c r="I17" s="351"/>
      <c r="J17" s="351"/>
    </row>
    <row r="18" spans="1:23" ht="16.5" thickBot="1" x14ac:dyDescent="0.3">
      <c r="A18" s="100"/>
      <c r="B18" s="102"/>
      <c r="C18" s="102"/>
      <c r="D18" s="298">
        <f>C17-D15-D16-D17</f>
        <v>21.052</v>
      </c>
      <c r="E18" s="357">
        <f>ROUND(D17+D18,3)</f>
        <v>39.502000000000002</v>
      </c>
      <c r="F18" s="351"/>
      <c r="G18" s="351"/>
      <c r="H18" s="351"/>
      <c r="I18" s="351"/>
      <c r="J18" s="351"/>
    </row>
    <row r="19" spans="1:23" ht="16.5" thickBot="1" x14ac:dyDescent="0.3">
      <c r="A19" s="6"/>
      <c r="B19" s="6"/>
      <c r="C19" s="6"/>
      <c r="D19" s="6"/>
      <c r="E19" s="358"/>
      <c r="F19" s="351"/>
      <c r="G19" s="351"/>
      <c r="H19" s="351"/>
      <c r="I19" s="351"/>
      <c r="J19" s="351"/>
    </row>
    <row r="20" spans="1:23" ht="78.75" x14ac:dyDescent="0.25">
      <c r="A20" s="103" t="s">
        <v>40</v>
      </c>
      <c r="B20" s="104" t="s">
        <v>66</v>
      </c>
      <c r="C20" s="105" t="s">
        <v>105</v>
      </c>
      <c r="D20" s="104" t="s">
        <v>52</v>
      </c>
      <c r="E20" s="104" t="s">
        <v>53</v>
      </c>
      <c r="F20" s="351"/>
      <c r="G20" s="351"/>
      <c r="H20" s="353" t="s">
        <v>485</v>
      </c>
      <c r="I20" s="351"/>
      <c r="J20" s="351"/>
    </row>
    <row r="21" spans="1:23" ht="15.75" x14ac:dyDescent="0.25">
      <c r="A21" s="306">
        <v>2026</v>
      </c>
      <c r="B21" s="106">
        <f>1.0275</f>
        <v>1.0275000000000001</v>
      </c>
      <c r="C21" s="304">
        <f>D15/$C$16</f>
        <v>0.25359999999999999</v>
      </c>
      <c r="D21" s="107">
        <f>ROUND(($B$16*$C$17)*B21*C21,2)</f>
        <v>17723201.870000001</v>
      </c>
      <c r="E21" s="359">
        <f>ROUND(D21*1.22,2)</f>
        <v>21622306.280000001</v>
      </c>
      <c r="F21" s="352">
        <f>E24*C21/D15</f>
        <v>549142.79</v>
      </c>
      <c r="G21" s="352">
        <f>ROUND((E21)/(D15),2)</f>
        <v>539276.87</v>
      </c>
      <c r="H21" s="352">
        <f>G21*D15</f>
        <v>21622306.100000001</v>
      </c>
      <c r="I21" s="354">
        <f>H21/H24</f>
        <v>0.249043813173459</v>
      </c>
      <c r="J21" s="352">
        <f>ROUND(H24*I21,2)</f>
        <v>21622306.100000001</v>
      </c>
    </row>
    <row r="22" spans="1:23" ht="15.75" x14ac:dyDescent="0.25">
      <c r="A22" s="306">
        <v>2027</v>
      </c>
      <c r="B22" s="106">
        <f>B21*1.0205</f>
        <v>1.0486</v>
      </c>
      <c r="C22" s="304">
        <f>D16/$C$16</f>
        <v>0.4965</v>
      </c>
      <c r="D22" s="107">
        <f t="shared" ref="D22:D23" si="0">ROUND(($B$16*$C$17)*B22*C22,2)</f>
        <v>35411164.640000001</v>
      </c>
      <c r="E22" s="107">
        <f>ROUND(D22*1.22,2)</f>
        <v>43201620.859999999</v>
      </c>
      <c r="F22" s="352">
        <f>E24*C22/D16</f>
        <v>549137.86</v>
      </c>
      <c r="G22" s="352">
        <f>ROUND((E22)/(D16),2)</f>
        <v>550346.13</v>
      </c>
      <c r="H22" s="352">
        <f>G22*D16</f>
        <v>43201620.859999999</v>
      </c>
      <c r="I22" s="354">
        <f>H22/H24</f>
        <v>0.49759245588741502</v>
      </c>
      <c r="J22" s="352">
        <f>ROUND(H24*I22,2)</f>
        <v>43201620.859999999</v>
      </c>
    </row>
    <row r="23" spans="1:23" ht="16.5" thickBot="1" x14ac:dyDescent="0.3">
      <c r="A23" s="306">
        <v>2028</v>
      </c>
      <c r="B23" s="106">
        <f>B22*(1+0.02/12*7)</f>
        <v>1.0608</v>
      </c>
      <c r="C23" s="304">
        <f>E18/C16</f>
        <v>0.24990000000000001</v>
      </c>
      <c r="D23" s="107">
        <f t="shared" si="0"/>
        <v>18030628.760000002</v>
      </c>
      <c r="E23" s="107">
        <f>ROUND(D23*1.22,2)</f>
        <v>21997367.09</v>
      </c>
      <c r="F23" s="352">
        <f>E24*C23/E18</f>
        <v>549254.25</v>
      </c>
      <c r="G23" s="352">
        <f>ROUND((E23)/(D17+D18),2)</f>
        <v>556867.17000000004</v>
      </c>
      <c r="H23" s="352">
        <f>ROUND(G23*E18,2)</f>
        <v>21997366.949999999</v>
      </c>
      <c r="I23" s="354">
        <f>H23/H24</f>
        <v>0.25336373093912601</v>
      </c>
      <c r="J23" s="352">
        <f>ROUND(H24*I23,2)</f>
        <v>21997366.949999999</v>
      </c>
    </row>
    <row r="24" spans="1:23" ht="24" customHeight="1" thickBot="1" x14ac:dyDescent="0.3">
      <c r="A24" s="477"/>
      <c r="B24" s="478"/>
      <c r="C24" s="108"/>
      <c r="D24" s="284">
        <f>SUM(D21:D23)</f>
        <v>71164995.269999996</v>
      </c>
      <c r="E24" s="284">
        <f>D24*1.22</f>
        <v>86821294.230000004</v>
      </c>
      <c r="F24" s="351"/>
      <c r="G24" s="351"/>
      <c r="H24" s="352">
        <f>SUM(H21:H23)</f>
        <v>86821293.909999996</v>
      </c>
      <c r="I24" s="355" t="e">
        <f>#REF!/H24</f>
        <v>#REF!</v>
      </c>
      <c r="J24" s="352">
        <f>D17*G23</f>
        <v>10274199.289999999</v>
      </c>
    </row>
    <row r="25" spans="1:23" ht="15.4" customHeight="1" x14ac:dyDescent="0.25">
      <c r="A25" s="109"/>
      <c r="B25" s="110"/>
      <c r="C25" s="110"/>
      <c r="D25" s="110"/>
      <c r="E25" s="117"/>
      <c r="F25" s="351"/>
      <c r="G25" s="351"/>
      <c r="H25" s="351"/>
      <c r="I25" s="355" t="e">
        <f>#REF!/H24</f>
        <v>#REF!</v>
      </c>
      <c r="J25" s="352">
        <f>D18*G23</f>
        <v>11723167.66</v>
      </c>
    </row>
    <row r="26" spans="1:23" ht="15.4" customHeight="1" x14ac:dyDescent="0.25">
      <c r="A26" s="109"/>
      <c r="B26" s="110"/>
      <c r="C26" s="110"/>
      <c r="D26" s="110"/>
      <c r="E26" s="117"/>
      <c r="F26" s="351"/>
      <c r="G26" s="352"/>
      <c r="H26" s="351"/>
      <c r="I26" s="351"/>
      <c r="J26" s="352"/>
    </row>
    <row r="27" spans="1:23" ht="18" customHeight="1" x14ac:dyDescent="0.25">
      <c r="A27" s="109"/>
      <c r="B27" s="110"/>
      <c r="C27" s="110"/>
      <c r="D27" s="110"/>
      <c r="E27" s="117"/>
      <c r="F27" s="351"/>
      <c r="G27" s="351"/>
      <c r="H27" s="351"/>
      <c r="I27" s="351"/>
      <c r="J27" s="351"/>
    </row>
    <row r="28" spans="1:23" ht="18.75" customHeight="1" x14ac:dyDescent="0.25">
      <c r="A28" s="472" t="s">
        <v>521</v>
      </c>
      <c r="B28" s="472"/>
      <c r="C28" s="472"/>
      <c r="D28" s="472"/>
      <c r="E28" s="472"/>
      <c r="F28" s="472"/>
      <c r="G28" s="472"/>
      <c r="H28" s="472"/>
      <c r="I28" s="356" t="e">
        <f>Свод!#REF!</f>
        <v>#REF!</v>
      </c>
    </row>
    <row r="29" spans="1:23" ht="17.25" customHeight="1" x14ac:dyDescent="0.25">
      <c r="A29" s="472"/>
      <c r="B29" s="472"/>
      <c r="C29" s="472"/>
      <c r="D29" s="472"/>
      <c r="E29" s="472"/>
      <c r="F29" s="472"/>
      <c r="G29" s="472"/>
      <c r="H29" s="472"/>
    </row>
    <row r="30" spans="1:23" s="9" customFormat="1" ht="34.5" customHeight="1" x14ac:dyDescent="0.3">
      <c r="A30" s="472"/>
      <c r="B30" s="472"/>
      <c r="C30" s="472"/>
      <c r="D30" s="472"/>
      <c r="E30" s="472"/>
      <c r="F30" s="472"/>
      <c r="G30" s="472"/>
      <c r="H30" s="472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51"/>
      <c r="V30" s="251"/>
      <c r="W30" s="251"/>
    </row>
    <row r="31" spans="1:23" ht="15.75" customHeight="1" x14ac:dyDescent="0.25">
      <c r="A31" s="472"/>
      <c r="B31" s="472"/>
      <c r="C31" s="472"/>
      <c r="D31" s="472"/>
      <c r="E31" s="472"/>
      <c r="F31" s="472"/>
      <c r="G31" s="472"/>
      <c r="H31" s="472"/>
    </row>
    <row r="32" spans="1:23" ht="3" customHeight="1" x14ac:dyDescent="0.25">
      <c r="A32" s="472"/>
      <c r="B32" s="472"/>
      <c r="C32" s="472"/>
      <c r="D32" s="472"/>
      <c r="E32" s="472"/>
      <c r="F32" s="472"/>
      <c r="G32" s="472"/>
      <c r="H32" s="472"/>
    </row>
    <row r="33" spans="1:8" ht="15" customHeight="1" x14ac:dyDescent="0.25">
      <c r="A33" s="472"/>
      <c r="B33" s="472"/>
      <c r="C33" s="472"/>
      <c r="D33" s="472"/>
      <c r="E33" s="472"/>
      <c r="F33" s="472"/>
      <c r="G33" s="472"/>
      <c r="H33" s="472"/>
    </row>
    <row r="34" spans="1:8" ht="18.75" customHeight="1" x14ac:dyDescent="0.25">
      <c r="A34" s="472"/>
      <c r="B34" s="472"/>
      <c r="C34" s="472"/>
      <c r="D34" s="472"/>
      <c r="E34" s="472"/>
      <c r="F34" s="472"/>
      <c r="G34" s="472"/>
      <c r="H34" s="472"/>
    </row>
    <row r="35" spans="1:8" ht="9.75" customHeight="1" x14ac:dyDescent="0.25">
      <c r="A35" s="472"/>
      <c r="B35" s="472"/>
      <c r="C35" s="472"/>
      <c r="D35" s="472"/>
      <c r="E35" s="472"/>
      <c r="F35" s="472"/>
      <c r="G35" s="472"/>
      <c r="H35" s="472"/>
    </row>
    <row r="36" spans="1:8" ht="13.5" hidden="1" customHeight="1" x14ac:dyDescent="0.25">
      <c r="A36" s="472"/>
      <c r="B36" s="472"/>
      <c r="C36" s="472"/>
      <c r="D36" s="472"/>
      <c r="E36" s="472"/>
      <c r="F36" s="472"/>
      <c r="G36" s="472"/>
      <c r="H36" s="472"/>
    </row>
    <row r="37" spans="1:8" ht="15" hidden="1" customHeight="1" x14ac:dyDescent="0.25">
      <c r="A37" s="472"/>
      <c r="B37" s="472"/>
      <c r="C37" s="472"/>
      <c r="D37" s="472"/>
      <c r="E37" s="472"/>
      <c r="F37" s="472"/>
      <c r="G37" s="472"/>
      <c r="H37" s="472"/>
    </row>
    <row r="38" spans="1:8" ht="15" hidden="1" customHeight="1" x14ac:dyDescent="0.25">
      <c r="A38" s="472"/>
      <c r="B38" s="472"/>
      <c r="C38" s="472"/>
      <c r="D38" s="472"/>
      <c r="E38" s="472"/>
      <c r="F38" s="472"/>
      <c r="G38" s="472"/>
      <c r="H38" s="472"/>
    </row>
    <row r="39" spans="1:8" x14ac:dyDescent="0.25">
      <c r="A39" s="472"/>
      <c r="B39" s="472"/>
      <c r="C39" s="472"/>
      <c r="D39" s="472"/>
      <c r="E39" s="472"/>
      <c r="F39" s="472"/>
      <c r="G39" s="472"/>
      <c r="H39" s="472"/>
    </row>
    <row r="40" spans="1:8" x14ac:dyDescent="0.25">
      <c r="A40" s="472"/>
      <c r="B40" s="472"/>
      <c r="C40" s="472"/>
      <c r="D40" s="472"/>
      <c r="E40" s="472"/>
      <c r="F40" s="472"/>
      <c r="G40" s="472"/>
      <c r="H40" s="472"/>
    </row>
    <row r="41" spans="1:8" ht="30" customHeight="1" x14ac:dyDescent="0.25">
      <c r="A41" s="472"/>
      <c r="B41" s="472"/>
      <c r="C41" s="472"/>
      <c r="D41" s="472"/>
      <c r="E41" s="472"/>
      <c r="F41" s="472"/>
      <c r="G41" s="472"/>
      <c r="H41" s="472"/>
    </row>
    <row r="42" spans="1:8" x14ac:dyDescent="0.25">
      <c r="A42" s="472"/>
      <c r="B42" s="472"/>
      <c r="C42" s="472"/>
      <c r="D42" s="472"/>
      <c r="E42" s="472"/>
      <c r="F42" s="472"/>
      <c r="G42" s="472"/>
      <c r="H42" s="472"/>
    </row>
    <row r="43" spans="1:8" x14ac:dyDescent="0.25">
      <c r="A43" s="472"/>
      <c r="B43" s="472"/>
      <c r="C43" s="472"/>
      <c r="D43" s="472"/>
      <c r="E43" s="472"/>
      <c r="F43" s="472"/>
      <c r="G43" s="472"/>
      <c r="H43" s="472"/>
    </row>
    <row r="44" spans="1:8" x14ac:dyDescent="0.25">
      <c r="A44" s="472"/>
      <c r="B44" s="472"/>
      <c r="C44" s="472"/>
      <c r="D44" s="472"/>
      <c r="E44" s="472"/>
      <c r="F44" s="472"/>
      <c r="G44" s="472"/>
      <c r="H44" s="472"/>
    </row>
    <row r="45" spans="1:8" x14ac:dyDescent="0.25">
      <c r="A45" s="472"/>
      <c r="B45" s="472"/>
      <c r="C45" s="472"/>
      <c r="D45" s="472"/>
      <c r="E45" s="472"/>
      <c r="F45" s="472"/>
      <c r="G45" s="472"/>
      <c r="H45" s="472"/>
    </row>
    <row r="46" spans="1:8" x14ac:dyDescent="0.25">
      <c r="A46" s="472"/>
      <c r="B46" s="472"/>
      <c r="C46" s="472"/>
      <c r="D46" s="472"/>
      <c r="E46" s="472"/>
      <c r="F46" s="472"/>
      <c r="G46" s="472"/>
      <c r="H46" s="472"/>
    </row>
  </sheetData>
  <mergeCells count="6">
    <mergeCell ref="A28:H46"/>
    <mergeCell ref="C1:E1"/>
    <mergeCell ref="A5:E5"/>
    <mergeCell ref="A3:E3"/>
    <mergeCell ref="B13:E13"/>
    <mergeCell ref="A24:B24"/>
  </mergeCells>
  <pageMargins left="0.7" right="0.7" top="0.75" bottom="0.75" header="0.3" footer="0.3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7"/>
  <sheetViews>
    <sheetView view="pageBreakPreview" zoomScale="85" zoomScaleNormal="85" zoomScaleSheetLayoutView="85" workbookViewId="0">
      <selection activeCell="G67" sqref="G67"/>
    </sheetView>
  </sheetViews>
  <sheetFormatPr defaultColWidth="8.7109375" defaultRowHeight="15" x14ac:dyDescent="0.25"/>
  <cols>
    <col min="1" max="1" width="8.7109375" style="3"/>
    <col min="2" max="2" width="62.28515625" style="3" customWidth="1"/>
    <col min="3" max="11" width="10.42578125" style="3" customWidth="1"/>
    <col min="12" max="16384" width="8.7109375" style="3"/>
  </cols>
  <sheetData>
    <row r="1" spans="1:11" ht="15.75" x14ac:dyDescent="0.25">
      <c r="A1" s="36"/>
      <c r="B1" s="36"/>
      <c r="C1" s="482" t="s">
        <v>4</v>
      </c>
      <c r="D1" s="482"/>
      <c r="E1" s="482"/>
      <c r="F1" s="482"/>
      <c r="G1" s="482"/>
      <c r="H1" s="482"/>
      <c r="I1" s="482"/>
      <c r="J1" s="482"/>
      <c r="K1" s="464"/>
    </row>
    <row r="2" spans="1:11" ht="17.25" x14ac:dyDescent="0.25">
      <c r="A2" s="479" t="s">
        <v>0</v>
      </c>
      <c r="B2" s="479" t="s">
        <v>1</v>
      </c>
      <c r="C2" s="37" t="s">
        <v>70</v>
      </c>
      <c r="D2" s="37" t="s">
        <v>71</v>
      </c>
      <c r="E2" s="37" t="s">
        <v>72</v>
      </c>
      <c r="F2" s="38" t="s">
        <v>73</v>
      </c>
      <c r="G2" s="38" t="s">
        <v>74</v>
      </c>
      <c r="H2" s="38" t="s">
        <v>75</v>
      </c>
      <c r="I2" s="38" t="s">
        <v>76</v>
      </c>
      <c r="J2" s="38" t="s">
        <v>77</v>
      </c>
      <c r="K2" s="464"/>
    </row>
    <row r="3" spans="1:11" ht="15.75" x14ac:dyDescent="0.25">
      <c r="A3" s="479"/>
      <c r="B3" s="479"/>
      <c r="C3" s="483" t="s">
        <v>99</v>
      </c>
      <c r="D3" s="484"/>
      <c r="E3" s="485"/>
      <c r="F3" s="486" t="s">
        <v>100</v>
      </c>
      <c r="G3" s="487"/>
      <c r="H3" s="487"/>
      <c r="I3" s="487"/>
      <c r="J3" s="488"/>
      <c r="K3" s="24" t="s">
        <v>101</v>
      </c>
    </row>
    <row r="4" spans="1:11" ht="15.75" x14ac:dyDescent="0.25">
      <c r="A4" s="43">
        <v>1</v>
      </c>
      <c r="B4" s="44" t="str">
        <f>Трудоемкость!B5</f>
        <v>Подсистема идентификации и предоставления доступа</v>
      </c>
      <c r="C4" s="85">
        <f>'Показатели для расчета НМЦК'!D4</f>
        <v>1</v>
      </c>
      <c r="D4" s="85">
        <f>'Показатели для расчета НМЦК'!D6</f>
        <v>1</v>
      </c>
      <c r="E4" s="85">
        <f>'Показатели для расчета НМЦК'!D8</f>
        <v>1</v>
      </c>
      <c r="F4" s="86">
        <f>'Показатели для расчета НМЦК'!D27</f>
        <v>1</v>
      </c>
      <c r="G4" s="86">
        <f>'Показатели для расчета НМЦК'!D31</f>
        <v>1</v>
      </c>
      <c r="H4" s="86">
        <f>'Показатели для расчета НМЦК'!D36</f>
        <v>1</v>
      </c>
      <c r="I4" s="86">
        <f>'Показатели для расчета НМЦК'!D40</f>
        <v>0.97</v>
      </c>
      <c r="J4" s="87">
        <f>'Показатели для расчета НМЦК'!D46</f>
        <v>1.03</v>
      </c>
      <c r="K4" s="48">
        <f>ROUND(C4*D4*E4*F4*G4*H4*I4*J4,3)</f>
        <v>0.999</v>
      </c>
    </row>
    <row r="5" spans="1:11" ht="15.75" x14ac:dyDescent="0.25">
      <c r="A5" s="43">
        <v>2</v>
      </c>
      <c r="B5" s="44" t="str">
        <f>Трудоемкость!B6</f>
        <v>Подсистема контекстной авторизации</v>
      </c>
      <c r="C5" s="85">
        <f>'Показатели для расчета НМЦК'!D4</f>
        <v>1</v>
      </c>
      <c r="D5" s="85">
        <f>'Показатели для расчета НМЦК'!D6</f>
        <v>1</v>
      </c>
      <c r="E5" s="85">
        <f>'Показатели для расчета НМЦК'!D8</f>
        <v>1</v>
      </c>
      <c r="F5" s="86">
        <f>'Показатели для расчета НМЦК'!D27</f>
        <v>1</v>
      </c>
      <c r="G5" s="86">
        <f>'Показатели для расчета НМЦК'!D31</f>
        <v>1</v>
      </c>
      <c r="H5" s="86">
        <f>'Показатели для расчета НМЦК'!D36</f>
        <v>1</v>
      </c>
      <c r="I5" s="86">
        <f t="shared" ref="I5:I10" si="0">$I$4</f>
        <v>0.97</v>
      </c>
      <c r="J5" s="87">
        <f t="shared" ref="J5:J11" si="1">$J$4</f>
        <v>1.03</v>
      </c>
      <c r="K5" s="48">
        <f>ROUND(C5*D5*E5*F5*G5*H5*I5*J5,3)</f>
        <v>0.999</v>
      </c>
    </row>
    <row r="6" spans="1:11" ht="15.75" x14ac:dyDescent="0.25">
      <c r="A6" s="43">
        <v>3</v>
      </c>
      <c r="B6" s="44" t="str">
        <f>Трудоемкость!B7</f>
        <v>Подсистема хранения и управления данными</v>
      </c>
      <c r="C6" s="85">
        <f>'Показатели для расчета НМЦК'!D4</f>
        <v>1</v>
      </c>
      <c r="D6" s="85">
        <f>'Показатели для расчета НМЦК'!D6</f>
        <v>1</v>
      </c>
      <c r="E6" s="85">
        <f>'Показатели для расчета НМЦК'!D8</f>
        <v>1</v>
      </c>
      <c r="F6" s="86">
        <f>'Показатели для расчета НМЦК'!D27</f>
        <v>1</v>
      </c>
      <c r="G6" s="86">
        <f>'Показатели для расчета НМЦК'!D31</f>
        <v>1</v>
      </c>
      <c r="H6" s="86">
        <f>'Показатели для расчета НМЦК'!D36</f>
        <v>1</v>
      </c>
      <c r="I6" s="86">
        <f t="shared" si="0"/>
        <v>0.97</v>
      </c>
      <c r="J6" s="87">
        <f t="shared" si="1"/>
        <v>1.03</v>
      </c>
      <c r="K6" s="48">
        <f>ROUND(C6*D6*E6*F6*G6*H6*I6*J6,3)</f>
        <v>0.999</v>
      </c>
    </row>
    <row r="7" spans="1:11" ht="15.75" x14ac:dyDescent="0.25">
      <c r="A7" s="43">
        <v>4</v>
      </c>
      <c r="B7" s="44" t="str">
        <f>Трудоемкость!B8</f>
        <v>Подсистема безопасности</v>
      </c>
      <c r="C7" s="85">
        <f>'Показатели для расчета НМЦК'!D4</f>
        <v>1</v>
      </c>
      <c r="D7" s="85">
        <f>'Показатели для расчета НМЦК'!D6</f>
        <v>1</v>
      </c>
      <c r="E7" s="85">
        <f>'Показатели для расчета НМЦК'!D8</f>
        <v>1</v>
      </c>
      <c r="F7" s="86">
        <f>'Показатели для расчета НМЦК'!D27</f>
        <v>1</v>
      </c>
      <c r="G7" s="86">
        <f t="shared" ref="G7:G11" si="2">$G$4</f>
        <v>1</v>
      </c>
      <c r="H7" s="86">
        <f t="shared" ref="H7:H11" si="3">$H$4</f>
        <v>1</v>
      </c>
      <c r="I7" s="86">
        <f t="shared" si="0"/>
        <v>0.97</v>
      </c>
      <c r="J7" s="87">
        <f t="shared" si="1"/>
        <v>1.03</v>
      </c>
      <c r="K7" s="48">
        <f>ROUND(C7*D7*E7*F7*G7*H7*I7*J7,3)</f>
        <v>0.999</v>
      </c>
    </row>
    <row r="8" spans="1:11" ht="15.75" x14ac:dyDescent="0.25">
      <c r="A8" s="43">
        <v>5</v>
      </c>
      <c r="B8" s="44" t="str">
        <f>Трудоемкость!B9</f>
        <v>Подсистема интеграции</v>
      </c>
      <c r="C8" s="85">
        <f>'Показатели для расчета НМЦК'!D4</f>
        <v>1</v>
      </c>
      <c r="D8" s="85">
        <f>'Показатели для расчета НМЦК'!D6</f>
        <v>1</v>
      </c>
      <c r="E8" s="85">
        <f>'Показатели для расчета НМЦК'!D8</f>
        <v>1</v>
      </c>
      <c r="F8" s="86">
        <f>'Показатели для расчета НМЦК'!D27</f>
        <v>1</v>
      </c>
      <c r="G8" s="86">
        <f t="shared" si="2"/>
        <v>1</v>
      </c>
      <c r="H8" s="86">
        <f t="shared" si="3"/>
        <v>1</v>
      </c>
      <c r="I8" s="86">
        <f t="shared" si="0"/>
        <v>0.97</v>
      </c>
      <c r="J8" s="87">
        <f t="shared" si="1"/>
        <v>1.03</v>
      </c>
      <c r="K8" s="48">
        <f>ROUND(C8*D8*E8*F8*G8*H8*I8*J8,3)</f>
        <v>0.999</v>
      </c>
    </row>
    <row r="9" spans="1:11" ht="15.75" x14ac:dyDescent="0.25">
      <c r="A9" s="43">
        <v>6</v>
      </c>
      <c r="B9" s="44" t="str">
        <f>Трудоемкость!B10</f>
        <v>Подсистема отображения данных</v>
      </c>
      <c r="C9" s="85">
        <f t="shared" ref="C9:C11" si="4">$C$8</f>
        <v>1</v>
      </c>
      <c r="D9" s="85">
        <f t="shared" ref="D9:D11" si="5">$D$8</f>
        <v>1</v>
      </c>
      <c r="E9" s="85">
        <f t="shared" ref="E9:E11" si="6">$E$8</f>
        <v>1</v>
      </c>
      <c r="F9" s="86">
        <f t="shared" ref="F9:F11" si="7">$F$8</f>
        <v>1</v>
      </c>
      <c r="G9" s="86">
        <f t="shared" si="2"/>
        <v>1</v>
      </c>
      <c r="H9" s="86">
        <f t="shared" si="3"/>
        <v>1</v>
      </c>
      <c r="I9" s="86">
        <f t="shared" si="0"/>
        <v>0.97</v>
      </c>
      <c r="J9" s="87">
        <f t="shared" si="1"/>
        <v>1.03</v>
      </c>
      <c r="K9" s="48">
        <f t="shared" ref="K9:K11" si="8">ROUND(C9*D9*E9*F9*G9*H9*I9*J9,3)</f>
        <v>0.999</v>
      </c>
    </row>
    <row r="10" spans="1:11" ht="15.75" x14ac:dyDescent="0.25">
      <c r="A10" s="43">
        <v>7</v>
      </c>
      <c r="B10" s="44" t="str">
        <f>Трудоемкость!B11</f>
        <v>Подсистема протоколирования</v>
      </c>
      <c r="C10" s="85">
        <f t="shared" si="4"/>
        <v>1</v>
      </c>
      <c r="D10" s="85">
        <f t="shared" si="5"/>
        <v>1</v>
      </c>
      <c r="E10" s="85">
        <f t="shared" si="6"/>
        <v>1</v>
      </c>
      <c r="F10" s="86">
        <f t="shared" si="7"/>
        <v>1</v>
      </c>
      <c r="G10" s="86">
        <f t="shared" si="2"/>
        <v>1</v>
      </c>
      <c r="H10" s="86">
        <f t="shared" si="3"/>
        <v>1</v>
      </c>
      <c r="I10" s="86">
        <f t="shared" si="0"/>
        <v>0.97</v>
      </c>
      <c r="J10" s="87">
        <f t="shared" si="1"/>
        <v>1.03</v>
      </c>
      <c r="K10" s="48">
        <f t="shared" si="8"/>
        <v>0.999</v>
      </c>
    </row>
    <row r="11" spans="1:11" ht="15.75" x14ac:dyDescent="0.25">
      <c r="A11" s="43">
        <v>8</v>
      </c>
      <c r="B11" s="44" t="str">
        <f>Трудоемкость!B12</f>
        <v>Подсистема самообслуживания</v>
      </c>
      <c r="C11" s="85">
        <f t="shared" si="4"/>
        <v>1</v>
      </c>
      <c r="D11" s="85">
        <f t="shared" si="5"/>
        <v>1</v>
      </c>
      <c r="E11" s="85">
        <f t="shared" si="6"/>
        <v>1</v>
      </c>
      <c r="F11" s="86">
        <f t="shared" si="7"/>
        <v>1</v>
      </c>
      <c r="G11" s="86">
        <f t="shared" si="2"/>
        <v>1</v>
      </c>
      <c r="H11" s="86">
        <f t="shared" si="3"/>
        <v>1</v>
      </c>
      <c r="I11" s="86">
        <f>'Показатели для расчета НМЦК'!D41</f>
        <v>1</v>
      </c>
      <c r="J11" s="87">
        <f t="shared" si="1"/>
        <v>1.03</v>
      </c>
      <c r="K11" s="48">
        <f t="shared" si="8"/>
        <v>1.03</v>
      </c>
    </row>
    <row r="12" spans="1:11" ht="15.75" x14ac:dyDescent="0.25">
      <c r="A12" s="6"/>
      <c r="B12" s="80"/>
      <c r="C12" s="81"/>
      <c r="D12" s="81"/>
      <c r="E12" s="81"/>
      <c r="F12" s="81"/>
      <c r="G12" s="81"/>
      <c r="H12" s="81"/>
      <c r="I12" s="81"/>
      <c r="J12" s="82"/>
      <c r="K12" s="83"/>
    </row>
    <row r="13" spans="1:11" ht="18.75" x14ac:dyDescent="0.35">
      <c r="A13" s="6"/>
      <c r="B13" s="6" t="s">
        <v>39</v>
      </c>
      <c r="C13" s="6"/>
      <c r="D13" s="6"/>
      <c r="E13" s="6"/>
      <c r="F13" s="6"/>
      <c r="G13" s="6"/>
      <c r="H13" s="6"/>
      <c r="I13" s="6"/>
      <c r="J13" s="6"/>
      <c r="K13" s="6"/>
    </row>
    <row r="14" spans="1:11" ht="15.75" x14ac:dyDescent="0.25">
      <c r="A14" s="6"/>
      <c r="B14" s="6" t="s">
        <v>31</v>
      </c>
      <c r="C14" s="6"/>
      <c r="D14" s="6"/>
      <c r="E14" s="6"/>
      <c r="F14" s="6"/>
      <c r="G14" s="6"/>
      <c r="H14" s="6"/>
      <c r="I14" s="6"/>
      <c r="J14" s="6"/>
      <c r="K14" s="6"/>
    </row>
    <row r="15" spans="1:11" ht="16.5" thickBo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32.25" thickBot="1" x14ac:dyDescent="0.3">
      <c r="A16" s="6"/>
      <c r="B16" s="8" t="s">
        <v>38</v>
      </c>
      <c r="C16" s="7" t="s">
        <v>37</v>
      </c>
      <c r="D16" s="7" t="s">
        <v>36</v>
      </c>
      <c r="E16" s="7" t="s">
        <v>35</v>
      </c>
      <c r="F16" s="6"/>
      <c r="G16" s="6"/>
      <c r="H16" s="6"/>
      <c r="I16" s="6"/>
      <c r="J16" s="6"/>
      <c r="K16" s="6"/>
    </row>
    <row r="17" spans="1:11" ht="19.5" thickBot="1" x14ac:dyDescent="0.3">
      <c r="A17" s="6"/>
      <c r="B17" s="10" t="s">
        <v>34</v>
      </c>
      <c r="C17" s="4">
        <v>0.9</v>
      </c>
      <c r="D17" s="4">
        <v>1</v>
      </c>
      <c r="E17" s="4">
        <v>1.1499999999999999</v>
      </c>
      <c r="F17" s="6"/>
      <c r="G17" s="6"/>
      <c r="H17" s="6"/>
      <c r="I17" s="6"/>
      <c r="J17" s="6"/>
      <c r="K17" s="6"/>
    </row>
    <row r="18" spans="1:11" ht="15.7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8.75" x14ac:dyDescent="0.35">
      <c r="A19" s="6"/>
      <c r="B19" s="6" t="s">
        <v>45</v>
      </c>
      <c r="C19" s="6"/>
      <c r="D19" s="6"/>
      <c r="E19" s="6"/>
      <c r="F19" s="6"/>
      <c r="G19" s="6"/>
      <c r="H19" s="6"/>
      <c r="I19" s="6"/>
      <c r="J19" s="6"/>
      <c r="K19" s="6"/>
    </row>
    <row r="20" spans="1:11" ht="15.75" x14ac:dyDescent="0.25">
      <c r="A20" s="6"/>
      <c r="B20" s="6" t="s">
        <v>31</v>
      </c>
      <c r="C20" s="6"/>
      <c r="D20" s="6"/>
      <c r="E20" s="6"/>
      <c r="F20" s="6"/>
      <c r="G20" s="6"/>
      <c r="H20" s="6"/>
      <c r="I20" s="6"/>
      <c r="J20" s="6"/>
      <c r="K20" s="6"/>
    </row>
    <row r="21" spans="1:11" ht="16.5" thickBo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32.25" thickBot="1" x14ac:dyDescent="0.3">
      <c r="A22" s="6"/>
      <c r="B22" s="8" t="s">
        <v>33</v>
      </c>
      <c r="C22" s="7" t="s">
        <v>46</v>
      </c>
      <c r="D22" s="7" t="s">
        <v>47</v>
      </c>
      <c r="E22" s="7" t="s">
        <v>48</v>
      </c>
      <c r="F22" s="6"/>
      <c r="G22" s="6"/>
      <c r="H22" s="6"/>
      <c r="I22" s="6"/>
      <c r="J22" s="6"/>
      <c r="K22" s="6"/>
    </row>
    <row r="23" spans="1:11" ht="19.5" thickBot="1" x14ac:dyDescent="0.3">
      <c r="A23" s="6"/>
      <c r="B23" s="10" t="s">
        <v>32</v>
      </c>
      <c r="C23" s="4">
        <v>0.93</v>
      </c>
      <c r="D23" s="4">
        <v>1</v>
      </c>
      <c r="E23" s="4">
        <v>1.07</v>
      </c>
      <c r="F23" s="6"/>
      <c r="G23" s="6"/>
      <c r="H23" s="6"/>
      <c r="I23" s="6"/>
      <c r="J23" s="6"/>
      <c r="K23" s="6"/>
    </row>
    <row r="24" spans="1:11" ht="15.7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18.75" x14ac:dyDescent="0.35">
      <c r="A25" s="6"/>
      <c r="B25" s="6" t="s">
        <v>96</v>
      </c>
      <c r="C25" s="6"/>
      <c r="D25" s="6"/>
      <c r="E25" s="6"/>
      <c r="F25" s="6"/>
      <c r="G25" s="6"/>
      <c r="H25" s="6"/>
      <c r="I25" s="6"/>
      <c r="J25" s="6"/>
      <c r="K25" s="6"/>
    </row>
    <row r="26" spans="1:11" ht="15.75" x14ac:dyDescent="0.25">
      <c r="A26" s="6"/>
      <c r="B26" s="6" t="s">
        <v>31</v>
      </c>
      <c r="C26" s="6"/>
      <c r="D26" s="6"/>
      <c r="E26" s="6"/>
      <c r="F26" s="6"/>
      <c r="G26" s="6"/>
      <c r="H26" s="6"/>
      <c r="I26" s="6"/>
      <c r="J26" s="6"/>
      <c r="K26" s="6"/>
    </row>
    <row r="27" spans="1:11" ht="16.5" thickBo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15.75" x14ac:dyDescent="0.25">
      <c r="A28" s="6"/>
      <c r="B28" s="480" t="s">
        <v>30</v>
      </c>
      <c r="C28" s="480" t="s">
        <v>29</v>
      </c>
      <c r="D28" s="480" t="s">
        <v>28</v>
      </c>
      <c r="E28" s="480" t="s">
        <v>27</v>
      </c>
      <c r="F28" s="6"/>
      <c r="G28" s="6"/>
      <c r="H28" s="6"/>
      <c r="I28" s="6"/>
      <c r="J28" s="6"/>
      <c r="K28" s="6"/>
    </row>
    <row r="29" spans="1:11" ht="16.5" thickBot="1" x14ac:dyDescent="0.3">
      <c r="A29" s="6"/>
      <c r="B29" s="481"/>
      <c r="C29" s="481"/>
      <c r="D29" s="481"/>
      <c r="E29" s="481"/>
      <c r="F29" s="6"/>
      <c r="G29" s="6"/>
      <c r="H29" s="6"/>
      <c r="I29" s="6"/>
      <c r="J29" s="6"/>
      <c r="K29" s="6"/>
    </row>
    <row r="30" spans="1:11" ht="19.5" thickBot="1" x14ac:dyDescent="0.3">
      <c r="A30" s="6"/>
      <c r="B30" s="10" t="s">
        <v>26</v>
      </c>
      <c r="C30" s="4">
        <v>0.95</v>
      </c>
      <c r="D30" s="4">
        <v>1</v>
      </c>
      <c r="E30" s="4">
        <v>1.05</v>
      </c>
      <c r="F30" s="6"/>
      <c r="G30" s="6"/>
      <c r="H30" s="6"/>
      <c r="I30" s="6"/>
      <c r="J30" s="6"/>
      <c r="K30" s="6"/>
    </row>
    <row r="31" spans="1:11" ht="15.7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1" ht="18.75" x14ac:dyDescent="0.35">
      <c r="A32" s="6"/>
      <c r="B32" s="6" t="s">
        <v>25</v>
      </c>
      <c r="C32" s="6"/>
      <c r="D32" s="6"/>
      <c r="E32" s="6"/>
      <c r="F32" s="6"/>
      <c r="G32" s="6"/>
      <c r="H32" s="6"/>
      <c r="I32" s="6"/>
      <c r="J32" s="6"/>
      <c r="K32" s="6"/>
    </row>
    <row r="33" spans="1:11" ht="15.75" x14ac:dyDescent="0.25">
      <c r="A33" s="6"/>
      <c r="B33" s="6" t="s">
        <v>10</v>
      </c>
      <c r="C33" s="6"/>
      <c r="D33" s="6"/>
      <c r="E33" s="6"/>
      <c r="F33" s="6"/>
      <c r="G33" s="6"/>
      <c r="H33" s="6"/>
      <c r="I33" s="6"/>
      <c r="J33" s="6"/>
      <c r="K33" s="6"/>
    </row>
    <row r="34" spans="1:11" ht="16.5" thickBo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111" thickBot="1" x14ac:dyDescent="0.3">
      <c r="A35" s="6"/>
      <c r="B35" s="8" t="s">
        <v>24</v>
      </c>
      <c r="C35" s="7" t="s">
        <v>23</v>
      </c>
      <c r="D35" s="7" t="s">
        <v>22</v>
      </c>
      <c r="E35" s="7" t="s">
        <v>21</v>
      </c>
      <c r="F35" s="6"/>
      <c r="G35" s="6"/>
      <c r="H35" s="6"/>
      <c r="I35" s="6"/>
      <c r="J35" s="6"/>
      <c r="K35" s="6"/>
    </row>
    <row r="36" spans="1:11" ht="19.5" thickBot="1" x14ac:dyDescent="0.3">
      <c r="A36" s="6"/>
      <c r="B36" s="10" t="s">
        <v>20</v>
      </c>
      <c r="C36" s="4">
        <v>0.85</v>
      </c>
      <c r="D36" s="4">
        <v>1</v>
      </c>
      <c r="E36" s="4">
        <v>1.1499999999999999</v>
      </c>
      <c r="F36" s="6"/>
      <c r="G36" s="6"/>
      <c r="H36" s="6"/>
      <c r="I36" s="6"/>
      <c r="J36" s="6"/>
      <c r="K36" s="6"/>
    </row>
    <row r="37" spans="1:11" ht="15.7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ht="18.75" x14ac:dyDescent="0.35">
      <c r="A38" s="6"/>
      <c r="B38" s="6" t="s">
        <v>97</v>
      </c>
      <c r="C38" s="6"/>
      <c r="D38" s="6"/>
      <c r="E38" s="6"/>
      <c r="F38" s="6"/>
      <c r="G38" s="6"/>
      <c r="H38" s="6"/>
      <c r="I38" s="6"/>
      <c r="J38" s="6"/>
      <c r="K38" s="6"/>
    </row>
    <row r="39" spans="1:11" ht="15.75" x14ac:dyDescent="0.25">
      <c r="A39" s="6"/>
      <c r="B39" s="6" t="s">
        <v>10</v>
      </c>
      <c r="C39" s="6"/>
      <c r="D39" s="6"/>
      <c r="E39" s="6"/>
      <c r="F39" s="6"/>
      <c r="G39" s="6"/>
      <c r="H39" s="6"/>
      <c r="I39" s="6"/>
      <c r="J39" s="6"/>
      <c r="K39" s="6"/>
    </row>
    <row r="40" spans="1:11" ht="16.5" thickBo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ht="15.75" x14ac:dyDescent="0.25">
      <c r="A41" s="6"/>
      <c r="B41" s="480" t="s">
        <v>19</v>
      </c>
      <c r="C41" s="5" t="s">
        <v>18</v>
      </c>
      <c r="D41" s="480" t="s">
        <v>17</v>
      </c>
      <c r="E41" s="6"/>
      <c r="F41" s="6"/>
      <c r="G41" s="6"/>
      <c r="H41" s="6"/>
      <c r="I41" s="6"/>
      <c r="J41" s="6"/>
      <c r="K41" s="6"/>
    </row>
    <row r="42" spans="1:11" ht="48" thickBot="1" x14ac:dyDescent="0.3">
      <c r="A42" s="6"/>
      <c r="B42" s="481"/>
      <c r="C42" s="4" t="s">
        <v>17</v>
      </c>
      <c r="D42" s="481"/>
      <c r="E42" s="6"/>
      <c r="F42" s="6"/>
      <c r="G42" s="6"/>
      <c r="H42" s="6"/>
      <c r="I42" s="6"/>
      <c r="J42" s="6"/>
      <c r="K42" s="6"/>
    </row>
    <row r="43" spans="1:11" ht="19.5" thickBot="1" x14ac:dyDescent="0.3">
      <c r="A43" s="6"/>
      <c r="B43" s="10" t="s">
        <v>16</v>
      </c>
      <c r="C43" s="4">
        <v>1</v>
      </c>
      <c r="D43" s="4">
        <v>1.07</v>
      </c>
      <c r="E43" s="6"/>
      <c r="F43" s="6"/>
      <c r="G43" s="6"/>
      <c r="H43" s="6"/>
      <c r="I43" s="6"/>
      <c r="J43" s="6"/>
      <c r="K43" s="6"/>
    </row>
    <row r="44" spans="1:11" ht="15.7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1:11" ht="18.75" x14ac:dyDescent="0.35">
      <c r="A45" s="6"/>
      <c r="B45" s="6" t="s">
        <v>15</v>
      </c>
      <c r="C45" s="6"/>
      <c r="D45" s="6"/>
      <c r="E45" s="6"/>
      <c r="F45" s="6"/>
      <c r="G45" s="6"/>
      <c r="H45" s="6"/>
      <c r="I45" s="6"/>
      <c r="J45" s="6"/>
      <c r="K45" s="6"/>
    </row>
    <row r="46" spans="1:11" ht="15.75" x14ac:dyDescent="0.25">
      <c r="A46" s="6"/>
      <c r="B46" s="6" t="s">
        <v>10</v>
      </c>
      <c r="C46" s="6"/>
      <c r="D46" s="6"/>
      <c r="E46" s="6"/>
      <c r="F46" s="6"/>
      <c r="G46" s="6"/>
      <c r="H46" s="6"/>
      <c r="I46" s="6"/>
      <c r="J46" s="6"/>
      <c r="K46" s="6"/>
    </row>
    <row r="47" spans="1:11" ht="16.5" thickBo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1:11" ht="95.25" thickBot="1" x14ac:dyDescent="0.3">
      <c r="A48" s="6"/>
      <c r="B48" s="8" t="s">
        <v>14</v>
      </c>
      <c r="C48" s="7" t="s">
        <v>49</v>
      </c>
      <c r="D48" s="7" t="s">
        <v>13</v>
      </c>
      <c r="E48" s="7" t="s">
        <v>12</v>
      </c>
      <c r="F48" s="6"/>
      <c r="G48" s="6"/>
      <c r="H48" s="6"/>
      <c r="I48" s="6"/>
      <c r="J48" s="6"/>
      <c r="K48" s="6"/>
    </row>
    <row r="49" spans="1:11" ht="19.5" thickBot="1" x14ac:dyDescent="0.3">
      <c r="A49" s="6"/>
      <c r="B49" s="10" t="s">
        <v>11</v>
      </c>
      <c r="C49" s="4">
        <v>0.87</v>
      </c>
      <c r="D49" s="4">
        <v>1</v>
      </c>
      <c r="E49" s="4">
        <v>1.1499999999999999</v>
      </c>
      <c r="F49" s="6"/>
      <c r="G49" s="6"/>
      <c r="H49" s="6"/>
      <c r="I49" s="6"/>
      <c r="J49" s="6"/>
      <c r="K49" s="6"/>
    </row>
    <row r="50" spans="1:11" ht="15.7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1:11" ht="18.75" x14ac:dyDescent="0.35">
      <c r="A51" s="6"/>
      <c r="B51" s="6" t="s">
        <v>98</v>
      </c>
      <c r="C51" s="6"/>
      <c r="D51" s="6"/>
      <c r="E51" s="6"/>
      <c r="F51" s="6"/>
      <c r="G51" s="6"/>
      <c r="H51" s="6"/>
      <c r="I51" s="6"/>
      <c r="J51" s="6"/>
      <c r="K51" s="6"/>
    </row>
    <row r="52" spans="1:11" ht="15.75" x14ac:dyDescent="0.25">
      <c r="A52" s="6"/>
      <c r="B52" s="6" t="s">
        <v>10</v>
      </c>
      <c r="C52" s="6"/>
      <c r="D52" s="6"/>
      <c r="E52" s="6"/>
      <c r="F52" s="6"/>
      <c r="G52" s="6"/>
      <c r="H52" s="6"/>
      <c r="I52" s="6"/>
      <c r="J52" s="6"/>
      <c r="K52" s="6"/>
    </row>
    <row r="53" spans="1:11" ht="16.5" thickBo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1:11" ht="132" customHeight="1" thickBot="1" x14ac:dyDescent="0.3">
      <c r="A54" s="6"/>
      <c r="B54" s="12" t="s">
        <v>9</v>
      </c>
      <c r="C54" s="7" t="s">
        <v>56</v>
      </c>
      <c r="D54" s="7" t="s">
        <v>57</v>
      </c>
      <c r="E54" s="7" t="s">
        <v>58</v>
      </c>
      <c r="F54" s="6"/>
      <c r="G54" s="6"/>
      <c r="H54" s="6"/>
      <c r="I54" s="6"/>
      <c r="J54" s="6"/>
      <c r="K54" s="6"/>
    </row>
    <row r="55" spans="1:11" ht="15.75" x14ac:dyDescent="0.25">
      <c r="A55" s="6"/>
      <c r="B55" s="480" t="s">
        <v>8</v>
      </c>
      <c r="C55" s="480">
        <v>0.97</v>
      </c>
      <c r="D55" s="480">
        <v>1</v>
      </c>
      <c r="E55" s="480">
        <v>1.04</v>
      </c>
      <c r="F55" s="6"/>
      <c r="G55" s="6"/>
      <c r="H55" s="6"/>
      <c r="I55" s="6"/>
      <c r="J55" s="6"/>
      <c r="K55" s="6"/>
    </row>
    <row r="56" spans="1:11" ht="16.5" thickBot="1" x14ac:dyDescent="0.3">
      <c r="A56" s="6"/>
      <c r="B56" s="481"/>
      <c r="C56" s="481"/>
      <c r="D56" s="481"/>
      <c r="E56" s="481"/>
      <c r="F56" s="6"/>
      <c r="G56" s="6"/>
      <c r="H56" s="6"/>
      <c r="I56" s="6"/>
      <c r="J56" s="6"/>
      <c r="K56" s="6"/>
    </row>
    <row r="57" spans="1:11" ht="15.7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ht="18.75" x14ac:dyDescent="0.35">
      <c r="A58" s="6"/>
      <c r="B58" s="6" t="s">
        <v>50</v>
      </c>
      <c r="C58" s="6"/>
      <c r="D58" s="6"/>
      <c r="E58" s="6"/>
      <c r="F58" s="6"/>
      <c r="G58" s="6"/>
      <c r="H58" s="6"/>
      <c r="I58" s="6"/>
      <c r="J58" s="6"/>
      <c r="K58" s="6"/>
    </row>
    <row r="59" spans="1:11" ht="15.75" x14ac:dyDescent="0.25">
      <c r="A59" s="6"/>
      <c r="B59" s="6" t="s">
        <v>10</v>
      </c>
      <c r="C59" s="6"/>
      <c r="D59" s="6"/>
      <c r="E59" s="6"/>
      <c r="F59" s="6"/>
      <c r="G59" s="6"/>
      <c r="H59" s="6"/>
      <c r="I59" s="6"/>
      <c r="J59" s="6"/>
      <c r="K59" s="6"/>
    </row>
    <row r="60" spans="1:11" ht="16.5" thickBo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1" ht="111" thickBot="1" x14ac:dyDescent="0.3">
      <c r="A61" s="6"/>
      <c r="B61" s="39" t="s">
        <v>59</v>
      </c>
      <c r="C61" s="40" t="s">
        <v>60</v>
      </c>
      <c r="D61" s="40" t="s">
        <v>61</v>
      </c>
      <c r="E61" s="40" t="s">
        <v>62</v>
      </c>
      <c r="F61" s="6"/>
      <c r="G61" s="6"/>
      <c r="H61" s="6"/>
      <c r="I61" s="6"/>
      <c r="J61" s="6"/>
      <c r="K61" s="6"/>
    </row>
    <row r="62" spans="1:11" ht="15.75" x14ac:dyDescent="0.25">
      <c r="A62" s="6"/>
      <c r="B62" s="480" t="s">
        <v>55</v>
      </c>
      <c r="C62" s="480">
        <v>1</v>
      </c>
      <c r="D62" s="480">
        <v>1.03</v>
      </c>
      <c r="E62" s="480">
        <v>1.05</v>
      </c>
      <c r="F62" s="6"/>
      <c r="G62" s="6"/>
      <c r="H62" s="6"/>
      <c r="I62" s="6"/>
      <c r="J62" s="6"/>
      <c r="K62" s="6"/>
    </row>
    <row r="63" spans="1:11" ht="16.5" thickBot="1" x14ac:dyDescent="0.3">
      <c r="A63" s="6"/>
      <c r="B63" s="481"/>
      <c r="C63" s="481"/>
      <c r="D63" s="481"/>
      <c r="E63" s="481"/>
      <c r="F63" s="6"/>
      <c r="G63" s="6"/>
      <c r="H63" s="6"/>
      <c r="I63" s="6"/>
      <c r="J63" s="6"/>
      <c r="K63" s="6"/>
    </row>
    <row r="64" spans="1:11" ht="15.7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1:11" ht="15.7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1:11" ht="15.75" x14ac:dyDescent="0.25">
      <c r="A66" s="6"/>
      <c r="B66" s="250"/>
      <c r="C66" s="114"/>
      <c r="D66" s="114"/>
      <c r="E66" s="114"/>
      <c r="F66" s="114"/>
      <c r="G66" s="114"/>
      <c r="H66" s="114"/>
      <c r="I66" s="114"/>
      <c r="J66" s="250"/>
    </row>
    <row r="67" spans="1:11" ht="34.9" customHeight="1" x14ac:dyDescent="0.25">
      <c r="A67" s="6"/>
      <c r="B67" s="250"/>
      <c r="C67" s="114"/>
      <c r="D67" s="114"/>
      <c r="E67" s="114"/>
      <c r="F67" s="114"/>
      <c r="G67" s="114"/>
      <c r="H67" s="114"/>
      <c r="I67" s="114"/>
      <c r="J67" s="250"/>
    </row>
    <row r="68" spans="1:11" ht="27.6" customHeight="1" x14ac:dyDescent="0.25">
      <c r="A68" s="6"/>
      <c r="B68" s="250"/>
      <c r="C68" s="249"/>
      <c r="D68" s="249"/>
      <c r="E68" s="249"/>
      <c r="F68" s="249"/>
      <c r="G68" s="249"/>
      <c r="H68" s="249"/>
      <c r="I68" s="249"/>
      <c r="J68" s="250"/>
    </row>
    <row r="69" spans="1:11" ht="15.75" x14ac:dyDescent="0.25">
      <c r="A69" s="6"/>
      <c r="B69" s="110"/>
      <c r="C69" s="110"/>
      <c r="D69" s="110"/>
      <c r="E69" s="110"/>
      <c r="F69" s="110"/>
      <c r="G69" s="110"/>
      <c r="H69" s="110"/>
      <c r="I69" s="110"/>
      <c r="J69" s="6"/>
      <c r="K69" s="6"/>
    </row>
    <row r="70" spans="1:11" ht="15.75" x14ac:dyDescent="0.25">
      <c r="A70" s="6"/>
      <c r="B70" s="110"/>
      <c r="C70" s="110"/>
      <c r="D70" s="110"/>
      <c r="E70" s="110"/>
      <c r="F70" s="110"/>
      <c r="G70" s="110"/>
      <c r="H70" s="110"/>
      <c r="I70" s="110"/>
      <c r="J70" s="6"/>
      <c r="K70" s="6"/>
    </row>
    <row r="71" spans="1:11" ht="15.75" x14ac:dyDescent="0.25">
      <c r="A71" s="6"/>
      <c r="B71" s="110"/>
      <c r="C71" s="110"/>
      <c r="D71" s="110"/>
      <c r="E71" s="110"/>
      <c r="F71" s="110"/>
      <c r="G71" s="110"/>
      <c r="H71" s="110"/>
      <c r="I71" s="110"/>
      <c r="J71" s="6"/>
      <c r="K71" s="6"/>
    </row>
    <row r="72" spans="1:11" ht="15.75" x14ac:dyDescent="0.25">
      <c r="A72" s="6"/>
      <c r="B72" s="110"/>
      <c r="C72" s="110"/>
      <c r="D72" s="110"/>
      <c r="E72" s="110"/>
      <c r="F72" s="110"/>
      <c r="G72" s="110"/>
      <c r="H72" s="110"/>
      <c r="I72" s="110"/>
      <c r="J72" s="6"/>
      <c r="K72" s="6"/>
    </row>
    <row r="73" spans="1:11" ht="14.45" customHeight="1" x14ac:dyDescent="0.25">
      <c r="B73" s="110"/>
      <c r="C73" s="110"/>
      <c r="D73" s="110"/>
      <c r="E73" s="110"/>
      <c r="F73" s="110"/>
      <c r="G73" s="110"/>
      <c r="H73" s="110"/>
      <c r="I73" s="110"/>
    </row>
    <row r="74" spans="1:11" ht="14.45" customHeight="1" x14ac:dyDescent="0.25">
      <c r="B74" s="110"/>
      <c r="C74" s="110"/>
      <c r="D74" s="110"/>
      <c r="E74" s="110"/>
      <c r="F74" s="110"/>
      <c r="G74" s="110"/>
      <c r="H74" s="110"/>
      <c r="I74" s="110"/>
    </row>
    <row r="75" spans="1:11" ht="14.45" customHeight="1" x14ac:dyDescent="0.25">
      <c r="B75" s="110"/>
      <c r="C75" s="110"/>
      <c r="D75" s="110"/>
      <c r="E75" s="110"/>
      <c r="F75" s="110"/>
      <c r="G75" s="110"/>
      <c r="H75" s="110"/>
      <c r="I75" s="110"/>
    </row>
    <row r="76" spans="1:11" ht="14.45" customHeight="1" x14ac:dyDescent="0.25">
      <c r="B76" s="110"/>
      <c r="C76" s="110"/>
      <c r="D76" s="110"/>
      <c r="E76" s="110"/>
      <c r="F76" s="110"/>
      <c r="G76" s="110"/>
      <c r="H76" s="110"/>
      <c r="I76" s="110"/>
    </row>
    <row r="77" spans="1:11" ht="14.45" customHeight="1" x14ac:dyDescent="0.25">
      <c r="B77" s="110"/>
      <c r="C77" s="110"/>
      <c r="D77" s="110"/>
      <c r="E77" s="110"/>
      <c r="F77" s="110"/>
      <c r="G77" s="110"/>
      <c r="H77" s="110"/>
      <c r="I77" s="110"/>
    </row>
  </sheetData>
  <mergeCells count="20">
    <mergeCell ref="C1:J1"/>
    <mergeCell ref="K1:K2"/>
    <mergeCell ref="B2:B3"/>
    <mergeCell ref="C3:E3"/>
    <mergeCell ref="F3:J3"/>
    <mergeCell ref="A2:A3"/>
    <mergeCell ref="E62:E63"/>
    <mergeCell ref="E55:E56"/>
    <mergeCell ref="B28:B29"/>
    <mergeCell ref="C28:C29"/>
    <mergeCell ref="D28:D29"/>
    <mergeCell ref="E28:E29"/>
    <mergeCell ref="B41:B42"/>
    <mergeCell ref="D41:D42"/>
    <mergeCell ref="B62:B63"/>
    <mergeCell ref="C62:C63"/>
    <mergeCell ref="D62:D63"/>
    <mergeCell ref="B55:B56"/>
    <mergeCell ref="C55:C56"/>
    <mergeCell ref="D55:D56"/>
  </mergeCells>
  <conditionalFormatting sqref="C1:C3">
    <cfRule type="cellIs" dxfId="16" priority="19" operator="equal">
      <formula>1</formula>
    </cfRule>
    <cfRule type="cellIs" dxfId="15" priority="20" operator="equal">
      <formula>0.9</formula>
    </cfRule>
    <cfRule type="cellIs" dxfId="14" priority="28" operator="equal">
      <formula>1.15</formula>
    </cfRule>
    <cfRule type="cellIs" dxfId="13" priority="29" operator="equal">
      <formula>0.9</formula>
    </cfRule>
    <cfRule type="cellIs" dxfId="12" priority="30" operator="equal">
      <formula>1</formula>
    </cfRule>
  </conditionalFormatting>
  <conditionalFormatting sqref="D2">
    <cfRule type="cellIs" dxfId="11" priority="2" operator="equal">
      <formula>0.9</formula>
    </cfRule>
    <cfRule type="cellIs" dxfId="10" priority="4" operator="equal">
      <formula>0.9</formula>
    </cfRule>
    <cfRule type="cellIs" dxfId="9" priority="5" operator="equal">
      <formula>1</formula>
    </cfRule>
  </conditionalFormatting>
  <conditionalFormatting sqref="D2:J2">
    <cfRule type="cellIs" dxfId="8" priority="1" operator="equal">
      <formula>1</formula>
    </cfRule>
    <cfRule type="cellIs" dxfId="7" priority="3" operator="equal">
      <formula>1.15</formula>
    </cfRule>
  </conditionalFormatting>
  <conditionalFormatting sqref="E2:J2">
    <cfRule type="cellIs" dxfId="6" priority="11" operator="equal">
      <formula>0.87</formula>
    </cfRule>
  </conditionalFormatting>
  <conditionalFormatting sqref="F3">
    <cfRule type="cellIs" dxfId="5" priority="14" operator="equal">
      <formula>0.85</formula>
    </cfRule>
    <cfRule type="cellIs" dxfId="4" priority="15" operator="equal">
      <formula>1</formula>
    </cfRule>
    <cfRule type="cellIs" dxfId="3" priority="21" operator="equal">
      <formula>0.85</formula>
    </cfRule>
    <cfRule type="cellIs" dxfId="2" priority="22" operator="equal">
      <formula>1.15</formula>
    </cfRule>
    <cfRule type="cellIs" dxfId="1" priority="23" operator="equal">
      <formula>1</formula>
    </cfRule>
  </conditionalFormatting>
  <pageMargins left="0.7" right="0.7" top="0.75" bottom="0.75" header="0.3" footer="0.3"/>
  <pageSetup paperSize="9" scale="46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52"/>
  <sheetViews>
    <sheetView view="pageBreakPreview" zoomScale="80" zoomScaleNormal="100" zoomScaleSheetLayoutView="80" workbookViewId="0">
      <selection activeCell="I6" sqref="I6"/>
    </sheetView>
  </sheetViews>
  <sheetFormatPr defaultColWidth="8.7109375" defaultRowHeight="12.75" x14ac:dyDescent="0.2"/>
  <cols>
    <col min="1" max="1" width="8.7109375" style="75"/>
    <col min="2" max="2" width="75.42578125" bestFit="1" customWidth="1"/>
    <col min="3" max="3" width="54.28515625" customWidth="1"/>
    <col min="4" max="4" width="19.140625" customWidth="1"/>
  </cols>
  <sheetData>
    <row r="1" spans="1:4" ht="13.15" customHeight="1" x14ac:dyDescent="0.2">
      <c r="A1" s="492"/>
      <c r="B1" s="493"/>
      <c r="C1" s="493"/>
      <c r="D1" s="494"/>
    </row>
    <row r="2" spans="1:4" ht="16.5" customHeight="1" thickBot="1" x14ac:dyDescent="0.25">
      <c r="A2" s="495"/>
      <c r="B2" s="496"/>
      <c r="C2" s="496"/>
      <c r="D2" s="497"/>
    </row>
    <row r="3" spans="1:4" ht="27" customHeight="1" thickBot="1" x14ac:dyDescent="0.25">
      <c r="A3" s="52" t="s">
        <v>109</v>
      </c>
      <c r="B3" s="53" t="s">
        <v>110</v>
      </c>
      <c r="C3" s="53" t="s">
        <v>111</v>
      </c>
      <c r="D3" s="54" t="s">
        <v>112</v>
      </c>
    </row>
    <row r="4" spans="1:4" ht="32.25" thickBot="1" x14ac:dyDescent="0.25">
      <c r="A4" s="55" t="s">
        <v>113</v>
      </c>
      <c r="B4" s="56" t="s">
        <v>114</v>
      </c>
      <c r="C4" s="57" t="s">
        <v>468</v>
      </c>
      <c r="D4" s="58">
        <v>1</v>
      </c>
    </row>
    <row r="5" spans="1:4" ht="16.5" thickBot="1" x14ac:dyDescent="0.25">
      <c r="A5" s="489" t="s">
        <v>469</v>
      </c>
      <c r="B5" s="490"/>
      <c r="C5" s="490"/>
      <c r="D5" s="491"/>
    </row>
    <row r="6" spans="1:4" ht="32.25" thickBot="1" x14ac:dyDescent="0.25">
      <c r="A6" s="55" t="s">
        <v>115</v>
      </c>
      <c r="B6" s="56" t="s">
        <v>116</v>
      </c>
      <c r="C6" s="88" t="s">
        <v>324</v>
      </c>
      <c r="D6" s="61">
        <v>1</v>
      </c>
    </row>
    <row r="7" spans="1:4" ht="16.5" thickBot="1" x14ac:dyDescent="0.25">
      <c r="A7" s="489"/>
      <c r="B7" s="490"/>
      <c r="C7" s="490"/>
      <c r="D7" s="491"/>
    </row>
    <row r="8" spans="1:4" ht="31.5" x14ac:dyDescent="0.2">
      <c r="A8" s="59" t="s">
        <v>117</v>
      </c>
      <c r="B8" s="60" t="s">
        <v>118</v>
      </c>
      <c r="C8" s="275"/>
      <c r="D8" s="61">
        <v>1</v>
      </c>
    </row>
    <row r="9" spans="1:4" ht="15.75" x14ac:dyDescent="0.2">
      <c r="A9" s="498" t="s">
        <v>119</v>
      </c>
      <c r="B9" s="499"/>
      <c r="C9" s="64" t="s">
        <v>329</v>
      </c>
      <c r="D9" s="274"/>
    </row>
    <row r="10" spans="1:4" ht="15.75" x14ac:dyDescent="0.2">
      <c r="A10" s="280">
        <v>1</v>
      </c>
      <c r="B10" s="259" t="s">
        <v>325</v>
      </c>
      <c r="C10" s="259" t="s">
        <v>329</v>
      </c>
      <c r="D10" s="274"/>
    </row>
    <row r="11" spans="1:4" ht="15.75" x14ac:dyDescent="0.2">
      <c r="A11" s="280">
        <v>2</v>
      </c>
      <c r="B11" s="259" t="s">
        <v>390</v>
      </c>
      <c r="C11" s="259" t="s">
        <v>329</v>
      </c>
      <c r="D11" s="274"/>
    </row>
    <row r="12" spans="1:4" ht="15.75" x14ac:dyDescent="0.2">
      <c r="A12" s="280">
        <v>3</v>
      </c>
      <c r="B12" s="259" t="s">
        <v>326</v>
      </c>
      <c r="C12" s="259" t="s">
        <v>329</v>
      </c>
      <c r="D12" s="274"/>
    </row>
    <row r="13" spans="1:4" ht="15.75" x14ac:dyDescent="0.2">
      <c r="A13" s="280">
        <v>4</v>
      </c>
      <c r="B13" s="259" t="s">
        <v>327</v>
      </c>
      <c r="C13" s="259" t="s">
        <v>329</v>
      </c>
      <c r="D13" s="274"/>
    </row>
    <row r="14" spans="1:4" ht="15.75" x14ac:dyDescent="0.2">
      <c r="A14" s="280">
        <v>5</v>
      </c>
      <c r="B14" s="259" t="s">
        <v>391</v>
      </c>
      <c r="C14" s="259" t="s">
        <v>330</v>
      </c>
      <c r="D14" s="274"/>
    </row>
    <row r="15" spans="1:4" ht="15.75" x14ac:dyDescent="0.2">
      <c r="A15" s="280">
        <v>6</v>
      </c>
      <c r="B15" s="259" t="s">
        <v>392</v>
      </c>
      <c r="C15" s="259" t="s">
        <v>329</v>
      </c>
      <c r="D15" s="274"/>
    </row>
    <row r="16" spans="1:4" ht="15.75" x14ac:dyDescent="0.2">
      <c r="A16" s="280">
        <v>7</v>
      </c>
      <c r="B16" s="259" t="s">
        <v>393</v>
      </c>
      <c r="C16" s="259" t="s">
        <v>329</v>
      </c>
      <c r="D16" s="274"/>
    </row>
    <row r="17" spans="1:4" ht="15.75" x14ac:dyDescent="0.2">
      <c r="A17" s="280">
        <v>8</v>
      </c>
      <c r="B17" s="259" t="s">
        <v>198</v>
      </c>
      <c r="C17" s="259" t="s">
        <v>329</v>
      </c>
      <c r="D17" s="274"/>
    </row>
    <row r="18" spans="1:4" ht="15.75" x14ac:dyDescent="0.2">
      <c r="A18" s="280">
        <v>9</v>
      </c>
      <c r="B18" s="259" t="s">
        <v>394</v>
      </c>
      <c r="C18" s="259" t="s">
        <v>329</v>
      </c>
      <c r="D18" s="274"/>
    </row>
    <row r="19" spans="1:4" ht="15.75" x14ac:dyDescent="0.2">
      <c r="A19" s="280">
        <v>10</v>
      </c>
      <c r="B19" s="259" t="s">
        <v>395</v>
      </c>
      <c r="C19" s="259" t="s">
        <v>329</v>
      </c>
      <c r="D19" s="274"/>
    </row>
    <row r="20" spans="1:4" ht="15.75" x14ac:dyDescent="0.2">
      <c r="A20" s="280">
        <v>11</v>
      </c>
      <c r="B20" s="259" t="s">
        <v>396</v>
      </c>
      <c r="C20" s="259" t="s">
        <v>397</v>
      </c>
      <c r="D20" s="274"/>
    </row>
    <row r="21" spans="1:4" ht="15.75" x14ac:dyDescent="0.2">
      <c r="A21" s="280">
        <v>12</v>
      </c>
      <c r="B21" s="259" t="s">
        <v>398</v>
      </c>
      <c r="C21" s="259" t="s">
        <v>397</v>
      </c>
      <c r="D21" s="274"/>
    </row>
    <row r="22" spans="1:4" ht="15.75" x14ac:dyDescent="0.2">
      <c r="A22" s="280">
        <v>13</v>
      </c>
      <c r="B22" s="259" t="s">
        <v>328</v>
      </c>
      <c r="C22" s="259" t="s">
        <v>397</v>
      </c>
      <c r="D22" s="274"/>
    </row>
    <row r="23" spans="1:4" ht="15.75" x14ac:dyDescent="0.2">
      <c r="A23" s="280">
        <v>14</v>
      </c>
      <c r="B23" s="259" t="s">
        <v>399</v>
      </c>
      <c r="C23" s="259" t="s">
        <v>397</v>
      </c>
      <c r="D23" s="274"/>
    </row>
    <row r="24" spans="1:4" ht="15.75" x14ac:dyDescent="0.2">
      <c r="A24" s="280">
        <v>15</v>
      </c>
      <c r="B24" s="259" t="s">
        <v>400</v>
      </c>
      <c r="C24" s="259" t="s">
        <v>397</v>
      </c>
      <c r="D24" s="274"/>
    </row>
    <row r="25" spans="1:4" ht="15.75" x14ac:dyDescent="0.2">
      <c r="A25" s="276" t="s">
        <v>120</v>
      </c>
      <c r="B25" s="277" t="s">
        <v>24</v>
      </c>
      <c r="C25" s="278"/>
      <c r="D25" s="279"/>
    </row>
    <row r="26" spans="1:4" ht="15.75" x14ac:dyDescent="0.2">
      <c r="A26" s="63"/>
      <c r="B26" s="64" t="s">
        <v>23</v>
      </c>
      <c r="C26" s="69"/>
      <c r="D26" s="62">
        <v>0.85</v>
      </c>
    </row>
    <row r="27" spans="1:4" ht="204.75" x14ac:dyDescent="0.2">
      <c r="A27" s="63"/>
      <c r="B27" s="64" t="s">
        <v>22</v>
      </c>
      <c r="C27" s="116" t="s">
        <v>331</v>
      </c>
      <c r="D27" s="62">
        <v>1</v>
      </c>
    </row>
    <row r="28" spans="1:4" ht="16.5" thickBot="1" x14ac:dyDescent="0.25">
      <c r="A28" s="65"/>
      <c r="B28" s="66" t="s">
        <v>21</v>
      </c>
      <c r="C28" s="69"/>
      <c r="D28" s="67">
        <v>1.1499999999999999</v>
      </c>
    </row>
    <row r="29" spans="1:4" ht="16.5" thickBot="1" x14ac:dyDescent="0.25">
      <c r="A29" s="489"/>
      <c r="B29" s="490"/>
      <c r="C29" s="490"/>
      <c r="D29" s="491"/>
    </row>
    <row r="30" spans="1:4" ht="15.75" x14ac:dyDescent="0.2">
      <c r="A30" s="59" t="s">
        <v>121</v>
      </c>
      <c r="B30" s="68" t="s">
        <v>19</v>
      </c>
      <c r="C30" s="71"/>
      <c r="D30" s="61"/>
    </row>
    <row r="31" spans="1:4" ht="204.75" x14ac:dyDescent="0.2">
      <c r="A31" s="63"/>
      <c r="B31" s="64" t="s">
        <v>122</v>
      </c>
      <c r="C31" s="69" t="s">
        <v>331</v>
      </c>
      <c r="D31" s="62">
        <v>1</v>
      </c>
    </row>
    <row r="32" spans="1:4" ht="16.5" thickBot="1" x14ac:dyDescent="0.25">
      <c r="A32" s="65"/>
      <c r="B32" s="66" t="s">
        <v>17</v>
      </c>
      <c r="C32" s="116"/>
      <c r="D32" s="67">
        <v>1.07</v>
      </c>
    </row>
    <row r="33" spans="1:4" ht="16.5" thickBot="1" x14ac:dyDescent="0.25">
      <c r="A33" s="489"/>
      <c r="B33" s="490"/>
      <c r="C33" s="490"/>
      <c r="D33" s="491"/>
    </row>
    <row r="34" spans="1:4" ht="15.75" x14ac:dyDescent="0.2">
      <c r="A34" s="59" t="s">
        <v>123</v>
      </c>
      <c r="B34" s="68" t="s">
        <v>124</v>
      </c>
      <c r="C34" s="71"/>
      <c r="D34" s="61"/>
    </row>
    <row r="35" spans="1:4" ht="15.75" x14ac:dyDescent="0.2">
      <c r="A35" s="72"/>
      <c r="B35" s="64" t="s">
        <v>49</v>
      </c>
      <c r="D35" s="62">
        <v>0.87</v>
      </c>
    </row>
    <row r="36" spans="1:4" ht="204.75" x14ac:dyDescent="0.2">
      <c r="A36" s="72"/>
      <c r="B36" s="64" t="s">
        <v>13</v>
      </c>
      <c r="C36" s="116" t="s">
        <v>331</v>
      </c>
      <c r="D36" s="62">
        <v>1</v>
      </c>
    </row>
    <row r="37" spans="1:4" ht="16.5" thickBot="1" x14ac:dyDescent="0.25">
      <c r="A37" s="65"/>
      <c r="B37" s="66" t="s">
        <v>12</v>
      </c>
      <c r="C37" s="70"/>
      <c r="D37" s="67">
        <v>1.1499999999999999</v>
      </c>
    </row>
    <row r="38" spans="1:4" ht="16.5" thickBot="1" x14ac:dyDescent="0.25">
      <c r="A38" s="489"/>
      <c r="B38" s="490"/>
      <c r="C38" s="490"/>
      <c r="D38" s="491"/>
    </row>
    <row r="39" spans="1:4" ht="15.75" x14ac:dyDescent="0.2">
      <c r="A39" s="59" t="s">
        <v>125</v>
      </c>
      <c r="B39" s="68" t="s">
        <v>9</v>
      </c>
      <c r="C39" s="71"/>
      <c r="D39" s="61"/>
    </row>
    <row r="40" spans="1:4" ht="189" x14ac:dyDescent="0.2">
      <c r="A40" s="72"/>
      <c r="B40" s="64" t="s">
        <v>56</v>
      </c>
      <c r="C40" s="116" t="s">
        <v>332</v>
      </c>
      <c r="D40" s="62">
        <v>0.97</v>
      </c>
    </row>
    <row r="41" spans="1:4" ht="15.75" x14ac:dyDescent="0.2">
      <c r="A41" s="72"/>
      <c r="B41" s="64" t="s">
        <v>57</v>
      </c>
      <c r="C41" s="69" t="s">
        <v>316</v>
      </c>
      <c r="D41" s="62">
        <v>1</v>
      </c>
    </row>
    <row r="42" spans="1:4" ht="16.5" thickBot="1" x14ac:dyDescent="0.25">
      <c r="A42" s="65"/>
      <c r="B42" s="66" t="s">
        <v>58</v>
      </c>
      <c r="C42" s="70"/>
      <c r="D42" s="67">
        <v>1.04</v>
      </c>
    </row>
    <row r="43" spans="1:4" ht="16.5" thickBot="1" x14ac:dyDescent="0.25">
      <c r="A43" s="489"/>
      <c r="B43" s="490"/>
      <c r="C43" s="490"/>
      <c r="D43" s="491"/>
    </row>
    <row r="44" spans="1:4" ht="15.75" x14ac:dyDescent="0.2">
      <c r="A44" s="59" t="s">
        <v>126</v>
      </c>
      <c r="B44" s="60" t="s">
        <v>59</v>
      </c>
      <c r="C44" s="71"/>
      <c r="D44" s="61"/>
    </row>
    <row r="45" spans="1:4" ht="15.75" x14ac:dyDescent="0.2">
      <c r="A45" s="63"/>
      <c r="B45" s="64" t="s">
        <v>60</v>
      </c>
      <c r="C45" s="116"/>
      <c r="D45" s="62">
        <v>1</v>
      </c>
    </row>
    <row r="46" spans="1:4" ht="204.75" x14ac:dyDescent="0.2">
      <c r="A46" s="63"/>
      <c r="B46" s="64" t="s">
        <v>61</v>
      </c>
      <c r="C46" s="69" t="s">
        <v>331</v>
      </c>
      <c r="D46" s="62">
        <v>1.03</v>
      </c>
    </row>
    <row r="47" spans="1:4" ht="16.5" thickBot="1" x14ac:dyDescent="0.25">
      <c r="A47" s="65"/>
      <c r="B47" s="66" t="s">
        <v>62</v>
      </c>
      <c r="C47" s="73"/>
      <c r="D47" s="67">
        <v>1.05</v>
      </c>
    </row>
    <row r="48" spans="1:4" ht="15.75" x14ac:dyDescent="0.25">
      <c r="A48" s="74"/>
      <c r="B48" s="41"/>
    </row>
    <row r="49" spans="1:9" ht="15.75" x14ac:dyDescent="0.25">
      <c r="A49" s="74"/>
      <c r="B49" s="41"/>
    </row>
    <row r="50" spans="1:9" ht="67.5" customHeight="1" x14ac:dyDescent="0.25">
      <c r="A50" s="250"/>
      <c r="B50" s="114"/>
      <c r="C50" s="114"/>
      <c r="D50" s="250"/>
      <c r="E50" s="114"/>
      <c r="F50" s="114"/>
      <c r="G50" s="114"/>
      <c r="H50" s="114"/>
      <c r="I50" s="114"/>
    </row>
    <row r="51" spans="1:9" ht="21.6" customHeight="1" x14ac:dyDescent="0.25">
      <c r="A51" s="250"/>
      <c r="B51" s="114"/>
      <c r="C51" s="114"/>
      <c r="D51" s="250"/>
      <c r="E51" s="114"/>
      <c r="F51" s="114"/>
      <c r="G51" s="114"/>
      <c r="H51" s="114"/>
      <c r="I51" s="114"/>
    </row>
    <row r="52" spans="1:9" ht="69.75" customHeight="1" x14ac:dyDescent="0.2">
      <c r="A52" s="250"/>
      <c r="B52" s="249"/>
      <c r="C52" s="249"/>
      <c r="D52" s="250"/>
      <c r="E52" s="249"/>
      <c r="F52" s="249"/>
      <c r="G52" s="249"/>
      <c r="H52" s="249"/>
      <c r="I52" s="249"/>
    </row>
  </sheetData>
  <mergeCells count="8">
    <mergeCell ref="A33:D33"/>
    <mergeCell ref="A38:D38"/>
    <mergeCell ref="A43:D43"/>
    <mergeCell ref="A1:D2"/>
    <mergeCell ref="A5:D5"/>
    <mergeCell ref="A7:D7"/>
    <mergeCell ref="A9:B9"/>
    <mergeCell ref="A29:D29"/>
  </mergeCells>
  <pageMargins left="0.7" right="0.7" top="0.75" bottom="0.75" header="0.3" footer="0.3"/>
  <pageSetup paperSize="9" scale="4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MJ35"/>
  <sheetViews>
    <sheetView view="pageBreakPreview" zoomScale="90" zoomScaleNormal="100" zoomScaleSheetLayoutView="90" workbookViewId="0">
      <selection activeCell="I27" sqref="I27"/>
    </sheetView>
  </sheetViews>
  <sheetFormatPr defaultColWidth="8.85546875" defaultRowHeight="12.75" x14ac:dyDescent="0.2"/>
  <cols>
    <col min="1" max="2" width="8.85546875" style="127"/>
    <col min="3" max="3" width="48.85546875" style="127" customWidth="1"/>
    <col min="4" max="4" width="11.85546875" style="127" customWidth="1"/>
    <col min="5" max="5" width="27.42578125" style="127" customWidth="1"/>
    <col min="6" max="6" width="18" style="127" customWidth="1"/>
    <col min="7" max="7" width="20.7109375" style="127" customWidth="1"/>
    <col min="8" max="8" width="30.28515625" style="127" customWidth="1"/>
    <col min="9" max="9" width="26.5703125" style="127" customWidth="1"/>
    <col min="10" max="10" width="7.28515625" style="127" customWidth="1"/>
    <col min="11" max="11" width="14.140625" style="127" customWidth="1"/>
    <col min="12" max="12" width="9.140625" style="127" customWidth="1"/>
    <col min="13" max="1024" width="8.85546875" style="127"/>
    <col min="1025" max="16384" width="8.85546875" style="156"/>
  </cols>
  <sheetData>
    <row r="1" spans="2:15" x14ac:dyDescent="0.2">
      <c r="B1" s="503" t="s">
        <v>138</v>
      </c>
      <c r="C1" s="503"/>
      <c r="D1" s="503"/>
      <c r="E1" s="503"/>
      <c r="F1" s="503"/>
      <c r="G1" s="503"/>
      <c r="H1" s="503"/>
      <c r="I1" s="503"/>
      <c r="J1" s="126"/>
      <c r="K1" s="126"/>
      <c r="L1" s="126"/>
      <c r="M1" s="126"/>
      <c r="N1" s="126"/>
      <c r="O1" s="126"/>
    </row>
    <row r="2" spans="2:15" ht="12.75" customHeight="1" x14ac:dyDescent="0.2">
      <c r="B2" s="504" t="s">
        <v>108</v>
      </c>
      <c r="C2" s="504"/>
      <c r="D2" s="504"/>
      <c r="E2" s="504"/>
      <c r="F2" s="504"/>
      <c r="G2" s="504"/>
      <c r="H2" s="504"/>
      <c r="I2" s="504"/>
      <c r="J2" s="126"/>
      <c r="K2" s="126"/>
      <c r="L2" s="126"/>
      <c r="M2" s="126"/>
      <c r="N2" s="126"/>
      <c r="O2" s="126"/>
    </row>
    <row r="3" spans="2:15" ht="27.75" customHeight="1" x14ac:dyDescent="0.2">
      <c r="B3" s="505" t="str">
        <f>Функции!B3</f>
        <v>Выполнение работ по модернизации информационной системы единый сервис идентификации пользователей (ИС ЕСИП) и поддержание ее работоспособности в 2026-2028 годах</v>
      </c>
      <c r="C3" s="505"/>
      <c r="D3" s="505"/>
      <c r="E3" s="505"/>
      <c r="F3" s="505"/>
      <c r="G3" s="505"/>
      <c r="H3" s="505"/>
      <c r="I3" s="505"/>
      <c r="J3" s="126"/>
      <c r="K3" s="126"/>
      <c r="L3" s="126"/>
      <c r="M3" s="126"/>
      <c r="N3" s="126"/>
      <c r="O3" s="126"/>
    </row>
    <row r="4" spans="2:15" x14ac:dyDescent="0.2">
      <c r="G4" s="128"/>
      <c r="H4" s="129"/>
    </row>
    <row r="5" spans="2:15" ht="12.95" customHeight="1" x14ac:dyDescent="0.2">
      <c r="B5" s="506" t="s">
        <v>139</v>
      </c>
      <c r="C5" s="506" t="s">
        <v>140</v>
      </c>
      <c r="D5" s="507" t="s">
        <v>141</v>
      </c>
      <c r="E5" s="509" t="s">
        <v>304</v>
      </c>
      <c r="F5" s="506" t="s">
        <v>142</v>
      </c>
      <c r="G5" s="509"/>
      <c r="H5" s="510" t="s">
        <v>305</v>
      </c>
      <c r="I5" s="510" t="s">
        <v>306</v>
      </c>
    </row>
    <row r="6" spans="2:15" ht="25.5" customHeight="1" x14ac:dyDescent="0.2">
      <c r="B6" s="506"/>
      <c r="C6" s="506"/>
      <c r="D6" s="508"/>
      <c r="E6" s="509"/>
      <c r="F6" s="130" t="s">
        <v>143</v>
      </c>
      <c r="G6" s="131" t="s">
        <v>144</v>
      </c>
      <c r="H6" s="510"/>
      <c r="I6" s="510"/>
    </row>
    <row r="7" spans="2:15" x14ac:dyDescent="0.2">
      <c r="B7" s="132">
        <v>1</v>
      </c>
      <c r="C7" s="133" t="s">
        <v>145</v>
      </c>
      <c r="D7" s="134">
        <v>1</v>
      </c>
      <c r="E7" s="134">
        <f>'2.Расчет_сопровод'!AF23</f>
        <v>18818554.440000001</v>
      </c>
      <c r="F7" s="135">
        <f>E7/E12</f>
        <v>0.32990000000000003</v>
      </c>
      <c r="G7" s="135">
        <f>F7-0.0004</f>
        <v>0.32950000000000002</v>
      </c>
      <c r="H7" s="136">
        <f>ROUND($E$12*G7,2)</f>
        <v>18795737.149999999</v>
      </c>
      <c r="I7" s="136">
        <f>H7+0.01</f>
        <v>18795737.16</v>
      </c>
    </row>
    <row r="8" spans="2:15" x14ac:dyDescent="0.2">
      <c r="B8" s="132">
        <v>2</v>
      </c>
      <c r="C8" s="133" t="s">
        <v>146</v>
      </c>
      <c r="D8" s="134">
        <v>1</v>
      </c>
      <c r="E8" s="134">
        <f>'2.Расчет_сопровод'!AG23</f>
        <v>27837085.68</v>
      </c>
      <c r="F8" s="135">
        <f>E8/E12</f>
        <v>0.48799999999999999</v>
      </c>
      <c r="G8" s="135">
        <f>F8-0.00033</f>
        <v>0.48770000000000002</v>
      </c>
      <c r="H8" s="136">
        <f t="shared" ref="H8:H9" si="0">ROUND($E$12*G8,2)</f>
        <v>27819972.719999999</v>
      </c>
      <c r="I8" s="136">
        <f t="shared" ref="I8:I11" si="1">H8</f>
        <v>27819972.719999999</v>
      </c>
    </row>
    <row r="9" spans="2:15" x14ac:dyDescent="0.2">
      <c r="B9" s="132">
        <v>3</v>
      </c>
      <c r="C9" s="133" t="s">
        <v>147</v>
      </c>
      <c r="D9" s="134">
        <v>1</v>
      </c>
      <c r="E9" s="134">
        <f>'2.Расчет_сопровод'!AH23</f>
        <v>10387568.24</v>
      </c>
      <c r="F9" s="135">
        <f>E9/E12</f>
        <v>0.18210000000000001</v>
      </c>
      <c r="G9" s="135">
        <f>F9-0.00033</f>
        <v>0.18179999999999999</v>
      </c>
      <c r="H9" s="136">
        <f t="shared" si="0"/>
        <v>10370455.279999999</v>
      </c>
      <c r="I9" s="136">
        <f t="shared" si="1"/>
        <v>10370455.279999999</v>
      </c>
    </row>
    <row r="10" spans="2:15" x14ac:dyDescent="0.2">
      <c r="B10" s="132">
        <v>4</v>
      </c>
      <c r="C10" s="133" t="s">
        <v>148</v>
      </c>
      <c r="D10" s="243">
        <v>0</v>
      </c>
      <c r="E10" s="134">
        <v>0</v>
      </c>
      <c r="F10" s="135">
        <f>E10/E12</f>
        <v>0</v>
      </c>
      <c r="G10" s="135">
        <v>0</v>
      </c>
      <c r="H10" s="136">
        <v>0</v>
      </c>
      <c r="I10" s="136">
        <f t="shared" si="1"/>
        <v>0</v>
      </c>
      <c r="J10" s="137"/>
    </row>
    <row r="11" spans="2:15" x14ac:dyDescent="0.2">
      <c r="B11" s="132">
        <v>5</v>
      </c>
      <c r="C11" s="133" t="s">
        <v>149</v>
      </c>
      <c r="D11" s="134">
        <v>1</v>
      </c>
      <c r="E11" s="134">
        <v>0</v>
      </c>
      <c r="F11" s="135">
        <v>0</v>
      </c>
      <c r="G11" s="135">
        <v>1E-3</v>
      </c>
      <c r="H11" s="136">
        <f>ROUNDDOWN($E$12*G11,2)</f>
        <v>57043.199999999997</v>
      </c>
      <c r="I11" s="136">
        <f t="shared" si="1"/>
        <v>57043.199999999997</v>
      </c>
      <c r="J11" s="138" t="s">
        <v>67</v>
      </c>
    </row>
    <row r="12" spans="2:15" ht="12.75" customHeight="1" x14ac:dyDescent="0.2">
      <c r="B12" s="501" t="s">
        <v>101</v>
      </c>
      <c r="C12" s="501"/>
      <c r="D12" s="139"/>
      <c r="E12" s="140">
        <f>SUM(E7:E10)</f>
        <v>57043208.359999999</v>
      </c>
      <c r="F12" s="141">
        <f>SUM(F7:F10)</f>
        <v>1</v>
      </c>
      <c r="G12" s="142">
        <f>SUM(G7:G11)</f>
        <v>1</v>
      </c>
      <c r="H12" s="143"/>
      <c r="I12" s="143">
        <f>SUM(I7:I11)</f>
        <v>57043208.359999999</v>
      </c>
      <c r="J12" s="144" t="b">
        <f>I12=E12</f>
        <v>1</v>
      </c>
    </row>
    <row r="13" spans="2:15" ht="12.75" customHeight="1" x14ac:dyDescent="0.2">
      <c r="B13" s="502" t="s">
        <v>303</v>
      </c>
      <c r="C13" s="502"/>
      <c r="D13" s="255"/>
      <c r="E13" s="256">
        <f>ROUND(E12*22/122,2)</f>
        <v>10286480.199999999</v>
      </c>
      <c r="F13" s="256"/>
      <c r="G13" s="257"/>
      <c r="H13" s="258"/>
      <c r="I13" s="258">
        <f>ROUND(I12*22/122,2)</f>
        <v>10286480.199999999</v>
      </c>
      <c r="J13" s="144" t="b">
        <f>I13=E13</f>
        <v>1</v>
      </c>
    </row>
    <row r="14" spans="2:15" x14ac:dyDescent="0.2">
      <c r="B14" s="145"/>
      <c r="C14" s="145"/>
      <c r="D14" s="145"/>
      <c r="E14" s="146"/>
      <c r="F14" s="147"/>
      <c r="G14" s="147"/>
      <c r="H14" s="146"/>
    </row>
    <row r="15" spans="2:15" x14ac:dyDescent="0.2">
      <c r="B15" s="148"/>
      <c r="C15" s="148"/>
      <c r="D15" s="148"/>
      <c r="E15" s="148"/>
      <c r="F15" s="148"/>
      <c r="G15" s="148"/>
      <c r="H15" s="149"/>
    </row>
    <row r="16" spans="2:15" x14ac:dyDescent="0.2">
      <c r="B16" s="145"/>
      <c r="C16" s="145"/>
      <c r="D16" s="145"/>
      <c r="E16" s="146"/>
      <c r="F16" s="147"/>
      <c r="G16" s="147"/>
      <c r="H16" s="146"/>
      <c r="I16" s="193"/>
    </row>
    <row r="17" spans="2:8" ht="25.5" x14ac:dyDescent="0.2">
      <c r="B17" s="130" t="s">
        <v>40</v>
      </c>
      <c r="C17" s="130" t="s">
        <v>307</v>
      </c>
      <c r="D17" s="146"/>
      <c r="G17" s="146"/>
      <c r="H17" s="146"/>
    </row>
    <row r="18" spans="2:8" x14ac:dyDescent="0.2">
      <c r="B18" s="150">
        <v>2026</v>
      </c>
      <c r="C18" s="151">
        <f>'2.Расчет_сопровод'!AI29</f>
        <v>2318314.7599999998</v>
      </c>
      <c r="D18" s="146"/>
      <c r="G18" s="146"/>
      <c r="H18" s="146"/>
    </row>
    <row r="19" spans="2:8" x14ac:dyDescent="0.2">
      <c r="B19" s="150">
        <v>2027</v>
      </c>
      <c r="C19" s="151">
        <f>'2.Расчет_сопровод'!AI30</f>
        <v>28785384.399999999</v>
      </c>
      <c r="D19" s="146"/>
      <c r="G19" s="146"/>
      <c r="H19" s="146"/>
    </row>
    <row r="20" spans="2:8" x14ac:dyDescent="0.2">
      <c r="B20" s="150">
        <v>2028</v>
      </c>
      <c r="C20" s="151">
        <f>'2.Расчет_сопровод'!AI31</f>
        <v>25939509.199999999</v>
      </c>
      <c r="D20" s="146"/>
      <c r="G20" s="146"/>
      <c r="H20" s="146"/>
    </row>
    <row r="21" spans="2:8" x14ac:dyDescent="0.2">
      <c r="B21" s="152" t="s">
        <v>150</v>
      </c>
      <c r="C21" s="140">
        <f>SUM(C18:C20)</f>
        <v>57043208.359999999</v>
      </c>
      <c r="D21" s="146" t="b">
        <f>C21=E12</f>
        <v>1</v>
      </c>
      <c r="G21" s="146"/>
      <c r="H21" s="146"/>
    </row>
    <row r="22" spans="2:8" x14ac:dyDescent="0.2">
      <c r="B22" s="145"/>
      <c r="C22" s="145"/>
      <c r="D22" s="146"/>
      <c r="G22" s="146"/>
      <c r="H22" s="146"/>
    </row>
    <row r="23" spans="2:8" x14ac:dyDescent="0.2">
      <c r="B23" s="145"/>
      <c r="C23" s="145"/>
      <c r="D23" s="145"/>
      <c r="E23" s="146"/>
      <c r="F23" s="147"/>
      <c r="G23" s="145"/>
      <c r="H23" s="146"/>
    </row>
    <row r="24" spans="2:8" x14ac:dyDescent="0.2">
      <c r="B24" s="145"/>
      <c r="C24" s="145"/>
      <c r="D24" s="145"/>
      <c r="E24" s="146"/>
      <c r="F24" s="147"/>
      <c r="G24" s="145"/>
      <c r="H24" s="146"/>
    </row>
    <row r="25" spans="2:8" ht="33" customHeight="1" x14ac:dyDescent="0.2">
      <c r="B25" s="500" t="s">
        <v>521</v>
      </c>
      <c r="C25" s="500"/>
      <c r="D25" s="500"/>
      <c r="E25" s="500"/>
      <c r="F25" s="500"/>
      <c r="G25" s="500"/>
      <c r="H25" s="146"/>
    </row>
    <row r="26" spans="2:8" ht="43.5" customHeight="1" x14ac:dyDescent="0.2">
      <c r="B26" s="500"/>
      <c r="C26" s="500"/>
      <c r="D26" s="500"/>
      <c r="E26" s="500"/>
      <c r="F26" s="500"/>
      <c r="G26" s="500"/>
      <c r="H26" s="146"/>
    </row>
    <row r="27" spans="2:8" x14ac:dyDescent="0.2">
      <c r="B27" s="500"/>
      <c r="C27" s="500"/>
      <c r="D27" s="500"/>
      <c r="E27" s="500"/>
      <c r="F27" s="500"/>
      <c r="G27" s="500"/>
      <c r="H27" s="146"/>
    </row>
    <row r="28" spans="2:8" x14ac:dyDescent="0.2">
      <c r="B28" s="500"/>
      <c r="C28" s="500"/>
      <c r="D28" s="500"/>
      <c r="E28" s="500"/>
      <c r="F28" s="500"/>
      <c r="G28" s="500"/>
      <c r="H28" s="146"/>
    </row>
    <row r="29" spans="2:8" x14ac:dyDescent="0.2">
      <c r="B29" s="500"/>
      <c r="C29" s="500"/>
      <c r="D29" s="500"/>
      <c r="E29" s="500"/>
      <c r="F29" s="500"/>
      <c r="G29" s="500"/>
      <c r="H29" s="146"/>
    </row>
    <row r="30" spans="2:8" x14ac:dyDescent="0.2">
      <c r="B30" s="500"/>
      <c r="C30" s="500"/>
      <c r="D30" s="500"/>
      <c r="E30" s="500"/>
      <c r="F30" s="500"/>
      <c r="G30" s="500"/>
      <c r="H30" s="155"/>
    </row>
    <row r="31" spans="2:8" x14ac:dyDescent="0.2">
      <c r="B31" s="500"/>
      <c r="C31" s="500"/>
      <c r="D31" s="500"/>
      <c r="E31" s="500"/>
      <c r="F31" s="500"/>
      <c r="G31" s="500"/>
      <c r="H31" s="137"/>
    </row>
    <row r="32" spans="2:8" x14ac:dyDescent="0.2">
      <c r="B32" s="500"/>
      <c r="C32" s="500"/>
      <c r="D32" s="500"/>
      <c r="E32" s="500"/>
      <c r="F32" s="500"/>
      <c r="G32" s="500"/>
      <c r="H32" s="137"/>
    </row>
    <row r="33" spans="2:8" x14ac:dyDescent="0.2">
      <c r="B33" s="500"/>
      <c r="C33" s="500"/>
      <c r="D33" s="500"/>
      <c r="E33" s="500"/>
      <c r="F33" s="500"/>
      <c r="G33" s="500"/>
      <c r="H33" s="137"/>
    </row>
    <row r="34" spans="2:8" ht="39.75" customHeight="1" x14ac:dyDescent="0.2">
      <c r="B34" s="360"/>
      <c r="C34" s="360"/>
      <c r="D34" s="360"/>
      <c r="E34" s="360"/>
      <c r="F34" s="360"/>
      <c r="H34" s="137"/>
    </row>
    <row r="35" spans="2:8" x14ac:dyDescent="0.2">
      <c r="H35" s="137"/>
    </row>
  </sheetData>
  <sheetProtection formatCells="0" formatColumns="0" formatRows="0" insertColumns="0" insertRows="0" insertHyperlinks="0" deleteColumns="0" deleteRows="0" sort="0" autoFilter="0" pivotTables="0"/>
  <mergeCells count="13">
    <mergeCell ref="B25:G33"/>
    <mergeCell ref="B12:C12"/>
    <mergeCell ref="B13:C13"/>
    <mergeCell ref="B1:I1"/>
    <mergeCell ref="B2:I2"/>
    <mergeCell ref="B3:I3"/>
    <mergeCell ref="B5:B6"/>
    <mergeCell ref="C5:C6"/>
    <mergeCell ref="D5:D6"/>
    <mergeCell ref="E5:E6"/>
    <mergeCell ref="F5:G5"/>
    <mergeCell ref="H5:H6"/>
    <mergeCell ref="I5:I6"/>
  </mergeCells>
  <conditionalFormatting sqref="J12:J13">
    <cfRule type="cellIs" dxfId="0" priority="2" operator="equal">
      <formula>FALSE</formula>
    </cfRule>
  </conditionalFormatting>
  <pageMargins left="0.70866141732283472" right="0.70866141732283472" top="0.74803149606299213" bottom="0.74803149606299213" header="0.51181102362204722" footer="0.51181102362204722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AMK70"/>
  <sheetViews>
    <sheetView view="pageBreakPreview" zoomScale="80" zoomScaleNormal="90" zoomScaleSheetLayoutView="80" workbookViewId="0">
      <pane xSplit="4" ySplit="6" topLeftCell="U43" activePane="bottomRight" state="frozen"/>
      <selection pane="topRight"/>
      <selection pane="bottomLeft"/>
      <selection pane="bottomRight" activeCell="AKM63" sqref="AKM63"/>
    </sheetView>
  </sheetViews>
  <sheetFormatPr defaultColWidth="8.85546875" defaultRowHeight="12.75" x14ac:dyDescent="0.2"/>
  <cols>
    <col min="1" max="1" width="11.42578125" style="159" customWidth="1"/>
    <col min="2" max="2" width="4.5703125" style="159" customWidth="1"/>
    <col min="3" max="3" width="12.42578125" style="159" customWidth="1"/>
    <col min="4" max="4" width="22.5703125" style="159" customWidth="1"/>
    <col min="5" max="5" width="20.42578125" style="159" customWidth="1"/>
    <col min="6" max="6" width="18.28515625" style="159" customWidth="1"/>
    <col min="7" max="7" width="16.42578125" style="159" customWidth="1"/>
    <col min="8" max="8" width="16.85546875" style="159" customWidth="1"/>
    <col min="9" max="10" width="14.85546875" style="159" customWidth="1"/>
    <col min="11" max="11" width="17.42578125" style="159" customWidth="1"/>
    <col min="12" max="13" width="18.140625" style="159" customWidth="1"/>
    <col min="14" max="14" width="14.85546875" style="159" customWidth="1"/>
    <col min="15" max="15" width="18.85546875" style="159" customWidth="1"/>
    <col min="16" max="16" width="18.5703125" style="159" customWidth="1"/>
    <col min="17" max="17" width="21.140625" style="159" customWidth="1"/>
    <col min="18" max="18" width="17.42578125" style="159" customWidth="1"/>
    <col min="19" max="19" width="13.5703125" style="159" customWidth="1"/>
    <col min="20" max="20" width="20.140625" style="159" customWidth="1"/>
    <col min="21" max="21" width="18.140625" style="159" customWidth="1"/>
    <col min="22" max="22" width="16.42578125" style="159" customWidth="1"/>
    <col min="23" max="23" width="15.42578125" style="159" customWidth="1"/>
    <col min="24" max="24" width="18.85546875" style="159" customWidth="1"/>
    <col min="25" max="26" width="17.42578125" style="159" customWidth="1"/>
    <col min="27" max="27" width="1.85546875" style="159" customWidth="1"/>
    <col min="28" max="34" width="17.7109375" style="159" customWidth="1"/>
    <col min="35" max="35" width="22.42578125" style="159" customWidth="1"/>
    <col min="36" max="36" width="19.85546875" style="159" customWidth="1"/>
    <col min="37" max="37" width="3.5703125" style="159" customWidth="1"/>
    <col min="38" max="255" width="8.85546875" style="159" customWidth="1"/>
    <col min="256" max="256" width="15.7109375" style="159" customWidth="1"/>
    <col min="257" max="1015" width="8.85546875" style="159" customWidth="1"/>
    <col min="1016" max="1016" width="26.7109375" style="159" customWidth="1"/>
    <col min="1017" max="1017" width="25.7109375" style="159" customWidth="1"/>
    <col min="1018" max="1018" width="0.85546875" style="159" customWidth="1"/>
    <col min="1019" max="1019" width="16.140625" style="159" customWidth="1"/>
    <col min="1020" max="1020" width="9" style="159" customWidth="1"/>
    <col min="1021" max="1021" width="1.140625" style="159" customWidth="1"/>
    <col min="1022" max="1022" width="1" style="156" customWidth="1"/>
    <col min="1023" max="1023" width="14.140625" style="156" customWidth="1"/>
    <col min="1024" max="1024" width="13.28515625" style="156" bestFit="1" customWidth="1"/>
    <col min="1025" max="16384" width="8.85546875" style="156"/>
  </cols>
  <sheetData>
    <row r="1" spans="1:1024" s="158" customFormat="1" x14ac:dyDescent="0.2">
      <c r="A1" s="157"/>
      <c r="C1" s="157"/>
      <c r="AD1" s="540" t="s">
        <v>138</v>
      </c>
      <c r="AE1" s="540"/>
      <c r="AF1" s="540"/>
      <c r="AG1" s="540"/>
      <c r="AH1" s="540"/>
      <c r="AI1" s="540"/>
      <c r="AJ1" s="540"/>
    </row>
    <row r="2" spans="1:1024" s="158" customFormat="1" ht="12.75" customHeight="1" x14ac:dyDescent="0.2">
      <c r="A2" s="157"/>
      <c r="C2" s="157"/>
      <c r="W2" s="541" t="s">
        <v>155</v>
      </c>
      <c r="X2" s="541"/>
      <c r="Y2" s="541"/>
      <c r="Z2" s="541"/>
      <c r="AA2" s="541"/>
      <c r="AB2" s="541"/>
      <c r="AC2" s="541"/>
      <c r="AD2" s="541"/>
      <c r="AE2" s="541"/>
    </row>
    <row r="3" spans="1:1024" s="158" customFormat="1" ht="27.75" customHeight="1" thickBot="1" x14ac:dyDescent="0.25">
      <c r="A3" s="157"/>
      <c r="C3" s="157"/>
      <c r="S3" s="542" t="str">
        <f>Свод!B2</f>
        <v>Выполнение работ по модернизации информационной системы единый сервис идентификации пользователей (ИС ЕСИП) и поддержание ее работоспособности в 2026-2028 годах</v>
      </c>
      <c r="T3" s="542"/>
      <c r="U3" s="542"/>
      <c r="V3" s="542"/>
      <c r="W3" s="542"/>
      <c r="X3" s="542"/>
      <c r="Y3" s="542"/>
      <c r="Z3" s="542"/>
      <c r="AA3" s="542"/>
      <c r="AB3" s="542"/>
      <c r="AC3" s="542"/>
      <c r="AD3" s="542"/>
      <c r="AE3" s="542"/>
      <c r="AF3" s="542"/>
      <c r="AG3" s="542"/>
      <c r="AH3" s="542"/>
      <c r="AI3" s="542"/>
      <c r="AJ3" s="542"/>
    </row>
    <row r="4" spans="1:1024" ht="39" customHeight="1" x14ac:dyDescent="0.2">
      <c r="B4" s="160"/>
      <c r="C4" s="161"/>
      <c r="D4" s="161"/>
      <c r="E4" s="536" t="s">
        <v>156</v>
      </c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7" t="s">
        <v>157</v>
      </c>
      <c r="Q4" s="537"/>
      <c r="R4" s="537" t="s">
        <v>158</v>
      </c>
      <c r="S4" s="537"/>
      <c r="T4" s="537"/>
      <c r="U4" s="538" t="s">
        <v>159</v>
      </c>
      <c r="V4" s="538"/>
      <c r="W4" s="538"/>
      <c r="X4" s="538"/>
      <c r="Y4" s="538"/>
      <c r="Z4" s="538"/>
      <c r="AA4" s="162"/>
      <c r="AB4" s="538" t="s">
        <v>160</v>
      </c>
      <c r="AC4" s="538"/>
      <c r="AD4" s="538"/>
      <c r="AE4" s="538"/>
      <c r="AF4" s="538"/>
      <c r="AG4" s="538"/>
      <c r="AH4" s="538"/>
      <c r="AI4" s="538"/>
      <c r="AJ4" s="538"/>
    </row>
    <row r="5" spans="1:1024" ht="45" customHeight="1" x14ac:dyDescent="0.2">
      <c r="B5" s="533" t="s">
        <v>161</v>
      </c>
      <c r="C5" s="534" t="s">
        <v>162</v>
      </c>
      <c r="D5" s="534" t="s">
        <v>163</v>
      </c>
      <c r="E5" s="535" t="s">
        <v>164</v>
      </c>
      <c r="F5" s="535"/>
      <c r="G5" s="530" t="s">
        <v>165</v>
      </c>
      <c r="H5" s="530" t="s">
        <v>166</v>
      </c>
      <c r="I5" s="531" t="s">
        <v>167</v>
      </c>
      <c r="J5" s="531"/>
      <c r="K5" s="532" t="s">
        <v>168</v>
      </c>
      <c r="L5" s="532"/>
      <c r="M5" s="532"/>
      <c r="N5" s="532"/>
      <c r="O5" s="532"/>
      <c r="P5" s="525" t="s">
        <v>169</v>
      </c>
      <c r="Q5" s="525" t="s">
        <v>170</v>
      </c>
      <c r="R5" s="525" t="s">
        <v>171</v>
      </c>
      <c r="S5" s="525" t="s">
        <v>172</v>
      </c>
      <c r="T5" s="529" t="s">
        <v>173</v>
      </c>
      <c r="U5" s="514" t="s">
        <v>174</v>
      </c>
      <c r="V5" s="514" t="s">
        <v>175</v>
      </c>
      <c r="W5" s="514" t="s">
        <v>176</v>
      </c>
      <c r="X5" s="514" t="s">
        <v>177</v>
      </c>
      <c r="Y5" s="514" t="s">
        <v>178</v>
      </c>
      <c r="Z5" s="514" t="s">
        <v>179</v>
      </c>
      <c r="AA5" s="163"/>
      <c r="AB5" s="514" t="s">
        <v>180</v>
      </c>
      <c r="AC5" s="514" t="s">
        <v>181</v>
      </c>
      <c r="AD5" s="514" t="s">
        <v>182</v>
      </c>
      <c r="AE5" s="514" t="s">
        <v>183</v>
      </c>
      <c r="AF5" s="514" t="s">
        <v>184</v>
      </c>
      <c r="AG5" s="514" t="s">
        <v>185</v>
      </c>
      <c r="AH5" s="514" t="s">
        <v>186</v>
      </c>
      <c r="AI5" s="514" t="s">
        <v>187</v>
      </c>
      <c r="AJ5" s="556" t="s">
        <v>188</v>
      </c>
    </row>
    <row r="6" spans="1:1024" ht="106.5" customHeight="1" x14ac:dyDescent="0.2">
      <c r="B6" s="533"/>
      <c r="C6" s="534"/>
      <c r="D6" s="534"/>
      <c r="E6" s="164" t="s">
        <v>470</v>
      </c>
      <c r="F6" s="164" t="s">
        <v>189</v>
      </c>
      <c r="G6" s="530"/>
      <c r="H6" s="530"/>
      <c r="I6" s="165" t="s">
        <v>190</v>
      </c>
      <c r="J6" s="165" t="s">
        <v>191</v>
      </c>
      <c r="K6" s="166" t="s">
        <v>192</v>
      </c>
      <c r="L6" s="166" t="s">
        <v>193</v>
      </c>
      <c r="M6" s="166" t="s">
        <v>194</v>
      </c>
      <c r="N6" s="166" t="s">
        <v>195</v>
      </c>
      <c r="O6" s="165" t="s">
        <v>196</v>
      </c>
      <c r="P6" s="525"/>
      <c r="Q6" s="525"/>
      <c r="R6" s="525"/>
      <c r="S6" s="525"/>
      <c r="T6" s="529"/>
      <c r="U6" s="514"/>
      <c r="V6" s="514"/>
      <c r="W6" s="514"/>
      <c r="X6" s="514"/>
      <c r="Y6" s="514"/>
      <c r="Z6" s="514"/>
      <c r="AA6" s="163"/>
      <c r="AB6" s="514"/>
      <c r="AC6" s="514"/>
      <c r="AD6" s="514"/>
      <c r="AE6" s="514"/>
      <c r="AF6" s="514"/>
      <c r="AG6" s="514"/>
      <c r="AH6" s="514"/>
      <c r="AI6" s="514"/>
      <c r="AJ6" s="556"/>
    </row>
    <row r="7" spans="1:1024" ht="30" customHeight="1" thickBot="1" x14ac:dyDescent="0.25">
      <c r="B7" s="167">
        <v>1</v>
      </c>
      <c r="C7" s="168" t="s">
        <v>197</v>
      </c>
      <c r="D7" s="169" t="s">
        <v>333</v>
      </c>
      <c r="E7" s="170">
        <v>5500</v>
      </c>
      <c r="F7" s="170">
        <v>115</v>
      </c>
      <c r="G7" s="170">
        <v>34</v>
      </c>
      <c r="H7" s="170">
        <v>0</v>
      </c>
      <c r="I7" s="347">
        <v>2.0920000000000001</v>
      </c>
      <c r="J7" s="347">
        <v>2.266</v>
      </c>
      <c r="K7" s="171">
        <v>1</v>
      </c>
      <c r="L7" s="171">
        <v>1</v>
      </c>
      <c r="M7" s="171">
        <v>3</v>
      </c>
      <c r="N7" s="171">
        <v>1</v>
      </c>
      <c r="O7" s="171">
        <v>1</v>
      </c>
      <c r="P7" s="172">
        <f>ROUND('2.Коэф_и_показатели'!$D$18+'2.Коэф_и_показатели'!$D$19*LN(I7),3)</f>
        <v>1.0509999999999999</v>
      </c>
      <c r="Q7" s="172">
        <f>ROUND('2.Коэф_и_показатели'!$D$20+'2.Коэф_и_показатели'!$D$21*LN(I7),3)</f>
        <v>1.135</v>
      </c>
      <c r="R7" s="346">
        <f>ROUND(IF(K7=1,'[1]2.SLA'!$D$4,IF(K7=2,'[1]2.SLA'!$E$4,'[1]2.SLA'!$F$4))*IF(N7=1,'[1]2.SLA'!$D$7,IF(N7=2,'[1]2.SLA'!$E$7,'[1]2.SLA'!$F$7)),3)</f>
        <v>1.4379999999999999</v>
      </c>
      <c r="S7" s="172">
        <f>ROUND(IF(L7=1,'[1]2.SLA'!$D$5,IF(L7=2,'[1]2.SLA'!$E$5,'[1]2.SLA'!$F$5))*IF(N7=1,'[1]2.SLA'!$D$7,IF(N7=2,'[1]2.SLA'!$E$7,'[1]2.SLA'!$F$7))*IF(O7=1,'[1]2.SLA'!$D$8,IF(O7=2,'[1]2.SLA'!$E$8,'[1]2.SLA'!$F$8)),3)</f>
        <v>1.653</v>
      </c>
      <c r="T7" s="172">
        <f>ROUND(IF(M7=1,'[1]2.SLA'!$D$6,IF(M7=2,'[1]2.SLA'!$E$6,'[1]2.SLA'!$F$6))*IF(N7=1,'[1]2.SLA'!$D$7,IF(N7=2,'[1]2.SLA'!$E$7,'[1]2.SLA'!$F$7)),3)</f>
        <v>1.1499999999999999</v>
      </c>
      <c r="U7" s="173">
        <f>ROUND('2.Коэф_и_показатели'!$D$3*POWER(E7+F7*'2.Коэф_и_показатели'!$D$24,'2.Коэф_и_показатели'!$D$11)*POWER(P7,'2.Коэф_и_показатели'!$D$12)*R7*'2.Услуги'!$D$5,2)</f>
        <v>739.79</v>
      </c>
      <c r="V7" s="173">
        <f>ROUND('2.Коэф_и_показатели'!$D$4*POWER(E7+F7*'2.Коэф_и_показатели'!$D$25,'2.Коэф_и_показатели'!$D$13)*POWER(Q7,'2.Коэф_и_показатели'!$D$14)*S7*'2.Услуги'!$D$13,2)</f>
        <v>1094.2</v>
      </c>
      <c r="W7" s="173">
        <f>ROUND(('2.Коэф_и_показатели'!$D$6*LN(J7)+'2.Коэф_и_показатели'!$D$5*POWER(G7,'2.Коэф_и_показатели'!$D$15))*R7*'2.Услуги'!$D$25,2)</f>
        <v>408.26</v>
      </c>
      <c r="X7" s="174">
        <v>0</v>
      </c>
      <c r="Y7" s="173">
        <v>0</v>
      </c>
      <c r="Z7" s="175">
        <v>0</v>
      </c>
      <c r="AA7" s="176"/>
      <c r="AB7" s="173">
        <f>ROUND(U7*'2.СтоимостьЕдТрудоемкости'!$F$4,2)</f>
        <v>19444832.710000001</v>
      </c>
      <c r="AC7" s="173">
        <f>ROUND(V7*'2.СтоимостьЕдТрудоемкости'!$F$4,2)</f>
        <v>28760237.289999999</v>
      </c>
      <c r="AD7" s="173">
        <f>ROUND(W7*'2.СтоимостьЕдТрудоемкости'!$F$4,2)</f>
        <v>10730811.99</v>
      </c>
      <c r="AE7" s="173">
        <v>0</v>
      </c>
      <c r="AF7" s="173">
        <v>0</v>
      </c>
      <c r="AG7" s="173">
        <v>0</v>
      </c>
      <c r="AH7" s="173">
        <v>0</v>
      </c>
      <c r="AI7" s="173">
        <v>0</v>
      </c>
      <c r="AJ7" s="177">
        <f>ROUND(SUM(AB7:AI7),2)</f>
        <v>58935881.990000002</v>
      </c>
    </row>
    <row r="8" spans="1:1024" x14ac:dyDescent="0.2">
      <c r="W8" s="178" t="s">
        <v>199</v>
      </c>
      <c r="X8" s="159">
        <v>209</v>
      </c>
      <c r="AB8" s="192">
        <f>AB7/$AJ$7</f>
        <v>0.32990000000000003</v>
      </c>
      <c r="AC8" s="192">
        <f t="shared" ref="AC8:AE8" si="0">AC7/$AJ$7</f>
        <v>0.48799999999999999</v>
      </c>
      <c r="AD8" s="192">
        <f>AD7/$AJ$7+0.0001</f>
        <v>0.1822</v>
      </c>
      <c r="AE8" s="192">
        <f t="shared" si="0"/>
        <v>0</v>
      </c>
    </row>
    <row r="9" spans="1:1024" x14ac:dyDescent="0.2">
      <c r="AB9" s="179"/>
      <c r="AC9" s="179"/>
      <c r="AD9" s="179"/>
      <c r="AE9" s="179"/>
      <c r="AF9" s="179"/>
      <c r="AG9" s="179"/>
      <c r="AJ9" s="179"/>
    </row>
    <row r="10" spans="1:1024" x14ac:dyDescent="0.2">
      <c r="T10" s="526" t="s">
        <v>200</v>
      </c>
      <c r="U10" s="526"/>
      <c r="V10" s="526"/>
      <c r="W10" s="180">
        <v>718</v>
      </c>
      <c r="X10" s="181">
        <f>ROUNDDOWN(X7/365*$W$10,0)</f>
        <v>0</v>
      </c>
      <c r="AB10" s="182"/>
      <c r="AC10" s="182"/>
      <c r="AD10" s="182"/>
      <c r="AE10" s="182"/>
      <c r="AF10" s="182"/>
      <c r="AJ10" s="179"/>
    </row>
    <row r="12" spans="1:1024" ht="109.15" customHeight="1" x14ac:dyDescent="0.2">
      <c r="X12" s="183" t="s">
        <v>40</v>
      </c>
      <c r="Y12" s="183" t="s">
        <v>66</v>
      </c>
      <c r="Z12" s="183" t="s">
        <v>201</v>
      </c>
      <c r="AA12" s="184"/>
      <c r="AB12" s="183" t="s">
        <v>202</v>
      </c>
      <c r="AC12" s="183" t="s">
        <v>203</v>
      </c>
      <c r="AD12" s="183" t="s">
        <v>204</v>
      </c>
      <c r="AE12" s="183" t="s">
        <v>205</v>
      </c>
      <c r="AF12" s="183" t="s">
        <v>206</v>
      </c>
      <c r="AG12" s="183" t="s">
        <v>207</v>
      </c>
      <c r="AH12" s="183" t="s">
        <v>208</v>
      </c>
      <c r="AI12" s="183" t="s">
        <v>209</v>
      </c>
      <c r="AJ12" s="183" t="s">
        <v>210</v>
      </c>
    </row>
    <row r="13" spans="1:1024" ht="15" customHeight="1" x14ac:dyDescent="0.2">
      <c r="X13" s="185">
        <v>2026</v>
      </c>
      <c r="Y13" s="186">
        <v>1.0275000000000001</v>
      </c>
      <c r="Z13" s="185">
        <v>30</v>
      </c>
      <c r="AA13" s="187"/>
      <c r="AB13" s="188">
        <f>ROUND($AB$7*$Z13/365*$Y13,2)</f>
        <v>1642156.08</v>
      </c>
      <c r="AC13" s="188">
        <f>ROUND($AC$7*$Z13/365*$Y13,2)</f>
        <v>2428861.14</v>
      </c>
      <c r="AD13" s="188">
        <f>ROUND($AD$7*$Z13/365*$Y13,2)</f>
        <v>906239.12</v>
      </c>
      <c r="AE13" s="188">
        <v>0</v>
      </c>
      <c r="AF13" s="188">
        <f>ROUND($AF$7*$Z13/365*$Y13,2)</f>
        <v>0</v>
      </c>
      <c r="AG13" s="188">
        <f>ROUND($AG$7*$Z13/365*$Y13,2)</f>
        <v>0</v>
      </c>
      <c r="AH13" s="188">
        <f>ROUND($AH$7*$Z13/365*$Y13,2)</f>
        <v>0</v>
      </c>
      <c r="AI13" s="188">
        <f>ROUND($AI$7*$Z13/365*$Y13,2)</f>
        <v>0</v>
      </c>
      <c r="AJ13" s="188">
        <f>SUM(AB13:AI13)</f>
        <v>4977256.34</v>
      </c>
    </row>
    <row r="14" spans="1:1024" ht="15" customHeight="1" x14ac:dyDescent="0.2">
      <c r="X14" s="185">
        <v>2027</v>
      </c>
      <c r="Y14" s="186">
        <f>Y13*1.0205</f>
        <v>1.0486</v>
      </c>
      <c r="Z14" s="261">
        <v>365</v>
      </c>
      <c r="AA14" s="187"/>
      <c r="AB14" s="188">
        <f>ROUND($AB$7*$Z14/365*$Y14,2)</f>
        <v>20389851.579999998</v>
      </c>
      <c r="AC14" s="188">
        <f>ROUND($AC$7*$Z14/365*$Y14,2)</f>
        <v>30157984.82</v>
      </c>
      <c r="AD14" s="188">
        <f>ROUND($AD$7*$Z14/365*$Y14,2)</f>
        <v>11252329.449999999</v>
      </c>
      <c r="AE14" s="188">
        <v>0</v>
      </c>
      <c r="AF14" s="188">
        <f>ROUND($AF$7*$Z14/365*$Y14,2)</f>
        <v>0</v>
      </c>
      <c r="AG14" s="188">
        <f>ROUND($AG$7*$Z14/365*$Y14,2)</f>
        <v>0</v>
      </c>
      <c r="AH14" s="188">
        <f>ROUND($AH$7*$Z14/365*$Y14,2)</f>
        <v>0</v>
      </c>
      <c r="AI14" s="188">
        <f>ROUND($AI$7*$Z14/365*$Y14,2)</f>
        <v>0</v>
      </c>
      <c r="AJ14" s="188">
        <f>SUM(AB14:AI14)</f>
        <v>61800165.850000001</v>
      </c>
      <c r="AMH14" s="260"/>
    </row>
    <row r="15" spans="1:1024" ht="15" customHeight="1" x14ac:dyDescent="0.2">
      <c r="X15" s="185">
        <v>2028</v>
      </c>
      <c r="Y15" s="186">
        <f>Y14*(1+0.02/12*11)</f>
        <v>1.0678000000000001</v>
      </c>
      <c r="Z15" s="185">
        <v>323</v>
      </c>
      <c r="AA15" s="187"/>
      <c r="AB15" s="188">
        <f>ROUND($AB$7*$Z15/365*$Y15,2)</f>
        <v>18374003.109999999</v>
      </c>
      <c r="AC15" s="188">
        <f>ROUND($AC$7*$Z15/365*$Y15,2)</f>
        <v>27176407.079999998</v>
      </c>
      <c r="AD15" s="188">
        <f>ROUND($AD$7*$Z15/365*$Y15,2)</f>
        <v>10139864.699999999</v>
      </c>
      <c r="AE15" s="188">
        <v>0</v>
      </c>
      <c r="AF15" s="188">
        <f>ROUND($AF$7*$Z15/365*$Y15,2)</f>
        <v>0</v>
      </c>
      <c r="AG15" s="188">
        <f>ROUND($AG$7*$Z15/365*$Y15,2)</f>
        <v>0</v>
      </c>
      <c r="AH15" s="188">
        <f>ROUND($AH$7*$Z15/365*$Y15,2)</f>
        <v>0</v>
      </c>
      <c r="AI15" s="188">
        <f>ROUND($AI$7*$Z15/365*$Y15,2)</f>
        <v>0</v>
      </c>
      <c r="AJ15" s="188">
        <f>SUM(AB15:AI15)</f>
        <v>55690274.890000001</v>
      </c>
      <c r="AMH15" s="260"/>
      <c r="AMJ15" s="254"/>
    </row>
    <row r="16" spans="1:1024" ht="15" customHeight="1" x14ac:dyDescent="0.2">
      <c r="X16" s="527" t="s">
        <v>211</v>
      </c>
      <c r="Y16" s="528"/>
      <c r="Z16" s="189">
        <f>SUM(Z13:Z15)</f>
        <v>718</v>
      </c>
      <c r="AA16" s="190"/>
      <c r="AB16" s="191">
        <f>SUM(AB13:AB15)</f>
        <v>40406010.770000003</v>
      </c>
      <c r="AC16" s="191">
        <f>SUM(AC13:AC15)</f>
        <v>59763253.039999999</v>
      </c>
      <c r="AD16" s="191">
        <f>SUM(AD13:AD15)</f>
        <v>22298433.27</v>
      </c>
      <c r="AE16" s="191">
        <v>0</v>
      </c>
      <c r="AF16" s="191">
        <f>SUM(AF13:AF15)</f>
        <v>0</v>
      </c>
      <c r="AG16" s="191">
        <f>SUM(AG13:AG15)</f>
        <v>0</v>
      </c>
      <c r="AH16" s="191">
        <f>SUM(AH13:AH15)</f>
        <v>0</v>
      </c>
      <c r="AI16" s="191">
        <f>SUM(AI13:AI15)</f>
        <v>0</v>
      </c>
      <c r="AJ16" s="191">
        <f>SUM(AJ13:AJ15)</f>
        <v>122467697.08</v>
      </c>
      <c r="AMH16" s="191" t="e">
        <f>AJ16+'Расчет развития'!#REF!</f>
        <v>#REF!</v>
      </c>
      <c r="AMI16" s="254" t="e">
        <f>AMH16-144000000</f>
        <v>#REF!</v>
      </c>
    </row>
    <row r="17" spans="24:1025" ht="14.25" x14ac:dyDescent="0.2">
      <c r="Z17" s="189">
        <f>W10+7</f>
        <v>725</v>
      </c>
      <c r="AA17" s="182"/>
      <c r="AB17" s="182"/>
      <c r="AC17" s="182"/>
      <c r="AD17" s="182"/>
      <c r="AE17" s="182"/>
      <c r="AF17" s="182"/>
      <c r="AG17" s="156"/>
      <c r="AH17" s="515" t="s">
        <v>302</v>
      </c>
      <c r="AI17" s="516"/>
      <c r="AJ17" s="286">
        <f>AJ16*0.1%</f>
        <v>122467.7</v>
      </c>
    </row>
    <row r="18" spans="24:1025" ht="14.25" x14ac:dyDescent="0.2">
      <c r="AA18" s="182"/>
      <c r="AB18" s="192">
        <f>AB16/$AJ$16</f>
        <v>0.32990000000000003</v>
      </c>
      <c r="AC18" s="192">
        <f>AC16/$AJ$16</f>
        <v>0.48799999999999999</v>
      </c>
      <c r="AD18" s="192">
        <f>AD16/$AJ$16+0.0001</f>
        <v>0.1822</v>
      </c>
      <c r="AE18" s="192">
        <f>AE16/$AJ$16</f>
        <v>0</v>
      </c>
      <c r="AF18" s="182"/>
      <c r="AG18" s="299"/>
      <c r="AH18" s="517" t="s">
        <v>471</v>
      </c>
      <c r="AI18" s="517"/>
      <c r="AJ18" s="300">
        <v>54000000</v>
      </c>
      <c r="AMH18" s="299"/>
    </row>
    <row r="19" spans="24:1025" ht="14.25" x14ac:dyDescent="0.2">
      <c r="AA19" s="182"/>
      <c r="AB19" s="192"/>
      <c r="AC19" s="192"/>
      <c r="AD19" s="192"/>
      <c r="AE19" s="192"/>
      <c r="AF19" s="182"/>
      <c r="AG19" s="182"/>
      <c r="AH19" s="301"/>
      <c r="AI19" s="302" t="s">
        <v>472</v>
      </c>
      <c r="AJ19" s="300">
        <f>AJ18*22/122</f>
        <v>9737704.9199999999</v>
      </c>
      <c r="AMH19" s="299"/>
    </row>
    <row r="20" spans="24:1025" ht="14.25" x14ac:dyDescent="0.2">
      <c r="AA20" s="182"/>
      <c r="AB20" s="192"/>
      <c r="AC20" s="192"/>
      <c r="AD20" s="192"/>
      <c r="AE20" s="192"/>
      <c r="AF20" s="182"/>
      <c r="AG20" s="182"/>
      <c r="AH20" s="303"/>
      <c r="AI20" s="302" t="s">
        <v>481</v>
      </c>
      <c r="AJ20" s="300">
        <f>AJ18/W10*365</f>
        <v>27451253.48</v>
      </c>
      <c r="AMH20" s="299"/>
    </row>
    <row r="21" spans="24:1025" x14ac:dyDescent="0.2">
      <c r="AA21" s="182"/>
      <c r="AB21" s="192"/>
      <c r="AC21" s="192"/>
      <c r="AD21" s="192"/>
      <c r="AE21" s="192"/>
      <c r="AF21" s="182"/>
      <c r="AG21" s="182"/>
      <c r="AH21" s="156"/>
      <c r="AI21" s="254"/>
      <c r="AJ21" s="156"/>
    </row>
    <row r="22" spans="24:1025" ht="60.6" customHeight="1" x14ac:dyDescent="0.2">
      <c r="AA22" s="182"/>
      <c r="AB22" s="192"/>
      <c r="AC22" s="192"/>
      <c r="AD22" s="521"/>
      <c r="AE22" s="522"/>
      <c r="AF22" s="287" t="s">
        <v>473</v>
      </c>
      <c r="AG22" s="287" t="s">
        <v>474</v>
      </c>
      <c r="AH22" s="287" t="s">
        <v>475</v>
      </c>
      <c r="AI22" s="287" t="s">
        <v>476</v>
      </c>
      <c r="AJ22" s="287" t="s">
        <v>477</v>
      </c>
    </row>
    <row r="23" spans="24:1025" ht="14.25" x14ac:dyDescent="0.2">
      <c r="X23" s="156"/>
      <c r="Y23" s="156"/>
      <c r="Z23" s="156"/>
      <c r="AA23" s="156"/>
      <c r="AB23" s="156"/>
      <c r="AC23" s="156"/>
      <c r="AD23" s="180">
        <v>718</v>
      </c>
      <c r="AE23" s="180" t="s">
        <v>480</v>
      </c>
      <c r="AF23" s="191">
        <f>$AI$35*AF25</f>
        <v>18818554.440000001</v>
      </c>
      <c r="AG23" s="191">
        <f>$AI$35*AG25</f>
        <v>27837085.68</v>
      </c>
      <c r="AH23" s="191">
        <f t="shared" ref="AH23" si="1">$AI$35*AH25</f>
        <v>10387568.24</v>
      </c>
      <c r="AI23" s="191">
        <f t="shared" ref="AI23" si="2">($AJ$20*AE18)</f>
        <v>0</v>
      </c>
      <c r="AJ23" s="191">
        <f>SUM(AF23:AI23)</f>
        <v>57043208.359999999</v>
      </c>
    </row>
    <row r="24" spans="24:1025" ht="14.25" x14ac:dyDescent="0.2">
      <c r="X24" s="156"/>
      <c r="Y24" s="156"/>
      <c r="Z24" s="156"/>
      <c r="AA24" s="156"/>
      <c r="AB24" s="156"/>
      <c r="AC24" s="156"/>
      <c r="AD24" s="523" t="s">
        <v>303</v>
      </c>
      <c r="AE24" s="524"/>
      <c r="AF24" s="286">
        <f>ROUNDUP(AF23*22/122,2)-0.01</f>
        <v>3393509.81</v>
      </c>
      <c r="AG24" s="286">
        <f>ROUNDUP(AG23*22/122,2)</f>
        <v>5019802.34</v>
      </c>
      <c r="AH24" s="286">
        <f>ROUNDUP(AH23*22/122,2)</f>
        <v>1873168.05</v>
      </c>
      <c r="AI24" s="286">
        <f>ROUNDUP(AI23*20/120,2)</f>
        <v>0</v>
      </c>
      <c r="AJ24" s="286">
        <f>SUM(AF24:AI24)</f>
        <v>10286480.199999999</v>
      </c>
    </row>
    <row r="25" spans="24:1025" x14ac:dyDescent="0.2">
      <c r="X25" s="156"/>
      <c r="Y25" s="156"/>
      <c r="Z25" s="156"/>
      <c r="AA25" s="156"/>
      <c r="AB25" s="156"/>
      <c r="AC25" s="156"/>
      <c r="AD25" s="523" t="s">
        <v>478</v>
      </c>
      <c r="AE25" s="524"/>
      <c r="AF25" s="290">
        <f>AB18</f>
        <v>0.32990000000000003</v>
      </c>
      <c r="AG25" s="290">
        <f>AC18</f>
        <v>0.48799999999999999</v>
      </c>
      <c r="AH25" s="290">
        <f>AD18-0.0001</f>
        <v>0.18210000000000001</v>
      </c>
      <c r="AI25" s="290">
        <f>AI23/AJ18</f>
        <v>0</v>
      </c>
      <c r="AJ25" s="290">
        <f>SUM(AF25:AI25)</f>
        <v>1</v>
      </c>
    </row>
    <row r="26" spans="24:1025" x14ac:dyDescent="0.2">
      <c r="X26" s="156"/>
      <c r="Y26" s="156"/>
      <c r="Z26" s="156"/>
      <c r="AA26" s="156"/>
      <c r="AB26" s="156"/>
      <c r="AC26" s="156"/>
      <c r="AD26" s="180"/>
      <c r="AE26" s="180"/>
      <c r="AF26" s="180"/>
      <c r="AG26" s="180"/>
      <c r="AH26" s="180"/>
      <c r="AI26" s="180"/>
      <c r="AJ26" s="180"/>
    </row>
    <row r="27" spans="24:1025" x14ac:dyDescent="0.2"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</row>
    <row r="28" spans="24:1025" ht="88.15" customHeight="1" thickBot="1" x14ac:dyDescent="0.25">
      <c r="X28" s="156"/>
      <c r="Y28" s="156"/>
      <c r="Z28" s="156"/>
      <c r="AA28" s="156"/>
      <c r="AB28" s="156"/>
      <c r="AC28" s="156"/>
      <c r="AD28" s="156"/>
      <c r="AE28" s="156"/>
      <c r="AF28" s="287" t="s">
        <v>40</v>
      </c>
      <c r="AG28" s="287" t="s">
        <v>66</v>
      </c>
      <c r="AH28" s="287" t="s">
        <v>201</v>
      </c>
      <c r="AI28" s="293" t="s">
        <v>479</v>
      </c>
      <c r="AJ28" s="156"/>
      <c r="AK28" s="156"/>
      <c r="AL28" s="156"/>
      <c r="AM28" s="156"/>
      <c r="AN28" s="156"/>
      <c r="AMH28" s="159"/>
      <c r="AMI28" s="159"/>
      <c r="AMJ28" s="159"/>
      <c r="AMK28" s="159"/>
    </row>
    <row r="29" spans="24:1025" ht="15" x14ac:dyDescent="0.25">
      <c r="X29" s="156"/>
      <c r="Y29" s="156"/>
      <c r="Z29" s="156"/>
      <c r="AA29" s="156"/>
      <c r="AB29" s="156"/>
      <c r="AC29" s="156"/>
      <c r="AD29" s="156"/>
      <c r="AE29" s="156"/>
      <c r="AF29" s="288">
        <v>2026</v>
      </c>
      <c r="AG29" s="289">
        <f>Y13</f>
        <v>1.0275000000000001</v>
      </c>
      <c r="AH29" s="291">
        <v>30</v>
      </c>
      <c r="AI29" s="294">
        <f>$AJ$20*AH29/365*AG29</f>
        <v>2318314.7599999998</v>
      </c>
      <c r="AJ29" s="156"/>
      <c r="AK29" s="156"/>
      <c r="AL29" s="156"/>
      <c r="AM29" s="156"/>
      <c r="AN29" s="156"/>
      <c r="AMH29" s="159"/>
      <c r="AMI29" s="159"/>
      <c r="AMJ29" s="159"/>
      <c r="AMK29" s="159"/>
    </row>
    <row r="30" spans="24:1025" ht="15" x14ac:dyDescent="0.25">
      <c r="X30" s="156"/>
      <c r="Y30" s="156"/>
      <c r="Z30" s="156"/>
      <c r="AA30" s="156"/>
      <c r="AB30" s="156"/>
      <c r="AC30" s="156"/>
      <c r="AD30" s="156"/>
      <c r="AE30" s="156"/>
      <c r="AF30" s="288">
        <v>2027</v>
      </c>
      <c r="AG30" s="289">
        <f>Y14</f>
        <v>1.0486</v>
      </c>
      <c r="AH30" s="292">
        <v>365</v>
      </c>
      <c r="AI30" s="295">
        <f t="shared" ref="AI30" si="3">$AJ$20*AH30/365*AG30</f>
        <v>28785384.399999999</v>
      </c>
      <c r="AJ30" s="156"/>
      <c r="AK30" s="156"/>
      <c r="AL30" s="156"/>
      <c r="AM30" s="156"/>
      <c r="AN30" s="156"/>
      <c r="AMH30" s="159"/>
      <c r="AMI30" s="159"/>
      <c r="AMJ30" s="159"/>
      <c r="AMK30" s="159"/>
    </row>
    <row r="31" spans="24:1025" ht="15" x14ac:dyDescent="0.25">
      <c r="X31" s="156"/>
      <c r="Y31" s="156"/>
      <c r="Z31" s="156"/>
      <c r="AA31" s="156"/>
      <c r="AB31" s="156"/>
      <c r="AC31" s="156"/>
      <c r="AD31" s="156"/>
      <c r="AE31" s="156"/>
      <c r="AF31" s="288">
        <v>2028</v>
      </c>
      <c r="AG31" s="289">
        <f>Y15</f>
        <v>1.0678000000000001</v>
      </c>
      <c r="AH31" s="292">
        <v>323</v>
      </c>
      <c r="AI31" s="295">
        <f>$AJ$20*AH31/365*AG31+0.01</f>
        <v>25939509.199999999</v>
      </c>
      <c r="AJ31" s="156"/>
      <c r="AK31" s="156"/>
      <c r="AL31" s="156"/>
      <c r="AM31" s="156"/>
      <c r="AN31" s="156"/>
      <c r="AMH31" s="159"/>
      <c r="AMI31" s="159"/>
      <c r="AMJ31" s="159"/>
      <c r="AMK31" s="159"/>
    </row>
    <row r="32" spans="24:1025" ht="18" customHeight="1" thickBot="1" x14ac:dyDescent="0.25"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H32" s="296">
        <f>SUM(AH29:AH31)</f>
        <v>718</v>
      </c>
      <c r="AI32" s="156"/>
      <c r="AJ32" s="156"/>
      <c r="AK32" s="156"/>
      <c r="AL32" s="156"/>
      <c r="AM32" s="156"/>
      <c r="AN32" s="156"/>
      <c r="AMH32" s="159"/>
      <c r="AMI32" s="159"/>
      <c r="AMJ32" s="159"/>
      <c r="AMK32" s="159"/>
    </row>
    <row r="33" spans="24:1025" ht="13.15" customHeight="1" x14ac:dyDescent="0.25">
      <c r="X33" s="156"/>
      <c r="Y33" s="156"/>
      <c r="Z33" s="156"/>
      <c r="AA33" s="156"/>
      <c r="AB33" s="156"/>
      <c r="AC33" s="156"/>
      <c r="AD33" s="156"/>
      <c r="AE33" s="156"/>
      <c r="AF33" s="518" t="s">
        <v>483</v>
      </c>
      <c r="AG33" s="519"/>
      <c r="AH33" s="520"/>
      <c r="AI33" s="348">
        <f>ROUNDDOWN(AI35*0.1%,2)</f>
        <v>57043.199999999997</v>
      </c>
      <c r="AJ33" s="156"/>
      <c r="AK33" s="156"/>
      <c r="AL33" s="156"/>
      <c r="AM33" s="156"/>
      <c r="AN33" s="156"/>
      <c r="AMH33" s="159"/>
      <c r="AMI33" s="159"/>
      <c r="AMJ33" s="159"/>
      <c r="AMK33" s="159"/>
    </row>
    <row r="34" spans="24:1025" ht="13.15" customHeight="1" x14ac:dyDescent="0.25">
      <c r="X34" s="156"/>
      <c r="Y34" s="156"/>
      <c r="Z34" s="156"/>
      <c r="AA34" s="156"/>
      <c r="AB34" s="156"/>
      <c r="AC34" s="156"/>
      <c r="AD34" s="156"/>
      <c r="AE34" s="156"/>
      <c r="AF34" s="511" t="s">
        <v>484</v>
      </c>
      <c r="AG34" s="512"/>
      <c r="AH34" s="513"/>
      <c r="AI34" s="349">
        <f>AI35-AI33</f>
        <v>56986165.159999996</v>
      </c>
      <c r="AJ34" s="156"/>
      <c r="AK34" s="156"/>
      <c r="AL34" s="156"/>
      <c r="AM34" s="156"/>
      <c r="AN34" s="156"/>
      <c r="AMH34" s="159"/>
      <c r="AMI34" s="159"/>
      <c r="AMJ34" s="159"/>
      <c r="AMK34" s="159"/>
    </row>
    <row r="35" spans="24:1025" ht="29.45" customHeight="1" x14ac:dyDescent="0.25">
      <c r="X35" s="156"/>
      <c r="Y35" s="156"/>
      <c r="Z35" s="156"/>
      <c r="AA35" s="156"/>
      <c r="AB35" s="156"/>
      <c r="AC35" s="156"/>
      <c r="AD35" s="156"/>
      <c r="AE35" s="156"/>
      <c r="AF35" s="511" t="s">
        <v>482</v>
      </c>
      <c r="AG35" s="512"/>
      <c r="AH35" s="513"/>
      <c r="AI35" s="349">
        <f>SUM(AI29:AI31)</f>
        <v>57043208.359999999</v>
      </c>
      <c r="AJ35" s="156"/>
    </row>
    <row r="36" spans="24:1025" ht="15.75" thickBot="1" x14ac:dyDescent="0.3">
      <c r="X36" s="156"/>
      <c r="Y36" s="156"/>
      <c r="Z36" s="156"/>
      <c r="AA36" s="156"/>
      <c r="AB36" s="156"/>
      <c r="AC36" s="156"/>
      <c r="AD36" s="156"/>
      <c r="AE36" s="156"/>
      <c r="AF36" s="544" t="s">
        <v>472</v>
      </c>
      <c r="AG36" s="545"/>
      <c r="AH36" s="546"/>
      <c r="AI36" s="350">
        <f>AI35*22/122</f>
        <v>10286480.199999999</v>
      </c>
      <c r="AJ36" s="156"/>
    </row>
    <row r="37" spans="24:1025" ht="15.6" customHeight="1" x14ac:dyDescent="0.2"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H37" s="156"/>
      <c r="AI37" s="156"/>
      <c r="AJ37" s="156"/>
    </row>
    <row r="38" spans="24:1025" ht="15.75" customHeight="1" thickBot="1" x14ac:dyDescent="0.25"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</row>
    <row r="39" spans="24:1025" ht="15.75" customHeight="1" x14ac:dyDescent="0.2">
      <c r="X39" s="547" t="s">
        <v>493</v>
      </c>
      <c r="Y39" s="548"/>
      <c r="Z39" s="548"/>
      <c r="AA39" s="548"/>
      <c r="AB39" s="548"/>
      <c r="AC39" s="548"/>
      <c r="AD39" s="548"/>
      <c r="AE39" s="548"/>
      <c r="AF39" s="548"/>
      <c r="AG39" s="548"/>
      <c r="AH39" s="548"/>
      <c r="AI39" s="548"/>
      <c r="AJ39" s="549"/>
    </row>
    <row r="40" spans="24:1025" ht="15.75" customHeight="1" x14ac:dyDescent="0.2">
      <c r="X40" s="550"/>
      <c r="Y40" s="551"/>
      <c r="Z40" s="551"/>
      <c r="AA40" s="551"/>
      <c r="AB40" s="551"/>
      <c r="AC40" s="551"/>
      <c r="AD40" s="551"/>
      <c r="AE40" s="551"/>
      <c r="AF40" s="551"/>
      <c r="AG40" s="551"/>
      <c r="AH40" s="551"/>
      <c r="AI40" s="551"/>
      <c r="AJ40" s="552"/>
    </row>
    <row r="41" spans="24:1025" ht="15.75" customHeight="1" x14ac:dyDescent="0.2">
      <c r="X41" s="550"/>
      <c r="Y41" s="551"/>
      <c r="Z41" s="551"/>
      <c r="AA41" s="551"/>
      <c r="AB41" s="551"/>
      <c r="AC41" s="551"/>
      <c r="AD41" s="551"/>
      <c r="AE41" s="551"/>
      <c r="AF41" s="551"/>
      <c r="AG41" s="551"/>
      <c r="AH41" s="551"/>
      <c r="AI41" s="551"/>
      <c r="AJ41" s="552"/>
    </row>
    <row r="42" spans="24:1025" ht="15.75" customHeight="1" x14ac:dyDescent="0.2">
      <c r="X42" s="550"/>
      <c r="Y42" s="551"/>
      <c r="Z42" s="551"/>
      <c r="AA42" s="551"/>
      <c r="AB42" s="551"/>
      <c r="AC42" s="551"/>
      <c r="AD42" s="551"/>
      <c r="AE42" s="551"/>
      <c r="AF42" s="551"/>
      <c r="AG42" s="551"/>
      <c r="AH42" s="551"/>
      <c r="AI42" s="551"/>
      <c r="AJ42" s="552"/>
    </row>
    <row r="43" spans="24:1025" ht="15.75" customHeight="1" x14ac:dyDescent="0.2">
      <c r="X43" s="550"/>
      <c r="Y43" s="551"/>
      <c r="Z43" s="551"/>
      <c r="AA43" s="551"/>
      <c r="AB43" s="551"/>
      <c r="AC43" s="551"/>
      <c r="AD43" s="551"/>
      <c r="AE43" s="551"/>
      <c r="AF43" s="551"/>
      <c r="AG43" s="551"/>
      <c r="AH43" s="551"/>
      <c r="AI43" s="551"/>
      <c r="AJ43" s="552"/>
    </row>
    <row r="44" spans="24:1025" ht="15.75" customHeight="1" x14ac:dyDescent="0.2">
      <c r="X44" s="550"/>
      <c r="Y44" s="551"/>
      <c r="Z44" s="551"/>
      <c r="AA44" s="551"/>
      <c r="AB44" s="551"/>
      <c r="AC44" s="551"/>
      <c r="AD44" s="551"/>
      <c r="AE44" s="551"/>
      <c r="AF44" s="551"/>
      <c r="AG44" s="551"/>
      <c r="AH44" s="551"/>
      <c r="AI44" s="551"/>
      <c r="AJ44" s="552"/>
    </row>
    <row r="45" spans="24:1025" ht="15.75" customHeight="1" x14ac:dyDescent="0.2">
      <c r="X45" s="550"/>
      <c r="Y45" s="551"/>
      <c r="Z45" s="551"/>
      <c r="AA45" s="551"/>
      <c r="AB45" s="551"/>
      <c r="AC45" s="551"/>
      <c r="AD45" s="551"/>
      <c r="AE45" s="551"/>
      <c r="AF45" s="551"/>
      <c r="AG45" s="551"/>
      <c r="AH45" s="551"/>
      <c r="AI45" s="551"/>
      <c r="AJ45" s="552"/>
    </row>
    <row r="46" spans="24:1025" ht="11.45" customHeight="1" x14ac:dyDescent="0.2">
      <c r="X46" s="550"/>
      <c r="Y46" s="551"/>
      <c r="Z46" s="551"/>
      <c r="AA46" s="551"/>
      <c r="AB46" s="551"/>
      <c r="AC46" s="551"/>
      <c r="AD46" s="551"/>
      <c r="AE46" s="551"/>
      <c r="AF46" s="551"/>
      <c r="AG46" s="551"/>
      <c r="AH46" s="551"/>
      <c r="AI46" s="551"/>
      <c r="AJ46" s="552"/>
    </row>
    <row r="47" spans="24:1025" ht="15.6" hidden="1" customHeight="1" x14ac:dyDescent="0.2">
      <c r="X47" s="550"/>
      <c r="Y47" s="551"/>
      <c r="Z47" s="551"/>
      <c r="AA47" s="551"/>
      <c r="AB47" s="551"/>
      <c r="AC47" s="551"/>
      <c r="AD47" s="551"/>
      <c r="AE47" s="551"/>
      <c r="AF47" s="551"/>
      <c r="AG47" s="551"/>
      <c r="AH47" s="551"/>
      <c r="AI47" s="551"/>
      <c r="AJ47" s="552"/>
    </row>
    <row r="48" spans="24:1025" ht="13.15" hidden="1" customHeight="1" x14ac:dyDescent="0.2">
      <c r="X48" s="550"/>
      <c r="Y48" s="551"/>
      <c r="Z48" s="551"/>
      <c r="AA48" s="551"/>
      <c r="AB48" s="551"/>
      <c r="AC48" s="551"/>
      <c r="AD48" s="551"/>
      <c r="AE48" s="551"/>
      <c r="AF48" s="551"/>
      <c r="AG48" s="551"/>
      <c r="AH48" s="551"/>
      <c r="AI48" s="551"/>
      <c r="AJ48" s="552"/>
    </row>
    <row r="49" spans="24:36" ht="12.6" hidden="1" customHeight="1" x14ac:dyDescent="0.2">
      <c r="X49" s="550"/>
      <c r="Y49" s="551"/>
      <c r="Z49" s="551"/>
      <c r="AA49" s="551"/>
      <c r="AB49" s="551"/>
      <c r="AC49" s="551"/>
      <c r="AD49" s="551"/>
      <c r="AE49" s="551"/>
      <c r="AF49" s="551"/>
      <c r="AG49" s="551"/>
      <c r="AH49" s="551"/>
      <c r="AI49" s="551"/>
      <c r="AJ49" s="552"/>
    </row>
    <row r="50" spans="24:36" ht="13.15" hidden="1" customHeight="1" x14ac:dyDescent="0.2">
      <c r="X50" s="550"/>
      <c r="Y50" s="551"/>
      <c r="Z50" s="551"/>
      <c r="AA50" s="551"/>
      <c r="AB50" s="551"/>
      <c r="AC50" s="551"/>
      <c r="AD50" s="551"/>
      <c r="AE50" s="551"/>
      <c r="AF50" s="551"/>
      <c r="AG50" s="551"/>
      <c r="AH50" s="551"/>
      <c r="AI50" s="551"/>
      <c r="AJ50" s="552"/>
    </row>
    <row r="51" spans="24:36" ht="13.15" hidden="1" customHeight="1" x14ac:dyDescent="0.2">
      <c r="X51" s="550"/>
      <c r="Y51" s="551"/>
      <c r="Z51" s="551"/>
      <c r="AA51" s="551"/>
      <c r="AB51" s="551"/>
      <c r="AC51" s="551"/>
      <c r="AD51" s="551"/>
      <c r="AE51" s="551"/>
      <c r="AF51" s="551"/>
      <c r="AG51" s="551"/>
      <c r="AH51" s="551"/>
      <c r="AI51" s="551"/>
      <c r="AJ51" s="552"/>
    </row>
    <row r="52" spans="24:36" ht="13.15" hidden="1" customHeight="1" x14ac:dyDescent="0.2">
      <c r="X52" s="550"/>
      <c r="Y52" s="551"/>
      <c r="Z52" s="551"/>
      <c r="AA52" s="551"/>
      <c r="AB52" s="551"/>
      <c r="AC52" s="551"/>
      <c r="AD52" s="551"/>
      <c r="AE52" s="551"/>
      <c r="AF52" s="551"/>
      <c r="AG52" s="551"/>
      <c r="AH52" s="551"/>
      <c r="AI52" s="551"/>
      <c r="AJ52" s="552"/>
    </row>
    <row r="53" spans="24:36" ht="13.15" hidden="1" customHeight="1" x14ac:dyDescent="0.2">
      <c r="X53" s="553"/>
      <c r="Y53" s="554"/>
      <c r="Z53" s="554"/>
      <c r="AA53" s="554"/>
      <c r="AB53" s="554"/>
      <c r="AC53" s="554"/>
      <c r="AD53" s="554"/>
      <c r="AE53" s="554"/>
      <c r="AF53" s="554"/>
      <c r="AG53" s="554"/>
      <c r="AH53" s="554"/>
      <c r="AI53" s="554"/>
      <c r="AJ53" s="555"/>
    </row>
    <row r="58" spans="24:36" ht="39" customHeight="1" x14ac:dyDescent="0.2">
      <c r="AB58" s="543" t="s">
        <v>522</v>
      </c>
      <c r="AC58" s="543"/>
      <c r="AD58" s="543"/>
      <c r="AE58" s="543"/>
      <c r="AF58" s="543"/>
      <c r="AG58" s="543"/>
      <c r="AH58" s="543"/>
      <c r="AI58" s="543"/>
      <c r="AJ58" s="543"/>
    </row>
    <row r="59" spans="24:36" ht="51.6" customHeight="1" x14ac:dyDescent="0.2">
      <c r="AB59" s="543"/>
      <c r="AC59" s="543"/>
      <c r="AD59" s="543"/>
      <c r="AE59" s="543"/>
      <c r="AF59" s="543"/>
      <c r="AG59" s="543"/>
      <c r="AH59" s="543"/>
      <c r="AI59" s="543"/>
      <c r="AJ59" s="543"/>
    </row>
    <row r="60" spans="24:36" x14ac:dyDescent="0.2">
      <c r="AB60" s="543"/>
      <c r="AC60" s="543"/>
      <c r="AD60" s="543"/>
      <c r="AE60" s="543"/>
      <c r="AF60" s="543"/>
      <c r="AG60" s="543"/>
      <c r="AH60" s="543"/>
      <c r="AI60" s="543"/>
      <c r="AJ60" s="543"/>
    </row>
    <row r="61" spans="24:36" ht="15" x14ac:dyDescent="0.2">
      <c r="X61" s="252"/>
      <c r="Y61" s="253"/>
      <c r="AB61" s="543"/>
      <c r="AC61" s="543"/>
      <c r="AD61" s="543"/>
      <c r="AE61" s="543"/>
      <c r="AF61" s="543"/>
      <c r="AG61" s="543"/>
      <c r="AH61" s="543"/>
      <c r="AI61" s="543"/>
      <c r="AJ61" s="543"/>
    </row>
    <row r="62" spans="24:36" x14ac:dyDescent="0.2">
      <c r="AB62" s="543"/>
      <c r="AC62" s="543"/>
      <c r="AD62" s="543"/>
      <c r="AE62" s="543"/>
      <c r="AF62" s="543"/>
      <c r="AG62" s="543"/>
      <c r="AH62" s="543"/>
      <c r="AI62" s="543"/>
      <c r="AJ62" s="543"/>
    </row>
    <row r="63" spans="24:36" ht="41.25" customHeight="1" x14ac:dyDescent="0.2">
      <c r="AB63" s="543"/>
      <c r="AC63" s="543"/>
      <c r="AD63" s="543"/>
      <c r="AE63" s="543"/>
      <c r="AF63" s="543"/>
      <c r="AG63" s="543"/>
      <c r="AH63" s="543"/>
      <c r="AI63" s="543"/>
      <c r="AJ63" s="543"/>
    </row>
    <row r="64" spans="24:36" ht="39" customHeight="1" x14ac:dyDescent="0.2">
      <c r="AB64" s="543"/>
      <c r="AC64" s="543"/>
      <c r="AD64" s="543"/>
      <c r="AE64" s="543"/>
      <c r="AF64" s="543"/>
      <c r="AG64" s="543"/>
      <c r="AH64" s="543"/>
      <c r="AI64" s="543"/>
      <c r="AJ64" s="543"/>
    </row>
    <row r="65" spans="28:36" ht="49.5" customHeight="1" x14ac:dyDescent="0.2">
      <c r="AB65" s="543"/>
      <c r="AC65" s="543"/>
      <c r="AD65" s="543"/>
      <c r="AE65" s="543"/>
      <c r="AF65" s="543"/>
      <c r="AG65" s="543"/>
      <c r="AH65" s="543"/>
      <c r="AI65" s="543"/>
      <c r="AJ65" s="543"/>
    </row>
    <row r="66" spans="28:36" ht="32.25" customHeight="1" x14ac:dyDescent="0.2">
      <c r="AB66" s="543"/>
      <c r="AC66" s="543"/>
      <c r="AD66" s="543"/>
      <c r="AE66" s="543"/>
      <c r="AF66" s="543"/>
      <c r="AG66" s="543"/>
      <c r="AH66" s="543"/>
      <c r="AI66" s="543"/>
      <c r="AJ66" s="543"/>
    </row>
    <row r="70" spans="28:36" x14ac:dyDescent="0.2">
      <c r="AB70" s="539"/>
      <c r="AC70" s="539"/>
      <c r="AD70" s="539"/>
      <c r="AE70" s="539"/>
    </row>
  </sheetData>
  <sheetProtection formatCells="0" formatColumns="0" formatRows="0" insertColumns="0" insertRows="0" insertHyperlinks="0" deleteColumns="0" deleteRows="0" sort="0" autoFilter="0" pivotTables="0"/>
  <mergeCells count="50">
    <mergeCell ref="AB70:AE70"/>
    <mergeCell ref="AF35:AH35"/>
    <mergeCell ref="AD25:AE25"/>
    <mergeCell ref="AD1:AJ1"/>
    <mergeCell ref="W2:AE2"/>
    <mergeCell ref="S3:AJ3"/>
    <mergeCell ref="S5:S6"/>
    <mergeCell ref="AC5:AC6"/>
    <mergeCell ref="AB58:AJ66"/>
    <mergeCell ref="AF36:AH36"/>
    <mergeCell ref="X39:AJ53"/>
    <mergeCell ref="AG5:AG6"/>
    <mergeCell ref="AH5:AH6"/>
    <mergeCell ref="AI5:AI6"/>
    <mergeCell ref="AJ5:AJ6"/>
    <mergeCell ref="AD5:AD6"/>
    <mergeCell ref="E4:O4"/>
    <mergeCell ref="P4:Q4"/>
    <mergeCell ref="R4:T4"/>
    <mergeCell ref="U4:Z4"/>
    <mergeCell ref="AB4:AJ4"/>
    <mergeCell ref="B5:B6"/>
    <mergeCell ref="C5:C6"/>
    <mergeCell ref="D5:D6"/>
    <mergeCell ref="E5:F5"/>
    <mergeCell ref="G5:G6"/>
    <mergeCell ref="H5:H6"/>
    <mergeCell ref="I5:J5"/>
    <mergeCell ref="K5:O5"/>
    <mergeCell ref="P5:P6"/>
    <mergeCell ref="Q5:Q6"/>
    <mergeCell ref="R5:R6"/>
    <mergeCell ref="T10:V10"/>
    <mergeCell ref="X16:Y16"/>
    <mergeCell ref="Z5:Z6"/>
    <mergeCell ref="AB5:AB6"/>
    <mergeCell ref="T5:T6"/>
    <mergeCell ref="U5:U6"/>
    <mergeCell ref="V5:V6"/>
    <mergeCell ref="W5:W6"/>
    <mergeCell ref="X5:X6"/>
    <mergeCell ref="Y5:Y6"/>
    <mergeCell ref="AF34:AH34"/>
    <mergeCell ref="AE5:AE6"/>
    <mergeCell ref="AF5:AF6"/>
    <mergeCell ref="AH17:AI17"/>
    <mergeCell ref="AH18:AI18"/>
    <mergeCell ref="AF33:AH33"/>
    <mergeCell ref="AD22:AE22"/>
    <mergeCell ref="AD24:AE24"/>
  </mergeCells>
  <pageMargins left="0.74791666666667" right="0.74791666666667" top="0.98402777777778005" bottom="0.98402777777778005" header="0.51180555555554996" footer="0.51180555555554996"/>
  <pageSetup paperSize="8" scale="3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I26"/>
  <sheetViews>
    <sheetView view="pageBreakPreview" zoomScale="70" zoomScaleNormal="115" zoomScaleSheetLayoutView="70" workbookViewId="0">
      <selection activeCell="K15" sqref="K15"/>
    </sheetView>
  </sheetViews>
  <sheetFormatPr defaultColWidth="9.140625" defaultRowHeight="12.75" x14ac:dyDescent="0.2"/>
  <cols>
    <col min="1" max="1" width="5.140625" style="159" customWidth="1"/>
    <col min="2" max="2" width="24.85546875" style="159" customWidth="1"/>
    <col min="3" max="3" width="14" style="159" customWidth="1"/>
    <col min="4" max="4" width="9.42578125" style="159" customWidth="1"/>
    <col min="5" max="1023" width="9.140625" style="159"/>
    <col min="1024" max="16384" width="9.140625" style="156"/>
  </cols>
  <sheetData>
    <row r="1" spans="1:4" ht="51.75" customHeight="1" x14ac:dyDescent="0.2">
      <c r="A1" s="559" t="s">
        <v>232</v>
      </c>
      <c r="B1" s="560"/>
      <c r="C1" s="560"/>
      <c r="D1" s="560"/>
    </row>
    <row r="2" spans="1:4" ht="30" customHeight="1" x14ac:dyDescent="0.2">
      <c r="A2" s="224" t="s">
        <v>161</v>
      </c>
      <c r="B2" s="224" t="s">
        <v>233</v>
      </c>
      <c r="C2" s="183" t="s">
        <v>234</v>
      </c>
      <c r="D2" s="183" t="s">
        <v>235</v>
      </c>
    </row>
    <row r="3" spans="1:4" ht="16.5" customHeight="1" x14ac:dyDescent="0.2">
      <c r="A3" s="561" t="s">
        <v>215</v>
      </c>
      <c r="B3" s="562" t="s">
        <v>236</v>
      </c>
      <c r="C3" s="183" t="s">
        <v>237</v>
      </c>
      <c r="D3" s="183">
        <v>11.13</v>
      </c>
    </row>
    <row r="4" spans="1:4" ht="16.5" customHeight="1" x14ac:dyDescent="0.2">
      <c r="A4" s="561"/>
      <c r="B4" s="562"/>
      <c r="C4" s="183" t="s">
        <v>238</v>
      </c>
      <c r="D4" s="183">
        <v>22.54</v>
      </c>
    </row>
    <row r="5" spans="1:4" ht="16.5" customHeight="1" x14ac:dyDescent="0.2">
      <c r="A5" s="561"/>
      <c r="B5" s="562"/>
      <c r="C5" s="183" t="s">
        <v>239</v>
      </c>
      <c r="D5" s="183">
        <v>0.85499999999999998</v>
      </c>
    </row>
    <row r="6" spans="1:4" ht="16.5" customHeight="1" x14ac:dyDescent="0.2">
      <c r="A6" s="561"/>
      <c r="B6" s="562"/>
      <c r="C6" s="183" t="s">
        <v>240</v>
      </c>
      <c r="D6" s="183">
        <v>318</v>
      </c>
    </row>
    <row r="7" spans="1:4" ht="16.5" customHeight="1" x14ac:dyDescent="0.2">
      <c r="A7" s="561"/>
      <c r="B7" s="562"/>
      <c r="C7" s="183" t="s">
        <v>241</v>
      </c>
      <c r="D7" s="183">
        <v>1.429</v>
      </c>
    </row>
    <row r="8" spans="1:4" ht="16.5" customHeight="1" x14ac:dyDescent="0.2">
      <c r="A8" s="561"/>
      <c r="B8" s="562"/>
      <c r="C8" s="183" t="s">
        <v>242</v>
      </c>
      <c r="D8" s="183">
        <v>0.43099999999999999</v>
      </c>
    </row>
    <row r="9" spans="1:4" ht="16.5" customHeight="1" x14ac:dyDescent="0.2">
      <c r="A9" s="561"/>
      <c r="B9" s="562"/>
      <c r="C9" s="183" t="s">
        <v>243</v>
      </c>
      <c r="D9" s="183">
        <v>0.79600000000000004</v>
      </c>
    </row>
    <row r="10" spans="1:4" ht="16.5" customHeight="1" x14ac:dyDescent="0.2">
      <c r="A10" s="561"/>
      <c r="B10" s="562"/>
      <c r="C10" s="183" t="s">
        <v>244</v>
      </c>
      <c r="D10" s="183">
        <v>0.41299999999999998</v>
      </c>
    </row>
    <row r="11" spans="1:4" ht="16.5" customHeight="1" x14ac:dyDescent="0.2">
      <c r="A11" s="563" t="s">
        <v>218</v>
      </c>
      <c r="B11" s="564" t="s">
        <v>245</v>
      </c>
      <c r="C11" s="183" t="s">
        <v>246</v>
      </c>
      <c r="D11" s="183">
        <v>0.438</v>
      </c>
    </row>
    <row r="12" spans="1:4" ht="16.5" customHeight="1" x14ac:dyDescent="0.2">
      <c r="A12" s="563"/>
      <c r="B12" s="564"/>
      <c r="C12" s="183" t="s">
        <v>247</v>
      </c>
      <c r="D12" s="183">
        <v>1.048</v>
      </c>
    </row>
    <row r="13" spans="1:4" ht="16.5" customHeight="1" x14ac:dyDescent="0.2">
      <c r="A13" s="563"/>
      <c r="B13" s="564"/>
      <c r="C13" s="183" t="s">
        <v>248</v>
      </c>
      <c r="D13" s="183">
        <v>0.372</v>
      </c>
    </row>
    <row r="14" spans="1:4" ht="16.5" customHeight="1" x14ac:dyDescent="0.2">
      <c r="A14" s="563"/>
      <c r="B14" s="564"/>
      <c r="C14" s="183" t="s">
        <v>249</v>
      </c>
      <c r="D14" s="225">
        <v>1.39</v>
      </c>
    </row>
    <row r="15" spans="1:4" ht="16.5" customHeight="1" x14ac:dyDescent="0.2">
      <c r="A15" s="563"/>
      <c r="B15" s="564"/>
      <c r="C15" s="183" t="s">
        <v>250</v>
      </c>
      <c r="D15" s="183">
        <v>0.94299999999999995</v>
      </c>
    </row>
    <row r="16" spans="1:4" ht="16.5" customHeight="1" x14ac:dyDescent="0.2">
      <c r="A16" s="563"/>
      <c r="B16" s="564"/>
      <c r="C16" s="183" t="s">
        <v>251</v>
      </c>
      <c r="D16" s="183">
        <v>0.94299999999999995</v>
      </c>
    </row>
    <row r="17" spans="1:4" ht="16.5" customHeight="1" x14ac:dyDescent="0.2">
      <c r="A17" s="563"/>
      <c r="B17" s="564"/>
      <c r="C17" s="183" t="s">
        <v>252</v>
      </c>
      <c r="D17" s="183">
        <v>0.94299999999999995</v>
      </c>
    </row>
    <row r="18" spans="1:4" ht="16.5" customHeight="1" x14ac:dyDescent="0.2">
      <c r="A18" s="561" t="s">
        <v>253</v>
      </c>
      <c r="B18" s="562" t="s">
        <v>254</v>
      </c>
      <c r="C18" s="183" t="s">
        <v>255</v>
      </c>
      <c r="D18" s="183">
        <v>0.58899999999999997</v>
      </c>
    </row>
    <row r="19" spans="1:4" ht="16.5" customHeight="1" x14ac:dyDescent="0.2">
      <c r="A19" s="561"/>
      <c r="B19" s="562"/>
      <c r="C19" s="183" t="s">
        <v>256</v>
      </c>
      <c r="D19" s="183">
        <v>0.626</v>
      </c>
    </row>
    <row r="20" spans="1:4" ht="16.5" customHeight="1" x14ac:dyDescent="0.2">
      <c r="A20" s="561"/>
      <c r="B20" s="562"/>
      <c r="C20" s="183" t="s">
        <v>257</v>
      </c>
      <c r="D20" s="183">
        <v>0.67300000000000004</v>
      </c>
    </row>
    <row r="21" spans="1:4" ht="16.5" customHeight="1" x14ac:dyDescent="0.2">
      <c r="A21" s="563"/>
      <c r="B21" s="565"/>
      <c r="C21" s="226" t="s">
        <v>258</v>
      </c>
      <c r="D21" s="226">
        <v>0.626</v>
      </c>
    </row>
    <row r="22" spans="1:4" ht="16.5" customHeight="1" x14ac:dyDescent="0.2">
      <c r="A22" s="557" t="s">
        <v>259</v>
      </c>
      <c r="B22" s="558" t="s">
        <v>260</v>
      </c>
      <c r="C22" s="227" t="s">
        <v>261</v>
      </c>
      <c r="D22" s="227">
        <v>1</v>
      </c>
    </row>
    <row r="23" spans="1:4" ht="16.5" customHeight="1" x14ac:dyDescent="0.2">
      <c r="A23" s="557"/>
      <c r="B23" s="558"/>
      <c r="C23" s="227" t="s">
        <v>262</v>
      </c>
      <c r="D23" s="227">
        <f>1/150</f>
        <v>6.6666666666666697E-3</v>
      </c>
    </row>
    <row r="24" spans="1:4" ht="16.5" customHeight="1" x14ac:dyDescent="0.2">
      <c r="A24" s="557"/>
      <c r="B24" s="558"/>
      <c r="C24" s="227" t="s">
        <v>263</v>
      </c>
      <c r="D24" s="227">
        <v>1</v>
      </c>
    </row>
    <row r="25" spans="1:4" ht="16.5" customHeight="1" x14ac:dyDescent="0.2">
      <c r="A25" s="557"/>
      <c r="B25" s="558"/>
      <c r="C25" s="227" t="s">
        <v>264</v>
      </c>
      <c r="D25" s="227">
        <f>1/275</f>
        <v>3.6363636363636398E-3</v>
      </c>
    </row>
    <row r="26" spans="1:4" ht="45" x14ac:dyDescent="0.2">
      <c r="A26" s="228" t="s">
        <v>265</v>
      </c>
      <c r="B26" s="229" t="s">
        <v>266</v>
      </c>
      <c r="C26" s="227" t="s">
        <v>267</v>
      </c>
      <c r="D26" s="230">
        <v>3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A22:A25"/>
    <mergeCell ref="B22:B25"/>
    <mergeCell ref="A1:D1"/>
    <mergeCell ref="A3:A10"/>
    <mergeCell ref="B3:B10"/>
    <mergeCell ref="A11:A17"/>
    <mergeCell ref="B11:B17"/>
    <mergeCell ref="A18:A21"/>
    <mergeCell ref="B18:B21"/>
  </mergeCells>
  <pageMargins left="0.7" right="0.7" top="0.75" bottom="0.75" header="0.51180555555554996" footer="0.51180555555554996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D32"/>
  <sheetViews>
    <sheetView view="pageBreakPreview" zoomScale="60" zoomScaleNormal="100" workbookViewId="0">
      <selection activeCell="I4" sqref="I4"/>
    </sheetView>
  </sheetViews>
  <sheetFormatPr defaultColWidth="9" defaultRowHeight="12.75" x14ac:dyDescent="0.2"/>
  <cols>
    <col min="1" max="1" width="45.5703125" style="156" customWidth="1"/>
    <col min="2" max="2" width="37" style="156" customWidth="1"/>
    <col min="3" max="3" width="25.42578125" style="156" customWidth="1"/>
    <col min="4" max="4" width="17" style="156" customWidth="1"/>
    <col min="5" max="16384" width="9" style="156"/>
  </cols>
  <sheetData>
    <row r="1" spans="1:4" x14ac:dyDescent="0.2">
      <c r="A1" s="566"/>
      <c r="B1" s="566"/>
      <c r="C1" s="566"/>
      <c r="D1" s="566"/>
    </row>
    <row r="2" spans="1:4" ht="13.5" thickBot="1" x14ac:dyDescent="0.25"/>
    <row r="3" spans="1:4" ht="73.5" customHeight="1" thickBot="1" x14ac:dyDescent="0.25">
      <c r="C3" s="577" t="s">
        <v>282</v>
      </c>
      <c r="D3" s="578" t="s">
        <v>283</v>
      </c>
    </row>
    <row r="4" spans="1:4" ht="31.5" customHeight="1" thickBot="1" x14ac:dyDescent="0.25">
      <c r="A4" s="232" t="s">
        <v>284</v>
      </c>
      <c r="B4" s="233" t="s">
        <v>285</v>
      </c>
    </row>
    <row r="5" spans="1:4" ht="15.75" customHeight="1" thickBot="1" x14ac:dyDescent="0.25">
      <c r="A5" s="234" t="s">
        <v>286</v>
      </c>
      <c r="B5" s="235">
        <v>0.87</v>
      </c>
      <c r="D5" s="567">
        <f>IF(C6=1,B6,0)+IF(C7=1,B7,0)+IF(C8=1,B8,0)</f>
        <v>1</v>
      </c>
    </row>
    <row r="6" spans="1:4" ht="15.75" customHeight="1" thickBot="1" x14ac:dyDescent="0.25">
      <c r="A6" s="236" t="s">
        <v>287</v>
      </c>
      <c r="B6" s="237">
        <v>0.61</v>
      </c>
      <c r="C6" s="238">
        <v>1</v>
      </c>
      <c r="D6" s="567"/>
    </row>
    <row r="7" spans="1:4" ht="15.75" customHeight="1" thickBot="1" x14ac:dyDescent="0.25">
      <c r="A7" s="236" t="s">
        <v>288</v>
      </c>
      <c r="B7" s="237">
        <v>0.26</v>
      </c>
      <c r="C7" s="238">
        <v>1</v>
      </c>
      <c r="D7" s="567"/>
    </row>
    <row r="8" spans="1:4" ht="15.75" customHeight="1" thickBot="1" x14ac:dyDescent="0.25">
      <c r="A8" s="234" t="s">
        <v>289</v>
      </c>
      <c r="B8" s="235">
        <v>0.13</v>
      </c>
      <c r="C8" s="238">
        <v>1</v>
      </c>
      <c r="D8" s="567"/>
    </row>
    <row r="9" spans="1:4" x14ac:dyDescent="0.2">
      <c r="C9" s="239"/>
    </row>
    <row r="12" spans="1:4" ht="31.5" customHeight="1" thickBot="1" x14ac:dyDescent="0.25">
      <c r="A12" s="232" t="s">
        <v>284</v>
      </c>
      <c r="B12" s="233" t="s">
        <v>290</v>
      </c>
    </row>
    <row r="13" spans="1:4" ht="15.75" customHeight="1" thickBot="1" x14ac:dyDescent="0.25">
      <c r="A13" s="234" t="s">
        <v>291</v>
      </c>
      <c r="B13" s="235">
        <v>0.45</v>
      </c>
      <c r="D13" s="567">
        <f>IF(C14=1,B14,0)+IF(C15=1,B15,0)+IF(C16=1,B16,0)+IF(C17=1,B17,0)+IF(C18=1,B18,0)+IF(C19=1,B19,0)+IF(C20=1,B20,0)</f>
        <v>1</v>
      </c>
    </row>
    <row r="14" spans="1:4" ht="15.75" customHeight="1" thickBot="1" x14ac:dyDescent="0.25">
      <c r="A14" s="236" t="s">
        <v>292</v>
      </c>
      <c r="B14" s="237">
        <v>0.3</v>
      </c>
      <c r="C14" s="238">
        <v>1</v>
      </c>
      <c r="D14" s="567"/>
    </row>
    <row r="15" spans="1:4" ht="15.75" customHeight="1" thickBot="1" x14ac:dyDescent="0.25">
      <c r="A15" s="236" t="s">
        <v>293</v>
      </c>
      <c r="B15" s="237">
        <v>0.15</v>
      </c>
      <c r="C15" s="238">
        <v>1</v>
      </c>
      <c r="D15" s="567"/>
    </row>
    <row r="16" spans="1:4" ht="15.75" customHeight="1" thickBot="1" x14ac:dyDescent="0.25">
      <c r="A16" s="234" t="s">
        <v>294</v>
      </c>
      <c r="B16" s="235">
        <v>7.0000000000000007E-2</v>
      </c>
      <c r="C16" s="238">
        <v>1</v>
      </c>
      <c r="D16" s="567"/>
    </row>
    <row r="17" spans="1:4" ht="15.75" customHeight="1" thickBot="1" x14ac:dyDescent="0.25">
      <c r="A17" s="234" t="s">
        <v>295</v>
      </c>
      <c r="B17" s="235">
        <v>0.19</v>
      </c>
      <c r="C17" s="238">
        <v>1</v>
      </c>
      <c r="D17" s="567"/>
    </row>
    <row r="18" spans="1:4" ht="15.75" customHeight="1" thickBot="1" x14ac:dyDescent="0.25">
      <c r="A18" s="234" t="s">
        <v>296</v>
      </c>
      <c r="B18" s="235">
        <v>0.08</v>
      </c>
      <c r="C18" s="238">
        <v>1</v>
      </c>
      <c r="D18" s="567"/>
    </row>
    <row r="19" spans="1:4" ht="15.75" customHeight="1" thickBot="1" x14ac:dyDescent="0.25">
      <c r="A19" s="234" t="s">
        <v>297</v>
      </c>
      <c r="B19" s="235">
        <v>0.09</v>
      </c>
      <c r="C19" s="238">
        <v>1</v>
      </c>
      <c r="D19" s="567"/>
    </row>
    <row r="20" spans="1:4" ht="15.75" customHeight="1" thickBot="1" x14ac:dyDescent="0.25">
      <c r="A20" s="240" t="s">
        <v>298</v>
      </c>
      <c r="B20" s="235">
        <v>0.12</v>
      </c>
      <c r="C20" s="238">
        <v>1</v>
      </c>
      <c r="D20" s="567"/>
    </row>
    <row r="24" spans="1:4" ht="31.5" customHeight="1" thickBot="1" x14ac:dyDescent="0.25">
      <c r="A24" s="232" t="s">
        <v>284</v>
      </c>
      <c r="B24" s="233" t="s">
        <v>299</v>
      </c>
    </row>
    <row r="25" spans="1:4" ht="15.75" customHeight="1" thickBot="1" x14ac:dyDescent="0.25">
      <c r="A25" s="234" t="s">
        <v>291</v>
      </c>
      <c r="B25" s="235">
        <v>0.28000000000000003</v>
      </c>
      <c r="C25" s="241"/>
      <c r="D25" s="567">
        <f>IF(C26=1,B26,0)+IF(C27=1,B27,0)+IF(C28=1,B28,0)+IF(C29=1,B29,0)+IF(C30=1,B30,0)+IF(C31=1,B31,0)+IF(C32=1,B32,0)</f>
        <v>1</v>
      </c>
    </row>
    <row r="26" spans="1:4" ht="15.75" customHeight="1" thickBot="1" x14ac:dyDescent="0.25">
      <c r="A26" s="236" t="s">
        <v>292</v>
      </c>
      <c r="B26" s="237">
        <v>0.19</v>
      </c>
      <c r="C26" s="238">
        <v>1</v>
      </c>
      <c r="D26" s="567"/>
    </row>
    <row r="27" spans="1:4" ht="15.75" customHeight="1" thickBot="1" x14ac:dyDescent="0.25">
      <c r="A27" s="236" t="s">
        <v>293</v>
      </c>
      <c r="B27" s="237">
        <v>0.09</v>
      </c>
      <c r="C27" s="238">
        <v>1</v>
      </c>
      <c r="D27" s="567"/>
    </row>
    <row r="28" spans="1:4" ht="15.75" customHeight="1" thickBot="1" x14ac:dyDescent="0.25">
      <c r="A28" s="234" t="s">
        <v>294</v>
      </c>
      <c r="B28" s="235">
        <v>0.09</v>
      </c>
      <c r="C28" s="238">
        <v>1</v>
      </c>
      <c r="D28" s="567"/>
    </row>
    <row r="29" spans="1:4" ht="15.75" customHeight="1" thickBot="1" x14ac:dyDescent="0.25">
      <c r="A29" s="234" t="s">
        <v>295</v>
      </c>
      <c r="B29" s="235">
        <v>0.16</v>
      </c>
      <c r="C29" s="238">
        <v>1</v>
      </c>
      <c r="D29" s="567"/>
    </row>
    <row r="30" spans="1:4" ht="15.75" customHeight="1" thickBot="1" x14ac:dyDescent="0.25">
      <c r="A30" s="234" t="s">
        <v>300</v>
      </c>
      <c r="B30" s="235">
        <v>0.08</v>
      </c>
      <c r="C30" s="238">
        <v>1</v>
      </c>
      <c r="D30" s="567"/>
    </row>
    <row r="31" spans="1:4" ht="15.75" customHeight="1" thickBot="1" x14ac:dyDescent="0.25">
      <c r="A31" s="240" t="s">
        <v>298</v>
      </c>
      <c r="B31" s="235">
        <v>0.25</v>
      </c>
      <c r="C31" s="238">
        <v>1</v>
      </c>
      <c r="D31" s="567"/>
    </row>
    <row r="32" spans="1:4" ht="15.75" customHeight="1" thickBot="1" x14ac:dyDescent="0.25">
      <c r="A32" s="240" t="s">
        <v>301</v>
      </c>
      <c r="B32" s="235">
        <v>0.14000000000000001</v>
      </c>
      <c r="C32" s="238">
        <v>1</v>
      </c>
      <c r="D32" s="567"/>
    </row>
  </sheetData>
  <sheetProtection formatCells="0" formatColumns="0" formatRows="0" insertColumns="0" insertRows="0" insertHyperlinks="0" deleteColumns="0" deleteRows="0" sort="0" autoFilter="0" pivotTables="0"/>
  <mergeCells count="4">
    <mergeCell ref="A1:D1"/>
    <mergeCell ref="D5:D8"/>
    <mergeCell ref="D13:D20"/>
    <mergeCell ref="D25:D32"/>
  </mergeCells>
  <pageMargins left="0.7" right="0.7" top="0.75" bottom="0.75" header="0.51180555555554996" footer="0.51180555555554996"/>
  <pageSetup paperSize="9" scale="6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MJ11"/>
  <sheetViews>
    <sheetView view="pageBreakPreview" zoomScale="80" zoomScaleNormal="100" zoomScaleSheetLayoutView="80" workbookViewId="0">
      <selection activeCell="H11" sqref="H11"/>
    </sheetView>
  </sheetViews>
  <sheetFormatPr defaultColWidth="9.140625" defaultRowHeight="12.75" x14ac:dyDescent="0.2"/>
  <cols>
    <col min="1" max="1" width="9.140625" style="159"/>
    <col min="2" max="2" width="15.85546875" style="159" customWidth="1"/>
    <col min="3" max="3" width="42.140625" style="159" customWidth="1"/>
    <col min="4" max="5" width="3.5703125" style="159" customWidth="1"/>
    <col min="6" max="6" width="25.140625" style="159" customWidth="1"/>
    <col min="7" max="1024" width="9.140625" style="159"/>
    <col min="1025" max="16384" width="9.140625" style="156"/>
  </cols>
  <sheetData>
    <row r="1" spans="1:8" ht="15" x14ac:dyDescent="0.25">
      <c r="A1" s="569" t="s">
        <v>212</v>
      </c>
      <c r="B1" s="569"/>
      <c r="C1" s="569"/>
      <c r="D1" s="569"/>
      <c r="E1" s="569"/>
      <c r="F1" s="569"/>
    </row>
    <row r="3" spans="1:8" ht="66" customHeight="1" x14ac:dyDescent="0.2">
      <c r="A3" s="194" t="s">
        <v>5</v>
      </c>
      <c r="B3" s="195" t="s">
        <v>213</v>
      </c>
      <c r="C3" s="570" t="s">
        <v>214</v>
      </c>
      <c r="D3" s="570"/>
      <c r="E3" s="570"/>
      <c r="F3" s="196" t="s">
        <v>308</v>
      </c>
    </row>
    <row r="4" spans="1:8" ht="46.15" customHeight="1" x14ac:dyDescent="0.25">
      <c r="A4" s="197" t="s">
        <v>215</v>
      </c>
      <c r="B4" s="198" t="s">
        <v>216</v>
      </c>
      <c r="C4" s="571" t="s">
        <v>217</v>
      </c>
      <c r="D4" s="571"/>
      <c r="E4" s="571"/>
      <c r="F4" s="199">
        <f>ROUND(274521.1/0.65*1.05*1.22*12/247,2)</f>
        <v>26284.26</v>
      </c>
      <c r="H4" s="200"/>
    </row>
    <row r="5" spans="1:8" ht="46.15" customHeight="1" x14ac:dyDescent="0.25">
      <c r="A5" s="197" t="s">
        <v>218</v>
      </c>
      <c r="B5" s="198" t="s">
        <v>219</v>
      </c>
      <c r="C5" s="571" t="s">
        <v>220</v>
      </c>
      <c r="D5" s="571"/>
      <c r="E5" s="571"/>
      <c r="F5" s="199">
        <f>ROUND(138314.6/0.64*1.05*1.22*12/247,2)</f>
        <v>13449.97</v>
      </c>
      <c r="H5" s="200"/>
    </row>
    <row r="10" spans="1:8" ht="35.25" customHeight="1" x14ac:dyDescent="0.2">
      <c r="A10" s="568"/>
      <c r="B10" s="568"/>
      <c r="C10" s="568"/>
      <c r="D10" s="153"/>
      <c r="E10" s="153"/>
      <c r="F10" s="154"/>
    </row>
    <row r="11" spans="1:8" ht="37.5" customHeight="1" x14ac:dyDescent="0.2">
      <c r="A11" s="568"/>
      <c r="B11" s="568"/>
      <c r="C11" s="568"/>
      <c r="D11" s="154"/>
      <c r="E11" s="154"/>
      <c r="F11" s="154"/>
    </row>
  </sheetData>
  <sheetProtection formatCells="0" formatColumns="0" formatRows="0" insertColumns="0" insertRows="0" insertHyperlinks="0" deleteColumns="0" deleteRows="0" sort="0" autoFilter="0" pivotTables="0"/>
  <mergeCells count="6">
    <mergeCell ref="A11:C11"/>
    <mergeCell ref="A1:F1"/>
    <mergeCell ref="C3:E3"/>
    <mergeCell ref="C4:E4"/>
    <mergeCell ref="C5:E5"/>
    <mergeCell ref="A10:C10"/>
  </mergeCells>
  <pageMargins left="0.7" right="0.7" top="0.75" bottom="0.75" header="0.51180555555554996" footer="0.51180555555554996"/>
  <pageSetup paperSize="9" scale="7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0"/>
  <sheetViews>
    <sheetView view="pageBreakPreview" zoomScale="80" zoomScaleNormal="80" zoomScaleSheetLayoutView="80" workbookViewId="0">
      <selection activeCell="E5" sqref="E5"/>
    </sheetView>
  </sheetViews>
  <sheetFormatPr defaultColWidth="8.7109375" defaultRowHeight="15.75" x14ac:dyDescent="0.25"/>
  <cols>
    <col min="1" max="1" width="60.42578125" style="201" customWidth="1"/>
    <col min="2" max="2" width="14.5703125" style="201" customWidth="1"/>
    <col min="3" max="3" width="22.7109375" style="201" bestFit="1" customWidth="1"/>
    <col min="4" max="4" width="16" style="201" customWidth="1"/>
    <col min="5" max="5" width="21.42578125" style="201" customWidth="1"/>
    <col min="6" max="6" width="17.7109375" style="201" customWidth="1"/>
    <col min="7" max="252" width="8.7109375" style="201"/>
    <col min="253" max="253" width="39" style="201" bestFit="1" customWidth="1"/>
    <col min="254" max="254" width="24" style="201" bestFit="1" customWidth="1"/>
    <col min="255" max="255" width="23.42578125" style="201" bestFit="1" customWidth="1"/>
    <col min="256" max="256" width="19.28515625" style="201" customWidth="1"/>
    <col min="257" max="257" width="16.7109375" style="201" customWidth="1"/>
    <col min="258" max="258" width="17.28515625" style="201" bestFit="1" customWidth="1"/>
    <col min="259" max="260" width="8.7109375" style="201"/>
    <col min="261" max="261" width="10.42578125" style="201" customWidth="1"/>
    <col min="262" max="262" width="10.42578125" style="201" bestFit="1" customWidth="1"/>
    <col min="263" max="508" width="8.7109375" style="201"/>
    <col min="509" max="509" width="39" style="201" bestFit="1" customWidth="1"/>
    <col min="510" max="510" width="24" style="201" bestFit="1" customWidth="1"/>
    <col min="511" max="511" width="23.42578125" style="201" bestFit="1" customWidth="1"/>
    <col min="512" max="512" width="19.28515625" style="201" customWidth="1"/>
    <col min="513" max="513" width="16.7109375" style="201" customWidth="1"/>
    <col min="514" max="514" width="17.28515625" style="201" bestFit="1" customWidth="1"/>
    <col min="515" max="516" width="8.7109375" style="201"/>
    <col min="517" max="517" width="10.42578125" style="201" customWidth="1"/>
    <col min="518" max="518" width="10.42578125" style="201" bestFit="1" customWidth="1"/>
    <col min="519" max="764" width="8.7109375" style="201"/>
    <col min="765" max="765" width="39" style="201" bestFit="1" customWidth="1"/>
    <col min="766" max="766" width="24" style="201" bestFit="1" customWidth="1"/>
    <col min="767" max="767" width="23.42578125" style="201" bestFit="1" customWidth="1"/>
    <col min="768" max="768" width="19.28515625" style="201" customWidth="1"/>
    <col min="769" max="769" width="16.7109375" style="201" customWidth="1"/>
    <col min="770" max="770" width="17.28515625" style="201" bestFit="1" customWidth="1"/>
    <col min="771" max="772" width="8.7109375" style="201"/>
    <col min="773" max="773" width="10.42578125" style="201" customWidth="1"/>
    <col min="774" max="774" width="10.42578125" style="201" bestFit="1" customWidth="1"/>
    <col min="775" max="1020" width="8.7109375" style="201"/>
    <col min="1021" max="1021" width="39" style="201" bestFit="1" customWidth="1"/>
    <col min="1022" max="1022" width="24" style="201" bestFit="1" customWidth="1"/>
    <col min="1023" max="1023" width="23.42578125" style="201" bestFit="1" customWidth="1"/>
    <col min="1024" max="1024" width="19.28515625" style="201" customWidth="1"/>
    <col min="1025" max="1025" width="16.7109375" style="201" customWidth="1"/>
    <col min="1026" max="1026" width="17.28515625" style="201" bestFit="1" customWidth="1"/>
    <col min="1027" max="1028" width="8.7109375" style="201"/>
    <col min="1029" max="1029" width="10.42578125" style="201" customWidth="1"/>
    <col min="1030" max="1030" width="10.42578125" style="201" bestFit="1" customWidth="1"/>
    <col min="1031" max="1276" width="8.7109375" style="201"/>
    <col min="1277" max="1277" width="39" style="201" bestFit="1" customWidth="1"/>
    <col min="1278" max="1278" width="24" style="201" bestFit="1" customWidth="1"/>
    <col min="1279" max="1279" width="23.42578125" style="201" bestFit="1" customWidth="1"/>
    <col min="1280" max="1280" width="19.28515625" style="201" customWidth="1"/>
    <col min="1281" max="1281" width="16.7109375" style="201" customWidth="1"/>
    <col min="1282" max="1282" width="17.28515625" style="201" bestFit="1" customWidth="1"/>
    <col min="1283" max="1284" width="8.7109375" style="201"/>
    <col min="1285" max="1285" width="10.42578125" style="201" customWidth="1"/>
    <col min="1286" max="1286" width="10.42578125" style="201" bestFit="1" customWidth="1"/>
    <col min="1287" max="1532" width="8.7109375" style="201"/>
    <col min="1533" max="1533" width="39" style="201" bestFit="1" customWidth="1"/>
    <col min="1534" max="1534" width="24" style="201" bestFit="1" customWidth="1"/>
    <col min="1535" max="1535" width="23.42578125" style="201" bestFit="1" customWidth="1"/>
    <col min="1536" max="1536" width="19.28515625" style="201" customWidth="1"/>
    <col min="1537" max="1537" width="16.7109375" style="201" customWidth="1"/>
    <col min="1538" max="1538" width="17.28515625" style="201" bestFit="1" customWidth="1"/>
    <col min="1539" max="1540" width="8.7109375" style="201"/>
    <col min="1541" max="1541" width="10.42578125" style="201" customWidth="1"/>
    <col min="1542" max="1542" width="10.42578125" style="201" bestFit="1" customWidth="1"/>
    <col min="1543" max="1788" width="8.7109375" style="201"/>
    <col min="1789" max="1789" width="39" style="201" bestFit="1" customWidth="1"/>
    <col min="1790" max="1790" width="24" style="201" bestFit="1" customWidth="1"/>
    <col min="1791" max="1791" width="23.42578125" style="201" bestFit="1" customWidth="1"/>
    <col min="1792" max="1792" width="19.28515625" style="201" customWidth="1"/>
    <col min="1793" max="1793" width="16.7109375" style="201" customWidth="1"/>
    <col min="1794" max="1794" width="17.28515625" style="201" bestFit="1" customWidth="1"/>
    <col min="1795" max="1796" width="8.7109375" style="201"/>
    <col min="1797" max="1797" width="10.42578125" style="201" customWidth="1"/>
    <col min="1798" max="1798" width="10.42578125" style="201" bestFit="1" customWidth="1"/>
    <col min="1799" max="2044" width="8.7109375" style="201"/>
    <col min="2045" max="2045" width="39" style="201" bestFit="1" customWidth="1"/>
    <col min="2046" max="2046" width="24" style="201" bestFit="1" customWidth="1"/>
    <col min="2047" max="2047" width="23.42578125" style="201" bestFit="1" customWidth="1"/>
    <col min="2048" max="2048" width="19.28515625" style="201" customWidth="1"/>
    <col min="2049" max="2049" width="16.7109375" style="201" customWidth="1"/>
    <col min="2050" max="2050" width="17.28515625" style="201" bestFit="1" customWidth="1"/>
    <col min="2051" max="2052" width="8.7109375" style="201"/>
    <col min="2053" max="2053" width="10.42578125" style="201" customWidth="1"/>
    <col min="2054" max="2054" width="10.42578125" style="201" bestFit="1" customWidth="1"/>
    <col min="2055" max="2300" width="8.7109375" style="201"/>
    <col min="2301" max="2301" width="39" style="201" bestFit="1" customWidth="1"/>
    <col min="2302" max="2302" width="24" style="201" bestFit="1" customWidth="1"/>
    <col min="2303" max="2303" width="23.42578125" style="201" bestFit="1" customWidth="1"/>
    <col min="2304" max="2304" width="19.28515625" style="201" customWidth="1"/>
    <col min="2305" max="2305" width="16.7109375" style="201" customWidth="1"/>
    <col min="2306" max="2306" width="17.28515625" style="201" bestFit="1" customWidth="1"/>
    <col min="2307" max="2308" width="8.7109375" style="201"/>
    <col min="2309" max="2309" width="10.42578125" style="201" customWidth="1"/>
    <col min="2310" max="2310" width="10.42578125" style="201" bestFit="1" customWidth="1"/>
    <col min="2311" max="2556" width="8.7109375" style="201"/>
    <col min="2557" max="2557" width="39" style="201" bestFit="1" customWidth="1"/>
    <col min="2558" max="2558" width="24" style="201" bestFit="1" customWidth="1"/>
    <col min="2559" max="2559" width="23.42578125" style="201" bestFit="1" customWidth="1"/>
    <col min="2560" max="2560" width="19.28515625" style="201" customWidth="1"/>
    <col min="2561" max="2561" width="16.7109375" style="201" customWidth="1"/>
    <col min="2562" max="2562" width="17.28515625" style="201" bestFit="1" customWidth="1"/>
    <col min="2563" max="2564" width="8.7109375" style="201"/>
    <col min="2565" max="2565" width="10.42578125" style="201" customWidth="1"/>
    <col min="2566" max="2566" width="10.42578125" style="201" bestFit="1" customWidth="1"/>
    <col min="2567" max="2812" width="8.7109375" style="201"/>
    <col min="2813" max="2813" width="39" style="201" bestFit="1" customWidth="1"/>
    <col min="2814" max="2814" width="24" style="201" bestFit="1" customWidth="1"/>
    <col min="2815" max="2815" width="23.42578125" style="201" bestFit="1" customWidth="1"/>
    <col min="2816" max="2816" width="19.28515625" style="201" customWidth="1"/>
    <col min="2817" max="2817" width="16.7109375" style="201" customWidth="1"/>
    <col min="2818" max="2818" width="17.28515625" style="201" bestFit="1" customWidth="1"/>
    <col min="2819" max="2820" width="8.7109375" style="201"/>
    <col min="2821" max="2821" width="10.42578125" style="201" customWidth="1"/>
    <col min="2822" max="2822" width="10.42578125" style="201" bestFit="1" customWidth="1"/>
    <col min="2823" max="3068" width="8.7109375" style="201"/>
    <col min="3069" max="3069" width="39" style="201" bestFit="1" customWidth="1"/>
    <col min="3070" max="3070" width="24" style="201" bestFit="1" customWidth="1"/>
    <col min="3071" max="3071" width="23.42578125" style="201" bestFit="1" customWidth="1"/>
    <col min="3072" max="3072" width="19.28515625" style="201" customWidth="1"/>
    <col min="3073" max="3073" width="16.7109375" style="201" customWidth="1"/>
    <col min="3074" max="3074" width="17.28515625" style="201" bestFit="1" customWidth="1"/>
    <col min="3075" max="3076" width="8.7109375" style="201"/>
    <col min="3077" max="3077" width="10.42578125" style="201" customWidth="1"/>
    <col min="3078" max="3078" width="10.42578125" style="201" bestFit="1" customWidth="1"/>
    <col min="3079" max="3324" width="8.7109375" style="201"/>
    <col min="3325" max="3325" width="39" style="201" bestFit="1" customWidth="1"/>
    <col min="3326" max="3326" width="24" style="201" bestFit="1" customWidth="1"/>
    <col min="3327" max="3327" width="23.42578125" style="201" bestFit="1" customWidth="1"/>
    <col min="3328" max="3328" width="19.28515625" style="201" customWidth="1"/>
    <col min="3329" max="3329" width="16.7109375" style="201" customWidth="1"/>
    <col min="3330" max="3330" width="17.28515625" style="201" bestFit="1" customWidth="1"/>
    <col min="3331" max="3332" width="8.7109375" style="201"/>
    <col min="3333" max="3333" width="10.42578125" style="201" customWidth="1"/>
    <col min="3334" max="3334" width="10.42578125" style="201" bestFit="1" customWidth="1"/>
    <col min="3335" max="3580" width="8.7109375" style="201"/>
    <col min="3581" max="3581" width="39" style="201" bestFit="1" customWidth="1"/>
    <col min="3582" max="3582" width="24" style="201" bestFit="1" customWidth="1"/>
    <col min="3583" max="3583" width="23.42578125" style="201" bestFit="1" customWidth="1"/>
    <col min="3584" max="3584" width="19.28515625" style="201" customWidth="1"/>
    <col min="3585" max="3585" width="16.7109375" style="201" customWidth="1"/>
    <col min="3586" max="3586" width="17.28515625" style="201" bestFit="1" customWidth="1"/>
    <col min="3587" max="3588" width="8.7109375" style="201"/>
    <col min="3589" max="3589" width="10.42578125" style="201" customWidth="1"/>
    <col min="3590" max="3590" width="10.42578125" style="201" bestFit="1" customWidth="1"/>
    <col min="3591" max="3836" width="8.7109375" style="201"/>
    <col min="3837" max="3837" width="39" style="201" bestFit="1" customWidth="1"/>
    <col min="3838" max="3838" width="24" style="201" bestFit="1" customWidth="1"/>
    <col min="3839" max="3839" width="23.42578125" style="201" bestFit="1" customWidth="1"/>
    <col min="3840" max="3840" width="19.28515625" style="201" customWidth="1"/>
    <col min="3841" max="3841" width="16.7109375" style="201" customWidth="1"/>
    <col min="3842" max="3842" width="17.28515625" style="201" bestFit="1" customWidth="1"/>
    <col min="3843" max="3844" width="8.7109375" style="201"/>
    <col min="3845" max="3845" width="10.42578125" style="201" customWidth="1"/>
    <col min="3846" max="3846" width="10.42578125" style="201" bestFit="1" customWidth="1"/>
    <col min="3847" max="4092" width="8.7109375" style="201"/>
    <col min="4093" max="4093" width="39" style="201" bestFit="1" customWidth="1"/>
    <col min="4094" max="4094" width="24" style="201" bestFit="1" customWidth="1"/>
    <col min="4095" max="4095" width="23.42578125" style="201" bestFit="1" customWidth="1"/>
    <col min="4096" max="4096" width="19.28515625" style="201" customWidth="1"/>
    <col min="4097" max="4097" width="16.7109375" style="201" customWidth="1"/>
    <col min="4098" max="4098" width="17.28515625" style="201" bestFit="1" customWidth="1"/>
    <col min="4099" max="4100" width="8.7109375" style="201"/>
    <col min="4101" max="4101" width="10.42578125" style="201" customWidth="1"/>
    <col min="4102" max="4102" width="10.42578125" style="201" bestFit="1" customWidth="1"/>
    <col min="4103" max="4348" width="8.7109375" style="201"/>
    <col min="4349" max="4349" width="39" style="201" bestFit="1" customWidth="1"/>
    <col min="4350" max="4350" width="24" style="201" bestFit="1" customWidth="1"/>
    <col min="4351" max="4351" width="23.42578125" style="201" bestFit="1" customWidth="1"/>
    <col min="4352" max="4352" width="19.28515625" style="201" customWidth="1"/>
    <col min="4353" max="4353" width="16.7109375" style="201" customWidth="1"/>
    <col min="4354" max="4354" width="17.28515625" style="201" bestFit="1" customWidth="1"/>
    <col min="4355" max="4356" width="8.7109375" style="201"/>
    <col min="4357" max="4357" width="10.42578125" style="201" customWidth="1"/>
    <col min="4358" max="4358" width="10.42578125" style="201" bestFit="1" customWidth="1"/>
    <col min="4359" max="4604" width="8.7109375" style="201"/>
    <col min="4605" max="4605" width="39" style="201" bestFit="1" customWidth="1"/>
    <col min="4606" max="4606" width="24" style="201" bestFit="1" customWidth="1"/>
    <col min="4607" max="4607" width="23.42578125" style="201" bestFit="1" customWidth="1"/>
    <col min="4608" max="4608" width="19.28515625" style="201" customWidth="1"/>
    <col min="4609" max="4609" width="16.7109375" style="201" customWidth="1"/>
    <col min="4610" max="4610" width="17.28515625" style="201" bestFit="1" customWidth="1"/>
    <col min="4611" max="4612" width="8.7109375" style="201"/>
    <col min="4613" max="4613" width="10.42578125" style="201" customWidth="1"/>
    <col min="4614" max="4614" width="10.42578125" style="201" bestFit="1" customWidth="1"/>
    <col min="4615" max="4860" width="8.7109375" style="201"/>
    <col min="4861" max="4861" width="39" style="201" bestFit="1" customWidth="1"/>
    <col min="4862" max="4862" width="24" style="201" bestFit="1" customWidth="1"/>
    <col min="4863" max="4863" width="23.42578125" style="201" bestFit="1" customWidth="1"/>
    <col min="4864" max="4864" width="19.28515625" style="201" customWidth="1"/>
    <col min="4865" max="4865" width="16.7109375" style="201" customWidth="1"/>
    <col min="4866" max="4866" width="17.28515625" style="201" bestFit="1" customWidth="1"/>
    <col min="4867" max="4868" width="8.7109375" style="201"/>
    <col min="4869" max="4869" width="10.42578125" style="201" customWidth="1"/>
    <col min="4870" max="4870" width="10.42578125" style="201" bestFit="1" customWidth="1"/>
    <col min="4871" max="5116" width="8.7109375" style="201"/>
    <col min="5117" max="5117" width="39" style="201" bestFit="1" customWidth="1"/>
    <col min="5118" max="5118" width="24" style="201" bestFit="1" customWidth="1"/>
    <col min="5119" max="5119" width="23.42578125" style="201" bestFit="1" customWidth="1"/>
    <col min="5120" max="5120" width="19.28515625" style="201" customWidth="1"/>
    <col min="5121" max="5121" width="16.7109375" style="201" customWidth="1"/>
    <col min="5122" max="5122" width="17.28515625" style="201" bestFit="1" customWidth="1"/>
    <col min="5123" max="5124" width="8.7109375" style="201"/>
    <col min="5125" max="5125" width="10.42578125" style="201" customWidth="1"/>
    <col min="5126" max="5126" width="10.42578125" style="201" bestFit="1" customWidth="1"/>
    <col min="5127" max="5372" width="8.7109375" style="201"/>
    <col min="5373" max="5373" width="39" style="201" bestFit="1" customWidth="1"/>
    <col min="5374" max="5374" width="24" style="201" bestFit="1" customWidth="1"/>
    <col min="5375" max="5375" width="23.42578125" style="201" bestFit="1" customWidth="1"/>
    <col min="5376" max="5376" width="19.28515625" style="201" customWidth="1"/>
    <col min="5377" max="5377" width="16.7109375" style="201" customWidth="1"/>
    <col min="5378" max="5378" width="17.28515625" style="201" bestFit="1" customWidth="1"/>
    <col min="5379" max="5380" width="8.7109375" style="201"/>
    <col min="5381" max="5381" width="10.42578125" style="201" customWidth="1"/>
    <col min="5382" max="5382" width="10.42578125" style="201" bestFit="1" customWidth="1"/>
    <col min="5383" max="5628" width="8.7109375" style="201"/>
    <col min="5629" max="5629" width="39" style="201" bestFit="1" customWidth="1"/>
    <col min="5630" max="5630" width="24" style="201" bestFit="1" customWidth="1"/>
    <col min="5631" max="5631" width="23.42578125" style="201" bestFit="1" customWidth="1"/>
    <col min="5632" max="5632" width="19.28515625" style="201" customWidth="1"/>
    <col min="5633" max="5633" width="16.7109375" style="201" customWidth="1"/>
    <col min="5634" max="5634" width="17.28515625" style="201" bestFit="1" customWidth="1"/>
    <col min="5635" max="5636" width="8.7109375" style="201"/>
    <col min="5637" max="5637" width="10.42578125" style="201" customWidth="1"/>
    <col min="5638" max="5638" width="10.42578125" style="201" bestFit="1" customWidth="1"/>
    <col min="5639" max="5884" width="8.7109375" style="201"/>
    <col min="5885" max="5885" width="39" style="201" bestFit="1" customWidth="1"/>
    <col min="5886" max="5886" width="24" style="201" bestFit="1" customWidth="1"/>
    <col min="5887" max="5887" width="23.42578125" style="201" bestFit="1" customWidth="1"/>
    <col min="5888" max="5888" width="19.28515625" style="201" customWidth="1"/>
    <col min="5889" max="5889" width="16.7109375" style="201" customWidth="1"/>
    <col min="5890" max="5890" width="17.28515625" style="201" bestFit="1" customWidth="1"/>
    <col min="5891" max="5892" width="8.7109375" style="201"/>
    <col min="5893" max="5893" width="10.42578125" style="201" customWidth="1"/>
    <col min="5894" max="5894" width="10.42578125" style="201" bestFit="1" customWidth="1"/>
    <col min="5895" max="6140" width="8.7109375" style="201"/>
    <col min="6141" max="6141" width="39" style="201" bestFit="1" customWidth="1"/>
    <col min="6142" max="6142" width="24" style="201" bestFit="1" customWidth="1"/>
    <col min="6143" max="6143" width="23.42578125" style="201" bestFit="1" customWidth="1"/>
    <col min="6144" max="6144" width="19.28515625" style="201" customWidth="1"/>
    <col min="6145" max="6145" width="16.7109375" style="201" customWidth="1"/>
    <col min="6146" max="6146" width="17.28515625" style="201" bestFit="1" customWidth="1"/>
    <col min="6147" max="6148" width="8.7109375" style="201"/>
    <col min="6149" max="6149" width="10.42578125" style="201" customWidth="1"/>
    <col min="6150" max="6150" width="10.42578125" style="201" bestFit="1" customWidth="1"/>
    <col min="6151" max="6396" width="8.7109375" style="201"/>
    <col min="6397" max="6397" width="39" style="201" bestFit="1" customWidth="1"/>
    <col min="6398" max="6398" width="24" style="201" bestFit="1" customWidth="1"/>
    <col min="6399" max="6399" width="23.42578125" style="201" bestFit="1" customWidth="1"/>
    <col min="6400" max="6400" width="19.28515625" style="201" customWidth="1"/>
    <col min="6401" max="6401" width="16.7109375" style="201" customWidth="1"/>
    <col min="6402" max="6402" width="17.28515625" style="201" bestFit="1" customWidth="1"/>
    <col min="6403" max="6404" width="8.7109375" style="201"/>
    <col min="6405" max="6405" width="10.42578125" style="201" customWidth="1"/>
    <col min="6406" max="6406" width="10.42578125" style="201" bestFit="1" customWidth="1"/>
    <col min="6407" max="6652" width="8.7109375" style="201"/>
    <col min="6653" max="6653" width="39" style="201" bestFit="1" customWidth="1"/>
    <col min="6654" max="6654" width="24" style="201" bestFit="1" customWidth="1"/>
    <col min="6655" max="6655" width="23.42578125" style="201" bestFit="1" customWidth="1"/>
    <col min="6656" max="6656" width="19.28515625" style="201" customWidth="1"/>
    <col min="6657" max="6657" width="16.7109375" style="201" customWidth="1"/>
    <col min="6658" max="6658" width="17.28515625" style="201" bestFit="1" customWidth="1"/>
    <col min="6659" max="6660" width="8.7109375" style="201"/>
    <col min="6661" max="6661" width="10.42578125" style="201" customWidth="1"/>
    <col min="6662" max="6662" width="10.42578125" style="201" bestFit="1" customWidth="1"/>
    <col min="6663" max="6908" width="8.7109375" style="201"/>
    <col min="6909" max="6909" width="39" style="201" bestFit="1" customWidth="1"/>
    <col min="6910" max="6910" width="24" style="201" bestFit="1" customWidth="1"/>
    <col min="6911" max="6911" width="23.42578125" style="201" bestFit="1" customWidth="1"/>
    <col min="6912" max="6912" width="19.28515625" style="201" customWidth="1"/>
    <col min="6913" max="6913" width="16.7109375" style="201" customWidth="1"/>
    <col min="6914" max="6914" width="17.28515625" style="201" bestFit="1" customWidth="1"/>
    <col min="6915" max="6916" width="8.7109375" style="201"/>
    <col min="6917" max="6917" width="10.42578125" style="201" customWidth="1"/>
    <col min="6918" max="6918" width="10.42578125" style="201" bestFit="1" customWidth="1"/>
    <col min="6919" max="7164" width="8.7109375" style="201"/>
    <col min="7165" max="7165" width="39" style="201" bestFit="1" customWidth="1"/>
    <col min="7166" max="7166" width="24" style="201" bestFit="1" customWidth="1"/>
    <col min="7167" max="7167" width="23.42578125" style="201" bestFit="1" customWidth="1"/>
    <col min="7168" max="7168" width="19.28515625" style="201" customWidth="1"/>
    <col min="7169" max="7169" width="16.7109375" style="201" customWidth="1"/>
    <col min="7170" max="7170" width="17.28515625" style="201" bestFit="1" customWidth="1"/>
    <col min="7171" max="7172" width="8.7109375" style="201"/>
    <col min="7173" max="7173" width="10.42578125" style="201" customWidth="1"/>
    <col min="7174" max="7174" width="10.42578125" style="201" bestFit="1" customWidth="1"/>
    <col min="7175" max="7420" width="8.7109375" style="201"/>
    <col min="7421" max="7421" width="39" style="201" bestFit="1" customWidth="1"/>
    <col min="7422" max="7422" width="24" style="201" bestFit="1" customWidth="1"/>
    <col min="7423" max="7423" width="23.42578125" style="201" bestFit="1" customWidth="1"/>
    <col min="7424" max="7424" width="19.28515625" style="201" customWidth="1"/>
    <col min="7425" max="7425" width="16.7109375" style="201" customWidth="1"/>
    <col min="7426" max="7426" width="17.28515625" style="201" bestFit="1" customWidth="1"/>
    <col min="7427" max="7428" width="8.7109375" style="201"/>
    <col min="7429" max="7429" width="10.42578125" style="201" customWidth="1"/>
    <col min="7430" max="7430" width="10.42578125" style="201" bestFit="1" customWidth="1"/>
    <col min="7431" max="7676" width="8.7109375" style="201"/>
    <col min="7677" max="7677" width="39" style="201" bestFit="1" customWidth="1"/>
    <col min="7678" max="7678" width="24" style="201" bestFit="1" customWidth="1"/>
    <col min="7679" max="7679" width="23.42578125" style="201" bestFit="1" customWidth="1"/>
    <col min="7680" max="7680" width="19.28515625" style="201" customWidth="1"/>
    <col min="7681" max="7681" width="16.7109375" style="201" customWidth="1"/>
    <col min="7682" max="7682" width="17.28515625" style="201" bestFit="1" customWidth="1"/>
    <col min="7683" max="7684" width="8.7109375" style="201"/>
    <col min="7685" max="7685" width="10.42578125" style="201" customWidth="1"/>
    <col min="7686" max="7686" width="10.42578125" style="201" bestFit="1" customWidth="1"/>
    <col min="7687" max="7932" width="8.7109375" style="201"/>
    <col min="7933" max="7933" width="39" style="201" bestFit="1" customWidth="1"/>
    <col min="7934" max="7934" width="24" style="201" bestFit="1" customWidth="1"/>
    <col min="7935" max="7935" width="23.42578125" style="201" bestFit="1" customWidth="1"/>
    <col min="7936" max="7936" width="19.28515625" style="201" customWidth="1"/>
    <col min="7937" max="7937" width="16.7109375" style="201" customWidth="1"/>
    <col min="7938" max="7938" width="17.28515625" style="201" bestFit="1" customWidth="1"/>
    <col min="7939" max="7940" width="8.7109375" style="201"/>
    <col min="7941" max="7941" width="10.42578125" style="201" customWidth="1"/>
    <col min="7942" max="7942" width="10.42578125" style="201" bestFit="1" customWidth="1"/>
    <col min="7943" max="8188" width="8.7109375" style="201"/>
    <col min="8189" max="8189" width="39" style="201" bestFit="1" customWidth="1"/>
    <col min="8190" max="8190" width="24" style="201" bestFit="1" customWidth="1"/>
    <col min="8191" max="8191" width="23.42578125" style="201" bestFit="1" customWidth="1"/>
    <col min="8192" max="8192" width="19.28515625" style="201" customWidth="1"/>
    <col min="8193" max="8193" width="16.7109375" style="201" customWidth="1"/>
    <col min="8194" max="8194" width="17.28515625" style="201" bestFit="1" customWidth="1"/>
    <col min="8195" max="8196" width="8.7109375" style="201"/>
    <col min="8197" max="8197" width="10.42578125" style="201" customWidth="1"/>
    <col min="8198" max="8198" width="10.42578125" style="201" bestFit="1" customWidth="1"/>
    <col min="8199" max="8444" width="8.7109375" style="201"/>
    <col min="8445" max="8445" width="39" style="201" bestFit="1" customWidth="1"/>
    <col min="8446" max="8446" width="24" style="201" bestFit="1" customWidth="1"/>
    <col min="8447" max="8447" width="23.42578125" style="201" bestFit="1" customWidth="1"/>
    <col min="8448" max="8448" width="19.28515625" style="201" customWidth="1"/>
    <col min="8449" max="8449" width="16.7109375" style="201" customWidth="1"/>
    <col min="8450" max="8450" width="17.28515625" style="201" bestFit="1" customWidth="1"/>
    <col min="8451" max="8452" width="8.7109375" style="201"/>
    <col min="8453" max="8453" width="10.42578125" style="201" customWidth="1"/>
    <col min="8454" max="8454" width="10.42578125" style="201" bestFit="1" customWidth="1"/>
    <col min="8455" max="8700" width="8.7109375" style="201"/>
    <col min="8701" max="8701" width="39" style="201" bestFit="1" customWidth="1"/>
    <col min="8702" max="8702" width="24" style="201" bestFit="1" customWidth="1"/>
    <col min="8703" max="8703" width="23.42578125" style="201" bestFit="1" customWidth="1"/>
    <col min="8704" max="8704" width="19.28515625" style="201" customWidth="1"/>
    <col min="8705" max="8705" width="16.7109375" style="201" customWidth="1"/>
    <col min="8706" max="8706" width="17.28515625" style="201" bestFit="1" customWidth="1"/>
    <col min="8707" max="8708" width="8.7109375" style="201"/>
    <col min="8709" max="8709" width="10.42578125" style="201" customWidth="1"/>
    <col min="8710" max="8710" width="10.42578125" style="201" bestFit="1" customWidth="1"/>
    <col min="8711" max="8956" width="8.7109375" style="201"/>
    <col min="8957" max="8957" width="39" style="201" bestFit="1" customWidth="1"/>
    <col min="8958" max="8958" width="24" style="201" bestFit="1" customWidth="1"/>
    <col min="8959" max="8959" width="23.42578125" style="201" bestFit="1" customWidth="1"/>
    <col min="8960" max="8960" width="19.28515625" style="201" customWidth="1"/>
    <col min="8961" max="8961" width="16.7109375" style="201" customWidth="1"/>
    <col min="8962" max="8962" width="17.28515625" style="201" bestFit="1" customWidth="1"/>
    <col min="8963" max="8964" width="8.7109375" style="201"/>
    <col min="8965" max="8965" width="10.42578125" style="201" customWidth="1"/>
    <col min="8966" max="8966" width="10.42578125" style="201" bestFit="1" customWidth="1"/>
    <col min="8967" max="9212" width="8.7109375" style="201"/>
    <col min="9213" max="9213" width="39" style="201" bestFit="1" customWidth="1"/>
    <col min="9214" max="9214" width="24" style="201" bestFit="1" customWidth="1"/>
    <col min="9215" max="9215" width="23.42578125" style="201" bestFit="1" customWidth="1"/>
    <col min="9216" max="9216" width="19.28515625" style="201" customWidth="1"/>
    <col min="9217" max="9217" width="16.7109375" style="201" customWidth="1"/>
    <col min="9218" max="9218" width="17.28515625" style="201" bestFit="1" customWidth="1"/>
    <col min="9219" max="9220" width="8.7109375" style="201"/>
    <col min="9221" max="9221" width="10.42578125" style="201" customWidth="1"/>
    <col min="9222" max="9222" width="10.42578125" style="201" bestFit="1" customWidth="1"/>
    <col min="9223" max="9468" width="8.7109375" style="201"/>
    <col min="9469" max="9469" width="39" style="201" bestFit="1" customWidth="1"/>
    <col min="9470" max="9470" width="24" style="201" bestFit="1" customWidth="1"/>
    <col min="9471" max="9471" width="23.42578125" style="201" bestFit="1" customWidth="1"/>
    <col min="9472" max="9472" width="19.28515625" style="201" customWidth="1"/>
    <col min="9473" max="9473" width="16.7109375" style="201" customWidth="1"/>
    <col min="9474" max="9474" width="17.28515625" style="201" bestFit="1" customWidth="1"/>
    <col min="9475" max="9476" width="8.7109375" style="201"/>
    <col min="9477" max="9477" width="10.42578125" style="201" customWidth="1"/>
    <col min="9478" max="9478" width="10.42578125" style="201" bestFit="1" customWidth="1"/>
    <col min="9479" max="9724" width="8.7109375" style="201"/>
    <col min="9725" max="9725" width="39" style="201" bestFit="1" customWidth="1"/>
    <col min="9726" max="9726" width="24" style="201" bestFit="1" customWidth="1"/>
    <col min="9727" max="9727" width="23.42578125" style="201" bestFit="1" customWidth="1"/>
    <col min="9728" max="9728" width="19.28515625" style="201" customWidth="1"/>
    <col min="9729" max="9729" width="16.7109375" style="201" customWidth="1"/>
    <col min="9730" max="9730" width="17.28515625" style="201" bestFit="1" customWidth="1"/>
    <col min="9731" max="9732" width="8.7109375" style="201"/>
    <col min="9733" max="9733" width="10.42578125" style="201" customWidth="1"/>
    <col min="9734" max="9734" width="10.42578125" style="201" bestFit="1" customWidth="1"/>
    <col min="9735" max="9980" width="8.7109375" style="201"/>
    <col min="9981" max="9981" width="39" style="201" bestFit="1" customWidth="1"/>
    <col min="9982" max="9982" width="24" style="201" bestFit="1" customWidth="1"/>
    <col min="9983" max="9983" width="23.42578125" style="201" bestFit="1" customWidth="1"/>
    <col min="9984" max="9984" width="19.28515625" style="201" customWidth="1"/>
    <col min="9985" max="9985" width="16.7109375" style="201" customWidth="1"/>
    <col min="9986" max="9986" width="17.28515625" style="201" bestFit="1" customWidth="1"/>
    <col min="9987" max="9988" width="8.7109375" style="201"/>
    <col min="9989" max="9989" width="10.42578125" style="201" customWidth="1"/>
    <col min="9990" max="9990" width="10.42578125" style="201" bestFit="1" customWidth="1"/>
    <col min="9991" max="10236" width="8.7109375" style="201"/>
    <col min="10237" max="10237" width="39" style="201" bestFit="1" customWidth="1"/>
    <col min="10238" max="10238" width="24" style="201" bestFit="1" customWidth="1"/>
    <col min="10239" max="10239" width="23.42578125" style="201" bestFit="1" customWidth="1"/>
    <col min="10240" max="10240" width="19.28515625" style="201" customWidth="1"/>
    <col min="10241" max="10241" width="16.7109375" style="201" customWidth="1"/>
    <col min="10242" max="10242" width="17.28515625" style="201" bestFit="1" customWidth="1"/>
    <col min="10243" max="10244" width="8.7109375" style="201"/>
    <col min="10245" max="10245" width="10.42578125" style="201" customWidth="1"/>
    <col min="10246" max="10246" width="10.42578125" style="201" bestFit="1" customWidth="1"/>
    <col min="10247" max="10492" width="8.7109375" style="201"/>
    <col min="10493" max="10493" width="39" style="201" bestFit="1" customWidth="1"/>
    <col min="10494" max="10494" width="24" style="201" bestFit="1" customWidth="1"/>
    <col min="10495" max="10495" width="23.42578125" style="201" bestFit="1" customWidth="1"/>
    <col min="10496" max="10496" width="19.28515625" style="201" customWidth="1"/>
    <col min="10497" max="10497" width="16.7109375" style="201" customWidth="1"/>
    <col min="10498" max="10498" width="17.28515625" style="201" bestFit="1" customWidth="1"/>
    <col min="10499" max="10500" width="8.7109375" style="201"/>
    <col min="10501" max="10501" width="10.42578125" style="201" customWidth="1"/>
    <col min="10502" max="10502" width="10.42578125" style="201" bestFit="1" customWidth="1"/>
    <col min="10503" max="10748" width="8.7109375" style="201"/>
    <col min="10749" max="10749" width="39" style="201" bestFit="1" customWidth="1"/>
    <col min="10750" max="10750" width="24" style="201" bestFit="1" customWidth="1"/>
    <col min="10751" max="10751" width="23.42578125" style="201" bestFit="1" customWidth="1"/>
    <col min="10752" max="10752" width="19.28515625" style="201" customWidth="1"/>
    <col min="10753" max="10753" width="16.7109375" style="201" customWidth="1"/>
    <col min="10754" max="10754" width="17.28515625" style="201" bestFit="1" customWidth="1"/>
    <col min="10755" max="10756" width="8.7109375" style="201"/>
    <col min="10757" max="10757" width="10.42578125" style="201" customWidth="1"/>
    <col min="10758" max="10758" width="10.42578125" style="201" bestFit="1" customWidth="1"/>
    <col min="10759" max="11004" width="8.7109375" style="201"/>
    <col min="11005" max="11005" width="39" style="201" bestFit="1" customWidth="1"/>
    <col min="11006" max="11006" width="24" style="201" bestFit="1" customWidth="1"/>
    <col min="11007" max="11007" width="23.42578125" style="201" bestFit="1" customWidth="1"/>
    <col min="11008" max="11008" width="19.28515625" style="201" customWidth="1"/>
    <col min="11009" max="11009" width="16.7109375" style="201" customWidth="1"/>
    <col min="11010" max="11010" width="17.28515625" style="201" bestFit="1" customWidth="1"/>
    <col min="11011" max="11012" width="8.7109375" style="201"/>
    <col min="11013" max="11013" width="10.42578125" style="201" customWidth="1"/>
    <col min="11014" max="11014" width="10.42578125" style="201" bestFit="1" customWidth="1"/>
    <col min="11015" max="11260" width="8.7109375" style="201"/>
    <col min="11261" max="11261" width="39" style="201" bestFit="1" customWidth="1"/>
    <col min="11262" max="11262" width="24" style="201" bestFit="1" customWidth="1"/>
    <col min="11263" max="11263" width="23.42578125" style="201" bestFit="1" customWidth="1"/>
    <col min="11264" max="11264" width="19.28515625" style="201" customWidth="1"/>
    <col min="11265" max="11265" width="16.7109375" style="201" customWidth="1"/>
    <col min="11266" max="11266" width="17.28515625" style="201" bestFit="1" customWidth="1"/>
    <col min="11267" max="11268" width="8.7109375" style="201"/>
    <col min="11269" max="11269" width="10.42578125" style="201" customWidth="1"/>
    <col min="11270" max="11270" width="10.42578125" style="201" bestFit="1" customWidth="1"/>
    <col min="11271" max="11516" width="8.7109375" style="201"/>
    <col min="11517" max="11517" width="39" style="201" bestFit="1" customWidth="1"/>
    <col min="11518" max="11518" width="24" style="201" bestFit="1" customWidth="1"/>
    <col min="11519" max="11519" width="23.42578125" style="201" bestFit="1" customWidth="1"/>
    <col min="11520" max="11520" width="19.28515625" style="201" customWidth="1"/>
    <col min="11521" max="11521" width="16.7109375" style="201" customWidth="1"/>
    <col min="11522" max="11522" width="17.28515625" style="201" bestFit="1" customWidth="1"/>
    <col min="11523" max="11524" width="8.7109375" style="201"/>
    <col min="11525" max="11525" width="10.42578125" style="201" customWidth="1"/>
    <col min="11526" max="11526" width="10.42578125" style="201" bestFit="1" customWidth="1"/>
    <col min="11527" max="11772" width="8.7109375" style="201"/>
    <col min="11773" max="11773" width="39" style="201" bestFit="1" customWidth="1"/>
    <col min="11774" max="11774" width="24" style="201" bestFit="1" customWidth="1"/>
    <col min="11775" max="11775" width="23.42578125" style="201" bestFit="1" customWidth="1"/>
    <col min="11776" max="11776" width="19.28515625" style="201" customWidth="1"/>
    <col min="11777" max="11777" width="16.7109375" style="201" customWidth="1"/>
    <col min="11778" max="11778" width="17.28515625" style="201" bestFit="1" customWidth="1"/>
    <col min="11779" max="11780" width="8.7109375" style="201"/>
    <col min="11781" max="11781" width="10.42578125" style="201" customWidth="1"/>
    <col min="11782" max="11782" width="10.42578125" style="201" bestFit="1" customWidth="1"/>
    <col min="11783" max="12028" width="8.7109375" style="201"/>
    <col min="12029" max="12029" width="39" style="201" bestFit="1" customWidth="1"/>
    <col min="12030" max="12030" width="24" style="201" bestFit="1" customWidth="1"/>
    <col min="12031" max="12031" width="23.42578125" style="201" bestFit="1" customWidth="1"/>
    <col min="12032" max="12032" width="19.28515625" style="201" customWidth="1"/>
    <col min="12033" max="12033" width="16.7109375" style="201" customWidth="1"/>
    <col min="12034" max="12034" width="17.28515625" style="201" bestFit="1" customWidth="1"/>
    <col min="12035" max="12036" width="8.7109375" style="201"/>
    <col min="12037" max="12037" width="10.42578125" style="201" customWidth="1"/>
    <col min="12038" max="12038" width="10.42578125" style="201" bestFit="1" customWidth="1"/>
    <col min="12039" max="12284" width="8.7109375" style="201"/>
    <col min="12285" max="12285" width="39" style="201" bestFit="1" customWidth="1"/>
    <col min="12286" max="12286" width="24" style="201" bestFit="1" customWidth="1"/>
    <col min="12287" max="12287" width="23.42578125" style="201" bestFit="1" customWidth="1"/>
    <col min="12288" max="12288" width="19.28515625" style="201" customWidth="1"/>
    <col min="12289" max="12289" width="16.7109375" style="201" customWidth="1"/>
    <col min="12290" max="12290" width="17.28515625" style="201" bestFit="1" customWidth="1"/>
    <col min="12291" max="12292" width="8.7109375" style="201"/>
    <col min="12293" max="12293" width="10.42578125" style="201" customWidth="1"/>
    <col min="12294" max="12294" width="10.42578125" style="201" bestFit="1" customWidth="1"/>
    <col min="12295" max="12540" width="8.7109375" style="201"/>
    <col min="12541" max="12541" width="39" style="201" bestFit="1" customWidth="1"/>
    <col min="12542" max="12542" width="24" style="201" bestFit="1" customWidth="1"/>
    <col min="12543" max="12543" width="23.42578125" style="201" bestFit="1" customWidth="1"/>
    <col min="12544" max="12544" width="19.28515625" style="201" customWidth="1"/>
    <col min="12545" max="12545" width="16.7109375" style="201" customWidth="1"/>
    <col min="12546" max="12546" width="17.28515625" style="201" bestFit="1" customWidth="1"/>
    <col min="12547" max="12548" width="8.7109375" style="201"/>
    <col min="12549" max="12549" width="10.42578125" style="201" customWidth="1"/>
    <col min="12550" max="12550" width="10.42578125" style="201" bestFit="1" customWidth="1"/>
    <col min="12551" max="12796" width="8.7109375" style="201"/>
    <col min="12797" max="12797" width="39" style="201" bestFit="1" customWidth="1"/>
    <col min="12798" max="12798" width="24" style="201" bestFit="1" customWidth="1"/>
    <col min="12799" max="12799" width="23.42578125" style="201" bestFit="1" customWidth="1"/>
    <col min="12800" max="12800" width="19.28515625" style="201" customWidth="1"/>
    <col min="12801" max="12801" width="16.7109375" style="201" customWidth="1"/>
    <col min="12802" max="12802" width="17.28515625" style="201" bestFit="1" customWidth="1"/>
    <col min="12803" max="12804" width="8.7109375" style="201"/>
    <col min="12805" max="12805" width="10.42578125" style="201" customWidth="1"/>
    <col min="12806" max="12806" width="10.42578125" style="201" bestFit="1" customWidth="1"/>
    <col min="12807" max="13052" width="8.7109375" style="201"/>
    <col min="13053" max="13053" width="39" style="201" bestFit="1" customWidth="1"/>
    <col min="13054" max="13054" width="24" style="201" bestFit="1" customWidth="1"/>
    <col min="13055" max="13055" width="23.42578125" style="201" bestFit="1" customWidth="1"/>
    <col min="13056" max="13056" width="19.28515625" style="201" customWidth="1"/>
    <col min="13057" max="13057" width="16.7109375" style="201" customWidth="1"/>
    <col min="13058" max="13058" width="17.28515625" style="201" bestFit="1" customWidth="1"/>
    <col min="13059" max="13060" width="8.7109375" style="201"/>
    <col min="13061" max="13061" width="10.42578125" style="201" customWidth="1"/>
    <col min="13062" max="13062" width="10.42578125" style="201" bestFit="1" customWidth="1"/>
    <col min="13063" max="13308" width="8.7109375" style="201"/>
    <col min="13309" max="13309" width="39" style="201" bestFit="1" customWidth="1"/>
    <col min="13310" max="13310" width="24" style="201" bestFit="1" customWidth="1"/>
    <col min="13311" max="13311" width="23.42578125" style="201" bestFit="1" customWidth="1"/>
    <col min="13312" max="13312" width="19.28515625" style="201" customWidth="1"/>
    <col min="13313" max="13313" width="16.7109375" style="201" customWidth="1"/>
    <col min="13314" max="13314" width="17.28515625" style="201" bestFit="1" customWidth="1"/>
    <col min="13315" max="13316" width="8.7109375" style="201"/>
    <col min="13317" max="13317" width="10.42578125" style="201" customWidth="1"/>
    <col min="13318" max="13318" width="10.42578125" style="201" bestFit="1" customWidth="1"/>
    <col min="13319" max="13564" width="8.7109375" style="201"/>
    <col min="13565" max="13565" width="39" style="201" bestFit="1" customWidth="1"/>
    <col min="13566" max="13566" width="24" style="201" bestFit="1" customWidth="1"/>
    <col min="13567" max="13567" width="23.42578125" style="201" bestFit="1" customWidth="1"/>
    <col min="13568" max="13568" width="19.28515625" style="201" customWidth="1"/>
    <col min="13569" max="13569" width="16.7109375" style="201" customWidth="1"/>
    <col min="13570" max="13570" width="17.28515625" style="201" bestFit="1" customWidth="1"/>
    <col min="13571" max="13572" width="8.7109375" style="201"/>
    <col min="13573" max="13573" width="10.42578125" style="201" customWidth="1"/>
    <col min="13574" max="13574" width="10.42578125" style="201" bestFit="1" customWidth="1"/>
    <col min="13575" max="13820" width="8.7109375" style="201"/>
    <col min="13821" max="13821" width="39" style="201" bestFit="1" customWidth="1"/>
    <col min="13822" max="13822" width="24" style="201" bestFit="1" customWidth="1"/>
    <col min="13823" max="13823" width="23.42578125" style="201" bestFit="1" customWidth="1"/>
    <col min="13824" max="13824" width="19.28515625" style="201" customWidth="1"/>
    <col min="13825" max="13825" width="16.7109375" style="201" customWidth="1"/>
    <col min="13826" max="13826" width="17.28515625" style="201" bestFit="1" customWidth="1"/>
    <col min="13827" max="13828" width="8.7109375" style="201"/>
    <col min="13829" max="13829" width="10.42578125" style="201" customWidth="1"/>
    <col min="13830" max="13830" width="10.42578125" style="201" bestFit="1" customWidth="1"/>
    <col min="13831" max="14076" width="8.7109375" style="201"/>
    <col min="14077" max="14077" width="39" style="201" bestFit="1" customWidth="1"/>
    <col min="14078" max="14078" width="24" style="201" bestFit="1" customWidth="1"/>
    <col min="14079" max="14079" width="23.42578125" style="201" bestFit="1" customWidth="1"/>
    <col min="14080" max="14080" width="19.28515625" style="201" customWidth="1"/>
    <col min="14081" max="14081" width="16.7109375" style="201" customWidth="1"/>
    <col min="14082" max="14082" width="17.28515625" style="201" bestFit="1" customWidth="1"/>
    <col min="14083" max="14084" width="8.7109375" style="201"/>
    <col min="14085" max="14085" width="10.42578125" style="201" customWidth="1"/>
    <col min="14086" max="14086" width="10.42578125" style="201" bestFit="1" customWidth="1"/>
    <col min="14087" max="14332" width="8.7109375" style="201"/>
    <col min="14333" max="14333" width="39" style="201" bestFit="1" customWidth="1"/>
    <col min="14334" max="14334" width="24" style="201" bestFit="1" customWidth="1"/>
    <col min="14335" max="14335" width="23.42578125" style="201" bestFit="1" customWidth="1"/>
    <col min="14336" max="14336" width="19.28515625" style="201" customWidth="1"/>
    <col min="14337" max="14337" width="16.7109375" style="201" customWidth="1"/>
    <col min="14338" max="14338" width="17.28515625" style="201" bestFit="1" customWidth="1"/>
    <col min="14339" max="14340" width="8.7109375" style="201"/>
    <col min="14341" max="14341" width="10.42578125" style="201" customWidth="1"/>
    <col min="14342" max="14342" width="10.42578125" style="201" bestFit="1" customWidth="1"/>
    <col min="14343" max="14588" width="8.7109375" style="201"/>
    <col min="14589" max="14589" width="39" style="201" bestFit="1" customWidth="1"/>
    <col min="14590" max="14590" width="24" style="201" bestFit="1" customWidth="1"/>
    <col min="14591" max="14591" width="23.42578125" style="201" bestFit="1" customWidth="1"/>
    <col min="14592" max="14592" width="19.28515625" style="201" customWidth="1"/>
    <col min="14593" max="14593" width="16.7109375" style="201" customWidth="1"/>
    <col min="14594" max="14594" width="17.28515625" style="201" bestFit="1" customWidth="1"/>
    <col min="14595" max="14596" width="8.7109375" style="201"/>
    <col min="14597" max="14597" width="10.42578125" style="201" customWidth="1"/>
    <col min="14598" max="14598" width="10.42578125" style="201" bestFit="1" customWidth="1"/>
    <col min="14599" max="14844" width="8.7109375" style="201"/>
    <col min="14845" max="14845" width="39" style="201" bestFit="1" customWidth="1"/>
    <col min="14846" max="14846" width="24" style="201" bestFit="1" customWidth="1"/>
    <col min="14847" max="14847" width="23.42578125" style="201" bestFit="1" customWidth="1"/>
    <col min="14848" max="14848" width="19.28515625" style="201" customWidth="1"/>
    <col min="14849" max="14849" width="16.7109375" style="201" customWidth="1"/>
    <col min="14850" max="14850" width="17.28515625" style="201" bestFit="1" customWidth="1"/>
    <col min="14851" max="14852" width="8.7109375" style="201"/>
    <col min="14853" max="14853" width="10.42578125" style="201" customWidth="1"/>
    <col min="14854" max="14854" width="10.42578125" style="201" bestFit="1" customWidth="1"/>
    <col min="14855" max="15100" width="8.7109375" style="201"/>
    <col min="15101" max="15101" width="39" style="201" bestFit="1" customWidth="1"/>
    <col min="15102" max="15102" width="24" style="201" bestFit="1" customWidth="1"/>
    <col min="15103" max="15103" width="23.42578125" style="201" bestFit="1" customWidth="1"/>
    <col min="15104" max="15104" width="19.28515625" style="201" customWidth="1"/>
    <col min="15105" max="15105" width="16.7109375" style="201" customWidth="1"/>
    <col min="15106" max="15106" width="17.28515625" style="201" bestFit="1" customWidth="1"/>
    <col min="15107" max="15108" width="8.7109375" style="201"/>
    <col min="15109" max="15109" width="10.42578125" style="201" customWidth="1"/>
    <col min="15110" max="15110" width="10.42578125" style="201" bestFit="1" customWidth="1"/>
    <col min="15111" max="15356" width="8.7109375" style="201"/>
    <col min="15357" max="15357" width="39" style="201" bestFit="1" customWidth="1"/>
    <col min="15358" max="15358" width="24" style="201" bestFit="1" customWidth="1"/>
    <col min="15359" max="15359" width="23.42578125" style="201" bestFit="1" customWidth="1"/>
    <col min="15360" max="15360" width="19.28515625" style="201" customWidth="1"/>
    <col min="15361" max="15361" width="16.7109375" style="201" customWidth="1"/>
    <col min="15362" max="15362" width="17.28515625" style="201" bestFit="1" customWidth="1"/>
    <col min="15363" max="15364" width="8.7109375" style="201"/>
    <col min="15365" max="15365" width="10.42578125" style="201" customWidth="1"/>
    <col min="15366" max="15366" width="10.42578125" style="201" bestFit="1" customWidth="1"/>
    <col min="15367" max="15612" width="8.7109375" style="201"/>
    <col min="15613" max="15613" width="39" style="201" bestFit="1" customWidth="1"/>
    <col min="15614" max="15614" width="24" style="201" bestFit="1" customWidth="1"/>
    <col min="15615" max="15615" width="23.42578125" style="201" bestFit="1" customWidth="1"/>
    <col min="15616" max="15616" width="19.28515625" style="201" customWidth="1"/>
    <col min="15617" max="15617" width="16.7109375" style="201" customWidth="1"/>
    <col min="15618" max="15618" width="17.28515625" style="201" bestFit="1" customWidth="1"/>
    <col min="15619" max="15620" width="8.7109375" style="201"/>
    <col min="15621" max="15621" width="10.42578125" style="201" customWidth="1"/>
    <col min="15622" max="15622" width="10.42578125" style="201" bestFit="1" customWidth="1"/>
    <col min="15623" max="15868" width="8.7109375" style="201"/>
    <col min="15869" max="15869" width="39" style="201" bestFit="1" customWidth="1"/>
    <col min="15870" max="15870" width="24" style="201" bestFit="1" customWidth="1"/>
    <col min="15871" max="15871" width="23.42578125" style="201" bestFit="1" customWidth="1"/>
    <col min="15872" max="15872" width="19.28515625" style="201" customWidth="1"/>
    <col min="15873" max="15873" width="16.7109375" style="201" customWidth="1"/>
    <col min="15874" max="15874" width="17.28515625" style="201" bestFit="1" customWidth="1"/>
    <col min="15875" max="15876" width="8.7109375" style="201"/>
    <col min="15877" max="15877" width="10.42578125" style="201" customWidth="1"/>
    <col min="15878" max="15878" width="10.42578125" style="201" bestFit="1" customWidth="1"/>
    <col min="15879" max="16124" width="8.7109375" style="201"/>
    <col min="16125" max="16125" width="39" style="201" bestFit="1" customWidth="1"/>
    <col min="16126" max="16126" width="24" style="201" bestFit="1" customWidth="1"/>
    <col min="16127" max="16127" width="23.42578125" style="201" bestFit="1" customWidth="1"/>
    <col min="16128" max="16128" width="19.28515625" style="201" customWidth="1"/>
    <col min="16129" max="16129" width="16.7109375" style="201" customWidth="1"/>
    <col min="16130" max="16130" width="17.28515625" style="201" bestFit="1" customWidth="1"/>
    <col min="16131" max="16132" width="8.7109375" style="201"/>
    <col min="16133" max="16133" width="10.42578125" style="201" customWidth="1"/>
    <col min="16134" max="16134" width="10.42578125" style="201" bestFit="1" customWidth="1"/>
    <col min="16135" max="16380" width="8.7109375" style="201"/>
    <col min="16381" max="16384" width="9.28515625" style="201" customWidth="1"/>
  </cols>
  <sheetData>
    <row r="1" spans="1:6" ht="20.25" x14ac:dyDescent="0.3">
      <c r="A1" s="572" t="s">
        <v>221</v>
      </c>
      <c r="B1" s="572"/>
      <c r="C1" s="572"/>
      <c r="D1" s="572"/>
      <c r="E1" s="572"/>
      <c r="F1" s="572"/>
    </row>
    <row r="3" spans="1:6" x14ac:dyDescent="0.25">
      <c r="D3" s="202" t="s">
        <v>222</v>
      </c>
      <c r="E3" s="203">
        <v>25687.439999999999</v>
      </c>
    </row>
    <row r="4" spans="1:6" x14ac:dyDescent="0.25">
      <c r="D4" s="202" t="s">
        <v>223</v>
      </c>
      <c r="E4" s="204">
        <v>2026</v>
      </c>
    </row>
    <row r="6" spans="1:6" ht="31.15" customHeight="1" x14ac:dyDescent="0.25">
      <c r="A6" s="205" t="s">
        <v>224</v>
      </c>
      <c r="B6" s="205" t="s">
        <v>225</v>
      </c>
      <c r="C6" s="205" t="s">
        <v>226</v>
      </c>
      <c r="D6" s="205" t="s">
        <v>227</v>
      </c>
      <c r="E6" s="205" t="s">
        <v>228</v>
      </c>
      <c r="F6" s="206">
        <v>0.09</v>
      </c>
    </row>
    <row r="7" spans="1:6" ht="90" x14ac:dyDescent="0.25">
      <c r="A7" s="207" t="s">
        <v>229</v>
      </c>
      <c r="B7" s="208">
        <v>2021</v>
      </c>
      <c r="C7" s="209">
        <v>37790512.219999999</v>
      </c>
      <c r="D7" s="210">
        <f>IF((OR($E$4-B7=1,$E$4-B7=2,$E$4-B7=3)),100%,IF($E$4-B7=4,66%,IF($E$4-B7=5,33%,0)))</f>
        <v>0.33</v>
      </c>
      <c r="E7" s="211">
        <f>C7*D7</f>
        <v>12470869.029999999</v>
      </c>
      <c r="F7" s="211">
        <f>E7*F$6</f>
        <v>1122378.21</v>
      </c>
    </row>
    <row r="8" spans="1:6" ht="90" x14ac:dyDescent="0.25">
      <c r="A8" s="207" t="s">
        <v>230</v>
      </c>
      <c r="B8" s="208">
        <v>2023</v>
      </c>
      <c r="C8" s="209">
        <v>47292964.189999998</v>
      </c>
      <c r="D8" s="210">
        <f>IF((OR($E$4-B8=1,$E$4-B8=2,$E$4-B8=3)),100%,IF($E$4-B8=4,66%,IF($E$4-B8=5,33%,0)))</f>
        <v>1</v>
      </c>
      <c r="E8" s="211">
        <f>C8*D8</f>
        <v>47292964.189999998</v>
      </c>
      <c r="F8" s="211">
        <f>E8*F$6</f>
        <v>4256366.78</v>
      </c>
    </row>
    <row r="9" spans="1:6" x14ac:dyDescent="0.25">
      <c r="A9" s="207"/>
      <c r="B9" s="208"/>
      <c r="C9" s="212"/>
      <c r="D9" s="210">
        <f>IF((OR($E$4-B9=1,$E$4-B9=2,$E$4-B9=3)),100%,IF($E$4-B9=4,66%,IF($E$4-B9=5,33%,0)))</f>
        <v>0</v>
      </c>
      <c r="E9" s="211">
        <f>C9*D9</f>
        <v>0</v>
      </c>
      <c r="F9" s="211">
        <f>E9*F$6</f>
        <v>0</v>
      </c>
    </row>
    <row r="10" spans="1:6" x14ac:dyDescent="0.25">
      <c r="A10" s="213" t="s">
        <v>101</v>
      </c>
      <c r="B10" s="214"/>
      <c r="C10" s="214"/>
      <c r="D10" s="214"/>
      <c r="E10" s="215">
        <f>SUM(E7:E9)</f>
        <v>59763833.219999999</v>
      </c>
      <c r="F10" s="215">
        <f>SUM(F7:F9)</f>
        <v>5378744.9900000002</v>
      </c>
    </row>
    <row r="11" spans="1:6" x14ac:dyDescent="0.25">
      <c r="F11" s="216"/>
    </row>
    <row r="12" spans="1:6" x14ac:dyDescent="0.25">
      <c r="E12" s="202" t="s">
        <v>231</v>
      </c>
      <c r="F12" s="217">
        <f>ROUNDDOWN(F10/E3,0)</f>
        <v>209</v>
      </c>
    </row>
    <row r="13" spans="1:6" x14ac:dyDescent="0.25">
      <c r="F13" s="216"/>
    </row>
    <row r="15" spans="1:6" s="218" customFormat="1" ht="48" customHeight="1" x14ac:dyDescent="0.3">
      <c r="A15" s="573"/>
      <c r="B15" s="574"/>
      <c r="C15" s="574"/>
      <c r="D15" s="574"/>
      <c r="E15" s="574"/>
      <c r="F15" s="574"/>
    </row>
    <row r="16" spans="1:6" ht="33" customHeight="1" x14ac:dyDescent="0.25">
      <c r="A16" s="568" t="s">
        <v>151</v>
      </c>
      <c r="B16" s="568"/>
      <c r="C16" s="568"/>
      <c r="D16" s="219"/>
      <c r="E16" s="219"/>
      <c r="F16" s="220" t="s">
        <v>152</v>
      </c>
    </row>
    <row r="17" spans="1:6" ht="37.5" customHeight="1" x14ac:dyDescent="0.25">
      <c r="A17" s="575" t="s">
        <v>153</v>
      </c>
      <c r="B17" s="575"/>
      <c r="C17" s="575"/>
      <c r="D17" s="220"/>
      <c r="E17" s="220"/>
      <c r="F17" s="220" t="s">
        <v>154</v>
      </c>
    </row>
    <row r="18" spans="1:6" x14ac:dyDescent="0.25">
      <c r="B18" s="221"/>
      <c r="C18" s="222"/>
      <c r="D18" s="222"/>
      <c r="E18" s="223"/>
    </row>
    <row r="19" spans="1:6" x14ac:dyDescent="0.25">
      <c r="B19" s="221"/>
      <c r="C19" s="222"/>
      <c r="D19" s="222"/>
      <c r="E19" s="223"/>
    </row>
    <row r="20" spans="1:6" x14ac:dyDescent="0.25">
      <c r="B20" s="221"/>
      <c r="D20" s="222"/>
      <c r="E20" s="222"/>
    </row>
  </sheetData>
  <mergeCells count="4">
    <mergeCell ref="A1:F1"/>
    <mergeCell ref="A15:F15"/>
    <mergeCell ref="A16:C16"/>
    <mergeCell ref="A17:C1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AMJ8"/>
  <sheetViews>
    <sheetView tabSelected="1" view="pageBreakPreview" zoomScale="60" zoomScaleNormal="100" workbookViewId="0">
      <selection activeCell="Z6" sqref="Z6"/>
    </sheetView>
  </sheetViews>
  <sheetFormatPr defaultColWidth="9.140625" defaultRowHeight="12.75" x14ac:dyDescent="0.2"/>
  <cols>
    <col min="1" max="1" width="9.140625" style="159"/>
    <col min="2" max="2" width="34.85546875" style="159" customWidth="1"/>
    <col min="3" max="3" width="14.5703125" style="159" customWidth="1"/>
    <col min="4" max="1024" width="9.140625" style="159"/>
    <col min="1025" max="16384" width="9.140625" style="156"/>
  </cols>
  <sheetData>
    <row r="3" spans="2:6" ht="30" customHeight="1" x14ac:dyDescent="0.2">
      <c r="B3" s="224" t="s">
        <v>268</v>
      </c>
      <c r="C3" s="183" t="s">
        <v>234</v>
      </c>
      <c r="D3" s="183" t="s">
        <v>269</v>
      </c>
      <c r="E3" s="183" t="s">
        <v>270</v>
      </c>
      <c r="F3" s="183" t="s">
        <v>271</v>
      </c>
    </row>
    <row r="4" spans="2:6" ht="45" customHeight="1" x14ac:dyDescent="0.2">
      <c r="B4" s="231" t="s">
        <v>272</v>
      </c>
      <c r="C4" s="183" t="s">
        <v>273</v>
      </c>
      <c r="D4" s="183">
        <v>1.25</v>
      </c>
      <c r="E4" s="183">
        <v>1.1000000000000001</v>
      </c>
      <c r="F4" s="183">
        <v>1</v>
      </c>
    </row>
    <row r="5" spans="2:6" ht="45" customHeight="1" x14ac:dyDescent="0.2">
      <c r="B5" s="231" t="s">
        <v>274</v>
      </c>
      <c r="C5" s="183" t="s">
        <v>275</v>
      </c>
      <c r="D5" s="183">
        <v>1.25</v>
      </c>
      <c r="E5" s="183">
        <v>1.1000000000000001</v>
      </c>
      <c r="F5" s="183">
        <v>1</v>
      </c>
    </row>
    <row r="6" spans="2:6" ht="75" customHeight="1" x14ac:dyDescent="0.2">
      <c r="B6" s="231" t="s">
        <v>276</v>
      </c>
      <c r="C6" s="183" t="s">
        <v>277</v>
      </c>
      <c r="D6" s="183">
        <v>1.25</v>
      </c>
      <c r="E6" s="183">
        <v>1.1000000000000001</v>
      </c>
      <c r="F6" s="183">
        <v>1</v>
      </c>
    </row>
    <row r="7" spans="2:6" ht="45" customHeight="1" x14ac:dyDescent="0.2">
      <c r="B7" s="231" t="s">
        <v>278</v>
      </c>
      <c r="C7" s="183" t="s">
        <v>279</v>
      </c>
      <c r="D7" s="183">
        <v>1.1499999999999999</v>
      </c>
      <c r="E7" s="183">
        <v>1.1000000000000001</v>
      </c>
      <c r="F7" s="183">
        <v>1</v>
      </c>
    </row>
    <row r="8" spans="2:6" ht="45" customHeight="1" x14ac:dyDescent="0.2">
      <c r="B8" s="231" t="s">
        <v>280</v>
      </c>
      <c r="C8" s="183" t="s">
        <v>281</v>
      </c>
      <c r="D8" s="183">
        <v>1.1499999999999999</v>
      </c>
      <c r="E8" s="183">
        <v>1.1000000000000001</v>
      </c>
      <c r="F8" s="183">
        <v>1</v>
      </c>
    </row>
  </sheetData>
  <sheetProtection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51180555555554996" footer="0.51180555555554996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12</vt:i4>
      </vt:variant>
    </vt:vector>
  </HeadingPairs>
  <TitlesOfParts>
    <vt:vector size="27" baseType="lpstr">
      <vt:lpstr>Свод по годам</vt:lpstr>
      <vt:lpstr>Свод по этапам</vt:lpstr>
      <vt:lpstr>Свод</vt:lpstr>
      <vt:lpstr>Функции</vt:lpstr>
      <vt:lpstr>Трудоемкость</vt:lpstr>
      <vt:lpstr>Расчет развития</vt:lpstr>
      <vt:lpstr>Коэффициенты</vt:lpstr>
      <vt:lpstr>Показатели для расчета НМЦК</vt:lpstr>
      <vt:lpstr>2.Свод сопровод</vt:lpstr>
      <vt:lpstr>2.Расчет_сопровод</vt:lpstr>
      <vt:lpstr>2.Коэф_и_показатели</vt:lpstr>
      <vt:lpstr>2.Услуги</vt:lpstr>
      <vt:lpstr>2.СтоимостьЕдТрудоемкости</vt:lpstr>
      <vt:lpstr>2.Расчет АдапСопр</vt:lpstr>
      <vt:lpstr>2.SLA</vt:lpstr>
      <vt:lpstr>Трудоемкость!Заголовки_для_печати</vt:lpstr>
      <vt:lpstr>'2.SLA'!Область_печати</vt:lpstr>
      <vt:lpstr>'2.Расчет АдапСопр'!Область_печати</vt:lpstr>
      <vt:lpstr>'2.Расчет_сопровод'!Область_печати</vt:lpstr>
      <vt:lpstr>'2.Свод сопровод'!Область_печати</vt:lpstr>
      <vt:lpstr>'2.Услуги'!Область_печати</vt:lpstr>
      <vt:lpstr>Коэффициенты!Область_печати</vt:lpstr>
      <vt:lpstr>'Показатели для расчета НМЦК'!Область_печати</vt:lpstr>
      <vt:lpstr>'Расчет развития'!Область_печати</vt:lpstr>
      <vt:lpstr>'Свод по этапам'!Область_печати</vt:lpstr>
      <vt:lpstr>Трудоемкость!Область_печати</vt:lpstr>
      <vt:lpstr>Функции!Область_печати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Онопко Екатерина Александровна</dc:creator>
  <cp:lastModifiedBy>Путро Дмитрий Васильевич</cp:lastModifiedBy>
  <cp:lastPrinted>2026-09-08T08:50:09Z</cp:lastPrinted>
  <dcterms:created xsi:type="dcterms:W3CDTF">2004-05-16T18:44:46Z</dcterms:created>
  <dcterms:modified xsi:type="dcterms:W3CDTF">2026-09-08T08:58:53Z</dcterms:modified>
</cp:coreProperties>
</file>