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8_{775EB681-65F0-4013-BF8C-6E9E169738FA}" xr6:coauthVersionLast="36" xr6:coauthVersionMax="36" xr10:uidLastSave="{00000000-0000-0000-0000-000000000000}"/>
  <bookViews>
    <workbookView xWindow="0" yWindow="0" windowWidth="28800" windowHeight="12228" tabRatio="661" firstSheet="1" activeTab="2" xr2:uid="{00000000-000D-0000-FFFF-FFFF00000000}"/>
  </bookViews>
  <sheets>
    <sheet name="2.1.Титул" sheetId="13" r:id="rId1"/>
    <sheet name="2.2. НМЦК_затратный" sheetId="6" r:id="rId2"/>
    <sheet name="2.3. НМЦК_Реестра" sheetId="9" r:id="rId3"/>
    <sheet name="2.4. ОКВЭД 62.0. " sheetId="18" r:id="rId4"/>
    <sheet name="2.5. Свод по годам" sheetId="11" r:id="rId5"/>
  </sheets>
  <definedNames>
    <definedName name="_ftn1" localSheetId="1">'2.2. НМЦК_затратный'!#REF!</definedName>
    <definedName name="_ftn1" localSheetId="2">'2.3. НМЦК_Реестра'!#REF!</definedName>
    <definedName name="_ftn1" localSheetId="3">'2.4. ОКВЭД 62.0. '!#REF!</definedName>
    <definedName name="_ftn3" localSheetId="3">'2.4. ОКВЭД 62.0. '!#REF!</definedName>
    <definedName name="_ftnref1" localSheetId="1">'2.2. НМЦК_затратный'!#REF!</definedName>
    <definedName name="_ftnref1" localSheetId="2">'2.3. НМЦК_Реестра'!#REF!</definedName>
    <definedName name="_ftnref3" localSheetId="3">'2.4. ОКВЭД 62.0. '!#REF!</definedName>
    <definedName name="_Hlk108017185" localSheetId="2">'2.3. НМЦК_Реестра'!#REF!</definedName>
    <definedName name="_Hlk108017208" localSheetId="2">'2.3. НМЦК_Реестра'!#REF!</definedName>
    <definedName name="_xlnm._FilterDatabase" localSheetId="1" hidden="1">'2.2. НМЦК_затратный'!$A$2:$K$7</definedName>
    <definedName name="_xlnm._FilterDatabase" localSheetId="2" hidden="1">'2.3. НМЦК_Реестра'!$A$45:$F$50</definedName>
    <definedName name="EUR">#REF!</definedName>
    <definedName name="KR">#REF!</definedName>
    <definedName name="KZ">#REF!</definedName>
    <definedName name="OLE_LINK3" localSheetId="2">'2.3. НМЦК_Реестра'!#REF!</definedName>
    <definedName name="USD">#REF!</definedName>
    <definedName name="КАС" localSheetId="2">#REF!</definedName>
    <definedName name="КАС">#REF!</definedName>
    <definedName name="РПО" localSheetId="2">#REF!</definedName>
    <definedName name="РПО">#REF!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11" l="1"/>
  <c r="D4" i="11" l="1"/>
  <c r="D3" i="11"/>
  <c r="I16" i="11"/>
  <c r="I15" i="11"/>
  <c r="I12" i="11"/>
  <c r="I13" i="11"/>
  <c r="I14" i="11"/>
  <c r="I11" i="11"/>
  <c r="I10" i="11"/>
  <c r="D2" i="11"/>
  <c r="H50" i="9"/>
  <c r="H47" i="9"/>
  <c r="H48" i="9"/>
  <c r="H49" i="9"/>
  <c r="H46" i="9"/>
  <c r="F25" i="9" l="1"/>
  <c r="F28" i="9"/>
  <c r="F27" i="9"/>
  <c r="F26" i="9"/>
  <c r="B28" i="9" l="1"/>
  <c r="B20" i="9" l="1"/>
  <c r="J6" i="6" l="1"/>
  <c r="J5" i="6"/>
  <c r="J4" i="6"/>
  <c r="J3" i="6"/>
  <c r="C26" i="9" l="1"/>
  <c r="C25" i="9"/>
  <c r="C41" i="9" l="1"/>
  <c r="F19" i="9" s="1"/>
  <c r="C13" i="18" l="1"/>
  <c r="E17" i="18" l="1"/>
  <c r="F17" i="18" s="1"/>
  <c r="G17" i="18" s="1"/>
  <c r="H17" i="18" s="1"/>
  <c r="E15" i="18"/>
  <c r="F15" i="18" s="1"/>
  <c r="E16" i="18" l="1"/>
  <c r="F16" i="18" s="1"/>
  <c r="G16" i="18" s="1"/>
  <c r="H16" i="18" s="1"/>
  <c r="G15" i="18"/>
  <c r="H15" i="18" s="1"/>
  <c r="F18" i="18" l="1"/>
  <c r="F19" i="18" s="1"/>
  <c r="B5" i="18" s="1"/>
  <c r="H18" i="18"/>
  <c r="C5" i="18" l="1"/>
  <c r="C6" i="18" s="1"/>
  <c r="C7" i="18" l="1"/>
  <c r="D7" i="18" l="1"/>
  <c r="D4" i="18"/>
  <c r="C8" i="18"/>
  <c r="C9" i="18" s="1"/>
  <c r="D5" i="18"/>
  <c r="D6" i="18"/>
  <c r="C10" i="18" l="1"/>
  <c r="C11" i="18" s="1"/>
  <c r="E9" i="18"/>
  <c r="E4" i="18"/>
  <c r="D9" i="18"/>
  <c r="E5" i="18"/>
  <c r="E6" i="18"/>
  <c r="E7" i="18"/>
  <c r="E8" i="18"/>
  <c r="D8" i="18"/>
  <c r="G6" i="6" l="1"/>
  <c r="G3" i="6"/>
  <c r="G5" i="6"/>
  <c r="G4" i="6"/>
  <c r="E19" i="9"/>
  <c r="E20" i="9"/>
  <c r="C28" i="9" l="1"/>
  <c r="D25" i="9" l="1"/>
  <c r="E25" i="9" s="1"/>
  <c r="C27" i="9"/>
  <c r="A28" i="9"/>
  <c r="A27" i="9"/>
  <c r="B26" i="9"/>
  <c r="A26" i="9"/>
  <c r="B25" i="9"/>
  <c r="A25" i="9"/>
  <c r="B39" i="9"/>
  <c r="B38" i="9"/>
  <c r="B37" i="9"/>
  <c r="B36" i="9"/>
  <c r="B35" i="9"/>
  <c r="B34" i="9"/>
  <c r="C39" i="9"/>
  <c r="C38" i="9"/>
  <c r="C37" i="9"/>
  <c r="C36" i="9"/>
  <c r="C35" i="9"/>
  <c r="C34" i="9"/>
  <c r="D28" i="9" l="1"/>
  <c r="D26" i="9"/>
  <c r="E26" i="9" s="1"/>
  <c r="D27" i="9"/>
  <c r="C40" i="9"/>
  <c r="E27" i="9" l="1"/>
  <c r="E28" i="9"/>
  <c r="E3" i="6"/>
  <c r="F3" i="6" s="1"/>
  <c r="H3" i="6" l="1"/>
  <c r="I3" i="6" s="1"/>
  <c r="D16" i="11"/>
  <c r="E10" i="11" l="1"/>
  <c r="C11" i="11" l="1"/>
  <c r="D35" i="9" s="1"/>
  <c r="G10" i="11"/>
  <c r="E11" i="11" l="1"/>
  <c r="G11" i="11" s="1"/>
  <c r="C12" i="11" l="1"/>
  <c r="E12" i="11" s="1"/>
  <c r="C13" i="11" s="1"/>
  <c r="E13" i="11" s="1"/>
  <c r="G13" i="11" s="1"/>
  <c r="C14" i="11" l="1"/>
  <c r="E14" i="11" s="1"/>
  <c r="G14" i="11" s="1"/>
  <c r="G12" i="11"/>
  <c r="C15" i="11" l="1"/>
  <c r="E15" i="11" s="1"/>
  <c r="G15" i="11" l="1"/>
  <c r="D39" i="9"/>
  <c r="F20" i="9" s="1"/>
  <c r="C42" i="9"/>
  <c r="E21" i="9"/>
  <c r="F22" i="9" l="1"/>
  <c r="F6" i="6"/>
  <c r="F5" i="6"/>
  <c r="F4" i="6"/>
  <c r="H4" i="6" s="1"/>
  <c r="I4" i="6" s="1"/>
  <c r="C47" i="9" l="1"/>
  <c r="E47" i="9" s="1"/>
  <c r="C49" i="9"/>
  <c r="C48" i="9"/>
  <c r="C17" i="9"/>
  <c r="E48" i="9" l="1"/>
  <c r="C46" i="9"/>
  <c r="E46" i="9" s="1"/>
  <c r="E49" i="9" l="1"/>
  <c r="H6" i="6"/>
  <c r="I6" i="6" s="1"/>
  <c r="H5" i="6"/>
  <c r="I5" i="6" s="1"/>
  <c r="K6" i="6" l="1"/>
  <c r="K5" i="6"/>
  <c r="K4" i="6"/>
  <c r="K3" i="6" l="1"/>
  <c r="K7" i="6" s="1"/>
  <c r="F10" i="11"/>
  <c r="E50" i="9" l="1"/>
  <c r="F46" i="9" l="1"/>
  <c r="F47" i="9"/>
  <c r="C2" i="11"/>
  <c r="F48" i="9"/>
  <c r="H15" i="11" l="1"/>
  <c r="F49" i="9"/>
  <c r="F50" i="9" s="1"/>
  <c r="F11" i="11"/>
  <c r="C3" i="11"/>
  <c r="F13" i="11"/>
  <c r="F12" i="11"/>
  <c r="F14" i="11"/>
  <c r="F15" i="11" l="1"/>
  <c r="F16" i="11" s="1"/>
  <c r="C4" i="11"/>
  <c r="H16" i="11" l="1"/>
</calcChain>
</file>

<file path=xl/sharedStrings.xml><?xml version="1.0" encoding="utf-8"?>
<sst xmlns="http://schemas.openxmlformats.org/spreadsheetml/2006/main" count="142" uniqueCount="118">
  <si>
    <t>Должность исполнителя</t>
  </si>
  <si>
    <t>Кол-во рабочих ставок, шт.</t>
  </si>
  <si>
    <t>Кол-во услуг</t>
  </si>
  <si>
    <t>№ п/п</t>
  </si>
  <si>
    <t>Итого трудоемкость на 1 услугу, чел./час</t>
  </si>
  <si>
    <t>Кол-во рабочего времени, час</t>
  </si>
  <si>
    <t>2</t>
  </si>
  <si>
    <t>4</t>
  </si>
  <si>
    <t>Наименование услуг</t>
  </si>
  <si>
    <t>Выполнение 1 (одного) тестового сценария, включая повторное выполнение в случае обнаружения и оперативного устранения дефекта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</si>
  <si>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</si>
  <si>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№</t>
  </si>
  <si>
    <t>Статья</t>
  </si>
  <si>
    <t>Сумма, руб./мес. на 1 специалиста</t>
  </si>
  <si>
    <t>% от СС</t>
  </si>
  <si>
    <t>Итого расходы (себестоимость (СС))</t>
  </si>
  <si>
    <t>Прибыль (5% на итого расходы)</t>
  </si>
  <si>
    <t>Стоимость 1 человеко-месяца, без НДС</t>
  </si>
  <si>
    <t>Стоимость 1 человеко-дня, без НДС</t>
  </si>
  <si>
    <t>Размер ФОТ за 12 месяцев составляет:</t>
  </si>
  <si>
    <t>Наименование тарифов страховых взносов</t>
  </si>
  <si>
    <t>Тариф страховых взносов, %</t>
  </si>
  <si>
    <t>Предельная величина базы для исчисления страховых взносов, руб./год</t>
  </si>
  <si>
    <t>База для начисления страховых взносов, руб. /год</t>
  </si>
  <si>
    <t>Итого, руб./год</t>
  </si>
  <si>
    <t xml:space="preserve"> -</t>
  </si>
  <si>
    <t>на обязательное социальное страхование от несчастных случаев на производстве и профессиональных заболеваний по I классу профессионального риска</t>
  </si>
  <si>
    <t>Итого взносов:</t>
  </si>
  <si>
    <t>Размер страховых взносов в %:</t>
  </si>
  <si>
    <t>1.</t>
  </si>
  <si>
    <t>Стоимость услуги, руб. с НДС</t>
  </si>
  <si>
    <t>Итого, общая стоимость услуг, руб. с НДС</t>
  </si>
  <si>
    <t>Тестировщик</t>
  </si>
  <si>
    <t>Ведущий инженер</t>
  </si>
  <si>
    <t>Проведение тестирования установки, включая повторное выполнение в случае обнаружения и устранения дефекта</t>
  </si>
  <si>
    <t>Выполнение автоматизированного прогона тестовых сценариев или запуск сценариев тестирования производительности. Анализ результатов, включая повторное выполнение в случае обнаружения и оперативного устранения дефектов</t>
  </si>
  <si>
    <t>Подготовка или актуализация профиля тестирования производительности</t>
  </si>
  <si>
    <t>Подготовка отчетных материалов</t>
  </si>
  <si>
    <t>Подготовка или актуализация 1 (одного) тестового сценария</t>
  </si>
  <si>
    <t xml:space="preserve">Реестровый номер закупки ЕИС
</t>
  </si>
  <si>
    <t>Дата заключения</t>
  </si>
  <si>
    <t>Исполнитель</t>
  </si>
  <si>
    <t>Срок оказания услуг/
Срок действия контракта</t>
  </si>
  <si>
    <t xml:space="preserve">Расчет начальной (максимальной) цены контракта </t>
  </si>
  <si>
    <t>Перечень государственных контактов</t>
  </si>
  <si>
    <t>год</t>
  </si>
  <si>
    <t>1/2 прогнозного ИПЦ</t>
  </si>
  <si>
    <t>инфл. к сроку планируемой закупки</t>
  </si>
  <si>
    <t>*</t>
  </si>
  <si>
    <t xml:space="preserve"> Стоимость услуги, руб. без НДС </t>
  </si>
  <si>
    <t>Итого:</t>
  </si>
  <si>
    <t>№ пп</t>
  </si>
  <si>
    <t>Год</t>
  </si>
  <si>
    <t>Дата окончания оказания услуг</t>
  </si>
  <si>
    <t>Наименование ОП</t>
  </si>
  <si>
    <t>Планируемая дата начала ОП</t>
  </si>
  <si>
    <t>Кол-во дней ОП</t>
  </si>
  <si>
    <t>Планируемая дата окончания ОП</t>
  </si>
  <si>
    <t>Приложение 2 к протоколу</t>
  </si>
  <si>
    <t>начальной (максимальной)</t>
  </si>
  <si>
    <t>цены контракта (цены лота)</t>
  </si>
  <si>
    <t>Метод определения НМЦК- затратный метод</t>
  </si>
  <si>
    <t>Метод определения НМЦК- метод анализа цен, содержащихся в реестре контрактов, заключенных по итогам осуществления закупок</t>
  </si>
  <si>
    <t>Средневзвешенная стоимость услуг, руб. с НДС*</t>
  </si>
  <si>
    <t xml:space="preserve">
</t>
  </si>
  <si>
    <t>Итого, руб.</t>
  </si>
  <si>
    <t>Номер контракта</t>
  </si>
  <si>
    <t>Предмет контракта</t>
  </si>
  <si>
    <t>Расчет единицы услуги с учетом инфляции по контракту</t>
  </si>
  <si>
    <t>Накладные расходы (20 % от прямых расходов)</t>
  </si>
  <si>
    <t>кол-во дней</t>
  </si>
  <si>
    <t>Планируемая дата начала оказания услуг</t>
  </si>
  <si>
    <t xml:space="preserve">Стоимость единицы услуги  с учетом 1/2 прогнозного ИПЦ на 2027 год, руб. с НДС </t>
  </si>
  <si>
    <t>Распределение стоимости по услугам</t>
  </si>
  <si>
    <t>ИТОГО</t>
  </si>
  <si>
    <t>% распределения суммы по периодам</t>
  </si>
  <si>
    <t>2 Этап</t>
  </si>
  <si>
    <t>3 Этап</t>
  </si>
  <si>
    <t>4 Этап</t>
  </si>
  <si>
    <t>5 Этап</t>
  </si>
  <si>
    <t>6 Этап</t>
  </si>
  <si>
    <t>Средняя стоимость услуг, руб. с НДС</t>
  </si>
  <si>
    <r>
      <t>Стоимость чел./час.,</t>
    </r>
    <r>
      <rPr>
        <b/>
        <i/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руб. без НДС</t>
    </r>
  </si>
  <si>
    <t>Организационно-штатные и подготовительные мероприятия этапа 1</t>
  </si>
  <si>
    <t>% от стоимости 1 чел./мес.</t>
  </si>
  <si>
    <t>Стоимость 1 человеко-часа, без НДС</t>
  </si>
  <si>
    <t>Всего, в том числе по годам:</t>
  </si>
  <si>
    <t>Сумма по периодам, руб.</t>
  </si>
  <si>
    <t xml:space="preserve">на обязательное пенсионное страхование,
на обязательное социальное страхование на случай временной нетрудоспособности и в связи с материнством, 
на обязательное медицинское страхование в 2026 г.
</t>
  </si>
  <si>
    <t>свыше 2 979 000,00</t>
  </si>
  <si>
    <t>Оказание услуг по обеспечению функционирования и обслуживания Комплексной информационной системы «Государственные услуги в сфере образования в электронном виде» в части тестирования подсистем и сервисов, входящих в состав системы</t>
  </si>
  <si>
    <t>№ 870/10/25</t>
  </si>
  <si>
    <t>0173200001425001218</t>
  </si>
  <si>
    <t>ООО "ЦРПО"</t>
  </si>
  <si>
    <t>Организационно-штатные и подготовительные мероприятия этапа 1 Контракта</t>
  </si>
  <si>
    <t>Подготовка или актуализация 1 (одного) автоматизированного скрипта (1 процесс)</t>
  </si>
  <si>
    <t>Подготовка или актуализация 1 (одного) тестового сценария</t>
  </si>
  <si>
    <t>Разработка 1 (одного) эмулятора внешних систем/генератора данных</t>
  </si>
  <si>
    <t>710 кал.дн.
16.09.2027/
05.11.2027</t>
  </si>
  <si>
    <t>ИПЦ применен в соответствии с порядком, изложенном в информационном письме Департамента экономической политики и развития города Москвы от 26.10.2021 № ДПР-И-5348/21 и Приложением № 1 к прогнозу социально-экономического развития города Москвы на 2026 год и плановый период 2027 и 2028 годов</t>
  </si>
  <si>
    <t>Стоимость единицы услуги, руб., в том числе НДС22%</t>
  </si>
  <si>
    <t>Цена контракта, руб. в т.ч.  НДС22%</t>
  </si>
  <si>
    <t>Выполнение 1 (одного) тестового сценария, включая повторное выполнение в случае обнаружения и оперативного устранения дефекта</t>
  </si>
  <si>
    <t>Расчетная начальная (максимальная) цена контракта, руб., в том числе НДС 22%</t>
  </si>
  <si>
    <t>1 Этап</t>
  </si>
  <si>
    <t>Этап 2 - 6</t>
  </si>
  <si>
    <t>Этап 1</t>
  </si>
  <si>
    <t>Стоимость единицы
услуги, в т.ч. НДС20%, руб.</t>
  </si>
  <si>
    <t>Таблица расчета начальной (максимальной) цены контракта на</t>
  </si>
  <si>
    <t>3</t>
  </si>
  <si>
    <t>оказание услуг по обеспечению функционирования и обслуживания Комплексной информационной системы многофункциональных центров предоставления государственных и муниципальных услуг в части тестирования подсистем и сервисов, входящих в состав системы</t>
  </si>
  <si>
    <t>Этап</t>
  </si>
  <si>
    <t>Зарплата основных специалистов (ФОТ) 
(Мосстат, январь - март 2026г.)</t>
  </si>
  <si>
    <t xml:space="preserve">Стоимость единицы услуги на 2026 год, руб. с НДС </t>
  </si>
  <si>
    <t>Расчет стоимости услуги с инфляцией ГБУ АЦ</t>
  </si>
  <si>
    <t>Начальная (максимальная) цена контракта с учетом экспертного зключения ГБУ «Аналитический центр» от 23.07.2026 № 0903-5-1-3-230726, руб., в том числе НДС 22%</t>
  </si>
  <si>
    <t>Сумма по периодам с учетом экспертного заключения, руб.</t>
  </si>
  <si>
    <r>
      <t xml:space="preserve">Расчетная начальная (максимальная) цена контракта на оказание услуг по обеспечению функционирования и обслуживания Комплексной информационной системы многофункциональных центров предоставления государственных и муниципальных услуг в части тестирования подсистем и сервисов, входящих в состав системы, составит 115 492 995,05 руб. (сто пятнадцать миллионов четыреста девяносто две тысячи девятьсот девяносто пять рублей 05 копеек), в том числе НДС 22%.
С учетом экспертного заключения Государственного бюджетного учреждения города Москвы «Аналитический центр» от 23.07.2026 № 0903-5-1-3-230726 начальная (максимальная) цена контракта на оказание услуг по обеспечению функционирования и обслуживания Комплексной информационной системы многофункциональных центров предоставления государственных и муниципальных услуг в части тестирования подсистем и сервисов, входящих в состав системы, принимается равной </t>
    </r>
    <r>
      <rPr>
        <b/>
        <sz val="12"/>
        <rFont val="Times New Roman"/>
        <family val="1"/>
        <charset val="204"/>
      </rPr>
      <t>115 469 947,00 руб. (ста пятнадцати миллионам четыремстам шестидесяти девяти тысячам девятистам сорока семи рублям 00 копейкам)</t>
    </r>
    <r>
      <rPr>
        <sz val="12"/>
        <rFont val="Times New Roman"/>
        <family val="1"/>
        <charset val="204"/>
      </rPr>
      <t>, в том числе НДС 22%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</si>
</sst>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164" formatCode="0.0"/>
    <numFmt numFmtId="165" formatCode="0.0%"/>
    <numFmt numFmtId="166" formatCode="#,##0.00\ &quot;₽&quot;"/>
    <numFmt numFmtId="167" formatCode="0.00000%"/>
    <numFmt numFmtId="168" formatCode="[$-10419]#,##0.00"/>
    <numFmt numFmtId="169" formatCode="0.00000"/>
    <numFmt numFmtId="170" formatCode="#,##0.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9">
    <xf numFmtId="0" fontId="0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/>
    <xf numFmtId="0" fontId="5" fillId="0" borderId="0"/>
    <xf numFmtId="0" fontId="16" fillId="0" borderId="0"/>
    <xf numFmtId="44" fontId="16" fillId="0" borderId="0" applyFont="0" applyFill="0" applyBorder="0" applyAlignment="0" applyProtection="0"/>
    <xf numFmtId="0" fontId="4" fillId="0" borderId="0"/>
    <xf numFmtId="9" fontId="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2" fillId="0" borderId="0"/>
  </cellStyleXfs>
  <cellXfs count="234">
    <xf numFmtId="0" fontId="0" fillId="0" borderId="0" xfId="0"/>
    <xf numFmtId="0" fontId="12" fillId="0" borderId="0" xfId="0" applyFont="1" applyFill="1"/>
    <xf numFmtId="0" fontId="11" fillId="0" borderId="0" xfId="4" applyFont="1" applyFill="1" applyAlignment="1">
      <alignment wrapText="1"/>
    </xf>
    <xf numFmtId="0" fontId="12" fillId="0" borderId="0" xfId="0" applyFont="1" applyFill="1" applyAlignment="1">
      <alignment horizontal="left"/>
    </xf>
    <xf numFmtId="164" fontId="13" fillId="0" borderId="0" xfId="0" applyNumberFormat="1" applyFont="1" applyFill="1"/>
    <xf numFmtId="0" fontId="12" fillId="0" borderId="0" xfId="0" applyFont="1" applyFill="1" applyAlignment="1">
      <alignment horizontal="center"/>
    </xf>
    <xf numFmtId="4" fontId="12" fillId="0" borderId="0" xfId="0" applyNumberFormat="1" applyFont="1" applyFill="1"/>
    <xf numFmtId="0" fontId="12" fillId="0" borderId="0" xfId="38" applyFont="1"/>
    <xf numFmtId="4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7" fillId="0" borderId="0" xfId="38" applyFont="1" applyFill="1" applyAlignment="1">
      <alignment vertical="center" wrapText="1"/>
    </xf>
    <xf numFmtId="4" fontId="14" fillId="0" borderId="1" xfId="38" applyNumberFormat="1" applyFont="1" applyBorder="1" applyAlignment="1">
      <alignment horizontal="center" vertical="center"/>
    </xf>
    <xf numFmtId="0" fontId="14" fillId="3" borderId="1" xfId="38" applyFont="1" applyFill="1" applyBorder="1" applyAlignment="1">
      <alignment horizontal="center" vertical="center" wrapText="1"/>
    </xf>
    <xf numFmtId="0" fontId="15" fillId="0" borderId="0" xfId="38" applyFont="1" applyAlignment="1">
      <alignment vertical="center"/>
    </xf>
    <xf numFmtId="0" fontId="14" fillId="0" borderId="0" xfId="38" applyFont="1" applyAlignment="1">
      <alignment vertical="center"/>
    </xf>
    <xf numFmtId="0" fontId="15" fillId="0" borderId="1" xfId="38" applyFont="1" applyBorder="1" applyAlignment="1">
      <alignment horizontal="center" vertical="center" wrapText="1"/>
    </xf>
    <xf numFmtId="4" fontId="21" fillId="0" borderId="0" xfId="38" applyNumberFormat="1" applyFont="1" applyAlignment="1">
      <alignment horizontal="center" vertical="center"/>
    </xf>
    <xf numFmtId="4" fontId="15" fillId="0" borderId="0" xfId="38" applyNumberFormat="1" applyFont="1" applyAlignment="1">
      <alignment horizontal="center" vertical="center"/>
    </xf>
    <xf numFmtId="0" fontId="15" fillId="0" borderId="0" xfId="38" applyFont="1" applyFill="1" applyAlignment="1">
      <alignment vertical="center"/>
    </xf>
    <xf numFmtId="14" fontId="15" fillId="0" borderId="0" xfId="38" applyNumberFormat="1" applyFont="1" applyFill="1" applyAlignment="1">
      <alignment vertical="center"/>
    </xf>
    <xf numFmtId="0" fontId="19" fillId="0" borderId="0" xfId="38" applyFont="1" applyAlignment="1">
      <alignment horizontal="center" vertical="center"/>
    </xf>
    <xf numFmtId="14" fontId="19" fillId="0" borderId="0" xfId="38" applyNumberFormat="1" applyFont="1" applyAlignment="1">
      <alignment vertical="center"/>
    </xf>
    <xf numFmtId="4" fontId="15" fillId="0" borderId="0" xfId="38" applyNumberFormat="1" applyFont="1" applyAlignment="1">
      <alignment vertical="center"/>
    </xf>
    <xf numFmtId="0" fontId="15" fillId="0" borderId="1" xfId="38" applyFont="1" applyBorder="1" applyAlignment="1">
      <alignment horizontal="center" vertical="center"/>
    </xf>
    <xf numFmtId="14" fontId="15" fillId="0" borderId="1" xfId="38" applyNumberFormat="1" applyFont="1" applyBorder="1" applyAlignment="1">
      <alignment horizontal="center" vertical="center"/>
    </xf>
    <xf numFmtId="10" fontId="15" fillId="0" borderId="1" xfId="38" applyNumberFormat="1" applyFont="1" applyBorder="1" applyAlignment="1">
      <alignment horizontal="center" vertical="center"/>
    </xf>
    <xf numFmtId="0" fontId="19" fillId="0" borderId="0" xfId="38" applyFont="1" applyAlignment="1">
      <alignment vertical="center"/>
    </xf>
    <xf numFmtId="4" fontId="12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1" fillId="0" borderId="0" xfId="4" applyFont="1" applyFill="1" applyAlignment="1">
      <alignment vertical="center" wrapTex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21" fillId="0" borderId="0" xfId="38" applyFont="1" applyAlignment="1">
      <alignment horizontal="center" vertical="center"/>
    </xf>
    <xf numFmtId="4" fontId="15" fillId="2" borderId="1" xfId="38" applyNumberFormat="1" applyFont="1" applyFill="1" applyBorder="1" applyAlignment="1">
      <alignment horizontal="center" vertical="center"/>
    </xf>
    <xf numFmtId="14" fontId="12" fillId="0" borderId="0" xfId="0" applyNumberFormat="1" applyFont="1" applyFill="1" applyAlignment="1">
      <alignment vertical="center"/>
    </xf>
    <xf numFmtId="0" fontId="19" fillId="0" borderId="0" xfId="38" applyNumberFormat="1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4" fontId="15" fillId="0" borderId="1" xfId="38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4" fontId="13" fillId="0" borderId="0" xfId="0" applyNumberFormat="1" applyFont="1" applyFill="1" applyAlignment="1">
      <alignment vertical="center"/>
    </xf>
    <xf numFmtId="4" fontId="13" fillId="0" borderId="0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4" fontId="22" fillId="3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Alignment="1"/>
    <xf numFmtId="49" fontId="11" fillId="2" borderId="1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2" fillId="2" borderId="1" xfId="0" applyFont="1" applyFill="1" applyBorder="1"/>
    <xf numFmtId="4" fontId="11" fillId="2" borderId="1" xfId="1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/>
    </xf>
    <xf numFmtId="167" fontId="12" fillId="0" borderId="0" xfId="0" applyNumberFormat="1" applyFont="1" applyFill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left" vertical="top" wrapText="1"/>
    </xf>
    <xf numFmtId="4" fontId="11" fillId="0" borderId="1" xfId="5" applyNumberFormat="1" applyFont="1" applyFill="1" applyBorder="1" applyAlignment="1">
      <alignment horizontal="center" vertical="center" wrapText="1"/>
    </xf>
    <xf numFmtId="4" fontId="11" fillId="2" borderId="1" xfId="5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4" fontId="20" fillId="0" borderId="0" xfId="0" applyNumberFormat="1" applyFont="1" applyFill="1" applyBorder="1" applyAlignment="1">
      <alignment horizontal="right" vertical="center"/>
    </xf>
    <xf numFmtId="10" fontId="17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10" fontId="12" fillId="0" borderId="1" xfId="41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" fontId="22" fillId="0" borderId="0" xfId="1" applyNumberFormat="1" applyFont="1" applyFill="1" applyBorder="1" applyAlignment="1">
      <alignment horizontal="center" vertical="center" wrapText="1"/>
    </xf>
    <xf numFmtId="14" fontId="25" fillId="0" borderId="0" xfId="38" applyNumberFormat="1" applyFont="1"/>
    <xf numFmtId="14" fontId="24" fillId="0" borderId="0" xfId="0" applyNumberFormat="1" applyFont="1" applyFill="1" applyAlignment="1">
      <alignment vertical="center"/>
    </xf>
    <xf numFmtId="14" fontId="18" fillId="0" borderId="0" xfId="0" applyNumberFormat="1" applyFont="1" applyFill="1" applyAlignment="1">
      <alignment horizontal="center" vertical="center"/>
    </xf>
    <xf numFmtId="0" fontId="15" fillId="0" borderId="1" xfId="38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0" fontId="14" fillId="0" borderId="1" xfId="38" applyFont="1" applyBorder="1" applyAlignment="1">
      <alignment horizontal="center" vertical="center"/>
    </xf>
    <xf numFmtId="0" fontId="14" fillId="0" borderId="1" xfId="38" applyFont="1" applyBorder="1" applyAlignment="1">
      <alignment vertical="center"/>
    </xf>
    <xf numFmtId="10" fontId="14" fillId="0" borderId="1" xfId="38" applyNumberFormat="1" applyFont="1" applyBorder="1" applyAlignment="1">
      <alignment horizontal="center" vertical="center"/>
    </xf>
    <xf numFmtId="4" fontId="14" fillId="0" borderId="1" xfId="38" applyNumberFormat="1" applyFont="1" applyFill="1" applyBorder="1" applyAlignment="1">
      <alignment vertical="center"/>
    </xf>
    <xf numFmtId="0" fontId="29" fillId="2" borderId="0" xfId="0" applyNumberFormat="1" applyFont="1" applyFill="1" applyBorder="1" applyAlignment="1">
      <alignment vertical="top" wrapText="1"/>
    </xf>
    <xf numFmtId="4" fontId="17" fillId="5" borderId="1" xfId="0" applyNumberFormat="1" applyFont="1" applyFill="1" applyBorder="1" applyAlignment="1" applyProtection="1">
      <alignment horizontal="center" vertical="center"/>
      <protection locked="0"/>
    </xf>
    <xf numFmtId="10" fontId="17" fillId="5" borderId="1" xfId="41" applyNumberFormat="1" applyFont="1" applyFill="1" applyBorder="1" applyAlignment="1">
      <alignment horizontal="center" vertical="center"/>
    </xf>
    <xf numFmtId="0" fontId="27" fillId="0" borderId="1" xfId="44" applyNumberFormat="1" applyFont="1" applyBorder="1" applyAlignment="1">
      <alignment horizontal="center" vertical="center"/>
    </xf>
    <xf numFmtId="4" fontId="27" fillId="0" borderId="1" xfId="44" applyNumberFormat="1" applyFont="1" applyBorder="1" applyAlignment="1">
      <alignment horizontal="left" vertical="center" wrapText="1"/>
    </xf>
    <xf numFmtId="4" fontId="20" fillId="4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21" fillId="0" borderId="0" xfId="38" applyFont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4" fontId="27" fillId="0" borderId="0" xfId="46" applyNumberFormat="1" applyFont="1" applyAlignment="1">
      <alignment vertical="top"/>
    </xf>
    <xf numFmtId="4" fontId="26" fillId="0" borderId="0" xfId="46" applyNumberFormat="1" applyFont="1" applyAlignment="1">
      <alignment vertical="top"/>
    </xf>
    <xf numFmtId="165" fontId="27" fillId="0" borderId="0" xfId="46" applyNumberFormat="1" applyFont="1" applyAlignment="1">
      <alignment vertical="top"/>
    </xf>
    <xf numFmtId="0" fontId="27" fillId="0" borderId="0" xfId="46" applyFont="1" applyAlignment="1">
      <alignment vertical="top"/>
    </xf>
    <xf numFmtId="4" fontId="26" fillId="0" borderId="1" xfId="46" applyNumberFormat="1" applyFont="1" applyBorder="1" applyAlignment="1">
      <alignment horizontal="center" vertical="top" wrapText="1"/>
    </xf>
    <xf numFmtId="165" fontId="26" fillId="0" borderId="1" xfId="46" applyNumberFormat="1" applyFont="1" applyBorder="1" applyAlignment="1">
      <alignment horizontal="center" vertical="top" wrapText="1"/>
    </xf>
    <xf numFmtId="0" fontId="27" fillId="0" borderId="0" xfId="46" applyFont="1" applyAlignment="1">
      <alignment vertical="top" wrapText="1"/>
    </xf>
    <xf numFmtId="0" fontId="27" fillId="0" borderId="1" xfId="46" applyNumberFormat="1" applyFont="1" applyBorder="1" applyAlignment="1">
      <alignment horizontal="center" vertical="top"/>
    </xf>
    <xf numFmtId="4" fontId="27" fillId="0" borderId="1" xfId="46" applyNumberFormat="1" applyFont="1" applyBorder="1" applyAlignment="1">
      <alignment vertical="top" wrapText="1"/>
    </xf>
    <xf numFmtId="4" fontId="27" fillId="0" borderId="1" xfId="46" applyNumberFormat="1" applyFont="1" applyBorder="1" applyAlignment="1">
      <alignment vertical="top"/>
    </xf>
    <xf numFmtId="10" fontId="27" fillId="0" borderId="1" xfId="46" applyNumberFormat="1" applyFont="1" applyBorder="1" applyAlignment="1">
      <alignment vertical="top"/>
    </xf>
    <xf numFmtId="4" fontId="28" fillId="0" borderId="1" xfId="46" applyNumberFormat="1" applyFont="1" applyFill="1" applyBorder="1" applyAlignment="1">
      <alignment vertical="top" wrapText="1"/>
    </xf>
    <xf numFmtId="4" fontId="28" fillId="0" borderId="1" xfId="46" applyNumberFormat="1" applyFont="1" applyFill="1" applyBorder="1" applyAlignment="1">
      <alignment vertical="top"/>
    </xf>
    <xf numFmtId="10" fontId="27" fillId="0" borderId="0" xfId="46" applyNumberFormat="1" applyFont="1" applyBorder="1" applyAlignment="1">
      <alignment vertical="top"/>
    </xf>
    <xf numFmtId="4" fontId="26" fillId="0" borderId="1" xfId="46" applyNumberFormat="1" applyFont="1" applyBorder="1" applyAlignment="1">
      <alignment vertical="top"/>
    </xf>
    <xf numFmtId="4" fontId="26" fillId="0" borderId="0" xfId="46" applyNumberFormat="1" applyFont="1" applyBorder="1" applyAlignment="1">
      <alignment horizontal="center" vertical="top"/>
    </xf>
    <xf numFmtId="4" fontId="27" fillId="0" borderId="0" xfId="46" applyNumberFormat="1" applyFont="1" applyBorder="1" applyAlignment="1">
      <alignment vertical="top"/>
    </xf>
    <xf numFmtId="4" fontId="27" fillId="0" borderId="1" xfId="46" applyNumberFormat="1" applyFont="1" applyBorder="1" applyAlignment="1">
      <alignment horizontal="right" vertical="top"/>
    </xf>
    <xf numFmtId="10" fontId="27" fillId="0" borderId="0" xfId="47" applyNumberFormat="1" applyFont="1" applyAlignment="1">
      <alignment vertical="top"/>
    </xf>
    <xf numFmtId="166" fontId="27" fillId="0" borderId="0" xfId="46" applyNumberFormat="1" applyFont="1" applyAlignment="1">
      <alignment vertical="top"/>
    </xf>
    <xf numFmtId="0" fontId="27" fillId="0" borderId="1" xfId="46" applyNumberFormat="1" applyFont="1" applyBorder="1" applyAlignment="1">
      <alignment horizontal="right" vertical="top" wrapText="1"/>
    </xf>
    <xf numFmtId="0" fontId="27" fillId="0" borderId="1" xfId="46" applyFont="1" applyBorder="1" applyAlignment="1">
      <alignment horizontal="center" vertical="top"/>
    </xf>
    <xf numFmtId="0" fontId="27" fillId="0" borderId="1" xfId="46" applyFont="1" applyBorder="1" applyAlignment="1">
      <alignment vertical="top" wrapText="1"/>
    </xf>
    <xf numFmtId="0" fontId="27" fillId="0" borderId="1" xfId="46" applyFont="1" applyBorder="1" applyAlignment="1">
      <alignment vertical="top"/>
    </xf>
    <xf numFmtId="0" fontId="27" fillId="0" borderId="1" xfId="46" applyFont="1" applyBorder="1" applyAlignment="1">
      <alignment horizontal="right" vertical="top"/>
    </xf>
    <xf numFmtId="10" fontId="26" fillId="0" borderId="1" xfId="46" applyNumberFormat="1" applyFont="1" applyBorder="1" applyAlignment="1">
      <alignment horizontal="right" vertical="top"/>
    </xf>
    <xf numFmtId="0" fontId="20" fillId="0" borderId="2" xfId="0" applyFont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31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168" fontId="14" fillId="0" borderId="0" xfId="38" applyNumberFormat="1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15" fillId="0" borderId="3" xfId="0" applyNumberFormat="1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/>
    </xf>
    <xf numFmtId="169" fontId="15" fillId="0" borderId="0" xfId="38" applyNumberFormat="1" applyFont="1" applyAlignment="1">
      <alignment vertical="center"/>
    </xf>
    <xf numFmtId="170" fontId="15" fillId="0" borderId="0" xfId="38" applyNumberFormat="1" applyFont="1" applyAlignment="1">
      <alignment vertical="center"/>
    </xf>
    <xf numFmtId="14" fontId="15" fillId="0" borderId="0" xfId="38" applyNumberFormat="1" applyFont="1" applyAlignment="1">
      <alignment vertical="center"/>
    </xf>
    <xf numFmtId="0" fontId="33" fillId="0" borderId="0" xfId="38" applyFont="1" applyAlignment="1">
      <alignment vertical="center"/>
    </xf>
    <xf numFmtId="4" fontId="12" fillId="0" borderId="0" xfId="0" applyNumberFormat="1" applyFont="1" applyAlignment="1">
      <alignment vertical="center"/>
    </xf>
    <xf numFmtId="4" fontId="30" fillId="0" borderId="0" xfId="0" applyNumberFormat="1" applyFont="1" applyAlignment="1">
      <alignment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0" fontId="12" fillId="0" borderId="0" xfId="38" applyFont="1" applyFill="1"/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1" fontId="12" fillId="0" borderId="1" xfId="0" applyNumberFormat="1" applyFont="1" applyBorder="1" applyAlignment="1">
      <alignment vertical="center"/>
    </xf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0" fontId="12" fillId="0" borderId="5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/>
    </xf>
    <xf numFmtId="4" fontId="27" fillId="0" borderId="1" xfId="46" applyNumberFormat="1" applyFont="1" applyFill="1" applyBorder="1" applyAlignment="1">
      <alignment vertical="top" wrapText="1"/>
    </xf>
    <xf numFmtId="0" fontId="20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6" borderId="1" xfId="0" applyNumberFormat="1" applyFont="1" applyFill="1" applyBorder="1" applyAlignment="1">
      <alignment horizontal="center" vertical="center"/>
    </xf>
    <xf numFmtId="4" fontId="17" fillId="6" borderId="1" xfId="0" applyNumberFormat="1" applyFont="1" applyFill="1" applyBorder="1" applyAlignment="1">
      <alignment horizontal="center" vertical="center"/>
    </xf>
    <xf numFmtId="4" fontId="15" fillId="0" borderId="1" xfId="38" applyNumberFormat="1" applyFont="1" applyBorder="1" applyAlignment="1">
      <alignment vertical="center"/>
    </xf>
    <xf numFmtId="0" fontId="14" fillId="6" borderId="1" xfId="38" applyFont="1" applyFill="1" applyBorder="1" applyAlignment="1">
      <alignment horizontal="center" vertical="center" wrapText="1"/>
    </xf>
    <xf numFmtId="4" fontId="14" fillId="6" borderId="1" xfId="38" applyNumberFormat="1" applyFont="1" applyFill="1" applyBorder="1" applyAlignment="1">
      <alignment vertical="center"/>
    </xf>
    <xf numFmtId="4" fontId="15" fillId="0" borderId="1" xfId="38" applyNumberFormat="1" applyFont="1" applyBorder="1" applyAlignment="1">
      <alignment horizontal="center" vertical="center"/>
    </xf>
    <xf numFmtId="10" fontId="12" fillId="0" borderId="0" xfId="0" applyNumberFormat="1" applyFont="1" applyAlignment="1">
      <alignment vertical="center"/>
    </xf>
    <xf numFmtId="10" fontId="15" fillId="0" borderId="0" xfId="38" applyNumberFormat="1" applyFont="1" applyAlignment="1">
      <alignment vertical="center"/>
    </xf>
    <xf numFmtId="0" fontId="15" fillId="0" borderId="0" xfId="38" applyFont="1" applyBorder="1" applyAlignment="1">
      <alignment vertical="center"/>
    </xf>
    <xf numFmtId="9" fontId="15" fillId="0" borderId="0" xfId="38" applyNumberFormat="1" applyFont="1" applyBorder="1" applyAlignment="1">
      <alignment vertical="center"/>
    </xf>
    <xf numFmtId="4" fontId="15" fillId="0" borderId="0" xfId="38" applyNumberFormat="1" applyFont="1" applyBorder="1" applyAlignment="1">
      <alignment vertical="center"/>
    </xf>
    <xf numFmtId="0" fontId="17" fillId="0" borderId="0" xfId="38" applyFont="1" applyFill="1" applyAlignment="1">
      <alignment horizontal="center" wrapText="1"/>
    </xf>
    <xf numFmtId="0" fontId="17" fillId="0" borderId="0" xfId="38" applyFont="1" applyFill="1" applyAlignment="1">
      <alignment horizontal="center" vertical="top" wrapText="1"/>
    </xf>
    <xf numFmtId="0" fontId="20" fillId="2" borderId="1" xfId="0" applyFont="1" applyFill="1" applyBorder="1" applyAlignment="1">
      <alignment vertical="center"/>
    </xf>
    <xf numFmtId="0" fontId="20" fillId="0" borderId="8" xfId="4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right" vertical="center"/>
    </xf>
    <xf numFmtId="0" fontId="20" fillId="5" borderId="6" xfId="0" applyFont="1" applyFill="1" applyBorder="1" applyAlignment="1">
      <alignment horizontal="right" vertical="center"/>
    </xf>
    <xf numFmtId="0" fontId="20" fillId="5" borderId="7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 wrapText="1"/>
    </xf>
    <xf numFmtId="0" fontId="20" fillId="0" borderId="0" xfId="4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4" fontId="26" fillId="0" borderId="5" xfId="46" applyNumberFormat="1" applyFont="1" applyBorder="1" applyAlignment="1">
      <alignment horizontal="center" vertical="top"/>
    </xf>
    <xf numFmtId="4" fontId="26" fillId="0" borderId="6" xfId="46" applyNumberFormat="1" applyFont="1" applyBorder="1" applyAlignment="1">
      <alignment horizontal="center" vertical="top"/>
    </xf>
    <xf numFmtId="4" fontId="26" fillId="0" borderId="7" xfId="46" applyNumberFormat="1" applyFont="1" applyBorder="1" applyAlignment="1">
      <alignment horizontal="center" vertical="top"/>
    </xf>
    <xf numFmtId="4" fontId="26" fillId="5" borderId="5" xfId="46" applyNumberFormat="1" applyFont="1" applyFill="1" applyBorder="1" applyAlignment="1">
      <alignment horizontal="right" vertical="top"/>
    </xf>
    <xf numFmtId="4" fontId="26" fillId="5" borderId="7" xfId="46" applyNumberFormat="1" applyFont="1" applyFill="1" applyBorder="1" applyAlignment="1">
      <alignment horizontal="right" vertical="top"/>
    </xf>
    <xf numFmtId="166" fontId="26" fillId="5" borderId="1" xfId="46" applyNumberFormat="1" applyFont="1" applyFill="1" applyBorder="1" applyAlignment="1">
      <alignment horizontal="left" vertical="top"/>
    </xf>
    <xf numFmtId="0" fontId="27" fillId="0" borderId="2" xfId="46" applyFont="1" applyBorder="1" applyAlignment="1">
      <alignment horizontal="center" vertical="top"/>
    </xf>
    <xf numFmtId="0" fontId="27" fillId="0" borderId="3" xfId="46" applyFont="1" applyBorder="1" applyAlignment="1">
      <alignment horizontal="center" vertical="top"/>
    </xf>
    <xf numFmtId="0" fontId="27" fillId="0" borderId="2" xfId="46" applyFont="1" applyBorder="1" applyAlignment="1">
      <alignment horizontal="left" vertical="top" wrapText="1"/>
    </xf>
    <xf numFmtId="0" fontId="27" fillId="0" borderId="3" xfId="46" applyFont="1" applyBorder="1" applyAlignment="1">
      <alignment horizontal="left" vertical="top" wrapText="1"/>
    </xf>
    <xf numFmtId="4" fontId="26" fillId="0" borderId="5" xfId="44" applyNumberFormat="1" applyFont="1" applyBorder="1" applyAlignment="1">
      <alignment horizontal="center" vertical="center"/>
    </xf>
    <xf numFmtId="4" fontId="26" fillId="0" borderId="6" xfId="44" applyNumberFormat="1" applyFont="1" applyBorder="1" applyAlignment="1">
      <alignment horizontal="center" vertical="center"/>
    </xf>
    <xf numFmtId="4" fontId="26" fillId="0" borderId="7" xfId="44" applyNumberFormat="1" applyFont="1" applyBorder="1" applyAlignment="1">
      <alignment horizontal="center" vertical="center"/>
    </xf>
    <xf numFmtId="0" fontId="14" fillId="0" borderId="5" xfId="38" applyFont="1" applyBorder="1" applyAlignment="1">
      <alignment horizontal="center" vertical="center"/>
    </xf>
    <xf numFmtId="0" fontId="14" fillId="0" borderId="7" xfId="38" applyFont="1" applyBorder="1" applyAlignment="1">
      <alignment horizontal="center" vertical="center"/>
    </xf>
    <xf numFmtId="0" fontId="14" fillId="0" borderId="5" xfId="38" applyFont="1" applyBorder="1" applyAlignment="1">
      <alignment horizontal="center" vertical="center" wrapText="1"/>
    </xf>
    <xf numFmtId="0" fontId="14" fillId="0" borderId="7" xfId="38" applyFont="1" applyBorder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left" wrapText="1"/>
    </xf>
  </cellXfs>
  <cellStyles count="49">
    <cellStyle name="Normal" xfId="48" xr:uid="{00000000-0005-0000-0000-000000000000}"/>
    <cellStyle name="Гиперссылка" xfId="2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Денежный" xfId="1" builtinId="4"/>
    <cellStyle name="Денежный 2" xfId="5" xr:uid="{00000000-0005-0000-0000-000012000000}"/>
    <cellStyle name="Денежный 2 2" xfId="39" xr:uid="{00000000-0005-0000-0000-000013000000}"/>
    <cellStyle name="Обычный" xfId="0" builtinId="0"/>
    <cellStyle name="Обычный 2" xfId="4" xr:uid="{00000000-0005-0000-0000-000015000000}"/>
    <cellStyle name="Обычный 3" xfId="36" xr:uid="{00000000-0005-0000-0000-000016000000}"/>
    <cellStyle name="Обычный 3 2" xfId="38" xr:uid="{00000000-0005-0000-0000-000017000000}"/>
    <cellStyle name="Обычный 4" xfId="37" xr:uid="{00000000-0005-0000-0000-000018000000}"/>
    <cellStyle name="Обычный 5" xfId="40" xr:uid="{00000000-0005-0000-0000-000019000000}"/>
    <cellStyle name="Обычный 6" xfId="42" xr:uid="{00000000-0005-0000-0000-00001A000000}"/>
    <cellStyle name="Обычный 7" xfId="44" xr:uid="{00000000-0005-0000-0000-00001B000000}"/>
    <cellStyle name="Обычный 8" xfId="46" xr:uid="{00000000-0005-0000-0000-00001C000000}"/>
    <cellStyle name="Открывавшаяся гиперссылка" xfId="3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Процентный" xfId="41" builtinId="5"/>
    <cellStyle name="Процентный 2" xfId="43" xr:uid="{00000000-0005-0000-0000-00002E000000}"/>
    <cellStyle name="Процентный 3" xfId="45" xr:uid="{00000000-0005-0000-0000-00002F000000}"/>
    <cellStyle name="Процентный 4" xfId="47" xr:uid="{00000000-0005-0000-0000-000030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opLeftCell="A19" workbookViewId="0">
      <selection activeCell="A22" sqref="A22:K22"/>
    </sheetView>
  </sheetViews>
  <sheetFormatPr defaultColWidth="9.44140625" defaultRowHeight="13.8" x14ac:dyDescent="0.25"/>
  <cols>
    <col min="1" max="16384" width="9.44140625" style="7"/>
  </cols>
  <sheetData>
    <row r="1" spans="9:9" x14ac:dyDescent="0.25">
      <c r="I1" s="7" t="s">
        <v>58</v>
      </c>
    </row>
    <row r="2" spans="9:9" x14ac:dyDescent="0.25">
      <c r="I2" s="7" t="s">
        <v>59</v>
      </c>
    </row>
    <row r="3" spans="9:9" x14ac:dyDescent="0.25">
      <c r="I3" s="7" t="s">
        <v>60</v>
      </c>
    </row>
    <row r="19" spans="1:11" x14ac:dyDescent="0.25">
      <c r="A19" s="157"/>
      <c r="B19" s="157"/>
      <c r="C19" s="157"/>
      <c r="D19" s="157"/>
      <c r="E19" s="157"/>
      <c r="F19" s="157"/>
      <c r="G19" s="157"/>
      <c r="H19" s="157"/>
      <c r="I19" s="157"/>
      <c r="J19" s="157"/>
      <c r="K19" s="157"/>
    </row>
    <row r="20" spans="1:11" x14ac:dyDescent="0.25">
      <c r="A20" s="157"/>
      <c r="B20" s="157"/>
      <c r="C20" s="157"/>
      <c r="D20" s="157"/>
      <c r="E20" s="157"/>
      <c r="F20" s="157"/>
      <c r="G20" s="157"/>
      <c r="H20" s="157"/>
      <c r="I20" s="157"/>
      <c r="J20" s="157"/>
      <c r="K20" s="157"/>
    </row>
    <row r="21" spans="1:11" ht="15" customHeight="1" x14ac:dyDescent="0.25">
      <c r="A21" s="192" t="s">
        <v>108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</row>
    <row r="22" spans="1:11" ht="58.5" customHeight="1" x14ac:dyDescent="0.25">
      <c r="A22" s="193" t="s">
        <v>110</v>
      </c>
      <c r="B22" s="193"/>
      <c r="C22" s="193"/>
      <c r="D22" s="193"/>
      <c r="E22" s="193"/>
      <c r="F22" s="193"/>
      <c r="G22" s="193"/>
      <c r="H22" s="193"/>
      <c r="I22" s="193"/>
      <c r="J22" s="193"/>
      <c r="K22" s="193"/>
    </row>
    <row r="23" spans="1:11" ht="15" customHeight="1" x14ac:dyDescent="0.25">
      <c r="A23" s="10" t="s">
        <v>64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157"/>
      <c r="B24" s="157"/>
      <c r="C24" s="157"/>
      <c r="D24" s="157"/>
      <c r="E24" s="157"/>
      <c r="F24" s="157"/>
      <c r="G24" s="157"/>
      <c r="H24" s="157"/>
      <c r="I24" s="157"/>
      <c r="J24" s="157"/>
      <c r="K24" s="157"/>
    </row>
    <row r="25" spans="1:11" x14ac:dyDescent="0.25">
      <c r="A25" s="157"/>
      <c r="B25" s="157"/>
      <c r="C25" s="157"/>
      <c r="D25" s="157"/>
      <c r="E25" s="157"/>
      <c r="F25" s="157"/>
      <c r="G25" s="157"/>
      <c r="H25" s="157"/>
      <c r="I25" s="157"/>
      <c r="J25" s="157"/>
      <c r="K25" s="157"/>
    </row>
  </sheetData>
  <mergeCells count="2">
    <mergeCell ref="A21:K21"/>
    <mergeCell ref="A22:K2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zoomScaleNormal="100" workbookViewId="0">
      <selection activeCell="H3" sqref="H3"/>
    </sheetView>
  </sheetViews>
  <sheetFormatPr defaultColWidth="8.5546875" defaultRowHeight="13.8" x14ac:dyDescent="0.25"/>
  <cols>
    <col min="1" max="1" width="4.88671875" style="1" customWidth="1"/>
    <col min="2" max="2" width="71.44140625" style="2" customWidth="1"/>
    <col min="3" max="3" width="26.5546875" style="3" customWidth="1"/>
    <col min="4" max="4" width="13.5546875" style="1" customWidth="1"/>
    <col min="5" max="5" width="12.5546875" style="4" customWidth="1"/>
    <col min="6" max="6" width="15" style="1" customWidth="1"/>
    <col min="7" max="7" width="13.5546875" style="1" customWidth="1"/>
    <col min="8" max="8" width="14.5546875" style="1" customWidth="1"/>
    <col min="9" max="9" width="13.44140625" style="1" customWidth="1"/>
    <col min="10" max="10" width="10.88671875" style="5" customWidth="1"/>
    <col min="11" max="11" width="16.44140625" style="1" customWidth="1"/>
    <col min="12" max="16384" width="8.5546875" style="1"/>
  </cols>
  <sheetData>
    <row r="1" spans="1:12" ht="23.25" customHeight="1" x14ac:dyDescent="0.25">
      <c r="B1" s="195" t="s">
        <v>61</v>
      </c>
      <c r="C1" s="195"/>
      <c r="D1" s="195"/>
      <c r="E1" s="195"/>
      <c r="F1" s="195"/>
      <c r="G1" s="195"/>
      <c r="H1" s="195"/>
      <c r="I1" s="195"/>
      <c r="J1" s="195"/>
      <c r="K1" s="195"/>
    </row>
    <row r="2" spans="1:12" ht="55.2" x14ac:dyDescent="0.25">
      <c r="A2" s="41" t="s">
        <v>3</v>
      </c>
      <c r="B2" s="41" t="s">
        <v>8</v>
      </c>
      <c r="C2" s="41" t="s">
        <v>0</v>
      </c>
      <c r="D2" s="41" t="s">
        <v>1</v>
      </c>
      <c r="E2" s="42" t="s">
        <v>5</v>
      </c>
      <c r="F2" s="41" t="s">
        <v>4</v>
      </c>
      <c r="G2" s="41" t="s">
        <v>82</v>
      </c>
      <c r="H2" s="41" t="s">
        <v>49</v>
      </c>
      <c r="I2" s="41" t="s">
        <v>30</v>
      </c>
      <c r="J2" s="41" t="s">
        <v>2</v>
      </c>
      <c r="K2" s="41" t="s">
        <v>31</v>
      </c>
    </row>
    <row r="3" spans="1:12" x14ac:dyDescent="0.25">
      <c r="A3" s="43">
        <v>1</v>
      </c>
      <c r="B3" s="158" t="s">
        <v>83</v>
      </c>
      <c r="C3" s="43" t="s">
        <v>33</v>
      </c>
      <c r="D3" s="45">
        <v>1</v>
      </c>
      <c r="E3" s="46">
        <f>ROUND((20*247/365)*80%*8,1)</f>
        <v>86.6</v>
      </c>
      <c r="F3" s="47">
        <f>ROUND(D3*E3,2)</f>
        <v>86.6</v>
      </c>
      <c r="G3" s="48">
        <f>'2.4. ОКВЭД 62.0. '!$C$11</f>
        <v>3159.52</v>
      </c>
      <c r="H3" s="48">
        <f>ROUND(F3*G3,2)</f>
        <v>273614.43</v>
      </c>
      <c r="I3" s="49">
        <f>ROUND(H3*1.22,2)</f>
        <v>333809.59999999998</v>
      </c>
      <c r="J3" s="54">
        <f>'2.3. НМЦК_Реестра'!D46</f>
        <v>1</v>
      </c>
      <c r="K3" s="59">
        <f>ROUND(I3*J3,2)</f>
        <v>333809.59999999998</v>
      </c>
      <c r="L3" s="50"/>
    </row>
    <row r="4" spans="1:12" ht="44.25" customHeight="1" x14ac:dyDescent="0.25">
      <c r="A4" s="51" t="s">
        <v>6</v>
      </c>
      <c r="B4" s="158" t="s">
        <v>102</v>
      </c>
      <c r="C4" s="43" t="s">
        <v>32</v>
      </c>
      <c r="D4" s="52">
        <v>1</v>
      </c>
      <c r="E4" s="53">
        <v>0.96</v>
      </c>
      <c r="F4" s="47">
        <f t="shared" ref="F4:F6" si="0">ROUND(D4*E4,2)</f>
        <v>0.96</v>
      </c>
      <c r="G4" s="48">
        <f>'2.4. ОКВЭД 62.0. '!$C$11</f>
        <v>3159.52</v>
      </c>
      <c r="H4" s="48">
        <f>ROUND(F4*G4,2)</f>
        <v>3033.14</v>
      </c>
      <c r="I4" s="49">
        <f t="shared" ref="I4:I6" si="1">ROUND(H4*1.22,2)</f>
        <v>3700.43</v>
      </c>
      <c r="J4" s="54">
        <f>'2.3. НМЦК_Реестра'!D47</f>
        <v>44455</v>
      </c>
      <c r="K4" s="59">
        <f>ROUND(I4*J4,2)</f>
        <v>164502615.65000001</v>
      </c>
      <c r="L4" s="50"/>
    </row>
    <row r="5" spans="1:12" x14ac:dyDescent="0.25">
      <c r="A5" s="57" t="s">
        <v>109</v>
      </c>
      <c r="B5" s="158" t="s">
        <v>96</v>
      </c>
      <c r="C5" s="43" t="s">
        <v>32</v>
      </c>
      <c r="D5" s="55">
        <v>1</v>
      </c>
      <c r="E5" s="56">
        <v>0.96</v>
      </c>
      <c r="F5" s="47">
        <f t="shared" si="0"/>
        <v>0.96</v>
      </c>
      <c r="G5" s="48">
        <f>'2.4. ОКВЭД 62.0. '!$C$11</f>
        <v>3159.52</v>
      </c>
      <c r="H5" s="48">
        <f t="shared" ref="H5:H6" si="2">ROUND(F5*G5,2)</f>
        <v>3033.14</v>
      </c>
      <c r="I5" s="49">
        <f t="shared" si="1"/>
        <v>3700.43</v>
      </c>
      <c r="J5" s="54">
        <f>'2.3. НМЦК_Реестра'!D48</f>
        <v>44455</v>
      </c>
      <c r="K5" s="59">
        <f t="shared" ref="K5" si="3">ROUND(I5*J5,2)</f>
        <v>164502615.65000001</v>
      </c>
      <c r="L5" s="50"/>
    </row>
    <row r="6" spans="1:12" x14ac:dyDescent="0.25">
      <c r="A6" s="51" t="s">
        <v>7</v>
      </c>
      <c r="B6" s="158" t="s">
        <v>37</v>
      </c>
      <c r="C6" s="43" t="s">
        <v>33</v>
      </c>
      <c r="D6" s="55">
        <v>1</v>
      </c>
      <c r="E6" s="56">
        <v>7.2</v>
      </c>
      <c r="F6" s="47">
        <f t="shared" si="0"/>
        <v>7.2</v>
      </c>
      <c r="G6" s="48">
        <f>'2.4. ОКВЭД 62.0. '!$C$11</f>
        <v>3159.52</v>
      </c>
      <c r="H6" s="48">
        <f t="shared" si="2"/>
        <v>22748.54</v>
      </c>
      <c r="I6" s="49">
        <f t="shared" si="1"/>
        <v>27753.22</v>
      </c>
      <c r="J6" s="54">
        <f>'2.3. НМЦК_Реестра'!D49</f>
        <v>200</v>
      </c>
      <c r="K6" s="59">
        <f>ROUND(I6*J6,2)</f>
        <v>5550644</v>
      </c>
      <c r="L6" s="50"/>
    </row>
    <row r="7" spans="1:12" ht="13.5" customHeight="1" x14ac:dyDescent="0.25">
      <c r="A7" s="194" t="s">
        <v>50</v>
      </c>
      <c r="B7" s="194"/>
      <c r="C7" s="194"/>
      <c r="D7" s="194"/>
      <c r="E7" s="194"/>
      <c r="F7" s="194"/>
      <c r="G7" s="194"/>
      <c r="H7" s="194"/>
      <c r="I7" s="194"/>
      <c r="J7" s="58"/>
      <c r="K7" s="108">
        <f>SUM(K3:K6)</f>
        <v>334889684.89999998</v>
      </c>
      <c r="L7" s="50"/>
    </row>
    <row r="9" spans="1:12" x14ac:dyDescent="0.25">
      <c r="B9" s="1"/>
      <c r="C9" s="5"/>
      <c r="E9" s="1"/>
      <c r="G9" s="6"/>
      <c r="H9" s="6"/>
      <c r="J9" s="1"/>
      <c r="K9" s="6"/>
    </row>
    <row r="10" spans="1:12" x14ac:dyDescent="0.25">
      <c r="B10" s="1"/>
      <c r="C10" s="5"/>
      <c r="E10" s="1"/>
      <c r="G10" s="6"/>
      <c r="H10" s="6"/>
      <c r="J10" s="1"/>
    </row>
    <row r="11" spans="1:12" x14ac:dyDescent="0.25">
      <c r="B11" s="1"/>
      <c r="E11" s="1"/>
      <c r="G11" s="6"/>
      <c r="H11" s="6"/>
      <c r="J11" s="1"/>
    </row>
    <row r="12" spans="1:12" x14ac:dyDescent="0.25">
      <c r="B12" s="1"/>
      <c r="E12" s="1"/>
      <c r="G12" s="6"/>
      <c r="H12" s="6"/>
      <c r="J12" s="1"/>
    </row>
    <row r="13" spans="1:12" x14ac:dyDescent="0.25">
      <c r="B13" s="1"/>
      <c r="C13" s="5"/>
      <c r="E13" s="1"/>
      <c r="G13" s="6"/>
      <c r="H13" s="6"/>
      <c r="J13" s="1"/>
    </row>
  </sheetData>
  <autoFilter ref="A2:K7" xr:uid="{00000000-0009-0000-0000-000001000000}"/>
  <mergeCells count="2">
    <mergeCell ref="A7:I7"/>
    <mergeCell ref="B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K52"/>
  <sheetViews>
    <sheetView tabSelected="1" topLeftCell="A46" zoomScale="90" zoomScaleNormal="90" workbookViewId="0">
      <selection activeCell="A52" sqref="A52:G52"/>
    </sheetView>
  </sheetViews>
  <sheetFormatPr defaultColWidth="8.5546875" defaultRowHeight="13.8" x14ac:dyDescent="0.3"/>
  <cols>
    <col min="1" max="1" width="5.88671875" style="28" customWidth="1"/>
    <col min="2" max="2" width="48.5546875" style="29" customWidth="1"/>
    <col min="3" max="3" width="21.44140625" style="30" customWidth="1"/>
    <col min="4" max="4" width="20.5546875" style="28" customWidth="1"/>
    <col min="5" max="5" width="20.5546875" style="31" customWidth="1"/>
    <col min="6" max="6" width="20.5546875" style="28" customWidth="1"/>
    <col min="7" max="7" width="23.44140625" style="28" customWidth="1"/>
    <col min="8" max="8" width="25.44140625" style="28" customWidth="1"/>
    <col min="9" max="9" width="66.88671875" style="28" customWidth="1"/>
    <col min="10" max="10" width="23" style="28" customWidth="1"/>
    <col min="11" max="11" width="23.109375" style="28" customWidth="1"/>
    <col min="12" max="16384" width="8.5546875" style="28"/>
  </cols>
  <sheetData>
    <row r="1" spans="1:11" x14ac:dyDescent="0.3">
      <c r="A1" s="200" t="s">
        <v>62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1" s="63" customFormat="1" x14ac:dyDescent="0.3">
      <c r="A2" s="60" t="s">
        <v>44</v>
      </c>
      <c r="B2" s="61"/>
      <c r="C2" s="62"/>
      <c r="D2" s="62"/>
      <c r="E2" s="62"/>
      <c r="F2" s="62"/>
      <c r="G2" s="62"/>
      <c r="H2" s="62"/>
      <c r="I2" s="62"/>
      <c r="K2" s="28"/>
    </row>
    <row r="3" spans="1:11" x14ac:dyDescent="0.3">
      <c r="A3" s="64"/>
      <c r="B3" s="31"/>
      <c r="C3" s="31"/>
      <c r="D3" s="31"/>
      <c r="F3" s="31"/>
      <c r="G3" s="31"/>
      <c r="H3" s="31"/>
      <c r="I3" s="31"/>
    </row>
    <row r="4" spans="1:11" ht="41.4" x14ac:dyDescent="0.3">
      <c r="A4" s="41" t="s">
        <v>3</v>
      </c>
      <c r="B4" s="41" t="s">
        <v>67</v>
      </c>
      <c r="C4" s="41" t="s">
        <v>66</v>
      </c>
      <c r="D4" s="41" t="s">
        <v>40</v>
      </c>
      <c r="E4" s="41" t="s">
        <v>39</v>
      </c>
      <c r="F4" s="41" t="s">
        <v>41</v>
      </c>
      <c r="G4" s="41" t="s">
        <v>101</v>
      </c>
      <c r="H4" s="41" t="s">
        <v>42</v>
      </c>
      <c r="I4" s="41" t="s">
        <v>8</v>
      </c>
      <c r="J4" s="41" t="s">
        <v>107</v>
      </c>
      <c r="K4" s="27"/>
    </row>
    <row r="5" spans="1:11" x14ac:dyDescent="0.3">
      <c r="A5" s="65">
        <v>1</v>
      </c>
      <c r="B5" s="65">
        <v>2</v>
      </c>
      <c r="C5" s="65">
        <v>3</v>
      </c>
      <c r="D5" s="65">
        <v>4</v>
      </c>
      <c r="E5" s="65">
        <v>5</v>
      </c>
      <c r="F5" s="65">
        <v>6</v>
      </c>
      <c r="G5" s="65">
        <v>7</v>
      </c>
      <c r="H5" s="65">
        <v>8</v>
      </c>
      <c r="I5" s="140">
        <v>9</v>
      </c>
      <c r="J5" s="140">
        <v>10</v>
      </c>
      <c r="K5" s="27"/>
    </row>
    <row r="6" spans="1:11" ht="33.75" customHeight="1" x14ac:dyDescent="0.3">
      <c r="A6" s="201" t="s">
        <v>29</v>
      </c>
      <c r="B6" s="201" t="s">
        <v>90</v>
      </c>
      <c r="C6" s="201" t="s">
        <v>91</v>
      </c>
      <c r="D6" s="204">
        <v>45936</v>
      </c>
      <c r="E6" s="207" t="s">
        <v>92</v>
      </c>
      <c r="F6" s="201" t="s">
        <v>93</v>
      </c>
      <c r="G6" s="210">
        <v>217560000</v>
      </c>
      <c r="H6" s="213" t="s">
        <v>98</v>
      </c>
      <c r="I6" s="142" t="s">
        <v>94</v>
      </c>
      <c r="J6" s="147">
        <v>65271</v>
      </c>
      <c r="K6" s="27"/>
    </row>
    <row r="7" spans="1:11" ht="26.4" x14ac:dyDescent="0.3">
      <c r="A7" s="202"/>
      <c r="B7" s="202"/>
      <c r="C7" s="202"/>
      <c r="D7" s="205"/>
      <c r="E7" s="208"/>
      <c r="F7" s="202"/>
      <c r="G7" s="211"/>
      <c r="H7" s="214"/>
      <c r="I7" s="143" t="s">
        <v>9</v>
      </c>
      <c r="J7" s="147">
        <v>1404.8</v>
      </c>
      <c r="K7" s="27"/>
    </row>
    <row r="8" spans="1:11" ht="55.2" x14ac:dyDescent="0.3">
      <c r="A8" s="202"/>
      <c r="B8" s="202"/>
      <c r="C8" s="202"/>
      <c r="D8" s="205"/>
      <c r="E8" s="208"/>
      <c r="F8" s="202"/>
      <c r="G8" s="211"/>
      <c r="H8" s="214"/>
      <c r="I8" s="141" t="s">
        <v>35</v>
      </c>
      <c r="J8" s="148">
        <v>14849.34</v>
      </c>
      <c r="K8" s="27"/>
    </row>
    <row r="9" spans="1:11" ht="27.6" x14ac:dyDescent="0.3">
      <c r="A9" s="202"/>
      <c r="B9" s="202"/>
      <c r="C9" s="202"/>
      <c r="D9" s="205"/>
      <c r="E9" s="208"/>
      <c r="F9" s="202"/>
      <c r="G9" s="211"/>
      <c r="H9" s="214"/>
      <c r="I9" s="66" t="s">
        <v>95</v>
      </c>
      <c r="J9" s="149">
        <v>11617.97</v>
      </c>
      <c r="K9" s="27"/>
    </row>
    <row r="10" spans="1:11" x14ac:dyDescent="0.3">
      <c r="A10" s="202"/>
      <c r="B10" s="202"/>
      <c r="C10" s="202"/>
      <c r="D10" s="205"/>
      <c r="E10" s="208"/>
      <c r="F10" s="202"/>
      <c r="G10" s="211"/>
      <c r="H10" s="214"/>
      <c r="I10" s="66" t="s">
        <v>96</v>
      </c>
      <c r="J10" s="149">
        <v>1148.8</v>
      </c>
      <c r="K10" s="27"/>
    </row>
    <row r="11" spans="1:11" ht="27.6" x14ac:dyDescent="0.3">
      <c r="A11" s="202"/>
      <c r="B11" s="202"/>
      <c r="C11" s="202"/>
      <c r="D11" s="205"/>
      <c r="E11" s="208"/>
      <c r="F11" s="202"/>
      <c r="G11" s="211"/>
      <c r="H11" s="214"/>
      <c r="I11" s="66" t="s">
        <v>36</v>
      </c>
      <c r="J11" s="149">
        <v>30459.21</v>
      </c>
      <c r="K11" s="27"/>
    </row>
    <row r="12" spans="1:11" ht="27.6" x14ac:dyDescent="0.3">
      <c r="A12" s="202"/>
      <c r="B12" s="202"/>
      <c r="C12" s="202"/>
      <c r="D12" s="205"/>
      <c r="E12" s="208"/>
      <c r="F12" s="202"/>
      <c r="G12" s="211"/>
      <c r="H12" s="214"/>
      <c r="I12" s="66" t="s">
        <v>34</v>
      </c>
      <c r="J12" s="149">
        <v>45261.06</v>
      </c>
      <c r="K12" s="27"/>
    </row>
    <row r="13" spans="1:11" x14ac:dyDescent="0.3">
      <c r="A13" s="202"/>
      <c r="B13" s="202"/>
      <c r="C13" s="202"/>
      <c r="D13" s="205"/>
      <c r="E13" s="208"/>
      <c r="F13" s="202"/>
      <c r="G13" s="211"/>
      <c r="H13" s="214"/>
      <c r="I13" s="66" t="s">
        <v>97</v>
      </c>
      <c r="J13" s="149">
        <v>24316.34</v>
      </c>
      <c r="K13" s="27"/>
    </row>
    <row r="14" spans="1:11" x14ac:dyDescent="0.3">
      <c r="A14" s="203"/>
      <c r="B14" s="203"/>
      <c r="C14" s="203"/>
      <c r="D14" s="206"/>
      <c r="E14" s="209"/>
      <c r="F14" s="203"/>
      <c r="G14" s="212"/>
      <c r="H14" s="215"/>
      <c r="I14" s="66" t="s">
        <v>37</v>
      </c>
      <c r="J14" s="149">
        <v>9421.94</v>
      </c>
      <c r="K14" s="27"/>
    </row>
    <row r="15" spans="1:11" x14ac:dyDescent="0.3">
      <c r="A15" s="67"/>
      <c r="B15" s="68"/>
      <c r="C15" s="68"/>
      <c r="D15" s="69"/>
      <c r="E15" s="70"/>
      <c r="F15" s="68"/>
      <c r="G15" s="68"/>
      <c r="H15" s="68"/>
      <c r="I15" s="68"/>
      <c r="J15" s="71"/>
      <c r="K15" s="72"/>
    </row>
    <row r="16" spans="1:11" s="63" customFormat="1" x14ac:dyDescent="0.3">
      <c r="A16" s="67"/>
      <c r="B16" s="68"/>
      <c r="C16" s="68"/>
      <c r="D16" s="69"/>
      <c r="E16" s="70"/>
      <c r="F16" s="68"/>
      <c r="G16" s="68"/>
      <c r="H16" s="68"/>
      <c r="I16" s="68"/>
      <c r="J16" s="71"/>
      <c r="K16" s="73"/>
    </row>
    <row r="17" spans="1:11" s="63" customFormat="1" x14ac:dyDescent="0.3">
      <c r="A17" s="163" t="s">
        <v>68</v>
      </c>
      <c r="B17" s="164"/>
      <c r="C17" s="165" t="str">
        <f>C6</f>
        <v>№ 870/10/25</v>
      </c>
      <c r="D17" s="165" t="s">
        <v>106</v>
      </c>
      <c r="E17" s="173" t="s">
        <v>105</v>
      </c>
      <c r="F17" s="167"/>
      <c r="G17" s="62"/>
      <c r="H17" s="62"/>
      <c r="I17" s="145"/>
      <c r="K17" s="95"/>
    </row>
    <row r="18" spans="1:11" s="63" customFormat="1" ht="27.6" x14ac:dyDescent="0.3">
      <c r="A18" s="166" t="s">
        <v>45</v>
      </c>
      <c r="B18" s="167" t="s">
        <v>70</v>
      </c>
      <c r="C18" s="166" t="s">
        <v>46</v>
      </c>
      <c r="D18" s="168" t="s">
        <v>47</v>
      </c>
      <c r="E18" s="174" t="s">
        <v>47</v>
      </c>
      <c r="F18" s="166"/>
      <c r="G18" s="74"/>
      <c r="H18" s="74"/>
      <c r="I18" s="146"/>
      <c r="J18" s="146"/>
      <c r="K18" s="95"/>
    </row>
    <row r="19" spans="1:11" s="63" customFormat="1" x14ac:dyDescent="0.3">
      <c r="A19" s="166">
        <v>2026</v>
      </c>
      <c r="B19" s="169">
        <v>0</v>
      </c>
      <c r="C19" s="170">
        <v>2.75E-2</v>
      </c>
      <c r="D19" s="171">
        <v>0</v>
      </c>
      <c r="E19" s="175">
        <f>ROUND(C19/365*B19,4)</f>
        <v>0</v>
      </c>
      <c r="F19" s="176">
        <f>DATE(2026,12,31)-C41+1</f>
        <v>91</v>
      </c>
      <c r="G19" s="74"/>
      <c r="H19" s="76"/>
      <c r="I19" s="145"/>
      <c r="J19" s="145"/>
      <c r="K19" s="96"/>
    </row>
    <row r="20" spans="1:11" s="63" customFormat="1" x14ac:dyDescent="0.3">
      <c r="A20" s="166">
        <v>2027</v>
      </c>
      <c r="B20" s="172">
        <f>ROUND('2.5. Свод по годам'!E15-DATE(2027,11,6)+1,0)</f>
        <v>40</v>
      </c>
      <c r="C20" s="170">
        <v>2.0500000000000001E-2</v>
      </c>
      <c r="D20" s="171">
        <v>0</v>
      </c>
      <c r="E20" s="175">
        <f>ROUND(C20/365*B20,4)</f>
        <v>2.2000000000000001E-3</v>
      </c>
      <c r="F20" s="176">
        <f>D39-DATE($A20,1,1)+1</f>
        <v>349</v>
      </c>
      <c r="G20" s="74"/>
      <c r="H20" s="76"/>
      <c r="I20" s="76"/>
      <c r="K20" s="9"/>
    </row>
    <row r="21" spans="1:11" s="63" customFormat="1" x14ac:dyDescent="0.3">
      <c r="A21" s="166">
        <v>2028</v>
      </c>
      <c r="B21" s="172">
        <v>0</v>
      </c>
      <c r="C21" s="170">
        <v>0.02</v>
      </c>
      <c r="D21" s="171">
        <v>0</v>
      </c>
      <c r="E21" s="175">
        <f>ROUND(C21/365*B21,4)</f>
        <v>0</v>
      </c>
      <c r="F21" s="176">
        <v>0</v>
      </c>
      <c r="G21" s="74"/>
      <c r="H21" s="110"/>
      <c r="I21" s="110"/>
      <c r="K21" s="9"/>
    </row>
    <row r="22" spans="1:11" s="63" customFormat="1" x14ac:dyDescent="0.3">
      <c r="A22" s="74"/>
      <c r="B22" s="62"/>
      <c r="C22" s="75"/>
      <c r="D22" s="77"/>
      <c r="E22" s="62"/>
      <c r="F22" s="167">
        <f>SUM(F19:F21)</f>
        <v>440</v>
      </c>
      <c r="G22" s="74"/>
      <c r="H22" s="62"/>
      <c r="I22" s="62"/>
      <c r="K22" s="9"/>
    </row>
    <row r="23" spans="1:11" s="63" customFormat="1" x14ac:dyDescent="0.3">
      <c r="A23" s="74"/>
      <c r="B23" s="62"/>
      <c r="C23" s="75"/>
      <c r="D23" s="77"/>
      <c r="E23" s="62"/>
      <c r="K23" s="9"/>
    </row>
    <row r="24" spans="1:11" ht="55.2" x14ac:dyDescent="0.3">
      <c r="A24" s="41" t="s">
        <v>3</v>
      </c>
      <c r="B24" s="41" t="s">
        <v>8</v>
      </c>
      <c r="C24" s="41" t="s">
        <v>100</v>
      </c>
      <c r="D24" s="41" t="s">
        <v>113</v>
      </c>
      <c r="E24" s="41" t="s">
        <v>72</v>
      </c>
      <c r="F24" s="41" t="s">
        <v>63</v>
      </c>
      <c r="G24" s="8"/>
      <c r="H24" s="63"/>
      <c r="I24" s="63"/>
      <c r="J24" s="8"/>
    </row>
    <row r="25" spans="1:11" ht="27.6" x14ac:dyDescent="0.3">
      <c r="A25" s="78">
        <f>'2.2. НМЦК_затратный'!A3</f>
        <v>1</v>
      </c>
      <c r="B25" s="79" t="str">
        <f>'2.2. НМЦК_затратный'!B3</f>
        <v>Организационно-штатные и подготовительные мероприятия этапа 1</v>
      </c>
      <c r="C25" s="49">
        <f>J6</f>
        <v>65271</v>
      </c>
      <c r="D25" s="80">
        <f>ROUND(C25*$D$19+C25,2)</f>
        <v>65271</v>
      </c>
      <c r="E25" s="80">
        <f>ROUND(D25*$D$20+D25,2)</f>
        <v>65271</v>
      </c>
      <c r="F25" s="81">
        <f>ROUND((D25*$F$19+E25*$F$20)/$F$22,2)</f>
        <v>65271</v>
      </c>
      <c r="G25" s="8"/>
      <c r="H25" s="63"/>
      <c r="I25" s="63"/>
      <c r="J25" s="8"/>
    </row>
    <row r="26" spans="1:11" ht="41.4" x14ac:dyDescent="0.3">
      <c r="A26" s="78" t="str">
        <f>'2.2. НМЦК_затратный'!A4</f>
        <v>2</v>
      </c>
      <c r="B26" s="79" t="str">
        <f>'2.2. НМЦК_затратный'!B4</f>
        <v>Выполнение 1 (одного) тестового сценария, включая повторное выполнение в случае обнаружения и оперативного устранения дефекта</v>
      </c>
      <c r="C26" s="49">
        <f>J7</f>
        <v>1404.8</v>
      </c>
      <c r="D26" s="80">
        <f t="shared" ref="D26:D27" si="0">ROUND(C26*$E$19+C26,2)</f>
        <v>1404.8</v>
      </c>
      <c r="E26" s="80">
        <f>ROUND(D26*$E$20+D26,2)</f>
        <v>1407.89</v>
      </c>
      <c r="F26" s="80">
        <f>ROUND((D26*400+E26*40)/$F$22,2)</f>
        <v>1405.08</v>
      </c>
      <c r="G26" s="8"/>
      <c r="H26" s="63"/>
      <c r="I26" s="63"/>
      <c r="J26" s="8"/>
    </row>
    <row r="27" spans="1:11" ht="27.6" x14ac:dyDescent="0.3">
      <c r="A27" s="78" t="str">
        <f>'2.2. НМЦК_затратный'!A5</f>
        <v>3</v>
      </c>
      <c r="B27" s="79" t="s">
        <v>96</v>
      </c>
      <c r="C27" s="49">
        <f>J10</f>
        <v>1148.8</v>
      </c>
      <c r="D27" s="80">
        <f t="shared" si="0"/>
        <v>1148.8</v>
      </c>
      <c r="E27" s="80">
        <f t="shared" ref="E27" si="1">ROUND(D27*$E$20+D27,2)</f>
        <v>1151.33</v>
      </c>
      <c r="F27" s="80">
        <f>ROUND((D27*400+E27*40)/$F$22,2)</f>
        <v>1149.03</v>
      </c>
      <c r="G27" s="8"/>
      <c r="H27" s="63"/>
      <c r="I27" s="63"/>
      <c r="J27" s="8"/>
    </row>
    <row r="28" spans="1:11" x14ac:dyDescent="0.3">
      <c r="A28" s="78" t="str">
        <f>'2.2. НМЦК_затратный'!A6</f>
        <v>4</v>
      </c>
      <c r="B28" s="79" t="str">
        <f>'2.2. НМЦК_затратный'!B6</f>
        <v>Подготовка отчетных материалов</v>
      </c>
      <c r="C28" s="49">
        <f>J14</f>
        <v>9421.94</v>
      </c>
      <c r="D28" s="80">
        <f>ROUND(C28*$E$19+C28,2)</f>
        <v>9421.94</v>
      </c>
      <c r="E28" s="80">
        <f>ROUND(D28*$E$20+D28,2)</f>
        <v>9442.67</v>
      </c>
      <c r="F28" s="80">
        <f>ROUND((D28*400+E28*40)/$F$22,2)</f>
        <v>9423.82</v>
      </c>
      <c r="G28" s="8"/>
      <c r="H28" s="63"/>
      <c r="I28" s="63"/>
      <c r="J28" s="8"/>
    </row>
    <row r="29" spans="1:11" s="84" customFormat="1" ht="54.6" customHeight="1" x14ac:dyDescent="0.3">
      <c r="A29" s="82" t="s">
        <v>48</v>
      </c>
      <c r="B29" s="199" t="s">
        <v>99</v>
      </c>
      <c r="C29" s="199"/>
      <c r="D29" s="199"/>
      <c r="E29" s="199"/>
      <c r="F29" s="199"/>
      <c r="G29" s="111"/>
      <c r="H29" s="109"/>
      <c r="I29" s="113"/>
      <c r="J29" s="83"/>
      <c r="K29" s="82"/>
    </row>
    <row r="30" spans="1:11" x14ac:dyDescent="0.3">
      <c r="A30" s="85"/>
      <c r="B30" s="85"/>
      <c r="C30" s="85"/>
      <c r="D30" s="85"/>
      <c r="E30" s="83"/>
      <c r="F30" s="86"/>
      <c r="G30" s="86"/>
      <c r="H30" s="86"/>
      <c r="I30" s="86"/>
      <c r="J30" s="87"/>
      <c r="K30" s="9"/>
    </row>
    <row r="31" spans="1:11" x14ac:dyDescent="0.3">
      <c r="A31" s="85"/>
      <c r="B31" s="85"/>
      <c r="C31" s="85"/>
      <c r="D31" s="85"/>
      <c r="E31" s="83"/>
      <c r="F31" s="86"/>
      <c r="G31" s="86"/>
      <c r="H31" s="86"/>
      <c r="I31" s="86"/>
      <c r="J31" s="87"/>
      <c r="K31" s="9"/>
    </row>
    <row r="32" spans="1:11" s="63" customFormat="1" x14ac:dyDescent="0.3">
      <c r="A32" s="36" t="s">
        <v>43</v>
      </c>
      <c r="B32" s="88"/>
      <c r="C32" s="88"/>
      <c r="D32" s="88"/>
      <c r="E32" s="88"/>
      <c r="F32" s="88"/>
      <c r="G32" s="88"/>
      <c r="H32" s="88"/>
      <c r="I32" s="88"/>
      <c r="J32" s="83"/>
      <c r="K32" s="9"/>
    </row>
    <row r="33" spans="1:11" s="63" customFormat="1" x14ac:dyDescent="0.3">
      <c r="A33" s="89"/>
      <c r="B33" s="159" t="s">
        <v>111</v>
      </c>
      <c r="C33" s="160" t="s">
        <v>70</v>
      </c>
      <c r="D33" s="28"/>
      <c r="K33" s="9"/>
    </row>
    <row r="34" spans="1:11" s="63" customFormat="1" x14ac:dyDescent="0.3">
      <c r="A34" s="89"/>
      <c r="B34" s="159" t="str">
        <f>'2.5. Свод по годам'!B10</f>
        <v>1 Этап</v>
      </c>
      <c r="C34" s="159">
        <f>'2.5. Свод по годам'!D10</f>
        <v>20</v>
      </c>
      <c r="K34" s="9"/>
    </row>
    <row r="35" spans="1:11" s="63" customFormat="1" x14ac:dyDescent="0.3">
      <c r="A35" s="89"/>
      <c r="B35" s="161" t="str">
        <f>'2.5. Свод по годам'!B11</f>
        <v>2 Этап</v>
      </c>
      <c r="C35" s="159">
        <f>'2.5. Свод по годам'!D11</f>
        <v>55</v>
      </c>
      <c r="D35" s="34">
        <f>'2.5. Свод по годам'!C11</f>
        <v>46317</v>
      </c>
      <c r="K35" s="9"/>
    </row>
    <row r="36" spans="1:11" s="63" customFormat="1" x14ac:dyDescent="0.3">
      <c r="A36" s="89"/>
      <c r="B36" s="161" t="str">
        <f>'2.5. Свод по годам'!B12</f>
        <v>3 Этап</v>
      </c>
      <c r="C36" s="159">
        <f>'2.5. Свод по годам'!D12</f>
        <v>90</v>
      </c>
      <c r="D36" s="28"/>
      <c r="K36" s="9"/>
    </row>
    <row r="37" spans="1:11" s="63" customFormat="1" x14ac:dyDescent="0.3">
      <c r="A37" s="89"/>
      <c r="B37" s="161" t="str">
        <f>'2.5. Свод по годам'!B13</f>
        <v>4 Этап</v>
      </c>
      <c r="C37" s="159">
        <f>'2.5. Свод по годам'!D13</f>
        <v>90</v>
      </c>
      <c r="D37" s="28"/>
      <c r="K37" s="9"/>
    </row>
    <row r="38" spans="1:11" s="63" customFormat="1" x14ac:dyDescent="0.3">
      <c r="A38" s="89"/>
      <c r="B38" s="161" t="str">
        <f>'2.5. Свод по годам'!B14</f>
        <v>5 Этап</v>
      </c>
      <c r="C38" s="159">
        <f>'2.5. Свод по годам'!D14</f>
        <v>90</v>
      </c>
      <c r="D38" s="28"/>
      <c r="K38" s="9"/>
    </row>
    <row r="39" spans="1:11" s="63" customFormat="1" x14ac:dyDescent="0.3">
      <c r="A39" s="89"/>
      <c r="B39" s="161" t="str">
        <f>'2.5. Свод по годам'!B15</f>
        <v>6 Этап</v>
      </c>
      <c r="C39" s="159">
        <f>'2.5. Свод по годам'!D15</f>
        <v>95</v>
      </c>
      <c r="D39" s="34">
        <f>'2.5. Свод по годам'!E15</f>
        <v>46736</v>
      </c>
      <c r="K39" s="9"/>
    </row>
    <row r="40" spans="1:11" s="63" customFormat="1" x14ac:dyDescent="0.3">
      <c r="A40" s="89"/>
      <c r="B40" s="159"/>
      <c r="C40" s="162">
        <f>SUM(C34:C39)</f>
        <v>440</v>
      </c>
      <c r="D40" s="28"/>
      <c r="K40" s="9"/>
    </row>
    <row r="41" spans="1:11" s="63" customFormat="1" x14ac:dyDescent="0.25">
      <c r="A41" s="89"/>
      <c r="B41" s="63" t="s">
        <v>71</v>
      </c>
      <c r="C41" s="94">
        <f>'2.5. Свод по годам'!C10</f>
        <v>46297</v>
      </c>
      <c r="K41" s="9"/>
    </row>
    <row r="42" spans="1:11" s="63" customFormat="1" x14ac:dyDescent="0.25">
      <c r="A42" s="89"/>
      <c r="B42" s="63" t="s">
        <v>53</v>
      </c>
      <c r="C42" s="94">
        <f>'2.5. Свод по годам'!E15</f>
        <v>46736</v>
      </c>
      <c r="K42" s="9"/>
    </row>
    <row r="43" spans="1:11" s="63" customFormat="1" x14ac:dyDescent="0.3">
      <c r="A43" s="89"/>
      <c r="K43" s="9"/>
    </row>
    <row r="44" spans="1:11" s="63" customFormat="1" x14ac:dyDescent="0.3">
      <c r="A44" s="89"/>
      <c r="G44" s="154"/>
      <c r="J44" s="27"/>
      <c r="K44" s="8"/>
    </row>
    <row r="45" spans="1:11" ht="110.4" x14ac:dyDescent="0.3">
      <c r="A45" s="41" t="s">
        <v>3</v>
      </c>
      <c r="B45" s="41" t="s">
        <v>8</v>
      </c>
      <c r="C45" s="41" t="s">
        <v>81</v>
      </c>
      <c r="D45" s="41" t="s">
        <v>2</v>
      </c>
      <c r="E45" s="41" t="s">
        <v>31</v>
      </c>
      <c r="F45" s="41" t="s">
        <v>73</v>
      </c>
      <c r="G45" s="178" t="s">
        <v>114</v>
      </c>
      <c r="H45" s="179" t="s">
        <v>115</v>
      </c>
      <c r="I45" s="63"/>
      <c r="J45" s="27"/>
      <c r="K45" s="8"/>
    </row>
    <row r="46" spans="1:11" ht="27.6" x14ac:dyDescent="0.3">
      <c r="A46" s="43">
        <v>1</v>
      </c>
      <c r="B46" s="44" t="s">
        <v>83</v>
      </c>
      <c r="C46" s="98">
        <f>F25</f>
        <v>65271</v>
      </c>
      <c r="D46" s="54">
        <v>1</v>
      </c>
      <c r="E46" s="90">
        <f>ROUND(C46*D46,2)</f>
        <v>65271</v>
      </c>
      <c r="F46" s="91">
        <f>ROUND(E46/$E$50,4)</f>
        <v>5.9999999999999995E-4</v>
      </c>
      <c r="G46" s="180">
        <v>65271</v>
      </c>
      <c r="H46" s="180">
        <f>G46*D46</f>
        <v>65271</v>
      </c>
      <c r="I46" s="187"/>
      <c r="J46" s="154"/>
      <c r="K46" s="8"/>
    </row>
    <row r="47" spans="1:11" ht="41.4" x14ac:dyDescent="0.3">
      <c r="A47" s="51" t="s">
        <v>6</v>
      </c>
      <c r="B47" s="44" t="s">
        <v>9</v>
      </c>
      <c r="C47" s="98">
        <f>F26</f>
        <v>1405.08</v>
      </c>
      <c r="D47" s="156">
        <v>44455</v>
      </c>
      <c r="E47" s="90">
        <f>ROUND(C47*D47,2)</f>
        <v>62462831.399999999</v>
      </c>
      <c r="F47" s="91">
        <f>ROUND(E47/$E$50,4)</f>
        <v>0.54079999999999995</v>
      </c>
      <c r="G47" s="180">
        <v>1404.8</v>
      </c>
      <c r="H47" s="180">
        <f t="shared" ref="H47:H49" si="2">G47*D47</f>
        <v>62450384</v>
      </c>
      <c r="I47" s="187"/>
      <c r="J47" s="154"/>
      <c r="K47" s="8"/>
    </row>
    <row r="48" spans="1:11" ht="27.6" x14ac:dyDescent="0.3">
      <c r="A48" s="57" t="s">
        <v>109</v>
      </c>
      <c r="B48" s="44" t="s">
        <v>38</v>
      </c>
      <c r="C48" s="98">
        <f>F27</f>
        <v>1149.03</v>
      </c>
      <c r="D48" s="54">
        <v>44455</v>
      </c>
      <c r="E48" s="90">
        <f>ROUND(C48*D48,2)</f>
        <v>51080128.649999999</v>
      </c>
      <c r="F48" s="91">
        <f>ROUND(E48/$E$50,4)</f>
        <v>0.44230000000000003</v>
      </c>
      <c r="G48" s="180">
        <v>1148.8</v>
      </c>
      <c r="H48" s="180">
        <f t="shared" si="2"/>
        <v>51069904</v>
      </c>
      <c r="I48" s="187"/>
      <c r="J48" s="155"/>
      <c r="K48" s="8"/>
    </row>
    <row r="49" spans="1:11" x14ac:dyDescent="0.3">
      <c r="A49" s="51" t="s">
        <v>7</v>
      </c>
      <c r="B49" s="44" t="s">
        <v>37</v>
      </c>
      <c r="C49" s="98">
        <f>F28</f>
        <v>9423.82</v>
      </c>
      <c r="D49" s="54">
        <v>200</v>
      </c>
      <c r="E49" s="90">
        <f t="shared" ref="E49" si="3">ROUND(C49*D49,2)</f>
        <v>1884764</v>
      </c>
      <c r="F49" s="91">
        <f>1-SUM(F46:F48)</f>
        <v>1.6299999999999981E-2</v>
      </c>
      <c r="G49" s="180">
        <v>9421.94</v>
      </c>
      <c r="H49" s="180">
        <f t="shared" si="2"/>
        <v>1884388</v>
      </c>
      <c r="I49" s="187"/>
      <c r="J49" s="154"/>
      <c r="K49" s="8"/>
    </row>
    <row r="50" spans="1:11" x14ac:dyDescent="0.3">
      <c r="A50" s="196" t="s">
        <v>65</v>
      </c>
      <c r="B50" s="197"/>
      <c r="C50" s="197"/>
      <c r="D50" s="198"/>
      <c r="E50" s="104">
        <f>SUM(E46:E49)</f>
        <v>115492995.05</v>
      </c>
      <c r="F50" s="105">
        <f>SUM(F46:F49)</f>
        <v>1</v>
      </c>
      <c r="G50" s="181"/>
      <c r="H50" s="182">
        <f>SUM(H46:H49)</f>
        <v>115469947</v>
      </c>
      <c r="I50" s="63"/>
      <c r="J50" s="154"/>
      <c r="K50" s="8"/>
    </row>
    <row r="51" spans="1:11" x14ac:dyDescent="0.3">
      <c r="D51" s="92"/>
      <c r="E51" s="93"/>
      <c r="F51" s="38"/>
      <c r="G51" s="38"/>
      <c r="H51" s="38"/>
      <c r="I51" s="38"/>
      <c r="J51" s="39"/>
      <c r="K51" s="40"/>
    </row>
    <row r="52" spans="1:11" ht="157.19999999999999" customHeight="1" x14ac:dyDescent="0.3">
      <c r="A52" s="233" t="s">
        <v>117</v>
      </c>
      <c r="B52" s="233"/>
      <c r="C52" s="233"/>
      <c r="D52" s="233"/>
      <c r="E52" s="233"/>
      <c r="F52" s="233"/>
      <c r="G52" s="233"/>
      <c r="H52" s="103"/>
      <c r="I52" s="103"/>
      <c r="J52" s="103"/>
      <c r="K52" s="103"/>
    </row>
  </sheetData>
  <autoFilter ref="A45:J50" xr:uid="{00000000-0009-0000-0000-000002000000}"/>
  <mergeCells count="12">
    <mergeCell ref="A50:D50"/>
    <mergeCell ref="B29:F29"/>
    <mergeCell ref="A1:K1"/>
    <mergeCell ref="A6:A14"/>
    <mergeCell ref="B6:B14"/>
    <mergeCell ref="C6:C14"/>
    <mergeCell ref="D6:D14"/>
    <mergeCell ref="E6:E14"/>
    <mergeCell ref="F6:F14"/>
    <mergeCell ref="G6:G14"/>
    <mergeCell ref="H6:H14"/>
    <mergeCell ref="A52:G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zoomScale="110" zoomScaleNormal="110" workbookViewId="0">
      <selection activeCell="B4" sqref="B4"/>
    </sheetView>
  </sheetViews>
  <sheetFormatPr defaultColWidth="9.109375" defaultRowHeight="12" x14ac:dyDescent="0.3"/>
  <cols>
    <col min="1" max="1" width="5.88671875" style="114" customWidth="1"/>
    <col min="2" max="2" width="38" style="114" customWidth="1"/>
    <col min="3" max="3" width="12.5546875" style="116" customWidth="1"/>
    <col min="4" max="4" width="18.109375" style="114" customWidth="1"/>
    <col min="5" max="5" width="14.5546875" style="114" customWidth="1"/>
    <col min="6" max="6" width="10.44140625" style="114" bestFit="1" customWidth="1"/>
    <col min="7" max="8" width="0" style="117" hidden="1" customWidth="1"/>
    <col min="9" max="16384" width="9.109375" style="117"/>
  </cols>
  <sheetData>
    <row r="1" spans="1:8" x14ac:dyDescent="0.3">
      <c r="B1" s="115" t="s">
        <v>10</v>
      </c>
    </row>
    <row r="2" spans="1:8" x14ac:dyDescent="0.3">
      <c r="F2" s="117"/>
    </row>
    <row r="3" spans="1:8" s="120" customFormat="1" ht="34.200000000000003" x14ac:dyDescent="0.3">
      <c r="A3" s="118" t="s">
        <v>11</v>
      </c>
      <c r="B3" s="118" t="s">
        <v>12</v>
      </c>
      <c r="C3" s="119" t="s">
        <v>13</v>
      </c>
      <c r="D3" s="118" t="s">
        <v>14</v>
      </c>
      <c r="E3" s="118" t="s">
        <v>84</v>
      </c>
    </row>
    <row r="4" spans="1:8" ht="24" x14ac:dyDescent="0.3">
      <c r="A4" s="121">
        <v>1</v>
      </c>
      <c r="B4" s="177" t="s">
        <v>112</v>
      </c>
      <c r="C4" s="123">
        <v>326037.7</v>
      </c>
      <c r="D4" s="124">
        <f>C4/C7</f>
        <v>0.65800685806047743</v>
      </c>
      <c r="E4" s="124">
        <f>C4/C9</f>
        <v>0.62667320176639907</v>
      </c>
      <c r="F4" s="117"/>
    </row>
    <row r="5" spans="1:8" x14ac:dyDescent="0.3">
      <c r="A5" s="121">
        <v>2</v>
      </c>
      <c r="B5" s="125" t="str">
        <f>CONCATENATE("Размер страховых взносов (",ROUND(F19*100,2),"%)")</f>
        <v>Размер страховых взносов (26,65%)</v>
      </c>
      <c r="C5" s="126">
        <f>ROUND(C4*F19,2)</f>
        <v>86873.02</v>
      </c>
      <c r="D5" s="124">
        <f>C5/C7</f>
        <v>0.17532648200016446</v>
      </c>
      <c r="E5" s="124">
        <f>C5/C9</f>
        <v>0.16697760286775554</v>
      </c>
      <c r="F5" s="117"/>
    </row>
    <row r="6" spans="1:8" x14ac:dyDescent="0.3">
      <c r="A6" s="121">
        <v>3</v>
      </c>
      <c r="B6" s="122" t="s">
        <v>69</v>
      </c>
      <c r="C6" s="123">
        <f>ROUND((C4+C5)*20%,2)</f>
        <v>82582.14</v>
      </c>
      <c r="D6" s="124">
        <f>C6/C7</f>
        <v>0.16666665993935817</v>
      </c>
      <c r="E6" s="124">
        <f>C6/C9</f>
        <v>0.15873015323847828</v>
      </c>
      <c r="F6" s="117"/>
    </row>
    <row r="7" spans="1:8" x14ac:dyDescent="0.3">
      <c r="A7" s="121">
        <v>4</v>
      </c>
      <c r="B7" s="122" t="s">
        <v>15</v>
      </c>
      <c r="C7" s="123">
        <f>ROUND(SUM(C4:C6),2)</f>
        <v>495492.86</v>
      </c>
      <c r="D7" s="124">
        <f>C7/C7</f>
        <v>1</v>
      </c>
      <c r="E7" s="124">
        <f>C7/C9</f>
        <v>0.95238095787263277</v>
      </c>
      <c r="F7" s="117"/>
    </row>
    <row r="8" spans="1:8" x14ac:dyDescent="0.3">
      <c r="A8" s="121">
        <v>5</v>
      </c>
      <c r="B8" s="122" t="s">
        <v>16</v>
      </c>
      <c r="C8" s="123">
        <f>ROUND(C7*5%,2)</f>
        <v>24774.639999999999</v>
      </c>
      <c r="D8" s="124">
        <f>C8/C7</f>
        <v>4.9999993945422344E-2</v>
      </c>
      <c r="E8" s="124">
        <f>C8/C9</f>
        <v>4.7619042127367173E-2</v>
      </c>
      <c r="F8" s="127"/>
    </row>
    <row r="9" spans="1:8" x14ac:dyDescent="0.3">
      <c r="A9" s="121">
        <v>6</v>
      </c>
      <c r="B9" s="122" t="s">
        <v>17</v>
      </c>
      <c r="C9" s="128">
        <f>ROUND(SUM(C7:C8),2)</f>
        <v>520267.5</v>
      </c>
      <c r="D9" s="124">
        <f>C9/C7</f>
        <v>1.0499999939454223</v>
      </c>
      <c r="E9" s="124">
        <f>C9/C9</f>
        <v>1</v>
      </c>
      <c r="F9" s="127"/>
    </row>
    <row r="10" spans="1:8" x14ac:dyDescent="0.3">
      <c r="A10" s="121">
        <v>7</v>
      </c>
      <c r="B10" s="122" t="s">
        <v>18</v>
      </c>
      <c r="C10" s="216">
        <f>ROUND(C9*12/247,2)</f>
        <v>25276.15</v>
      </c>
      <c r="D10" s="217"/>
      <c r="E10" s="218"/>
      <c r="F10" s="129"/>
    </row>
    <row r="11" spans="1:8" x14ac:dyDescent="0.3">
      <c r="A11" s="106">
        <v>8</v>
      </c>
      <c r="B11" s="107" t="s">
        <v>85</v>
      </c>
      <c r="C11" s="226">
        <f>ROUND(C10/8,2)</f>
        <v>3159.52</v>
      </c>
      <c r="D11" s="227"/>
      <c r="E11" s="228"/>
      <c r="F11" s="129"/>
    </row>
    <row r="12" spans="1:8" x14ac:dyDescent="0.3">
      <c r="F12" s="130"/>
    </row>
    <row r="13" spans="1:8" ht="15" customHeight="1" x14ac:dyDescent="0.3">
      <c r="A13" s="219" t="s">
        <v>19</v>
      </c>
      <c r="B13" s="220"/>
      <c r="C13" s="221">
        <f>ROUND(C4*12,2)</f>
        <v>3912452.4</v>
      </c>
      <c r="D13" s="221"/>
      <c r="E13" s="221"/>
      <c r="F13" s="221"/>
    </row>
    <row r="14" spans="1:8" ht="45.6" x14ac:dyDescent="0.3">
      <c r="A14" s="118" t="s">
        <v>11</v>
      </c>
      <c r="B14" s="118" t="s">
        <v>20</v>
      </c>
      <c r="C14" s="119" t="s">
        <v>21</v>
      </c>
      <c r="D14" s="118" t="s">
        <v>22</v>
      </c>
      <c r="E14" s="118" t="s">
        <v>23</v>
      </c>
      <c r="F14" s="118" t="s">
        <v>24</v>
      </c>
    </row>
    <row r="15" spans="1:8" ht="33" customHeight="1" x14ac:dyDescent="0.3">
      <c r="A15" s="222">
        <v>1</v>
      </c>
      <c r="B15" s="224" t="s">
        <v>88</v>
      </c>
      <c r="C15" s="124">
        <v>0.3</v>
      </c>
      <c r="D15" s="123">
        <v>2979000</v>
      </c>
      <c r="E15" s="131">
        <f>IF(C13&lt;D15,C13,D15)</f>
        <v>2979000</v>
      </c>
      <c r="F15" s="131">
        <f>ROUND(C15*E15,2)</f>
        <v>893700</v>
      </c>
      <c r="G15" s="132">
        <f>F15/$C$13</f>
        <v>0.22842450428278693</v>
      </c>
      <c r="H15" s="133">
        <f>G15*$C$4</f>
        <v>74475</v>
      </c>
    </row>
    <row r="16" spans="1:8" ht="33" customHeight="1" x14ac:dyDescent="0.3">
      <c r="A16" s="223"/>
      <c r="B16" s="225"/>
      <c r="C16" s="124">
        <v>0.151</v>
      </c>
      <c r="D16" s="134" t="s">
        <v>89</v>
      </c>
      <c r="E16" s="123">
        <f>C13-E15</f>
        <v>933452.39999999991</v>
      </c>
      <c r="F16" s="131">
        <f>ROUND(C16*E16,2)</f>
        <v>140951.31</v>
      </c>
      <c r="G16" s="132">
        <f t="shared" ref="G16:G17" si="0">F16/$C$13</f>
        <v>3.6026332230904588E-2</v>
      </c>
      <c r="H16" s="133">
        <f t="shared" ref="H16:H17" si="1">G16*$C$4</f>
        <v>11745.942500000001</v>
      </c>
    </row>
    <row r="17" spans="1:8" ht="48" x14ac:dyDescent="0.3">
      <c r="A17" s="135">
        <v>2</v>
      </c>
      <c r="B17" s="136" t="s">
        <v>26</v>
      </c>
      <c r="C17" s="124">
        <v>2E-3</v>
      </c>
      <c r="D17" s="135" t="s">
        <v>25</v>
      </c>
      <c r="E17" s="131">
        <f>C13</f>
        <v>3912452.4</v>
      </c>
      <c r="F17" s="131">
        <f>ROUND(C17*E17,2)</f>
        <v>7824.9</v>
      </c>
      <c r="G17" s="132">
        <f t="shared" si="0"/>
        <v>1.9999987731480133E-3</v>
      </c>
      <c r="H17" s="133">
        <f t="shared" si="1"/>
        <v>652.07500000000005</v>
      </c>
    </row>
    <row r="18" spans="1:8" x14ac:dyDescent="0.3">
      <c r="A18" s="135">
        <v>3</v>
      </c>
      <c r="B18" s="136" t="s">
        <v>27</v>
      </c>
      <c r="C18" s="137"/>
      <c r="D18" s="137"/>
      <c r="E18" s="131"/>
      <c r="F18" s="131">
        <f>ROUND(SUM(F15:F17),2)</f>
        <v>1042476.21</v>
      </c>
      <c r="G18" s="132"/>
      <c r="H18" s="133">
        <f>SUM(H15:H17)</f>
        <v>86873.017500000002</v>
      </c>
    </row>
    <row r="19" spans="1:8" x14ac:dyDescent="0.3">
      <c r="A19" s="135">
        <v>4</v>
      </c>
      <c r="B19" s="136" t="s">
        <v>28</v>
      </c>
      <c r="C19" s="137"/>
      <c r="D19" s="137"/>
      <c r="E19" s="138"/>
      <c r="F19" s="139">
        <f>F18/C13</f>
        <v>0.26645083528683955</v>
      </c>
    </row>
  </sheetData>
  <mergeCells count="6">
    <mergeCell ref="C10:E10"/>
    <mergeCell ref="A13:B13"/>
    <mergeCell ref="C13:F13"/>
    <mergeCell ref="A15:A16"/>
    <mergeCell ref="B15:B16"/>
    <mergeCell ref="C11:E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:K30"/>
  <sheetViews>
    <sheetView topLeftCell="B1" zoomScaleNormal="100" workbookViewId="0">
      <selection activeCell="E5" sqref="E5"/>
    </sheetView>
  </sheetViews>
  <sheetFormatPr defaultColWidth="8.5546875" defaultRowHeight="13.2" outlineLevelRow="1" x14ac:dyDescent="0.3"/>
  <cols>
    <col min="1" max="1" width="5.44140625" style="13" bestFit="1" customWidth="1"/>
    <col min="2" max="2" width="21.5546875" style="13" customWidth="1"/>
    <col min="3" max="3" width="22.44140625" style="13" customWidth="1"/>
    <col min="4" max="4" width="32.6640625" style="13" customWidth="1"/>
    <col min="5" max="5" width="37.44140625" style="13" customWidth="1"/>
    <col min="6" max="6" width="14.5546875" style="13" customWidth="1"/>
    <col min="7" max="7" width="11.44140625" style="13" customWidth="1"/>
    <col min="8" max="8" width="17" style="13" customWidth="1"/>
    <col min="9" max="9" width="18" style="13" customWidth="1"/>
    <col min="10" max="10" width="32.44140625" style="13" customWidth="1"/>
    <col min="11" max="16384" width="8.5546875" style="13"/>
  </cols>
  <sheetData>
    <row r="1" spans="1:11" ht="90.6" customHeight="1" x14ac:dyDescent="0.3">
      <c r="A1" s="12" t="s">
        <v>51</v>
      </c>
      <c r="B1" s="12" t="s">
        <v>52</v>
      </c>
      <c r="C1" s="12" t="s">
        <v>103</v>
      </c>
      <c r="D1" s="179" t="s">
        <v>115</v>
      </c>
    </row>
    <row r="2" spans="1:11" s="14" customFormat="1" ht="18.75" customHeight="1" x14ac:dyDescent="0.3">
      <c r="A2" s="231" t="s">
        <v>86</v>
      </c>
      <c r="B2" s="232"/>
      <c r="C2" s="11">
        <f>'2.3. НМЦК_Реестра'!E50</f>
        <v>115492995.05</v>
      </c>
      <c r="D2" s="11">
        <f>'2.3. НМЦК_Реестра'!H50</f>
        <v>115469947</v>
      </c>
      <c r="F2" s="144"/>
    </row>
    <row r="3" spans="1:11" ht="14.25" customHeight="1" x14ac:dyDescent="0.3">
      <c r="A3" s="15">
        <v>1</v>
      </c>
      <c r="B3" s="15">
        <v>2026</v>
      </c>
      <c r="C3" s="33">
        <f>SUMIF($G$10:$G$15,$B3,$F$10:$F$15)</f>
        <v>64903038.420000002</v>
      </c>
      <c r="D3" s="186">
        <f>SUMIF($G$10:$G$15,$B3,$I$10:$I$15)</f>
        <v>64890099.25</v>
      </c>
      <c r="E3" s="22"/>
      <c r="F3" s="22"/>
      <c r="G3" s="150"/>
      <c r="H3" s="22"/>
      <c r="I3" s="22"/>
      <c r="J3" s="22"/>
    </row>
    <row r="4" spans="1:11" ht="14.25" customHeight="1" x14ac:dyDescent="0.3">
      <c r="A4" s="15">
        <v>2</v>
      </c>
      <c r="B4" s="15">
        <v>2027</v>
      </c>
      <c r="C4" s="33">
        <f>SUMIF($G$10:$G$15,$B4,$F$10:$F$15)</f>
        <v>50589956.629999995</v>
      </c>
      <c r="D4" s="186">
        <f>SUMIF($G$10:$G$15,$B4,$I$10:$I$15)</f>
        <v>50579847.749999993</v>
      </c>
      <c r="E4" s="22"/>
      <c r="F4" s="22"/>
      <c r="G4" s="150"/>
      <c r="H4" s="151"/>
      <c r="I4" s="22"/>
      <c r="J4" s="22"/>
    </row>
    <row r="5" spans="1:11" outlineLevel="1" x14ac:dyDescent="0.3">
      <c r="C5" s="16"/>
      <c r="D5" s="17"/>
    </row>
    <row r="6" spans="1:11" outlineLevel="1" x14ac:dyDescent="0.3">
      <c r="B6" s="18"/>
      <c r="C6" s="18"/>
      <c r="D6" s="19"/>
      <c r="E6" s="20"/>
    </row>
    <row r="7" spans="1:11" outlineLevel="1" x14ac:dyDescent="0.3">
      <c r="B7" s="18"/>
      <c r="C7" s="18"/>
      <c r="D7" s="19"/>
      <c r="E7" s="21"/>
    </row>
    <row r="8" spans="1:11" outlineLevel="1" x14ac:dyDescent="0.3">
      <c r="B8" s="18"/>
      <c r="C8" s="18"/>
      <c r="D8" s="19"/>
      <c r="E8" s="35"/>
    </row>
    <row r="9" spans="1:11" ht="69.75" customHeight="1" outlineLevel="1" x14ac:dyDescent="0.3">
      <c r="B9" s="12" t="s">
        <v>54</v>
      </c>
      <c r="C9" s="12" t="s">
        <v>55</v>
      </c>
      <c r="D9" s="12" t="s">
        <v>56</v>
      </c>
      <c r="E9" s="12" t="s">
        <v>57</v>
      </c>
      <c r="F9" s="12" t="s">
        <v>87</v>
      </c>
      <c r="G9" s="12" t="s">
        <v>52</v>
      </c>
      <c r="H9" s="12" t="s">
        <v>75</v>
      </c>
      <c r="I9" s="184" t="s">
        <v>116</v>
      </c>
    </row>
    <row r="10" spans="1:11" outlineLevel="1" x14ac:dyDescent="0.3">
      <c r="B10" s="97" t="s">
        <v>104</v>
      </c>
      <c r="C10" s="24">
        <v>46297</v>
      </c>
      <c r="D10" s="23">
        <v>20</v>
      </c>
      <c r="E10" s="24">
        <f>C10+D10-1</f>
        <v>46316</v>
      </c>
      <c r="F10" s="37">
        <f>'2.3. НМЦК_Реестра'!E46</f>
        <v>65271</v>
      </c>
      <c r="G10" s="23">
        <f t="shared" ref="G10:G15" si="0">YEAR(E10)</f>
        <v>2026</v>
      </c>
      <c r="H10" s="25">
        <f>'2.3. НМЦК_Реестра'!F46</f>
        <v>5.9999999999999995E-4</v>
      </c>
      <c r="I10" s="183">
        <f>'2.3. НМЦК_Реестра'!H46</f>
        <v>65271</v>
      </c>
      <c r="J10" s="188"/>
      <c r="K10" s="112"/>
    </row>
    <row r="11" spans="1:11" outlineLevel="1" x14ac:dyDescent="0.3">
      <c r="B11" s="97" t="s">
        <v>76</v>
      </c>
      <c r="C11" s="24">
        <f>E10+1</f>
        <v>46317</v>
      </c>
      <c r="D11" s="23">
        <v>55</v>
      </c>
      <c r="E11" s="24">
        <f>C11+D11-1</f>
        <v>46371</v>
      </c>
      <c r="F11" s="37">
        <f>ROUND($H11*C$2,2)</f>
        <v>64837767.420000002</v>
      </c>
      <c r="G11" s="23">
        <f t="shared" si="0"/>
        <v>2026</v>
      </c>
      <c r="H11" s="25">
        <v>0.56140000000000001</v>
      </c>
      <c r="I11" s="183">
        <f>ROUND($H11*D$2,2)</f>
        <v>64824828.25</v>
      </c>
      <c r="J11" s="188"/>
      <c r="K11" s="112"/>
    </row>
    <row r="12" spans="1:11" outlineLevel="1" x14ac:dyDescent="0.3">
      <c r="B12" s="97" t="s">
        <v>77</v>
      </c>
      <c r="C12" s="24">
        <f>E11+1</f>
        <v>46372</v>
      </c>
      <c r="D12" s="23">
        <v>90</v>
      </c>
      <c r="E12" s="24">
        <f t="shared" ref="E12:E15" si="1">C12+D12-1</f>
        <v>46461</v>
      </c>
      <c r="F12" s="37">
        <f t="shared" ref="F12:F14" si="2">ROUND($H12*C$2,2)</f>
        <v>10394369.550000001</v>
      </c>
      <c r="G12" s="23">
        <f t="shared" si="0"/>
        <v>2027</v>
      </c>
      <c r="H12" s="25">
        <v>0.09</v>
      </c>
      <c r="I12" s="183">
        <f t="shared" ref="I12:I14" si="3">ROUND($H12*D$2,2)</f>
        <v>10392295.23</v>
      </c>
      <c r="J12" s="188"/>
      <c r="K12" s="112"/>
    </row>
    <row r="13" spans="1:11" outlineLevel="1" x14ac:dyDescent="0.3">
      <c r="B13" s="97" t="s">
        <v>78</v>
      </c>
      <c r="C13" s="24">
        <f t="shared" ref="C13:C15" si="4">E12+1</f>
        <v>46462</v>
      </c>
      <c r="D13" s="23">
        <v>90</v>
      </c>
      <c r="E13" s="24">
        <f t="shared" si="1"/>
        <v>46551</v>
      </c>
      <c r="F13" s="37">
        <f t="shared" si="2"/>
        <v>10394369.550000001</v>
      </c>
      <c r="G13" s="23">
        <f t="shared" si="0"/>
        <v>2027</v>
      </c>
      <c r="H13" s="25">
        <v>0.09</v>
      </c>
      <c r="I13" s="183">
        <f t="shared" si="3"/>
        <v>10392295.23</v>
      </c>
      <c r="J13" s="188"/>
    </row>
    <row r="14" spans="1:11" outlineLevel="1" x14ac:dyDescent="0.3">
      <c r="B14" s="97" t="s">
        <v>79</v>
      </c>
      <c r="C14" s="24">
        <f t="shared" si="4"/>
        <v>46552</v>
      </c>
      <c r="D14" s="23">
        <v>90</v>
      </c>
      <c r="E14" s="24">
        <f t="shared" si="1"/>
        <v>46641</v>
      </c>
      <c r="F14" s="37">
        <f t="shared" si="2"/>
        <v>14713807.57</v>
      </c>
      <c r="G14" s="23">
        <f t="shared" si="0"/>
        <v>2027</v>
      </c>
      <c r="H14" s="25">
        <v>0.12740000000000001</v>
      </c>
      <c r="I14" s="183">
        <f t="shared" si="3"/>
        <v>14710871.25</v>
      </c>
      <c r="J14" s="188"/>
    </row>
    <row r="15" spans="1:11" outlineLevel="1" x14ac:dyDescent="0.3">
      <c r="B15" s="97" t="s">
        <v>80</v>
      </c>
      <c r="C15" s="24">
        <f t="shared" si="4"/>
        <v>46642</v>
      </c>
      <c r="D15" s="23">
        <v>95</v>
      </c>
      <c r="E15" s="24">
        <f t="shared" si="1"/>
        <v>46736</v>
      </c>
      <c r="F15" s="37">
        <f>C2-SUM(F10:F14)</f>
        <v>15087409.959999993</v>
      </c>
      <c r="G15" s="23">
        <f t="shared" si="0"/>
        <v>2027</v>
      </c>
      <c r="H15" s="25">
        <f>1-SUM(H10:H14)</f>
        <v>0.13060000000000005</v>
      </c>
      <c r="I15" s="183">
        <f>D2-SUM(I10:I14)</f>
        <v>15084386.039999992</v>
      </c>
      <c r="J15" s="188"/>
    </row>
    <row r="16" spans="1:11" outlineLevel="1" x14ac:dyDescent="0.3">
      <c r="B16" s="229" t="s">
        <v>74</v>
      </c>
      <c r="C16" s="230"/>
      <c r="D16" s="99">
        <f>SUM(D10:D15)</f>
        <v>440</v>
      </c>
      <c r="E16" s="100"/>
      <c r="F16" s="102">
        <f>SUM(F10:F15)</f>
        <v>115492995.05</v>
      </c>
      <c r="G16" s="100"/>
      <c r="H16" s="101">
        <f>SUM(H10:H15)</f>
        <v>1</v>
      </c>
      <c r="I16" s="185">
        <f>SUM(I10:I15)</f>
        <v>115469947</v>
      </c>
      <c r="J16" s="153"/>
    </row>
    <row r="17" spans="3:10" x14ac:dyDescent="0.3">
      <c r="C17" s="32"/>
      <c r="F17" s="22"/>
    </row>
    <row r="18" spans="3:10" x14ac:dyDescent="0.3">
      <c r="C18" s="32"/>
    </row>
    <row r="19" spans="3:10" x14ac:dyDescent="0.3">
      <c r="G19" s="22"/>
    </row>
    <row r="20" spans="3:10" x14ac:dyDescent="0.3">
      <c r="D20" s="152"/>
      <c r="G20" s="22"/>
      <c r="H20" s="189"/>
      <c r="I20" s="189"/>
      <c r="J20" s="189"/>
    </row>
    <row r="21" spans="3:10" x14ac:dyDescent="0.3">
      <c r="G21" s="22"/>
      <c r="H21" s="189"/>
      <c r="I21" s="189"/>
      <c r="J21" s="189"/>
    </row>
    <row r="22" spans="3:10" x14ac:dyDescent="0.3">
      <c r="G22" s="22"/>
      <c r="H22" s="190"/>
      <c r="I22" s="191"/>
      <c r="J22" s="189"/>
    </row>
    <row r="23" spans="3:10" x14ac:dyDescent="0.3">
      <c r="G23" s="22"/>
      <c r="H23" s="190"/>
      <c r="I23" s="191"/>
      <c r="J23" s="189"/>
    </row>
    <row r="24" spans="3:10" x14ac:dyDescent="0.3">
      <c r="G24" s="22"/>
      <c r="H24" s="189"/>
      <c r="I24" s="189"/>
      <c r="J24" s="189"/>
    </row>
    <row r="25" spans="3:10" x14ac:dyDescent="0.3">
      <c r="G25" s="22"/>
      <c r="H25" s="189"/>
      <c r="I25" s="189"/>
      <c r="J25" s="189"/>
    </row>
    <row r="26" spans="3:10" x14ac:dyDescent="0.3">
      <c r="G26" s="22"/>
      <c r="H26" s="189"/>
      <c r="I26" s="189"/>
      <c r="J26" s="189"/>
    </row>
    <row r="27" spans="3:10" x14ac:dyDescent="0.3">
      <c r="D27" s="26"/>
      <c r="G27" s="22"/>
      <c r="H27" s="189"/>
      <c r="I27" s="189"/>
      <c r="J27" s="189"/>
    </row>
    <row r="28" spans="3:10" x14ac:dyDescent="0.3">
      <c r="D28" s="21"/>
    </row>
    <row r="29" spans="3:10" x14ac:dyDescent="0.3">
      <c r="D29" s="21"/>
    </row>
    <row r="30" spans="3:10" x14ac:dyDescent="0.3">
      <c r="D30" s="26"/>
    </row>
  </sheetData>
  <mergeCells count="2">
    <mergeCell ref="B16:C16"/>
    <mergeCell ref="A2:B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134D54AB67A0458F83979FC60B193D" ma:contentTypeVersion="1" ma:contentTypeDescription="Создание документа." ma:contentTypeScope="" ma:versionID="700f288c0ceef1c61b9ee8e71c787eb2">
  <xsd:schema xmlns:xsd="http://www.w3.org/2001/XMLSchema" xmlns:xs="http://www.w3.org/2001/XMLSchema" xmlns:p="http://schemas.microsoft.com/office/2006/metadata/properties" xmlns:ns2="a0d87b46-021b-4401-a040-1841595d5fab" targetNamespace="http://schemas.microsoft.com/office/2006/metadata/properties" ma:root="true" ma:fieldsID="fb42953c217628e533bd8b84ba7a3215" ns2:_="">
    <xsd:import namespace="a0d87b46-021b-4401-a040-1841595d5f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87b46-021b-4401-a040-1841595d5fa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  <xsd:element name="SharedWithUsers" ma:index="11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d87b46-021b-4401-a040-1841595d5fab">RUEN47CJP26J-1067676966-221320</_dlc_DocId>
    <_dlc_DocIdUrl xmlns="a0d87b46-021b-4401-a040-1841595d5fab">
      <Url>https://shp-edu.mos.ru/teddoc/_layouts/15/DocIdRedir.aspx?ID=RUEN47CJP26J-1067676966-221320</Url>
      <Description>RUEN47CJP26J-1067676966-221320</Description>
    </_dlc_DocIdUrl>
  </documentManagement>
</p:properties>
</file>

<file path=customXml/itemProps1.xml><?xml version="1.0" encoding="utf-8"?>
<ds:datastoreItem xmlns:ds="http://schemas.openxmlformats.org/officeDocument/2006/customXml" ds:itemID="{693E41BB-C53B-433C-8F45-5FCAB0E9F0B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8C6B15D-C03B-4755-93C9-EDE840AFE8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d87b46-021b-4401-a040-1841595d5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9753E9-A3E4-4AF4-92A4-5B4934766F3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DA8F46-C839-4014-95C4-0E96E55C5285}">
  <ds:schemaRefs>
    <ds:schemaRef ds:uri="http://purl.org/dc/dcmitype/"/>
    <ds:schemaRef ds:uri="http://purl.org/dc/terms/"/>
    <ds:schemaRef ds:uri="http://schemas.microsoft.com/office/2006/documentManagement/types"/>
    <ds:schemaRef ds:uri="a0d87b46-021b-4401-a040-1841595d5fab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2.1.Титул</vt:lpstr>
      <vt:lpstr>2.2. НМЦК_затратный</vt:lpstr>
      <vt:lpstr>2.3. НМЦК_Реестра</vt:lpstr>
      <vt:lpstr>2.4. ОКВЭД 62.0. </vt:lpstr>
      <vt:lpstr>2.5. Свод по годам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2025-04-18T09:20:01Z</dcterms:created>
  <dcterms:modified xsi:type="dcterms:W3CDTF">2026-07-31T09:14:59Z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0x0101006D134D54AB67A0458F83979FC60B193D</vt:lpwstr>
  </property>
  <property fmtid="{D5CDD505-2E9C-101B-9397-08002B2CF9AE}" pid="3" name="_dlc_DocIdItemGuid">
    <vt:lpwstr>4cab89c7-00ae-4818-bfa2-7806f4abc153</vt:lpwstr>
  </property>
</Properties>
</file>