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Бэк-Оффис\_ГБУ ИГ\_Публикации\563-021 чат бот МАХ Глушкова\5. правка КД перед АЦ\"/>
    </mc:Choice>
  </mc:AlternateContent>
  <xr:revisionPtr revIDLastSave="0" documentId="13_ncr:1_{1B4A28C1-40F1-448D-A2BF-F895BE9AF81B}" xr6:coauthVersionLast="36" xr6:coauthVersionMax="47" xr10:uidLastSave="{00000000-0000-0000-0000-000000000000}"/>
  <bookViews>
    <workbookView xWindow="0" yWindow="660" windowWidth="14685" windowHeight="16620" tabRatio="552" activeTab="1" xr2:uid="{00000000-000D-0000-FFFF-FFFF00000000}"/>
  </bookViews>
  <sheets>
    <sheet name="2.1.Титул" sheetId="48" r:id="rId1"/>
    <sheet name="2.2.Свод_по_годам" sheetId="50" r:id="rId2"/>
    <sheet name="2.3.Функции" sheetId="46" r:id="rId3"/>
    <sheet name="2.4.Трудоемкость" sheetId="28" r:id="rId4"/>
    <sheet name="2.5.Расчет стоимости" sheetId="34" r:id="rId5"/>
    <sheet name="2.6.Коэффициенты" sheetId="43" r:id="rId6"/>
  </sheets>
  <definedNames>
    <definedName name="_ftn1" localSheetId="3">'2.4.Трудоемкость'!#REF!</definedName>
    <definedName name="_ftnref1" localSheetId="3">'2.4.Трудоемкость'!#REF!</definedName>
    <definedName name="_GoBack" localSheetId="3">'2.4.Трудоемкость'!#REF!</definedName>
    <definedName name="_Hlk226029820" localSheetId="2">'2.3.Функции'!$C$41</definedName>
    <definedName name="_Ref226450848" localSheetId="2">'2.3.Функции'!$C$88</definedName>
    <definedName name="_Toc424036212" localSheetId="3">'2.4.Трудоемкость'!#REF!</definedName>
    <definedName name="_xlnm._FilterDatabase" localSheetId="3" hidden="1">'2.4.Трудоемкость'!$A$5:$AH$10</definedName>
    <definedName name="_xlnm.Print_Titles" localSheetId="3">'2.4.Трудоемкость'!$A:$B,'2.4.Трудоемкость'!$4:$5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F8" i="28" l="1"/>
  <c r="J19" i="50" l="1"/>
  <c r="K13" i="50"/>
  <c r="L13" i="50" s="1"/>
  <c r="I14" i="50" l="1"/>
  <c r="K14" i="50" s="1"/>
  <c r="I15" i="50" l="1"/>
  <c r="K15" i="50" s="1"/>
  <c r="L14" i="50"/>
  <c r="I16" i="50" l="1"/>
  <c r="K16" i="50" s="1"/>
  <c r="L15" i="50"/>
  <c r="L16" i="50" l="1"/>
  <c r="I17" i="50"/>
  <c r="K17" i="50" s="1"/>
  <c r="I18" i="50" l="1"/>
  <c r="K18" i="50" s="1"/>
  <c r="L17" i="50"/>
  <c r="L18" i="50" l="1"/>
  <c r="B8" i="28" l="1"/>
  <c r="B7" i="28"/>
  <c r="T16" i="28" s="1"/>
  <c r="W13" i="28" l="1"/>
  <c r="W12" i="28"/>
  <c r="B9" i="28"/>
  <c r="W14" i="28" l="1"/>
  <c r="E8" i="46"/>
  <c r="X12" i="28" l="1"/>
  <c r="D8" i="46"/>
  <c r="C9" i="28" s="1"/>
  <c r="D7" i="46"/>
  <c r="C8" i="28" l="1"/>
  <c r="D6" i="46"/>
  <c r="K5" i="46"/>
  <c r="J5" i="46"/>
  <c r="I5" i="46"/>
  <c r="H5" i="46"/>
  <c r="G5" i="46"/>
  <c r="F5" i="46"/>
  <c r="E5" i="46"/>
  <c r="D5" i="46"/>
  <c r="K8" i="46"/>
  <c r="J9" i="28" s="1"/>
  <c r="J8" i="46"/>
  <c r="I9" i="28" s="1"/>
  <c r="I8" i="46"/>
  <c r="H9" i="28" s="1"/>
  <c r="H8" i="46"/>
  <c r="G9" i="28" s="1"/>
  <c r="G8" i="46"/>
  <c r="F9" i="28" s="1"/>
  <c r="F8" i="46"/>
  <c r="E9" i="28" s="1"/>
  <c r="D9" i="28"/>
  <c r="K7" i="46"/>
  <c r="J7" i="46"/>
  <c r="I7" i="46"/>
  <c r="H7" i="46"/>
  <c r="G7" i="46"/>
  <c r="F7" i="46"/>
  <c r="E7" i="46"/>
  <c r="X16" i="28"/>
  <c r="X17" i="28" s="1"/>
  <c r="D8" i="28" l="1"/>
  <c r="E6" i="46"/>
  <c r="E8" i="28"/>
  <c r="F6" i="46"/>
  <c r="F8" i="28"/>
  <c r="G6" i="46"/>
  <c r="J8" i="28"/>
  <c r="K6" i="46"/>
  <c r="H8" i="28"/>
  <c r="I6" i="46"/>
  <c r="I8" i="28"/>
  <c r="J6" i="46"/>
  <c r="G8" i="28"/>
  <c r="H6" i="46"/>
  <c r="E6" i="34"/>
  <c r="B16" i="34" l="1"/>
  <c r="B17" i="34" s="1"/>
  <c r="B18" i="34" s="1"/>
  <c r="B12" i="34" l="1"/>
  <c r="AF9" i="28" l="1"/>
  <c r="Q8" i="28" l="1"/>
  <c r="R8" i="28"/>
  <c r="S8" i="28"/>
  <c r="Q9" i="28" l="1"/>
  <c r="R9" i="28"/>
  <c r="S9" i="28"/>
  <c r="H6" i="28" l="1"/>
  <c r="I6" i="28"/>
  <c r="J6" i="28"/>
  <c r="B1" i="34" l="1"/>
  <c r="B6" i="28"/>
  <c r="P9" i="28" l="1"/>
  <c r="O9" i="28"/>
  <c r="N9" i="28"/>
  <c r="M9" i="28"/>
  <c r="M8" i="28"/>
  <c r="F6" i="28" l="1"/>
  <c r="G6" i="28"/>
  <c r="P8" i="28"/>
  <c r="K9" i="28"/>
  <c r="K8" i="28"/>
  <c r="D6" i="28"/>
  <c r="C6" i="28"/>
  <c r="L9" i="28"/>
  <c r="E6" i="28"/>
  <c r="T9" i="28" l="1"/>
  <c r="K6" i="28"/>
  <c r="Q6" i="28"/>
  <c r="N8" i="28"/>
  <c r="N6" i="28" s="1"/>
  <c r="P6" i="28"/>
  <c r="O8" i="28"/>
  <c r="O6" i="28" s="1"/>
  <c r="L8" i="28"/>
  <c r="W9" i="28" l="1"/>
  <c r="AH9" i="28" s="1"/>
  <c r="T8" i="28"/>
  <c r="M6" i="28"/>
  <c r="S6" i="28"/>
  <c r="L6" i="28"/>
  <c r="R6" i="28"/>
  <c r="T10" i="28" l="1"/>
  <c r="T6" i="28" s="1"/>
  <c r="W8" i="28"/>
  <c r="AH8" i="28" l="1"/>
  <c r="W10" i="28"/>
  <c r="W6" i="28" s="1"/>
  <c r="AH10" i="28" l="1"/>
  <c r="AH6" i="28" l="1"/>
  <c r="AI6" i="28" s="1"/>
  <c r="AI7" i="28"/>
  <c r="C12" i="34"/>
  <c r="P19" i="50" s="1"/>
  <c r="O13" i="50" s="1"/>
  <c r="N18" i="50" l="1"/>
  <c r="N11" i="50"/>
  <c r="N19" i="50" l="1"/>
  <c r="M18" i="50" s="1"/>
  <c r="M16" i="50" l="1"/>
  <c r="M13" i="50"/>
  <c r="M15" i="50"/>
  <c r="M17" i="50"/>
  <c r="M14" i="50"/>
  <c r="M19" i="50" l="1"/>
  <c r="O18" i="50" l="1"/>
  <c r="E8" i="50" s="1"/>
  <c r="O14" i="50"/>
  <c r="O17" i="50"/>
  <c r="O16" i="50"/>
  <c r="O15" i="50"/>
  <c r="E7" i="50"/>
  <c r="F8" i="50" l="1"/>
  <c r="O19" i="50"/>
  <c r="E6" i="50"/>
  <c r="F7" i="50"/>
  <c r="F6" i="50" l="1"/>
  <c r="E5" i="50"/>
  <c r="F5" i="50" l="1"/>
  <c r="G6" i="50" s="1"/>
  <c r="G7" i="50" l="1"/>
  <c r="C16" i="34"/>
  <c r="C17" i="34" l="1"/>
  <c r="D17" i="34" s="1"/>
  <c r="E17" i="34" s="1"/>
  <c r="D7" i="50" s="1"/>
  <c r="G8" i="50"/>
  <c r="G5" i="50" s="1"/>
  <c r="D16" i="34"/>
  <c r="C18" i="34" l="1"/>
  <c r="D18" i="34" s="1"/>
  <c r="E18" i="34" s="1"/>
  <c r="D8" i="50" s="1"/>
  <c r="E16" i="34"/>
  <c r="D19" i="34" l="1"/>
  <c r="D6" i="50"/>
  <c r="E19" i="34"/>
  <c r="D5" i="50" s="1"/>
</calcChain>
</file>

<file path=xl/sharedStrings.xml><?xml version="1.0" encoding="utf-8"?>
<sst xmlns="http://schemas.openxmlformats.org/spreadsheetml/2006/main" count="537" uniqueCount="244">
  <si>
    <t>ИТОГО</t>
  </si>
  <si>
    <t>Коэффициенты трудоемкости</t>
  </si>
  <si>
    <t>Общие расчетные трудозатраты, чел.-мес.</t>
  </si>
  <si>
    <t>№ п/п</t>
  </si>
  <si>
    <t xml:space="preserve">К-нт рентабельности </t>
  </si>
  <si>
    <t>К-нт доли з/п в себесто-имости</t>
  </si>
  <si>
    <t>Коэффициент определяется по ИС в целом</t>
  </si>
  <si>
    <t xml:space="preserve">Тип разрабатываемой ИС  </t>
  </si>
  <si>
    <t>отраслевая ИС</t>
  </si>
  <si>
    <t>общегородская ИС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</si>
  <si>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)</t>
    </r>
  </si>
  <si>
    <r>
      <t>1. Коэффициент трудоемкости «Требуемая надежность информационной системы» (МТ</t>
    </r>
    <r>
      <rPr>
        <vertAlign val="sub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)</t>
    </r>
  </si>
  <si>
    <t>менее 10</t>
  </si>
  <si>
    <r>
      <t>3. Коэффициент трудоемкости «Интеграции с внешними системами</t>
    </r>
    <r>
      <rPr>
        <sz val="14"/>
        <color rgb="FF000000"/>
        <rFont val="Times New Roman"/>
        <family val="1"/>
        <charset val="204"/>
      </rPr>
      <t>»</t>
    </r>
    <r>
      <rPr>
        <sz val="14"/>
        <color theme="1"/>
        <rFont val="Times New Roman"/>
        <family val="1"/>
        <charset val="204"/>
      </rPr>
      <t xml:space="preserve"> (МТ</t>
    </r>
    <r>
      <rPr>
        <vertAlign val="sub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)</t>
    </r>
  </si>
  <si>
    <t>Количество интеграций</t>
  </si>
  <si>
    <t>от 10 до 20</t>
  </si>
  <si>
    <t>свыше 20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</si>
  <si>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)</t>
    </r>
  </si>
  <si>
    <t>Коэффициент определяется отдельно по каждой из подсистем ИС</t>
  </si>
  <si>
    <t xml:space="preserve">Класс разрабатываемой ИС  </t>
  </si>
  <si>
    <t>информационно-поисковая (реестр, регистр и др.)</t>
  </si>
  <si>
    <t>обеспечения деятельности ОИВ, портал, прочая</t>
  </si>
  <si>
    <t>информационно-аналитическая, управляющая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</si>
  <si>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)</t>
    </r>
  </si>
  <si>
    <r>
      <t>5. Коэффициент трудоемкости «Размещение компонент на мобильных устройствах» (МТ</t>
    </r>
    <r>
      <rPr>
        <vertAlign val="subscript"/>
        <sz val="14"/>
        <color theme="1"/>
        <rFont val="Times New Roman"/>
        <family val="1"/>
        <charset val="204"/>
      </rPr>
      <t>5</t>
    </r>
    <r>
      <rPr>
        <sz val="14"/>
        <color theme="1"/>
        <rFont val="Times New Roman"/>
        <family val="1"/>
        <charset val="204"/>
      </rPr>
      <t>)</t>
    </r>
  </si>
  <si>
    <t xml:space="preserve">Использование системой мобильных устройств  </t>
  </si>
  <si>
    <t>не</t>
  </si>
  <si>
    <t>предусматривается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</si>
  <si>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5</t>
    </r>
    <r>
      <rPr>
        <sz val="12"/>
        <color theme="1"/>
        <rFont val="Times New Roman"/>
        <family val="1"/>
        <charset val="204"/>
      </rPr>
      <t>)</t>
    </r>
  </si>
  <si>
    <t xml:space="preserve">Выход обновления ОС либо СУБД   </t>
  </si>
  <si>
    <t>не чаще чем 1 раз в 12 месяцев</t>
  </si>
  <si>
    <t>от 1 раза в 12 месяцев до 1 раза в 6 месяцев</t>
  </si>
  <si>
    <t>чаще чем 1 раз в 6 месяцев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</si>
  <si>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>)</t>
    </r>
  </si>
  <si>
    <r>
      <t>7. Коэффициент трудоемкости «Новизна информационной системы» (МТ</t>
    </r>
    <r>
      <rPr>
        <vertAlign val="subscript"/>
        <sz val="14"/>
        <color theme="1"/>
        <rFont val="Times New Roman"/>
        <family val="1"/>
        <charset val="204"/>
      </rPr>
      <t>7</t>
    </r>
    <r>
      <rPr>
        <sz val="14"/>
        <color theme="1"/>
        <rFont val="Times New Roman"/>
        <family val="1"/>
        <charset val="204"/>
      </rPr>
      <t>)</t>
    </r>
  </si>
  <si>
    <t>Характер выполняемых работ</t>
  </si>
  <si>
    <t>развитие и/или модернизация</t>
  </si>
  <si>
    <t>подсистем действующей ИС</t>
  </si>
  <si>
    <t>создание новых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</si>
  <si>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7</t>
    </r>
    <r>
      <rPr>
        <sz val="12"/>
        <color theme="1"/>
        <rFont val="Times New Roman"/>
        <family val="1"/>
        <charset val="204"/>
      </rPr>
      <t>)</t>
    </r>
  </si>
  <si>
    <r>
      <t>4. Коэффициент трудоемкости «Сложность</t>
    </r>
    <r>
      <rPr>
        <sz val="12"/>
        <color rgb="FF000000"/>
        <rFont val="Times New Roman"/>
        <family val="1"/>
        <charset val="204"/>
      </rPr>
      <t xml:space="preserve"> информационной системы»</t>
    </r>
    <r>
      <rPr>
        <sz val="12"/>
        <color theme="1"/>
        <rFont val="Times New Roman"/>
        <family val="1"/>
        <charset val="204"/>
      </rPr>
      <t xml:space="preserve"> (МТ</t>
    </r>
    <r>
      <rPr>
        <vertAlign val="sub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)</t>
    </r>
  </si>
  <si>
    <r>
      <t>6. Коэффициент трудоемкости «Частота обновления</t>
    </r>
    <r>
      <rPr>
        <sz val="12"/>
        <color rgb="FF000000"/>
        <rFont val="Times New Roman"/>
        <family val="1"/>
        <charset val="204"/>
      </rPr>
      <t xml:space="preserve"> платформы</t>
    </r>
    <r>
      <rPr>
        <sz val="12"/>
        <color theme="1"/>
        <rFont val="Times New Roman"/>
        <family val="1"/>
        <charset val="204"/>
      </rPr>
      <t>» (МТ</t>
    </r>
    <r>
      <rPr>
        <vertAlign val="subscript"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 xml:space="preserve">) </t>
    </r>
  </si>
  <si>
    <t>критичная ИС</t>
  </si>
  <si>
    <t>Наименование выполняемых работ /модулей ИС</t>
  </si>
  <si>
    <t>создание новой</t>
  </si>
  <si>
    <t>ИС</t>
  </si>
  <si>
    <t>№</t>
  </si>
  <si>
    <t>1.1</t>
  </si>
  <si>
    <t>3.2</t>
  </si>
  <si>
    <t>1.2</t>
  </si>
  <si>
    <t>Приложение 2 к протоколу</t>
  </si>
  <si>
    <t>начальной (максимальной)</t>
  </si>
  <si>
    <t>цены контракта (цены лота)</t>
  </si>
  <si>
    <t>Таблица расчета начальной (максимальной) цены контракта</t>
  </si>
  <si>
    <t>Определение стоимости услуг по годам</t>
  </si>
  <si>
    <t>№ пп</t>
  </si>
  <si>
    <t>Год</t>
  </si>
  <si>
    <t>Начальная (максимальная) цена контракта
 (расчетная), руб. с учетом НДС</t>
  </si>
  <si>
    <t>Начальная (максимальная) цена контракта с учетом лимита бюджетного финансирования, руб. с учетом НДС</t>
  </si>
  <si>
    <t>Всего, в т.ч. по годам:</t>
  </si>
  <si>
    <t>Количество задач в ТЗ</t>
  </si>
  <si>
    <t>Количество прочих задач</t>
  </si>
  <si>
    <t>Общее количество задач</t>
  </si>
  <si>
    <r>
      <t>Количество функций обработки информации (Ф</t>
    </r>
    <r>
      <rPr>
        <b/>
        <vertAlign val="subscript"/>
        <sz val="10"/>
        <rFont val="Times New Roman"/>
        <family val="1"/>
        <charset val="204"/>
      </rPr>
      <t>i</t>
    </r>
    <r>
      <rPr>
        <b/>
        <sz val="10"/>
        <rFont val="Times New Roman"/>
        <family val="1"/>
        <charset val="204"/>
      </rPr>
      <t>)</t>
    </r>
  </si>
  <si>
    <r>
      <t>Ф</t>
    </r>
    <r>
      <rPr>
        <b/>
        <vertAlign val="subscript"/>
        <sz val="10"/>
        <rFont val="Times New Roman"/>
        <family val="1"/>
        <charset val="204"/>
      </rPr>
      <t>1</t>
    </r>
  </si>
  <si>
    <r>
      <t>Ф</t>
    </r>
    <r>
      <rPr>
        <b/>
        <vertAlign val="subscript"/>
        <sz val="10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</si>
  <si>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10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</si>
  <si>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10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</si>
  <si>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10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</si>
  <si>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10"/>
        <rFont val="Times New Roman"/>
        <family val="1"/>
        <charset val="204"/>
      </rPr>
      <t>6</t>
    </r>
  </si>
  <si>
    <r>
      <t>Ф</t>
    </r>
    <r>
      <rPr>
        <b/>
        <vertAlign val="subscript"/>
        <sz val="10"/>
        <rFont val="Times New Roman"/>
        <family val="1"/>
        <charset val="204"/>
      </rPr>
      <t>7</t>
    </r>
  </si>
  <si>
    <r>
      <t>Ф</t>
    </r>
    <r>
      <rPr>
        <b/>
        <vertAlign val="subscript"/>
        <sz val="10"/>
        <rFont val="Times New Roman"/>
        <family val="1"/>
        <charset val="204"/>
      </rPr>
      <t>8</t>
    </r>
  </si>
  <si>
    <t>язык высокого уровня</t>
  </si>
  <si>
    <t>Способ реализации (уровень языка разработки)</t>
  </si>
  <si>
    <t>К-нт преобраз. ФТ в БТ</t>
  </si>
  <si>
    <t>Базовые трудозатраты</t>
  </si>
  <si>
    <t>Расчет стоимости единицы трудозатрат</t>
  </si>
  <si>
    <t xml:space="preserve">Стоимость единицы трудозатрат (чел-мес.), руб. </t>
  </si>
  <si>
    <t>Расчет стоимости выполненения работ по разработке ИС</t>
  </si>
  <si>
    <t>общие расчетные трудозатраты, чел.-месяцев</t>
  </si>
  <si>
    <t>Коэффициент, учитывающий инфляцию в i-й год финансирования</t>
  </si>
  <si>
    <t>Доля от общих расчетных трудозатрат в i-й год финансирования, %</t>
  </si>
  <si>
    <t>Стоимость выполнения работ по разработке информационной системы по годам, (руб.) без НДС</t>
  </si>
  <si>
    <t>Стоимость выполнения работ по разработке информационной системы по годам, (руб.) с НДС</t>
  </si>
  <si>
    <t>Итоговая стоимость работ</t>
  </si>
  <si>
    <t>Среднемесячная заработная плата по данным Мосстата, руб.</t>
  </si>
  <si>
    <t>2. Коэффициент трудоемкости «Среда разработки» (МТ2)</t>
  </si>
  <si>
    <t>Количество сред разработки</t>
  </si>
  <si>
    <t>2 среды</t>
  </si>
  <si>
    <t>3 среды</t>
  </si>
  <si>
    <t>4 среды</t>
  </si>
  <si>
    <t>Значение коэффициента трудоемкости (МТ2)</t>
  </si>
  <si>
    <r>
      <t>8. Коэффициент трудоемкости «Сложность аналитической деятельности и проектирования» (МТ</t>
    </r>
    <r>
      <rPr>
        <vertAlign val="subscript"/>
        <sz val="12"/>
        <color theme="1"/>
        <rFont val="Times New Roman"/>
        <family val="1"/>
        <charset val="204"/>
      </rPr>
      <t>8</t>
    </r>
    <r>
      <rPr>
        <sz val="12"/>
        <color theme="1"/>
        <rFont val="Times New Roman"/>
        <family val="1"/>
        <charset val="204"/>
      </rPr>
      <t>)</t>
    </r>
  </si>
  <si>
    <t>Сложность аналитической деятельности и проектирования</t>
  </si>
  <si>
    <t>Не требуется</t>
  </si>
  <si>
    <t>Наличие модели архитектуры (или новая подсистема)</t>
  </si>
  <si>
    <t>Отсутствие модели архитектуры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</si>
  <si>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8</t>
    </r>
    <r>
      <rPr>
        <sz val="12"/>
        <color theme="1"/>
        <rFont val="Times New Roman"/>
        <family val="1"/>
        <charset val="204"/>
      </rPr>
      <t>)</t>
    </r>
  </si>
  <si>
    <t>Известные задачи</t>
  </si>
  <si>
    <t>Прочие задачи</t>
  </si>
  <si>
    <t>К пер</t>
  </si>
  <si>
    <t>В ЧТЗ должны быть приведены:</t>
  </si>
  <si>
    <t>‒        создание модуля «Чат-бот» (см. п. 3.2.1.1 ТЗ);</t>
  </si>
  <si>
    <t>‒        создание модуля «ИИ-агент» (см. п. 3.2.1.2 ТЗ).</t>
  </si>
  <si>
    <t>3.2.1.1 	Требования к созданию модуля «Чат-бот»</t>
  </si>
  <si>
    <t>В рамках выполнения работ по созданию модуля «Чат-бот» необходимо реализовать следующие требования:</t>
  </si>
  <si>
    <t>‒        создать функциональность взаимодействия с мессенджером МАХ (см. п. 3.2.1.1.1 ТЗ);</t>
  </si>
  <si>
    <t>‒        создать функциональность консультации граждан о мерах поддержки (см. п. 3.2.1.1.2 ТЗ);</t>
  </si>
  <si>
    <t>3.2.1.1.1	  Требования к созданию функциональности взаимодействия с мессенджером МАХ</t>
  </si>
  <si>
    <t>В рамках создания функциональности взаимодействия с мессенджером МАХ необходимо реализовать следующие требования:</t>
  </si>
  <si>
    <t>В ЧТЗ должны быть приведены входные и выходные параметры для каждой создаваемой функции/метода.</t>
  </si>
  <si>
    <t>3.2.1.1.2	 Требования к созданию функциональности консультации граждан о мерах поддержки</t>
  </si>
  <si>
    <t>В рамках создания функциональности консультации граждан о мерах поддержки необходимо реализовать следующие требования:</t>
  </si>
  <si>
    <t>‒        описание структуры отображения карточки меры поддержки в диалоговом интерфейсе чат-бота;</t>
  </si>
  <si>
    <t>В рамках создания модуля «Чат-бот» должна быть создана БД.</t>
  </si>
  <si>
    <t>‒        перечень создаваемых таблиц БД модуля «Чат-бот»»;</t>
  </si>
  <si>
    <t>‒        описание полей создаваемых таблиц.</t>
  </si>
  <si>
    <t>Модуль «Чат-бот»</t>
  </si>
  <si>
    <t>Модуль «ИИ-агент»</t>
  </si>
  <si>
    <t>3.2.1.2	Требования к созданию модуля «ИИ-агент»</t>
  </si>
  <si>
    <t>В рамках выполнения работ по созданию модуля «ИИ-агент» необходимо реализовать следующие требования:</t>
  </si>
  <si>
    <t>‒        создать функциональность консультационного сопровождения по услугам (см. п. 3.2.1.2.1 ТЗ);</t>
  </si>
  <si>
    <t>‒        создать функциональность оркестрации запросов (см. п. 3.2.1.2.2 ТЗ);</t>
  </si>
  <si>
    <t>‒        создать функциональность логирования (см. п.  3.2.1.2.3 ТЗ);</t>
  </si>
  <si>
    <t>‒        создать функциональность семантического поиска по услугам (см. п. 3.2.1.2.4 ТЗ);</t>
  </si>
  <si>
    <t>‒        создать функциональность хранения активных сессий пользователей (см. п. 3.2.1.2.5 ТЗ);</t>
  </si>
  <si>
    <t>‒        создать БД модуля «ИИ-агент» (см. п. 3.2.1.2.6 ТЗ);</t>
  </si>
  <si>
    <t>‒        создать хранилище данных для событий логирования (см. п.  3.2.1.2.7 ТЗ).</t>
  </si>
  <si>
    <t>3.2.1.2.1	 Требования к созданию функциональности консультационного сопровождения по услугам</t>
  </si>
  <si>
    <t>3.2.1.2.2	 Требования к созданию функциональности оркестрации запросов</t>
  </si>
  <si>
    <t xml:space="preserve">3.2.1.2.3	 Требования к созданию функциональности логирования </t>
  </si>
  <si>
    <t xml:space="preserve">3.2.1.2.4	 Требования к созданию функциональности семантического поиска по услугам </t>
  </si>
  <si>
    <t>В рамках создания функциональности семантического поиска по услугам необходимо:</t>
  </si>
  <si>
    <t>‒	создать метод «Семантический поиск». Создаваемый метод должен обеспечивать:</t>
  </si>
  <si>
    <t>•	поиск услуг по названию, описанию, ключевым словам пользователя, синонимам;</t>
  </si>
  <si>
    <t>3.2.1.2.5	 Требования к созданию функциональности хранения активных сессий пользователя</t>
  </si>
  <si>
    <t xml:space="preserve">3.2.1.2.6	 Требования к созданию БД модуля «ИИ-агент» </t>
  </si>
  <si>
    <t>В рамках создания модуля «ИИ-агент» должна быть создана БД.</t>
  </si>
  <si>
    <t xml:space="preserve">3.2.1.2.7	 Требования к созданию хранилища данных для событий логирования </t>
  </si>
  <si>
    <t>‒        перечень создаваемых таблиц БД;</t>
  </si>
  <si>
    <t>В рамках создания функциональности консультационного сопровождения по услугам необходимо создать:</t>
  </si>
  <si>
    <t>‒	метод «Поиск ответа после выбора услуги»;</t>
  </si>
  <si>
    <t>‒	метод «Поиск ответа при выполнении консультации по ранее выбранной услуге»;</t>
  </si>
  <si>
    <t>‒	метод «Поиск шаблонного ответа по услуге»;</t>
  </si>
  <si>
    <t>‒	метод «Поиск дополнительной информации по услуге»;</t>
  </si>
  <si>
    <t>В ЧТЗ должны быть приведены входные и выходные параметры для создаваемых методов.</t>
  </si>
  <si>
    <t>В рамках создания функциональности оркестрации запросов необходимо создать:</t>
  </si>
  <si>
    <t>‒	метод «Распределение запросов»;</t>
  </si>
  <si>
    <t>‒	метод «Обеспечение диалога заявителя с виртуальным помощником»;</t>
  </si>
  <si>
    <t>‒	метод «Прием сообщения пользователя»;</t>
  </si>
  <si>
    <t>‒	метод «Определение текущего шага диалога»;</t>
  </si>
  <si>
    <t>‒	метод «Передача данных в компонент консультационного собровождения по услугам».</t>
  </si>
  <si>
    <t>В рамках создания функциональности логирования необходимо создать:</t>
  </si>
  <si>
    <t xml:space="preserve">‒	метод «Логирование событий»; </t>
  </si>
  <si>
    <t>‒	метод «Обработка события диалога»;</t>
  </si>
  <si>
    <t>‒	метод «Обработка сообщения заявителя»;</t>
  </si>
  <si>
    <t>‒	метод «Обработка ответа виртуального помощника»;</t>
  </si>
  <si>
    <t>‒	метод «Обработка контекста выбранной услуги»;</t>
  </si>
  <si>
    <t>‒	метод «Обработка служебных событий»;</t>
  </si>
  <si>
    <t>‒	метод «Отправка данных в хранилище данных для событий логирования».</t>
  </si>
  <si>
    <t>В рамках создания хранилища данных для событий логирования необходимо создать БД событий логирования.</t>
  </si>
  <si>
    <t>В составе БД событий логирования должно быть создано две таблицы для хранения данных.</t>
  </si>
  <si>
    <t>‒	создать функцию подписки на обновления чат-бота в мессенджере МАХ;</t>
  </si>
  <si>
    <t>Прочие задачи Сервиса «СоцКазна.Чат-бот MAX»</t>
  </si>
  <si>
    <t>Этап</t>
  </si>
  <si>
    <t>Начало</t>
  </si>
  <si>
    <t>Кол-во дней</t>
  </si>
  <si>
    <t>Окончание</t>
  </si>
  <si>
    <t>%</t>
  </si>
  <si>
    <t>Трудоемкость</t>
  </si>
  <si>
    <t xml:space="preserve">Сумма </t>
  </si>
  <si>
    <t>‒        создать БД модуля «Чат-бот» (см. п. 3.2.1.1.3 ТЗ).</t>
  </si>
  <si>
    <t>В рамках создания функциональности хранения активных сессий пользователей необходимо создать:</t>
  </si>
  <si>
    <t>3.2.1</t>
  </si>
  <si>
    <t>3.2.1.1</t>
  </si>
  <si>
    <t>3.2.1.1.1</t>
  </si>
  <si>
    <t>3.2.1.1.2</t>
  </si>
  <si>
    <t>3.2.1.1.3	 Требования к созданию БД модуля «Чат-бот»</t>
  </si>
  <si>
    <t>3.2.1.1.3</t>
  </si>
  <si>
    <t>3.2.1.2</t>
  </si>
  <si>
    <t>3.2.1.2.1</t>
  </si>
  <si>
    <t>3.2.1.2.2</t>
  </si>
  <si>
    <t>3.2.1.2.3</t>
  </si>
  <si>
    <t>3.2.1.2.4</t>
  </si>
  <si>
    <t>3.2.1.2.5</t>
  </si>
  <si>
    <t>3.2.1.2.6</t>
  </si>
  <si>
    <t>3.2.1.2.7</t>
  </si>
  <si>
    <r>
      <t>Количество функций обработки информации (Ф</t>
    </r>
    <r>
      <rPr>
        <b/>
        <vertAlign val="subscript"/>
        <sz val="9"/>
        <color theme="1"/>
        <rFont val="Times New Roman"/>
        <family val="1"/>
        <charset val="204"/>
      </rPr>
      <t>i</t>
    </r>
    <r>
      <rPr>
        <b/>
        <sz val="9"/>
        <color theme="1"/>
        <rFont val="Times New Roman"/>
        <family val="1"/>
        <charset val="204"/>
      </rPr>
      <t>)</t>
    </r>
  </si>
  <si>
    <r>
      <t>Количество функциональных точек (ФТ</t>
    </r>
    <r>
      <rPr>
        <b/>
        <vertAlign val="subscript"/>
        <sz val="9"/>
        <color theme="1"/>
        <rFont val="Times New Roman"/>
        <family val="1"/>
        <charset val="204"/>
      </rPr>
      <t>i</t>
    </r>
    <r>
      <rPr>
        <b/>
        <sz val="9"/>
        <color theme="1"/>
        <rFont val="Times New Roman"/>
        <family val="1"/>
        <charset val="204"/>
      </rPr>
      <t>)</t>
    </r>
  </si>
  <si>
    <r>
      <t>К</t>
    </r>
    <r>
      <rPr>
        <b/>
        <vertAlign val="subscript"/>
        <sz val="9"/>
        <color theme="1"/>
        <rFont val="Times New Roman"/>
        <family val="1"/>
        <charset val="204"/>
      </rPr>
      <t>ППК</t>
    </r>
  </si>
  <si>
    <r>
      <t>Ф</t>
    </r>
    <r>
      <rPr>
        <b/>
        <vertAlign val="subscript"/>
        <sz val="9"/>
        <color theme="1"/>
        <rFont val="Times New Roman"/>
        <family val="1"/>
        <charset val="204"/>
      </rPr>
      <t>1</t>
    </r>
  </si>
  <si>
    <r>
      <t>Ф</t>
    </r>
    <r>
      <rPr>
        <b/>
        <vertAlign val="subscript"/>
        <sz val="9"/>
        <color theme="1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</si>
  <si>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9"/>
        <color theme="1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</si>
  <si>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9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</si>
  <si>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9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</si>
  <si>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9"/>
        <color theme="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</si>
  <si>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9"/>
        <color theme="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</si>
  <si>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Ф</t>
    </r>
    <r>
      <rPr>
        <b/>
        <vertAlign val="subscript"/>
        <sz val="9"/>
        <color theme="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</si>
  <si>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ФТ</t>
    </r>
    <r>
      <rPr>
        <b/>
        <vertAlign val="subscript"/>
        <sz val="9"/>
        <color theme="1"/>
        <rFont val="Times New Roman"/>
        <family val="1"/>
        <charset val="204"/>
      </rPr>
      <t>1</t>
    </r>
  </si>
  <si>
    <r>
      <t>ФТ</t>
    </r>
    <r>
      <rPr>
        <b/>
        <vertAlign val="subscript"/>
        <sz val="9"/>
        <color theme="1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/>
    </r>
  </si>
  <si>
    <r>
      <t>ФТ</t>
    </r>
    <r>
      <rPr>
        <b/>
        <vertAlign val="subscript"/>
        <sz val="9"/>
        <color theme="1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</si>
  <si>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>ФТ</t>
    </r>
    <r>
      <rPr>
        <b/>
        <vertAlign val="subscript"/>
        <sz val="9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</si>
  <si>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ФТ</t>
    </r>
    <r>
      <rPr>
        <b/>
        <vertAlign val="subscript"/>
        <sz val="9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</si>
  <si>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ФТ</t>
    </r>
    <r>
      <rPr>
        <b/>
        <vertAlign val="subscript"/>
        <sz val="9"/>
        <color theme="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</si>
  <si>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t>ФТ</t>
    </r>
    <r>
      <rPr>
        <b/>
        <vertAlign val="subscript"/>
        <sz val="9"/>
        <color theme="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</si>
  <si>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ФТ</t>
    </r>
    <r>
      <rPr>
        <b/>
        <vertAlign val="subscript"/>
        <sz val="9"/>
        <color theme="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</si>
  <si>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МТ</t>
    </r>
    <r>
      <rPr>
        <b/>
        <vertAlign val="subscript"/>
        <sz val="9"/>
        <rFont val="Times New Roman"/>
        <family val="1"/>
        <charset val="204"/>
      </rPr>
      <t>1</t>
    </r>
  </si>
  <si>
    <r>
      <t>МТ</t>
    </r>
    <r>
      <rPr>
        <b/>
        <vertAlign val="subscript"/>
        <sz val="9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/>
    </r>
  </si>
  <si>
    <r>
      <t>МТ</t>
    </r>
    <r>
      <rPr>
        <b/>
        <vertAlign val="subscript"/>
        <sz val="9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</si>
  <si>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>МТ</t>
    </r>
    <r>
      <rPr>
        <b/>
        <vertAlign val="subscript"/>
        <sz val="9"/>
        <rFont val="Times New Roman"/>
        <family val="1"/>
        <charset val="204"/>
      </rPr>
      <t>4</t>
    </r>
  </si>
  <si>
    <r>
      <t>МТ</t>
    </r>
    <r>
      <rPr>
        <b/>
        <vertAlign val="subscript"/>
        <sz val="9"/>
        <rFont val="Times New Roman"/>
        <family val="1"/>
        <charset val="204"/>
      </rPr>
      <t>5</t>
    </r>
  </si>
  <si>
    <r>
      <t>МТ</t>
    </r>
    <r>
      <rPr>
        <b/>
        <vertAlign val="subscript"/>
        <sz val="9"/>
        <rFont val="Times New Roman"/>
        <family val="1"/>
        <charset val="204"/>
      </rPr>
      <t>6</t>
    </r>
  </si>
  <si>
    <r>
      <t>МТ</t>
    </r>
    <r>
      <rPr>
        <b/>
        <vertAlign val="subscript"/>
        <sz val="9"/>
        <rFont val="Times New Roman"/>
        <family val="1"/>
        <charset val="204"/>
      </rPr>
      <t>7</t>
    </r>
  </si>
  <si>
    <r>
      <t>МТ</t>
    </r>
    <r>
      <rPr>
        <b/>
        <vertAlign val="subscript"/>
        <sz val="9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</si>
  <si>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t>Для обеспечения автоматизации процесса информирования и консультирования граждан по вопросам получения мер социальной поддержки города Москвы через мессенджер MAX необходимо создать в составе ИС СДУ Сервис «Чат-бот MAX социальных сервисов».</t>
  </si>
  <si>
    <t>В рамках создания Сервиса «Чат-бот MAX социальных сервисов» необходимо выполнить следующие работы:</t>
  </si>
  <si>
    <t>‒	создать функцию обработки сообщений через модуль «ИИ-агент». Функция должна содержать описание взаимодействия с модулем «ИИ-агент» и перечень данных для сохранения в БД модуля «Чат-бот»;</t>
  </si>
  <si>
    <t>‒	создать структуру отображения карточки меры поддержки в диалоговом интерфейсе чат-бота мессенджера МАХ;</t>
  </si>
  <si>
    <t>‒	создать структуру вывода уведомлений о результах поиска релевантной информации в диалоговый интерфейс чат-бота мессенджера МАХ.</t>
  </si>
  <si>
    <t>‒        описание создаваемых функций.</t>
  </si>
  <si>
    <t>‒        функцию восстановления контекста диалога при повторном обращении пользователя;</t>
  </si>
  <si>
    <t>‒        функцию хранения сессий пользователей;</t>
  </si>
  <si>
    <t>‒	создать метод обработки событий чат-бота из мессенджера МАХ;</t>
  </si>
  <si>
    <t>‒	создать функцию отправки сообщения в мессенджер МАХ;</t>
  </si>
  <si>
    <t>‒	создать функцию получения информации о боте из мессенджера МАХ;</t>
  </si>
  <si>
    <t>‒	создать функцию получения обновлений при разработке и тестировании Сервиса «Чат-бот MAX социальных сервисов» из мессенджера МАХ.</t>
  </si>
  <si>
    <t>В составе БД модуля «ИИ-агент» должно быть создано не менее одной таблицы для хранения данных.</t>
  </si>
  <si>
    <t>В составе БД модуля «Чат-бот» должно быть создано не менее двух таблиц для хранения данных.</t>
  </si>
  <si>
    <t>НЕ УДАЛЯТЬ!</t>
  </si>
  <si>
    <t>Сервис «Чат-бот MAX социальных сервисов»</t>
  </si>
  <si>
    <t>Сервис</t>
  </si>
  <si>
    <t>Модуль</t>
  </si>
  <si>
    <t>Выполнение работ по развитию государственной информационной системы: информационная система «Система долговременного ухода и социальные стационары» в части создания Сервиса «Чат-бот MAX социальных сервисов»</t>
  </si>
  <si>
    <t>на выполнение работ по развитию государственной информационной системы: информационная система «Система долговременного ухода и социальные стационары» в части создания Сервиса «Чат-бот MAX социальных сервисов»</t>
  </si>
  <si>
    <t>В ЧТЗ должны быть приведены входные и выходные параметры создаваемых методов.</t>
  </si>
  <si>
    <t>‒        функцию автоматической очистки неактивных сессий.</t>
  </si>
  <si>
    <t>В ЧТЗ должно быть приведено описание полей создаваемой таблицы.</t>
  </si>
  <si>
    <t xml:space="preserve">3.2.1	 Требования к функциям (задачам) создаваемого Сервиса «Чат-бот MAX социальных сервисов»  </t>
  </si>
  <si>
    <t>‒	 метод «Оркестрация запросов по услугам»;</t>
  </si>
  <si>
    <t>‒	создать метод «Актуализация данных для поиска услуг». Создаваемый метод должен обеспечивать:</t>
  </si>
  <si>
    <t>•	хранение данных для поиска услуг;</t>
  </si>
  <si>
    <t>•	поддержка актуальности поисковых признаков услуги.</t>
  </si>
  <si>
    <t>В ЧТЗ должно быть приведено описание создаваемых функций.</t>
  </si>
  <si>
    <t>‒	создать диалоговый интерфейс , обеспечивающий возможность получения информации об услугах ДТСЗН города Москвы в сфере социальной защиты, условиях их предоставления, необходимых документах и порядке оформления;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</si>
</sst>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%"/>
    <numFmt numFmtId="166" formatCode="#,##0.000"/>
    <numFmt numFmtId="167" formatCode="_-* #,##0.00\ _₽_-;\-* #,##0.00\ _₽_-;_-* &quot;-&quot;\ _₽_-;_-@_-"/>
    <numFmt numFmtId="168" formatCode="#,##0.0000"/>
    <numFmt numFmtId="169" formatCode="0.0000"/>
  </numFmts>
  <fonts count="5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610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70C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vertAlign val="subscript"/>
      <sz val="9"/>
      <color theme="1"/>
      <name val="Times New Roman"/>
      <family val="1"/>
      <charset val="204"/>
    </font>
    <font>
      <b/>
      <vertAlign val="subscript"/>
      <sz val="9"/>
      <name val="Times New Roman"/>
      <family val="1"/>
      <charset val="204"/>
    </font>
    <font>
      <b/>
      <sz val="9"/>
      <color rgb="FF00610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  <font>
      <b/>
      <sz val="9"/>
      <color theme="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6" fillId="0" borderId="0"/>
    <xf numFmtId="0" fontId="17" fillId="3" borderId="0" applyNumberFormat="0" applyBorder="0" applyAlignment="0" applyProtection="0"/>
    <xf numFmtId="0" fontId="19" fillId="0" borderId="0"/>
    <xf numFmtId="0" fontId="16" fillId="0" borderId="0"/>
    <xf numFmtId="0" fontId="30" fillId="0" borderId="0"/>
    <xf numFmtId="0" fontId="47" fillId="0" borderId="0"/>
  </cellStyleXfs>
  <cellXfs count="224">
    <xf numFmtId="0" fontId="0" fillId="0" borderId="0" xfId="0"/>
    <xf numFmtId="2" fontId="0" fillId="0" borderId="0" xfId="0" applyNumberFormat="1"/>
    <xf numFmtId="4" fontId="2" fillId="0" borderId="0" xfId="0" applyNumberFormat="1" applyFont="1" applyAlignment="1">
      <alignment wrapText="1"/>
    </xf>
    <xf numFmtId="4" fontId="2" fillId="0" borderId="4" xfId="0" applyNumberFormat="1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4" fontId="2" fillId="0" borderId="9" xfId="0" applyNumberFormat="1" applyFont="1" applyBorder="1" applyAlignment="1">
      <alignment horizontal="center" vertical="top" wrapText="1"/>
    </xf>
    <xf numFmtId="3" fontId="2" fillId="0" borderId="7" xfId="0" applyNumberFormat="1" applyFont="1" applyBorder="1" applyAlignment="1">
      <alignment horizontal="center" wrapText="1"/>
    </xf>
    <xf numFmtId="0" fontId="8" fillId="2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wrapText="1"/>
    </xf>
    <xf numFmtId="0" fontId="1" fillId="0" borderId="13" xfId="0" applyFont="1" applyBorder="1" applyAlignment="1">
      <alignment horizontal="center" vertical="top" wrapText="1"/>
    </xf>
    <xf numFmtId="4" fontId="0" fillId="0" borderId="0" xfId="0" applyNumberFormat="1"/>
    <xf numFmtId="0" fontId="1" fillId="0" borderId="0" xfId="0" applyFont="1"/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0" xfId="4" applyFont="1"/>
    <xf numFmtId="0" fontId="21" fillId="0" borderId="0" xfId="9" applyFont="1"/>
    <xf numFmtId="0" fontId="22" fillId="0" borderId="0" xfId="9" applyFont="1" applyAlignment="1">
      <alignment wrapText="1"/>
    </xf>
    <xf numFmtId="0" fontId="19" fillId="0" borderId="0" xfId="9"/>
    <xf numFmtId="0" fontId="21" fillId="0" borderId="1" xfId="9" applyFont="1" applyBorder="1" applyAlignment="1">
      <alignment horizontal="center" vertical="center" wrapText="1"/>
    </xf>
    <xf numFmtId="0" fontId="22" fillId="0" borderId="1" xfId="9" applyFont="1" applyBorder="1" applyAlignment="1">
      <alignment vertical="center" wrapText="1"/>
    </xf>
    <xf numFmtId="0" fontId="22" fillId="0" borderId="1" xfId="9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 wrapText="1"/>
    </xf>
    <xf numFmtId="3" fontId="20" fillId="6" borderId="1" xfId="10" applyNumberFormat="1" applyFont="1" applyFill="1" applyBorder="1" applyAlignment="1">
      <alignment horizontal="center" vertical="center"/>
    </xf>
    <xf numFmtId="0" fontId="20" fillId="8" borderId="1" xfId="10" applyFont="1" applyFill="1" applyBorder="1" applyAlignment="1">
      <alignment horizontal="center" vertical="center"/>
    </xf>
    <xf numFmtId="4" fontId="2" fillId="0" borderId="0" xfId="4" applyNumberFormat="1" applyFont="1" applyAlignment="1">
      <alignment wrapText="1"/>
    </xf>
    <xf numFmtId="0" fontId="10" fillId="0" borderId="0" xfId="4"/>
    <xf numFmtId="0" fontId="2" fillId="0" borderId="4" xfId="4" applyFont="1" applyBorder="1" applyAlignment="1">
      <alignment horizontal="center" vertical="top" wrapText="1"/>
    </xf>
    <xf numFmtId="0" fontId="2" fillId="0" borderId="2" xfId="4" applyFont="1" applyBorder="1" applyAlignment="1">
      <alignment horizontal="center" vertical="top" wrapText="1"/>
    </xf>
    <xf numFmtId="0" fontId="2" fillId="0" borderId="9" xfId="4" applyFont="1" applyBorder="1" applyAlignment="1">
      <alignment horizontal="center" vertical="top" wrapText="1"/>
    </xf>
    <xf numFmtId="0" fontId="2" fillId="0" borderId="0" xfId="4" applyFont="1" applyAlignment="1">
      <alignment horizontal="center" vertical="top" wrapText="1"/>
    </xf>
    <xf numFmtId="0" fontId="2" fillId="0" borderId="7" xfId="4" applyFont="1" applyBorder="1" applyAlignment="1">
      <alignment horizontal="center" wrapText="1"/>
    </xf>
    <xf numFmtId="4" fontId="2" fillId="0" borderId="6" xfId="4" applyNumberFormat="1" applyFont="1" applyBorder="1" applyAlignment="1">
      <alignment horizontal="center" wrapText="1"/>
    </xf>
    <xf numFmtId="167" fontId="7" fillId="0" borderId="0" xfId="4" applyNumberFormat="1" applyFont="1" applyAlignment="1">
      <alignment horizontal="center" wrapText="1"/>
    </xf>
    <xf numFmtId="167" fontId="2" fillId="0" borderId="0" xfId="4" applyNumberFormat="1" applyFont="1" applyAlignment="1">
      <alignment horizontal="center" wrapText="1"/>
    </xf>
    <xf numFmtId="4" fontId="2" fillId="6" borderId="8" xfId="0" applyNumberFormat="1" applyFont="1" applyFill="1" applyBorder="1" applyAlignment="1">
      <alignment wrapText="1"/>
    </xf>
    <xf numFmtId="4" fontId="2" fillId="8" borderId="8" xfId="0" applyNumberFormat="1" applyFont="1" applyFill="1" applyBorder="1" applyAlignment="1">
      <alignment wrapText="1"/>
    </xf>
    <xf numFmtId="4" fontId="2" fillId="8" borderId="6" xfId="0" applyNumberFormat="1" applyFont="1" applyFill="1" applyBorder="1" applyAlignment="1">
      <alignment wrapText="1"/>
    </xf>
    <xf numFmtId="4" fontId="2" fillId="8" borderId="8" xfId="4" applyNumberFormat="1" applyFont="1" applyFill="1" applyBorder="1" applyAlignment="1">
      <alignment horizont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 wrapText="1"/>
    </xf>
    <xf numFmtId="4" fontId="7" fillId="0" borderId="0" xfId="0" applyNumberFormat="1" applyFont="1"/>
    <xf numFmtId="4" fontId="10" fillId="0" borderId="0" xfId="4" applyNumberFormat="1"/>
    <xf numFmtId="0" fontId="2" fillId="6" borderId="5" xfId="4" applyFont="1" applyFill="1" applyBorder="1" applyAlignment="1">
      <alignment horizontal="center" wrapText="1"/>
    </xf>
    <xf numFmtId="168" fontId="2" fillId="6" borderId="1" xfId="4" applyNumberFormat="1" applyFont="1" applyFill="1" applyBorder="1" applyAlignment="1">
      <alignment horizontal="center" wrapText="1"/>
    </xf>
    <xf numFmtId="4" fontId="2" fillId="8" borderId="1" xfId="4" applyNumberFormat="1" applyFont="1" applyFill="1" applyBorder="1" applyAlignment="1">
      <alignment horizontal="center" wrapText="1"/>
    </xf>
    <xf numFmtId="4" fontId="2" fillId="8" borderId="3" xfId="4" applyNumberFormat="1" applyFont="1" applyFill="1" applyBorder="1" applyAlignment="1">
      <alignment horizontal="center" wrapText="1"/>
    </xf>
    <xf numFmtId="4" fontId="7" fillId="8" borderId="8" xfId="4" applyNumberFormat="1" applyFont="1" applyFill="1" applyBorder="1" applyAlignment="1">
      <alignment horizontal="center" wrapText="1"/>
    </xf>
    <xf numFmtId="4" fontId="7" fillId="8" borderId="6" xfId="4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0" fontId="28" fillId="0" borderId="13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4" fontId="22" fillId="0" borderId="1" xfId="9" applyNumberFormat="1" applyFont="1" applyBorder="1" applyAlignment="1">
      <alignment vertical="center" wrapText="1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1" fillId="0" borderId="0" xfId="10" applyFont="1" applyAlignment="1">
      <alignment horizontal="center" vertical="center"/>
    </xf>
    <xf numFmtId="4" fontId="19" fillId="0" borderId="0" xfId="9" applyNumberFormat="1"/>
    <xf numFmtId="3" fontId="31" fillId="9" borderId="1" xfId="10" applyNumberFormat="1" applyFont="1" applyFill="1" applyBorder="1" applyAlignment="1">
      <alignment horizontal="center" vertical="center"/>
    </xf>
    <xf numFmtId="14" fontId="15" fillId="0" borderId="0" xfId="0" applyNumberFormat="1" applyFont="1"/>
    <xf numFmtId="0" fontId="22" fillId="0" borderId="0" xfId="7" applyFont="1" applyAlignment="1">
      <alignment horizontal="center" vertical="center"/>
    </xf>
    <xf numFmtId="0" fontId="22" fillId="0" borderId="0" xfId="7" applyFont="1" applyAlignment="1">
      <alignment vertical="center"/>
    </xf>
    <xf numFmtId="0" fontId="33" fillId="0" borderId="0" xfId="7" applyFont="1" applyAlignment="1">
      <alignment horizontal="center" vertical="center" wrapText="1"/>
    </xf>
    <xf numFmtId="0" fontId="34" fillId="0" borderId="0" xfId="7" applyFont="1" applyAlignment="1">
      <alignment horizontal="center" vertical="center" wrapText="1"/>
    </xf>
    <xf numFmtId="0" fontId="33" fillId="0" borderId="0" xfId="7" applyFont="1" applyAlignment="1">
      <alignment vertical="center" wrapText="1"/>
    </xf>
    <xf numFmtId="0" fontId="33" fillId="0" borderId="0" xfId="7" applyFont="1" applyAlignment="1">
      <alignment vertical="center"/>
    </xf>
    <xf numFmtId="3" fontId="35" fillId="7" borderId="1" xfId="7" applyNumberFormat="1" applyFont="1" applyFill="1" applyBorder="1" applyAlignment="1">
      <alignment horizontal="center" vertical="center"/>
    </xf>
    <xf numFmtId="3" fontId="35" fillId="7" borderId="21" xfId="7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5" fontId="26" fillId="0" borderId="0" xfId="5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9" fillId="2" borderId="1" xfId="1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3" fontId="26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4" fontId="26" fillId="2" borderId="1" xfId="0" applyNumberFormat="1" applyFont="1" applyFill="1" applyBorder="1" applyAlignment="1">
      <alignment horizontal="center" vertical="center"/>
    </xf>
    <xf numFmtId="2" fontId="24" fillId="0" borderId="1" xfId="3" applyNumberFormat="1" applyFont="1" applyFill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/>
    </xf>
    <xf numFmtId="2" fontId="24" fillId="0" borderId="1" xfId="1" applyNumberFormat="1" applyFont="1" applyFill="1" applyBorder="1" applyAlignment="1">
      <alignment horizontal="center" vertical="center" wrapText="1"/>
    </xf>
    <xf numFmtId="2" fontId="24" fillId="0" borderId="1" xfId="1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3" fontId="40" fillId="0" borderId="1" xfId="0" applyNumberFormat="1" applyFont="1" applyBorder="1" applyAlignment="1">
      <alignment horizontal="center" vertical="center"/>
    </xf>
    <xf numFmtId="3" fontId="41" fillId="0" borderId="1" xfId="0" applyNumberFormat="1" applyFont="1" applyBorder="1" applyAlignment="1">
      <alignment horizontal="center" vertical="center"/>
    </xf>
    <xf numFmtId="1" fontId="41" fillId="0" borderId="1" xfId="0" applyNumberFormat="1" applyFont="1" applyBorder="1" applyAlignment="1">
      <alignment horizontal="center" vertical="center"/>
    </xf>
    <xf numFmtId="164" fontId="41" fillId="0" borderId="1" xfId="0" applyNumberFormat="1" applyFont="1" applyBorder="1" applyAlignment="1">
      <alignment horizontal="center" vertical="center" wrapText="1"/>
    </xf>
    <xf numFmtId="164" fontId="41" fillId="0" borderId="1" xfId="0" applyNumberFormat="1" applyFont="1" applyBorder="1" applyAlignment="1">
      <alignment horizontal="center" vertical="center"/>
    </xf>
    <xf numFmtId="4" fontId="41" fillId="0" borderId="1" xfId="0" applyNumberFormat="1" applyFont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 wrapText="1"/>
    </xf>
    <xf numFmtId="166" fontId="41" fillId="0" borderId="1" xfId="0" applyNumberFormat="1" applyFont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left" vertical="center" wrapText="1"/>
    </xf>
    <xf numFmtId="3" fontId="40" fillId="10" borderId="1" xfId="0" applyNumberFormat="1" applyFont="1" applyFill="1" applyBorder="1" applyAlignment="1">
      <alignment horizontal="center" vertical="center"/>
    </xf>
    <xf numFmtId="3" fontId="41" fillId="10" borderId="1" xfId="0" applyNumberFormat="1" applyFont="1" applyFill="1" applyBorder="1" applyAlignment="1">
      <alignment horizontal="center" vertical="center"/>
    </xf>
    <xf numFmtId="1" fontId="41" fillId="10" borderId="1" xfId="0" applyNumberFormat="1" applyFont="1" applyFill="1" applyBorder="1" applyAlignment="1">
      <alignment horizontal="center" vertical="center"/>
    </xf>
    <xf numFmtId="164" fontId="41" fillId="10" borderId="1" xfId="0" applyNumberFormat="1" applyFont="1" applyFill="1" applyBorder="1" applyAlignment="1">
      <alignment horizontal="center" vertical="center" wrapText="1"/>
    </xf>
    <xf numFmtId="164" fontId="41" fillId="10" borderId="1" xfId="0" applyNumberFormat="1" applyFont="1" applyFill="1" applyBorder="1" applyAlignment="1">
      <alignment horizontal="center" vertical="center"/>
    </xf>
    <xf numFmtId="4" fontId="41" fillId="10" borderId="1" xfId="0" applyNumberFormat="1" applyFont="1" applyFill="1" applyBorder="1" applyAlignment="1">
      <alignment horizontal="center" vertical="center"/>
    </xf>
    <xf numFmtId="2" fontId="36" fillId="10" borderId="1" xfId="1" applyNumberFormat="1" applyFont="1" applyFill="1" applyBorder="1" applyAlignment="1">
      <alignment horizontal="center" vertical="center" wrapText="1"/>
    </xf>
    <xf numFmtId="166" fontId="41" fillId="10" borderId="1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10" fontId="36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10" fontId="36" fillId="0" borderId="0" xfId="5" applyNumberFormat="1" applyFont="1" applyFill="1" applyAlignment="1">
      <alignment vertical="center"/>
    </xf>
    <xf numFmtId="0" fontId="31" fillId="0" borderId="0" xfId="9" applyFont="1"/>
    <xf numFmtId="4" fontId="44" fillId="0" borderId="0" xfId="9" applyNumberFormat="1" applyFont="1"/>
    <xf numFmtId="0" fontId="20" fillId="0" borderId="1" xfId="9" applyFont="1" applyBorder="1" applyAlignment="1">
      <alignment horizontal="center" vertical="center" wrapText="1"/>
    </xf>
    <xf numFmtId="0" fontId="31" fillId="0" borderId="1" xfId="9" applyFont="1" applyBorder="1" applyAlignment="1">
      <alignment horizontal="center" vertical="center" wrapText="1"/>
    </xf>
    <xf numFmtId="10" fontId="31" fillId="0" borderId="1" xfId="9" applyNumberFormat="1" applyFont="1" applyBorder="1" applyAlignment="1">
      <alignment horizontal="center" vertical="center" wrapText="1"/>
    </xf>
    <xf numFmtId="4" fontId="31" fillId="0" borderId="1" xfId="9" applyNumberFormat="1" applyFont="1" applyBorder="1" applyAlignment="1">
      <alignment horizontal="center" wrapText="1"/>
    </xf>
    <xf numFmtId="4" fontId="31" fillId="0" borderId="1" xfId="9" applyNumberFormat="1" applyFont="1" applyBorder="1" applyAlignment="1">
      <alignment wrapText="1"/>
    </xf>
    <xf numFmtId="0" fontId="31" fillId="0" borderId="0" xfId="9" applyFont="1" applyAlignment="1">
      <alignment wrapText="1"/>
    </xf>
    <xf numFmtId="10" fontId="20" fillId="0" borderId="0" xfId="9" applyNumberFormat="1" applyFont="1" applyAlignment="1">
      <alignment horizontal="center" vertical="center" wrapText="1"/>
    </xf>
    <xf numFmtId="4" fontId="20" fillId="0" borderId="0" xfId="9" applyNumberFormat="1" applyFont="1" applyAlignment="1">
      <alignment horizontal="center" wrapText="1"/>
    </xf>
    <xf numFmtId="4" fontId="20" fillId="0" borderId="0" xfId="9" applyNumberFormat="1" applyFont="1" applyAlignment="1">
      <alignment wrapText="1"/>
    </xf>
    <xf numFmtId="4" fontId="44" fillId="0" borderId="0" xfId="9" applyNumberFormat="1" applyFont="1" applyAlignment="1">
      <alignment wrapText="1"/>
    </xf>
    <xf numFmtId="10" fontId="2" fillId="6" borderId="1" xfId="5" applyNumberFormat="1" applyFont="1" applyFill="1" applyBorder="1" applyAlignment="1">
      <alignment horizontal="center" wrapText="1"/>
    </xf>
    <xf numFmtId="4" fontId="44" fillId="0" borderId="0" xfId="9" applyNumberFormat="1" applyFont="1" applyAlignment="1">
      <alignment horizontal="center" vertical="center"/>
    </xf>
    <xf numFmtId="0" fontId="31" fillId="0" borderId="0" xfId="7" applyFont="1" applyAlignment="1">
      <alignment vertical="center"/>
    </xf>
    <xf numFmtId="0" fontId="31" fillId="0" borderId="0" xfId="7" applyFont="1" applyAlignment="1">
      <alignment vertical="center" wrapText="1"/>
    </xf>
    <xf numFmtId="3" fontId="31" fillId="0" borderId="0" xfId="7" applyNumberFormat="1" applyFont="1" applyAlignment="1">
      <alignment vertical="center"/>
    </xf>
    <xf numFmtId="0" fontId="20" fillId="8" borderId="1" xfId="7" applyFont="1" applyFill="1" applyBorder="1" applyAlignment="1">
      <alignment vertical="center" wrapText="1"/>
    </xf>
    <xf numFmtId="0" fontId="20" fillId="6" borderId="1" xfId="7" applyFont="1" applyFill="1" applyBorder="1" applyAlignment="1">
      <alignment horizontal="left" vertical="center" wrapText="1"/>
    </xf>
    <xf numFmtId="0" fontId="31" fillId="9" borderId="1" xfId="7" applyFont="1" applyFill="1" applyBorder="1" applyAlignment="1">
      <alignment horizontal="left" vertical="center" wrapText="1"/>
    </xf>
    <xf numFmtId="0" fontId="31" fillId="9" borderId="1" xfId="7" applyFont="1" applyFill="1" applyBorder="1" applyAlignment="1">
      <alignment vertical="center" wrapText="1"/>
    </xf>
    <xf numFmtId="49" fontId="20" fillId="7" borderId="1" xfId="7" applyNumberFormat="1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left" vertical="center" wrapText="1"/>
    </xf>
    <xf numFmtId="0" fontId="31" fillId="7" borderId="1" xfId="7" applyFont="1" applyFill="1" applyBorder="1" applyAlignment="1">
      <alignment vertical="center" wrapText="1"/>
    </xf>
    <xf numFmtId="49" fontId="20" fillId="9" borderId="1" xfId="7" applyNumberFormat="1" applyFont="1" applyFill="1" applyBorder="1" applyAlignment="1">
      <alignment horizontal="center" vertical="center"/>
    </xf>
    <xf numFmtId="0" fontId="31" fillId="9" borderId="16" xfId="0" applyFont="1" applyFill="1" applyBorder="1" applyAlignment="1">
      <alignment horizontal="center" vertical="center" wrapText="1"/>
    </xf>
    <xf numFmtId="0" fontId="31" fillId="9" borderId="17" xfId="0" applyFont="1" applyFill="1" applyBorder="1" applyAlignment="1">
      <alignment horizontal="center" vertical="center" wrapText="1"/>
    </xf>
    <xf numFmtId="49" fontId="31" fillId="0" borderId="1" xfId="7" applyNumberFormat="1" applyFont="1" applyBorder="1" applyAlignment="1">
      <alignment horizontal="center" vertical="center"/>
    </xf>
    <xf numFmtId="0" fontId="31" fillId="0" borderId="16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" xfId="7" applyFont="1" applyBorder="1" applyAlignment="1">
      <alignment vertical="center" wrapText="1"/>
    </xf>
    <xf numFmtId="0" fontId="20" fillId="7" borderId="21" xfId="0" applyFont="1" applyFill="1" applyBorder="1" applyAlignment="1">
      <alignment horizontal="left" vertical="center" wrapText="1"/>
    </xf>
    <xf numFmtId="0" fontId="20" fillId="9" borderId="1" xfId="0" applyFont="1" applyFill="1" applyBorder="1" applyAlignment="1">
      <alignment vertical="center" wrapText="1"/>
    </xf>
    <xf numFmtId="0" fontId="31" fillId="9" borderId="1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49" fontId="31" fillId="0" borderId="21" xfId="7" applyNumberFormat="1" applyFont="1" applyBorder="1" applyAlignment="1">
      <alignment horizontal="center" vertical="center"/>
    </xf>
    <xf numFmtId="0" fontId="31" fillId="0" borderId="29" xfId="0" applyFont="1" applyBorder="1" applyAlignment="1">
      <alignment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1" fillId="0" borderId="21" xfId="7" applyFont="1" applyBorder="1" applyAlignment="1">
      <alignment vertical="center" wrapText="1"/>
    </xf>
    <xf numFmtId="0" fontId="31" fillId="9" borderId="20" xfId="7" applyFont="1" applyFill="1" applyBorder="1" applyAlignment="1">
      <alignment vertical="center" wrapText="1"/>
    </xf>
    <xf numFmtId="49" fontId="31" fillId="0" borderId="20" xfId="7" applyNumberFormat="1" applyFont="1" applyBorder="1" applyAlignment="1">
      <alignment horizontal="center" vertical="center"/>
    </xf>
    <xf numFmtId="0" fontId="31" fillId="0" borderId="20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31" fillId="0" borderId="21" xfId="0" applyFont="1" applyBorder="1" applyAlignment="1">
      <alignment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49" fontId="20" fillId="9" borderId="20" xfId="7" applyNumberFormat="1" applyFont="1" applyFill="1" applyBorder="1" applyAlignment="1">
      <alignment horizontal="center" vertical="center"/>
    </xf>
    <xf numFmtId="0" fontId="20" fillId="9" borderId="18" xfId="0" applyFont="1" applyFill="1" applyBorder="1" applyAlignment="1">
      <alignment vertical="center" wrapText="1"/>
    </xf>
    <xf numFmtId="0" fontId="31" fillId="9" borderId="18" xfId="0" applyFont="1" applyFill="1" applyBorder="1" applyAlignment="1">
      <alignment horizontal="center" vertical="center" wrapText="1"/>
    </xf>
    <xf numFmtId="0" fontId="31" fillId="9" borderId="19" xfId="0" applyFont="1" applyFill="1" applyBorder="1" applyAlignment="1">
      <alignment horizontal="center" vertical="center" wrapText="1"/>
    </xf>
    <xf numFmtId="0" fontId="20" fillId="7" borderId="21" xfId="7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top" wrapText="1"/>
    </xf>
    <xf numFmtId="0" fontId="31" fillId="0" borderId="21" xfId="0" applyFont="1" applyBorder="1" applyAlignment="1">
      <alignment horizontal="center" vertical="center" wrapText="1"/>
    </xf>
    <xf numFmtId="0" fontId="31" fillId="0" borderId="25" xfId="0" applyFont="1" applyBorder="1" applyAlignment="1">
      <alignment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9" borderId="1" xfId="0" applyFont="1" applyFill="1" applyBorder="1" applyAlignment="1">
      <alignment vertical="center" wrapText="1"/>
    </xf>
    <xf numFmtId="0" fontId="20" fillId="9" borderId="20" xfId="0" applyFont="1" applyFill="1" applyBorder="1" applyAlignment="1">
      <alignment vertical="center" wrapText="1"/>
    </xf>
    <xf numFmtId="0" fontId="31" fillId="9" borderId="20" xfId="0" applyFont="1" applyFill="1" applyBorder="1" applyAlignment="1">
      <alignment horizontal="center" vertical="center" wrapText="1"/>
    </xf>
    <xf numFmtId="0" fontId="20" fillId="8" borderId="1" xfId="7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/>
    </xf>
    <xf numFmtId="4" fontId="25" fillId="10" borderId="1" xfId="0" applyNumberFormat="1" applyFont="1" applyFill="1" applyBorder="1" applyAlignment="1">
      <alignment horizontal="center" vertical="center"/>
    </xf>
    <xf numFmtId="4" fontId="36" fillId="11" borderId="0" xfId="9" applyNumberFormat="1" applyFont="1" applyFill="1" applyAlignment="1">
      <alignment vertical="center"/>
    </xf>
    <xf numFmtId="4" fontId="25" fillId="11" borderId="0" xfId="9" applyNumberFormat="1" applyFont="1" applyFill="1" applyAlignment="1">
      <alignment vertical="center" wrapText="1"/>
    </xf>
    <xf numFmtId="10" fontId="36" fillId="11" borderId="0" xfId="9" applyNumberFormat="1" applyFont="1" applyFill="1"/>
    <xf numFmtId="4" fontId="31" fillId="0" borderId="0" xfId="9" applyNumberFormat="1" applyFont="1"/>
    <xf numFmtId="0" fontId="45" fillId="0" borderId="0" xfId="0" applyFont="1" applyAlignment="1">
      <alignment vertical="center"/>
    </xf>
    <xf numFmtId="169" fontId="46" fillId="0" borderId="0" xfId="0" applyNumberFormat="1" applyFont="1" applyAlignment="1">
      <alignment horizontal="center" vertical="center"/>
    </xf>
    <xf numFmtId="0" fontId="34" fillId="0" borderId="0" xfId="9" applyFont="1" applyAlignment="1">
      <alignment wrapText="1"/>
    </xf>
    <xf numFmtId="0" fontId="34" fillId="0" borderId="0" xfId="9" applyFont="1"/>
    <xf numFmtId="0" fontId="19" fillId="0" borderId="0" xfId="9" applyAlignment="1">
      <alignment horizontal="center" vertical="center" wrapText="1"/>
    </xf>
    <xf numFmtId="0" fontId="48" fillId="9" borderId="16" xfId="0" applyFont="1" applyFill="1" applyBorder="1" applyAlignment="1">
      <alignment vertical="center" wrapText="1"/>
    </xf>
    <xf numFmtId="0" fontId="49" fillId="0" borderId="1" xfId="0" applyFont="1" applyBorder="1" applyAlignment="1">
      <alignment vertical="center" wrapText="1"/>
    </xf>
    <xf numFmtId="0" fontId="49" fillId="0" borderId="2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6" fillId="0" borderId="1" xfId="0" applyFont="1" applyFill="1" applyBorder="1" applyAlignment="1">
      <alignment vertical="center" wrapText="1"/>
    </xf>
    <xf numFmtId="14" fontId="31" fillId="0" borderId="1" xfId="9" applyNumberFormat="1" applyFont="1" applyFill="1" applyBorder="1" applyAlignment="1">
      <alignment horizontal="center" vertical="center" wrapText="1"/>
    </xf>
    <xf numFmtId="0" fontId="31" fillId="0" borderId="1" xfId="9" applyFont="1" applyFill="1" applyBorder="1" applyAlignment="1">
      <alignment horizontal="center" vertical="center" wrapText="1"/>
    </xf>
    <xf numFmtId="0" fontId="18" fillId="0" borderId="0" xfId="4" applyFont="1" applyAlignment="1">
      <alignment horizontal="center" wrapText="1"/>
    </xf>
    <xf numFmtId="0" fontId="18" fillId="0" borderId="0" xfId="4" applyFont="1" applyAlignment="1">
      <alignment horizontal="center" vertical="center" wrapText="1"/>
    </xf>
    <xf numFmtId="0" fontId="21" fillId="11" borderId="32" xfId="9" applyFont="1" applyFill="1" applyBorder="1" applyAlignment="1">
      <alignment horizontal="center" vertical="center" wrapText="1"/>
    </xf>
    <xf numFmtId="0" fontId="21" fillId="11" borderId="0" xfId="9" applyFont="1" applyFill="1" applyAlignment="1">
      <alignment horizontal="center" vertical="center" wrapText="1"/>
    </xf>
    <xf numFmtId="0" fontId="20" fillId="8" borderId="1" xfId="1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6" fillId="0" borderId="1" xfId="4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left" wrapText="1"/>
    </xf>
    <xf numFmtId="4" fontId="9" fillId="0" borderId="0" xfId="4" applyNumberFormat="1" applyFont="1" applyAlignment="1">
      <alignment horizontal="left" wrapText="1"/>
    </xf>
    <xf numFmtId="0" fontId="7" fillId="0" borderId="7" xfId="4" applyFont="1" applyBorder="1" applyAlignment="1">
      <alignment horizontal="center"/>
    </xf>
    <xf numFmtId="0" fontId="7" fillId="0" borderId="8" xfId="4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4" xfId="4" applyFont="1" applyBorder="1" applyAlignment="1">
      <alignment horizontal="center" vertical="top" wrapText="1"/>
    </xf>
    <xf numFmtId="0" fontId="1" fillId="0" borderId="12" xfId="4" applyFont="1" applyBorder="1" applyAlignment="1">
      <alignment horizontal="center" vertical="top" wrapText="1"/>
    </xf>
    <xf numFmtId="4" fontId="19" fillId="0" borderId="0" xfId="9" applyNumberFormat="1" applyFill="1"/>
    <xf numFmtId="0" fontId="19" fillId="0" borderId="0" xfId="9" applyFill="1"/>
    <xf numFmtId="0" fontId="31" fillId="0" borderId="0" xfId="9" applyFont="1" applyFill="1"/>
    <xf numFmtId="0" fontId="20" fillId="0" borderId="1" xfId="9" applyFont="1" applyFill="1" applyBorder="1" applyAlignment="1">
      <alignment horizontal="center" vertical="center" wrapText="1"/>
    </xf>
    <xf numFmtId="0" fontId="31" fillId="0" borderId="0" xfId="9" applyFont="1" applyFill="1" applyAlignment="1">
      <alignment wrapText="1"/>
    </xf>
    <xf numFmtId="0" fontId="44" fillId="0" borderId="0" xfId="9" applyFont="1" applyFill="1" applyAlignment="1">
      <alignment wrapText="1"/>
    </xf>
  </cellXfs>
  <cellStyles count="13">
    <cellStyle name="Normal" xfId="12" xr:uid="{2881D34D-FF0E-42EF-A140-C643374CA306}"/>
    <cellStyle name="Нейтральный" xfId="3" builtinId="28"/>
    <cellStyle name="Обычный" xfId="0" builtinId="0"/>
    <cellStyle name="Обычный 2" xfId="6" xr:uid="{00000000-0005-0000-0000-000002000000}"/>
    <cellStyle name="Обычный 3" xfId="7" xr:uid="{00000000-0005-0000-0000-000003000000}"/>
    <cellStyle name="Обычный 3 2" xfId="10" xr:uid="{00000000-0005-0000-0000-000004000000}"/>
    <cellStyle name="Обычный 3 3" xfId="9" xr:uid="{00000000-0005-0000-0000-000005000000}"/>
    <cellStyle name="Обычный 4" xfId="4" xr:uid="{00000000-0005-0000-0000-000006000000}"/>
    <cellStyle name="Обычный 5" xfId="11" xr:uid="{00000000-0005-0000-0000-000007000000}"/>
    <cellStyle name="Плохой" xfId="2" builtinId="27"/>
    <cellStyle name="Процентный" xfId="5" builtinId="5"/>
    <cellStyle name="Хороший" xfId="1" builtinId="26"/>
    <cellStyle name="Хороший 2" xfId="8" xr:uid="{00000000-0005-0000-0000-00000B000000}"/>
  </cellStyles>
  <dxfs count="26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57150</xdr:colOff>
      <xdr:row>3</xdr:row>
      <xdr:rowOff>166687</xdr:rowOff>
    </xdr:from>
    <xdr:ext cx="512320" cy="4099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SpPr txBox="1"/>
          </xdr:nvSpPr>
          <xdr:spPr>
            <a:xfrm>
              <a:off x="19863707" y="623887"/>
              <a:ext cx="51232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∏"/>
                        <m:subHide m:val="on"/>
                        <m:supHide m:val="on"/>
                        <m:ctrlPr>
                          <a:rPr lang="ru-RU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sSub>
                          <m:sSubPr>
                            <m:ctrlPr>
                              <a:rPr lang="ru-RU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100" b="0" i="1">
                                <a:latin typeface="Cambria Math" panose="02040503050406030204" pitchFamily="18" charset="0"/>
                              </a:rPr>
                              <m:t>МТ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9863707" y="623887"/>
              <a:ext cx="51232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ru-RU" sz="1100" i="0">
                  <a:latin typeface="Cambria Math" panose="02040503050406030204" pitchFamily="18" charset="0"/>
                </a:rPr>
                <a:t>∏</a:t>
              </a:r>
              <a:r>
                <a:rPr lang="en-US" sz="1100" b="0" i="0">
                  <a:latin typeface="Cambria Math" panose="02040503050406030204" pitchFamily="18" charset="0"/>
                </a:rPr>
                <a:t>▒</a:t>
              </a:r>
              <a:r>
                <a:rPr lang="ru-RU" sz="1100" b="0" i="0">
                  <a:latin typeface="Cambria Math" panose="02040503050406030204" pitchFamily="18" charset="0"/>
                </a:rPr>
                <a:t>〖МТ〗_</a:t>
              </a:r>
              <a:r>
                <a:rPr lang="en-US" sz="1100" b="0" i="0">
                  <a:latin typeface="Cambria Math" panose="02040503050406030204" pitchFamily="18" charset="0"/>
                </a:rPr>
                <a:t>𝑖 </a:t>
              </a:r>
              <a:endParaRPr lang="ru-RU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zoomScale="85" zoomScaleNormal="85" workbookViewId="0">
      <selection activeCell="A22" sqref="A22:K22"/>
    </sheetView>
  </sheetViews>
  <sheetFormatPr defaultColWidth="9.28515625" defaultRowHeight="15.75" x14ac:dyDescent="0.25"/>
  <cols>
    <col min="1" max="16384" width="9.28515625" style="15"/>
  </cols>
  <sheetData>
    <row r="1" spans="9:9" x14ac:dyDescent="0.25">
      <c r="I1" s="15" t="s">
        <v>50</v>
      </c>
    </row>
    <row r="2" spans="9:9" x14ac:dyDescent="0.25">
      <c r="I2" s="15" t="s">
        <v>51</v>
      </c>
    </row>
    <row r="3" spans="9:9" x14ac:dyDescent="0.25">
      <c r="I3" s="15" t="s">
        <v>52</v>
      </c>
    </row>
    <row r="21" spans="1:11" x14ac:dyDescent="0.25">
      <c r="A21" s="199" t="s">
        <v>53</v>
      </c>
      <c r="B21" s="199"/>
      <c r="C21" s="199"/>
      <c r="D21" s="199"/>
      <c r="E21" s="199"/>
      <c r="F21" s="199"/>
      <c r="G21" s="199"/>
      <c r="H21" s="199"/>
      <c r="I21" s="199"/>
      <c r="J21" s="199"/>
      <c r="K21" s="199"/>
    </row>
    <row r="22" spans="1:11" ht="45.6" customHeight="1" x14ac:dyDescent="0.25">
      <c r="A22" s="200" t="s">
        <v>233</v>
      </c>
      <c r="B22" s="200"/>
      <c r="C22" s="200"/>
      <c r="D22" s="200"/>
      <c r="E22" s="200"/>
      <c r="F22" s="200"/>
      <c r="G22" s="200"/>
      <c r="H22" s="200"/>
      <c r="I22" s="200"/>
      <c r="J22" s="200"/>
      <c r="K22" s="200"/>
    </row>
  </sheetData>
  <mergeCells count="2">
    <mergeCell ref="A21:K21"/>
    <mergeCell ref="A22:K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3"/>
  <sheetViews>
    <sheetView tabSelected="1" topLeftCell="G1" zoomScale="120" zoomScaleNormal="120" workbookViewId="0">
      <selection activeCell="J4" sqref="J4"/>
    </sheetView>
  </sheetViews>
  <sheetFormatPr defaultColWidth="8.7109375" defaultRowHeight="12.75" x14ac:dyDescent="0.2"/>
  <cols>
    <col min="1" max="3" width="8.7109375" style="18"/>
    <col min="4" max="5" width="27.140625" style="18" customWidth="1"/>
    <col min="6" max="6" width="14.28515625" style="18" customWidth="1"/>
    <col min="7" max="7" width="7" style="18" bestFit="1" customWidth="1"/>
    <col min="8" max="8" width="9.7109375" style="18" customWidth="1"/>
    <col min="9" max="9" width="14.42578125" style="18" customWidth="1"/>
    <col min="10" max="10" width="8.7109375" style="18"/>
    <col min="11" max="11" width="11.42578125" style="18" customWidth="1"/>
    <col min="12" max="12" width="12" style="18" bestFit="1" customWidth="1"/>
    <col min="13" max="14" width="8.7109375" style="18"/>
    <col min="15" max="15" width="12.42578125" style="18" customWidth="1"/>
    <col min="16" max="16" width="14.42578125" style="18" customWidth="1"/>
    <col min="17" max="16384" width="8.7109375" style="18"/>
  </cols>
  <sheetData>
    <row r="3" spans="2:17" x14ac:dyDescent="0.2">
      <c r="B3" s="16" t="s">
        <v>54</v>
      </c>
      <c r="C3" s="17"/>
      <c r="D3" s="17"/>
      <c r="E3" s="126">
        <v>80000000</v>
      </c>
      <c r="F3" s="189"/>
    </row>
    <row r="4" spans="2:17" ht="63.75" x14ac:dyDescent="0.2">
      <c r="B4" s="19" t="s">
        <v>55</v>
      </c>
      <c r="C4" s="19" t="s">
        <v>56</v>
      </c>
      <c r="D4" s="19" t="s">
        <v>57</v>
      </c>
      <c r="E4" s="19" t="s">
        <v>58</v>
      </c>
      <c r="F4" s="201" t="s">
        <v>228</v>
      </c>
      <c r="G4" s="202"/>
      <c r="O4" s="191"/>
    </row>
    <row r="5" spans="2:17" ht="38.25" x14ac:dyDescent="0.2">
      <c r="B5" s="20"/>
      <c r="C5" s="20" t="s">
        <v>59</v>
      </c>
      <c r="D5" s="55">
        <f>'2.5.Расчет стоимости'!E19</f>
        <v>81087915.710000008</v>
      </c>
      <c r="E5" s="55">
        <f>SUM(E6:E8)</f>
        <v>80000072.479999989</v>
      </c>
      <c r="F5" s="183">
        <f>SUM(F6:F8)</f>
        <v>77104915.863577455</v>
      </c>
      <c r="G5" s="185">
        <f>SUM(G6:G8)</f>
        <v>1</v>
      </c>
    </row>
    <row r="6" spans="2:17" x14ac:dyDescent="0.2">
      <c r="B6" s="21">
        <v>1</v>
      </c>
      <c r="C6" s="21">
        <v>2026</v>
      </c>
      <c r="D6" s="55">
        <f>'2.5.Расчет стоимости'!E16</f>
        <v>44160190</v>
      </c>
      <c r="E6" s="55">
        <f>SUMIF($L$13:$L$18,$C6,$O$13:$O$18)</f>
        <v>43911915.119999997</v>
      </c>
      <c r="F6" s="184">
        <f>E6/'2.5.Расчет стоимости'!B16</f>
        <v>42736657.051094882</v>
      </c>
      <c r="G6" s="185">
        <f>ROUND(F6/$F$5,2)</f>
        <v>0.55000000000000004</v>
      </c>
      <c r="H6" s="186"/>
      <c r="I6" s="218"/>
      <c r="J6" s="218"/>
      <c r="K6" s="219"/>
      <c r="O6" s="61"/>
      <c r="P6" s="61"/>
    </row>
    <row r="7" spans="2:17" x14ac:dyDescent="0.2">
      <c r="B7" s="21">
        <v>2</v>
      </c>
      <c r="C7" s="21">
        <v>2027</v>
      </c>
      <c r="D7" s="55">
        <f>'2.5.Расчет стоимости'!E17</f>
        <v>28679020.280000001</v>
      </c>
      <c r="E7" s="55">
        <f t="shared" ref="E7:E8" si="0">SUMIF($L$13:$L$18,$C7,$O$13:$O$18)</f>
        <v>28608301.039999999</v>
      </c>
      <c r="F7" s="184">
        <f>E7/'2.5.Расчет стоимости'!B17</f>
        <v>27282377.493801259</v>
      </c>
      <c r="G7" s="185">
        <f t="shared" ref="G7" si="1">ROUND(F7/$F$5,2)</f>
        <v>0.35</v>
      </c>
      <c r="H7" s="186"/>
      <c r="I7" s="219"/>
      <c r="J7" s="219"/>
      <c r="K7" s="219"/>
      <c r="O7" s="61"/>
      <c r="P7" s="61"/>
    </row>
    <row r="8" spans="2:17" x14ac:dyDescent="0.2">
      <c r="B8" s="21">
        <v>3</v>
      </c>
      <c r="C8" s="21">
        <v>2028</v>
      </c>
      <c r="D8" s="55">
        <f>'2.5.Расчет стоимости'!E18</f>
        <v>8248705.4299999997</v>
      </c>
      <c r="E8" s="55">
        <f t="shared" si="0"/>
        <v>7479856.3199999928</v>
      </c>
      <c r="F8" s="184">
        <f>E8/'2.5.Расчет стоимости'!B18</f>
        <v>7085881.3186813109</v>
      </c>
      <c r="G8" s="185">
        <f>1-G7-G6</f>
        <v>9.9999999999999978E-2</v>
      </c>
      <c r="H8" s="186"/>
      <c r="I8" s="219"/>
      <c r="J8" s="219"/>
      <c r="K8" s="219"/>
      <c r="O8" s="61"/>
      <c r="P8" s="61"/>
    </row>
    <row r="9" spans="2:17" x14ac:dyDescent="0.2">
      <c r="G9" s="113"/>
      <c r="H9" s="113"/>
      <c r="I9" s="220"/>
      <c r="J9" s="220"/>
      <c r="K9" s="220"/>
      <c r="L9" s="113"/>
      <c r="M9" s="113"/>
      <c r="N9" s="113"/>
      <c r="O9" s="113"/>
      <c r="P9" s="113"/>
      <c r="Q9" s="113"/>
    </row>
    <row r="10" spans="2:17" x14ac:dyDescent="0.2">
      <c r="G10" s="113"/>
      <c r="H10" s="113"/>
      <c r="I10" s="220"/>
      <c r="J10" s="220"/>
      <c r="K10" s="220"/>
      <c r="L10" s="113"/>
      <c r="M10" s="113"/>
      <c r="N10" s="113"/>
      <c r="O10" s="113"/>
      <c r="P10" s="113"/>
      <c r="Q10" s="113"/>
    </row>
    <row r="11" spans="2:17" x14ac:dyDescent="0.2">
      <c r="G11" s="113"/>
      <c r="H11" s="113"/>
      <c r="I11" s="220"/>
      <c r="J11" s="220"/>
      <c r="K11" s="220"/>
      <c r="L11" s="113"/>
      <c r="M11" s="113"/>
      <c r="N11" s="114">
        <f>'2.5.Расчет стоимости'!C12</f>
        <v>148.88</v>
      </c>
      <c r="O11" s="113"/>
      <c r="P11" s="113"/>
      <c r="Q11" s="113"/>
    </row>
    <row r="12" spans="2:17" ht="25.5" x14ac:dyDescent="0.2">
      <c r="G12" s="113"/>
      <c r="H12" s="115" t="s">
        <v>164</v>
      </c>
      <c r="I12" s="221" t="s">
        <v>165</v>
      </c>
      <c r="J12" s="221" t="s">
        <v>166</v>
      </c>
      <c r="K12" s="221" t="s">
        <v>167</v>
      </c>
      <c r="L12" s="115" t="s">
        <v>56</v>
      </c>
      <c r="M12" s="115" t="s">
        <v>168</v>
      </c>
      <c r="N12" s="115" t="s">
        <v>169</v>
      </c>
      <c r="O12" s="115" t="s">
        <v>170</v>
      </c>
      <c r="P12" s="120"/>
      <c r="Q12" s="113"/>
    </row>
    <row r="13" spans="2:17" x14ac:dyDescent="0.2">
      <c r="G13" s="113"/>
      <c r="H13" s="116">
        <v>1</v>
      </c>
      <c r="I13" s="197">
        <v>46321</v>
      </c>
      <c r="J13" s="198">
        <v>50</v>
      </c>
      <c r="K13" s="197">
        <f>I13+J13-1</f>
        <v>46370</v>
      </c>
      <c r="L13" s="116">
        <f>YEAR(K13)</f>
        <v>2026</v>
      </c>
      <c r="M13" s="117">
        <f>ROUND(N13/$N$19,4)</f>
        <v>0.54890000000000005</v>
      </c>
      <c r="N13" s="118">
        <v>81.72</v>
      </c>
      <c r="O13" s="119">
        <f>N13*$P$19</f>
        <v>43911915.119999997</v>
      </c>
      <c r="P13" s="120"/>
      <c r="Q13" s="120"/>
    </row>
    <row r="14" spans="2:17" x14ac:dyDescent="0.2">
      <c r="F14" s="61"/>
      <c r="G14" s="113"/>
      <c r="H14" s="116">
        <v>2</v>
      </c>
      <c r="I14" s="197">
        <f>K13+1</f>
        <v>46371</v>
      </c>
      <c r="J14" s="198">
        <v>90</v>
      </c>
      <c r="K14" s="197">
        <f t="shared" ref="K14:K18" si="2">I14+J14-1</f>
        <v>46460</v>
      </c>
      <c r="L14" s="116">
        <f t="shared" ref="L14:L18" si="3">YEAR(K14)</f>
        <v>2027</v>
      </c>
      <c r="M14" s="117">
        <f t="shared" ref="M14:M18" si="4">ROUND(N14/$N$19,4)</f>
        <v>9.2200000000000004E-2</v>
      </c>
      <c r="N14" s="118">
        <v>13.72</v>
      </c>
      <c r="O14" s="119">
        <f>N14*$P$19</f>
        <v>7372387.1200000001</v>
      </c>
      <c r="P14" s="120"/>
      <c r="Q14" s="120"/>
    </row>
    <row r="15" spans="2:17" x14ac:dyDescent="0.2">
      <c r="G15" s="113"/>
      <c r="H15" s="116">
        <v>3</v>
      </c>
      <c r="I15" s="197">
        <f t="shared" ref="I15:I18" si="5">K14+1</f>
        <v>46461</v>
      </c>
      <c r="J15" s="198">
        <v>90</v>
      </c>
      <c r="K15" s="197">
        <f t="shared" si="2"/>
        <v>46550</v>
      </c>
      <c r="L15" s="116">
        <f t="shared" si="3"/>
        <v>2027</v>
      </c>
      <c r="M15" s="117">
        <f t="shared" si="4"/>
        <v>9.2200000000000004E-2</v>
      </c>
      <c r="N15" s="118">
        <v>13.72</v>
      </c>
      <c r="O15" s="119">
        <f t="shared" ref="O15:O18" si="6">N15*$P$19</f>
        <v>7372387.1200000001</v>
      </c>
      <c r="P15" s="189"/>
      <c r="Q15" s="120"/>
    </row>
    <row r="16" spans="2:17" x14ac:dyDescent="0.2">
      <c r="G16" s="113"/>
      <c r="H16" s="116">
        <v>4</v>
      </c>
      <c r="I16" s="197">
        <f t="shared" si="5"/>
        <v>46551</v>
      </c>
      <c r="J16" s="198">
        <v>90</v>
      </c>
      <c r="K16" s="197">
        <f t="shared" si="2"/>
        <v>46640</v>
      </c>
      <c r="L16" s="116">
        <f t="shared" si="3"/>
        <v>2027</v>
      </c>
      <c r="M16" s="117">
        <f t="shared" si="4"/>
        <v>8.6599999999999996E-2</v>
      </c>
      <c r="N16" s="118">
        <v>12.9</v>
      </c>
      <c r="O16" s="119">
        <f t="shared" si="6"/>
        <v>6931763.4000000004</v>
      </c>
      <c r="P16" s="189"/>
      <c r="Q16" s="120"/>
    </row>
    <row r="17" spans="7:17" x14ac:dyDescent="0.2">
      <c r="G17" s="113"/>
      <c r="H17" s="116">
        <v>5</v>
      </c>
      <c r="I17" s="197">
        <f t="shared" si="5"/>
        <v>46641</v>
      </c>
      <c r="J17" s="198">
        <v>90</v>
      </c>
      <c r="K17" s="197">
        <f t="shared" si="2"/>
        <v>46730</v>
      </c>
      <c r="L17" s="116">
        <f t="shared" si="3"/>
        <v>2027</v>
      </c>
      <c r="M17" s="117">
        <f t="shared" si="4"/>
        <v>8.6599999999999996E-2</v>
      </c>
      <c r="N17" s="118">
        <v>12.9</v>
      </c>
      <c r="O17" s="119">
        <f t="shared" si="6"/>
        <v>6931763.4000000004</v>
      </c>
      <c r="P17" s="189"/>
      <c r="Q17" s="120"/>
    </row>
    <row r="18" spans="7:17" x14ac:dyDescent="0.2">
      <c r="G18" s="113"/>
      <c r="H18" s="116">
        <v>6</v>
      </c>
      <c r="I18" s="197">
        <f t="shared" si="5"/>
        <v>46731</v>
      </c>
      <c r="J18" s="198">
        <v>130</v>
      </c>
      <c r="K18" s="197">
        <f t="shared" si="2"/>
        <v>46860</v>
      </c>
      <c r="L18" s="116">
        <f t="shared" si="3"/>
        <v>2028</v>
      </c>
      <c r="M18" s="117">
        <f t="shared" si="4"/>
        <v>9.35E-2</v>
      </c>
      <c r="N18" s="118">
        <f>'2.5.Расчет стоимости'!C12-SUM(N13:N17)</f>
        <v>13.919999999999987</v>
      </c>
      <c r="O18" s="119">
        <f t="shared" si="6"/>
        <v>7479856.3199999928</v>
      </c>
      <c r="P18" s="189"/>
      <c r="Q18" s="113"/>
    </row>
    <row r="19" spans="7:17" x14ac:dyDescent="0.2">
      <c r="G19" s="113"/>
      <c r="H19" s="120"/>
      <c r="I19" s="222"/>
      <c r="J19" s="223">
        <f>SUM(J13:J18)</f>
        <v>540</v>
      </c>
      <c r="K19" s="222"/>
      <c r="L19" s="120"/>
      <c r="M19" s="121">
        <f>SUM(M13:M18)</f>
        <v>1</v>
      </c>
      <c r="N19" s="122">
        <f>SUM(N13:N18)</f>
        <v>148.88</v>
      </c>
      <c r="O19" s="123">
        <f>SUM(O13:O18)</f>
        <v>80000072.479999989</v>
      </c>
      <c r="P19" s="124">
        <f>ROUND(E3/'2.5.Расчет стоимости'!C12,0)</f>
        <v>537346</v>
      </c>
      <c r="Q19" s="113"/>
    </row>
    <row r="20" spans="7:17" x14ac:dyDescent="0.2">
      <c r="G20" s="113"/>
      <c r="H20" s="113"/>
      <c r="I20" s="113"/>
      <c r="J20" s="113"/>
      <c r="K20" s="113"/>
      <c r="L20" s="113"/>
      <c r="M20" s="113"/>
      <c r="N20" s="113"/>
      <c r="O20" s="113"/>
      <c r="P20" s="190"/>
      <c r="Q20" s="113"/>
    </row>
    <row r="21" spans="7:17" x14ac:dyDescent="0.2">
      <c r="G21" s="113"/>
      <c r="H21" s="113"/>
      <c r="I21" s="113"/>
      <c r="J21" s="113"/>
      <c r="K21" s="113"/>
      <c r="L21" s="113"/>
      <c r="M21" s="113"/>
      <c r="N21" s="113"/>
      <c r="O21" s="113"/>
      <c r="P21" s="190"/>
      <c r="Q21" s="113"/>
    </row>
    <row r="22" spans="7:17" x14ac:dyDescent="0.2">
      <c r="G22" s="113"/>
      <c r="H22" s="113"/>
      <c r="I22" s="113"/>
      <c r="J22" s="113"/>
      <c r="K22" s="113"/>
      <c r="L22" s="113"/>
      <c r="M22" s="113"/>
      <c r="N22" s="113"/>
      <c r="O22" s="113"/>
      <c r="P22" s="190"/>
      <c r="Q22" s="113"/>
    </row>
    <row r="23" spans="7:17" x14ac:dyDescent="0.2"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</row>
  </sheetData>
  <mergeCells count="1">
    <mergeCell ref="F4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04"/>
  <sheetViews>
    <sheetView zoomScale="79" zoomScaleNormal="115" workbookViewId="0">
      <selection activeCell="C31" sqref="C31"/>
    </sheetView>
  </sheetViews>
  <sheetFormatPr defaultColWidth="9.140625" defaultRowHeight="12.75" x14ac:dyDescent="0.25"/>
  <cols>
    <col min="1" max="1" width="4.85546875" style="64" customWidth="1"/>
    <col min="2" max="2" width="9.140625" style="127"/>
    <col min="3" max="3" width="49.42578125" style="127" customWidth="1"/>
    <col min="4" max="11" width="3.140625" style="127" bestFit="1" customWidth="1"/>
    <col min="12" max="12" width="31.7109375" style="128" customWidth="1"/>
    <col min="13" max="13" width="17.7109375" style="128" customWidth="1"/>
    <col min="14" max="14" width="18.7109375" style="66" customWidth="1"/>
    <col min="15" max="15" width="25.7109375" style="67" customWidth="1"/>
    <col min="16" max="16" width="27.7109375" style="68" customWidth="1"/>
    <col min="17" max="17" width="18.7109375" style="69" customWidth="1"/>
    <col min="18" max="16384" width="9.140625" style="65"/>
  </cols>
  <sheetData>
    <row r="2" spans="2:16" x14ac:dyDescent="0.25">
      <c r="D2" s="129"/>
      <c r="E2" s="129"/>
      <c r="F2" s="129"/>
      <c r="G2" s="129"/>
      <c r="H2" s="129"/>
      <c r="I2" s="129"/>
      <c r="J2" s="129"/>
      <c r="K2" s="129"/>
    </row>
    <row r="3" spans="2:16" ht="13.35" customHeight="1" x14ac:dyDescent="0.25">
      <c r="B3" s="130"/>
      <c r="C3" s="130"/>
      <c r="D3" s="203" t="s">
        <v>63</v>
      </c>
      <c r="E3" s="203"/>
      <c r="F3" s="203"/>
      <c r="G3" s="203"/>
      <c r="H3" s="203"/>
      <c r="I3" s="203"/>
      <c r="J3" s="203"/>
      <c r="K3" s="203"/>
      <c r="L3" s="24"/>
      <c r="M3" s="24"/>
    </row>
    <row r="4" spans="2:16" ht="15" x14ac:dyDescent="0.25">
      <c r="B4" s="180" t="s">
        <v>46</v>
      </c>
      <c r="C4" s="130" t="s">
        <v>43</v>
      </c>
      <c r="D4" s="24" t="s">
        <v>64</v>
      </c>
      <c r="E4" s="24" t="s">
        <v>65</v>
      </c>
      <c r="F4" s="24" t="s">
        <v>66</v>
      </c>
      <c r="G4" s="24" t="s">
        <v>67</v>
      </c>
      <c r="H4" s="24" t="s">
        <v>68</v>
      </c>
      <c r="I4" s="24" t="s">
        <v>69</v>
      </c>
      <c r="J4" s="24" t="s">
        <v>70</v>
      </c>
      <c r="K4" s="24" t="s">
        <v>71</v>
      </c>
      <c r="L4" s="24" t="s">
        <v>230</v>
      </c>
      <c r="M4" s="24" t="s">
        <v>231</v>
      </c>
      <c r="P4" s="66"/>
    </row>
    <row r="5" spans="2:16" ht="63.75" x14ac:dyDescent="0.25">
      <c r="B5" s="131"/>
      <c r="C5" s="131" t="s">
        <v>232</v>
      </c>
      <c r="D5" s="23">
        <f t="shared" ref="D5:K5" si="0">SUM(D9:D103)</f>
        <v>8</v>
      </c>
      <c r="E5" s="23">
        <f t="shared" si="0"/>
        <v>4</v>
      </c>
      <c r="F5" s="23">
        <f t="shared" si="0"/>
        <v>0</v>
      </c>
      <c r="G5" s="23">
        <f t="shared" si="0"/>
        <v>7</v>
      </c>
      <c r="H5" s="23">
        <f t="shared" si="0"/>
        <v>7</v>
      </c>
      <c r="I5" s="23">
        <f t="shared" si="0"/>
        <v>0</v>
      </c>
      <c r="J5" s="23">
        <f t="shared" si="0"/>
        <v>0</v>
      </c>
      <c r="K5" s="23">
        <f t="shared" si="0"/>
        <v>0</v>
      </c>
      <c r="L5" s="131"/>
      <c r="M5" s="131"/>
    </row>
    <row r="6" spans="2:16" ht="25.5" x14ac:dyDescent="0.25">
      <c r="B6" s="131"/>
      <c r="C6" s="131" t="s">
        <v>229</v>
      </c>
      <c r="D6" s="23">
        <f>SUM(D7:D8)</f>
        <v>8</v>
      </c>
      <c r="E6" s="23">
        <f t="shared" ref="E6:K6" si="1">SUM(E7:E8)</f>
        <v>4</v>
      </c>
      <c r="F6" s="23">
        <f t="shared" si="1"/>
        <v>0</v>
      </c>
      <c r="G6" s="23">
        <f t="shared" si="1"/>
        <v>7</v>
      </c>
      <c r="H6" s="23">
        <f t="shared" si="1"/>
        <v>7</v>
      </c>
      <c r="I6" s="23">
        <f t="shared" si="1"/>
        <v>0</v>
      </c>
      <c r="J6" s="23">
        <f t="shared" si="1"/>
        <v>0</v>
      </c>
      <c r="K6" s="23">
        <f t="shared" si="1"/>
        <v>0</v>
      </c>
      <c r="L6" s="131" t="s">
        <v>229</v>
      </c>
      <c r="M6" s="131"/>
    </row>
    <row r="7" spans="2:16" ht="25.5" x14ac:dyDescent="0.25">
      <c r="B7" s="132"/>
      <c r="C7" s="132" t="s">
        <v>117</v>
      </c>
      <c r="D7" s="62">
        <f t="shared" ref="D7:K8" si="2">SUMIFS(D$9:D$103,$L$9:$L$103,$L7,$M$9:$M$103,$M7)</f>
        <v>2</v>
      </c>
      <c r="E7" s="62">
        <f t="shared" si="2"/>
        <v>4</v>
      </c>
      <c r="F7" s="62">
        <f t="shared" si="2"/>
        <v>0</v>
      </c>
      <c r="G7" s="62">
        <f t="shared" si="2"/>
        <v>1</v>
      </c>
      <c r="H7" s="62">
        <f t="shared" si="2"/>
        <v>3</v>
      </c>
      <c r="I7" s="62">
        <f t="shared" si="2"/>
        <v>0</v>
      </c>
      <c r="J7" s="62">
        <f t="shared" si="2"/>
        <v>0</v>
      </c>
      <c r="K7" s="62">
        <f t="shared" si="2"/>
        <v>0</v>
      </c>
      <c r="L7" s="133" t="s">
        <v>229</v>
      </c>
      <c r="M7" s="133" t="s">
        <v>117</v>
      </c>
    </row>
    <row r="8" spans="2:16" ht="25.5" x14ac:dyDescent="0.25">
      <c r="B8" s="132"/>
      <c r="C8" s="132" t="s">
        <v>118</v>
      </c>
      <c r="D8" s="62">
        <f t="shared" si="2"/>
        <v>6</v>
      </c>
      <c r="E8" s="62">
        <f t="shared" si="2"/>
        <v>0</v>
      </c>
      <c r="F8" s="62">
        <f t="shared" si="2"/>
        <v>0</v>
      </c>
      <c r="G8" s="62">
        <f t="shared" si="2"/>
        <v>6</v>
      </c>
      <c r="H8" s="62">
        <f t="shared" si="2"/>
        <v>4</v>
      </c>
      <c r="I8" s="62">
        <f t="shared" si="2"/>
        <v>0</v>
      </c>
      <c r="J8" s="62">
        <f t="shared" si="2"/>
        <v>0</v>
      </c>
      <c r="K8" s="62">
        <f t="shared" si="2"/>
        <v>0</v>
      </c>
      <c r="L8" s="133" t="s">
        <v>229</v>
      </c>
      <c r="M8" s="133" t="s">
        <v>118</v>
      </c>
    </row>
    <row r="9" spans="2:16" ht="13.5" x14ac:dyDescent="0.25">
      <c r="B9" s="134" t="s">
        <v>48</v>
      </c>
      <c r="C9" s="135" t="s">
        <v>229</v>
      </c>
      <c r="D9" s="70"/>
      <c r="E9" s="70"/>
      <c r="F9" s="70"/>
      <c r="G9" s="70"/>
      <c r="H9" s="70"/>
      <c r="I9" s="70"/>
      <c r="J9" s="70"/>
      <c r="K9" s="70"/>
      <c r="L9" s="136"/>
      <c r="M9" s="136"/>
    </row>
    <row r="10" spans="2:16" ht="25.5" x14ac:dyDescent="0.25">
      <c r="B10" s="137" t="s">
        <v>173</v>
      </c>
      <c r="C10" s="192" t="s">
        <v>237</v>
      </c>
      <c r="D10" s="138"/>
      <c r="E10" s="139"/>
      <c r="F10" s="139"/>
      <c r="G10" s="139"/>
      <c r="H10" s="139"/>
      <c r="I10" s="139"/>
      <c r="J10" s="139"/>
      <c r="K10" s="139"/>
      <c r="L10" s="133" t="s">
        <v>229</v>
      </c>
      <c r="M10" s="133"/>
    </row>
    <row r="11" spans="2:16" ht="76.5" x14ac:dyDescent="0.25">
      <c r="B11" s="140" t="s">
        <v>173</v>
      </c>
      <c r="C11" s="141" t="s">
        <v>214</v>
      </c>
      <c r="D11" s="142"/>
      <c r="E11" s="143"/>
      <c r="F11" s="143"/>
      <c r="G11" s="143"/>
      <c r="H11" s="143"/>
      <c r="I11" s="143"/>
      <c r="J11" s="143"/>
      <c r="K11" s="143"/>
      <c r="L11" s="144" t="s">
        <v>229</v>
      </c>
      <c r="M11" s="144"/>
    </row>
    <row r="12" spans="2:16" ht="25.5" x14ac:dyDescent="0.25">
      <c r="B12" s="140" t="s">
        <v>173</v>
      </c>
      <c r="C12" s="141" t="s">
        <v>215</v>
      </c>
      <c r="D12" s="142"/>
      <c r="E12" s="143"/>
      <c r="F12" s="143"/>
      <c r="G12" s="143"/>
      <c r="H12" s="143"/>
      <c r="I12" s="143"/>
      <c r="J12" s="143"/>
      <c r="K12" s="143"/>
      <c r="L12" s="144" t="s">
        <v>229</v>
      </c>
      <c r="M12" s="144"/>
    </row>
    <row r="13" spans="2:16" ht="25.5" x14ac:dyDescent="0.25">
      <c r="B13" s="140" t="s">
        <v>173</v>
      </c>
      <c r="C13" s="141" t="s">
        <v>102</v>
      </c>
      <c r="D13" s="142"/>
      <c r="E13" s="143"/>
      <c r="F13" s="143"/>
      <c r="G13" s="143"/>
      <c r="H13" s="143"/>
      <c r="I13" s="143"/>
      <c r="J13" s="143"/>
      <c r="K13" s="143"/>
      <c r="L13" s="144" t="s">
        <v>229</v>
      </c>
      <c r="M13" s="144"/>
    </row>
    <row r="14" spans="2:16" ht="25.5" x14ac:dyDescent="0.25">
      <c r="B14" s="140" t="s">
        <v>173</v>
      </c>
      <c r="C14" s="141" t="s">
        <v>103</v>
      </c>
      <c r="D14" s="142"/>
      <c r="E14" s="143"/>
      <c r="F14" s="143"/>
      <c r="G14" s="143"/>
      <c r="H14" s="143"/>
      <c r="I14" s="143"/>
      <c r="J14" s="143"/>
      <c r="K14" s="143"/>
      <c r="L14" s="144" t="s">
        <v>229</v>
      </c>
      <c r="M14" s="144"/>
    </row>
    <row r="15" spans="2:16" ht="25.5" x14ac:dyDescent="0.25">
      <c r="B15" s="134" t="s">
        <v>174</v>
      </c>
      <c r="C15" s="145" t="s">
        <v>117</v>
      </c>
      <c r="D15" s="71"/>
      <c r="E15" s="71"/>
      <c r="F15" s="71"/>
      <c r="G15" s="71"/>
      <c r="H15" s="71"/>
      <c r="I15" s="71"/>
      <c r="J15" s="71"/>
      <c r="K15" s="71"/>
      <c r="L15" s="136" t="s">
        <v>229</v>
      </c>
      <c r="M15" s="136" t="s">
        <v>117</v>
      </c>
    </row>
    <row r="16" spans="2:16" ht="25.5" x14ac:dyDescent="0.25">
      <c r="B16" s="137" t="s">
        <v>174</v>
      </c>
      <c r="C16" s="146" t="s">
        <v>104</v>
      </c>
      <c r="D16" s="147"/>
      <c r="E16" s="147"/>
      <c r="F16" s="147"/>
      <c r="G16" s="147"/>
      <c r="H16" s="147"/>
      <c r="I16" s="147"/>
      <c r="J16" s="147"/>
      <c r="K16" s="147"/>
      <c r="L16" s="133" t="s">
        <v>229</v>
      </c>
      <c r="M16" s="133" t="s">
        <v>117</v>
      </c>
    </row>
    <row r="17" spans="2:13" ht="25.5" x14ac:dyDescent="0.25">
      <c r="B17" s="140" t="s">
        <v>174</v>
      </c>
      <c r="C17" s="148" t="s">
        <v>105</v>
      </c>
      <c r="D17" s="149"/>
      <c r="E17" s="150"/>
      <c r="F17" s="150"/>
      <c r="G17" s="150"/>
      <c r="H17" s="150"/>
      <c r="I17" s="150"/>
      <c r="J17" s="150"/>
      <c r="K17" s="150"/>
      <c r="L17" s="144" t="s">
        <v>229</v>
      </c>
      <c r="M17" s="144" t="s">
        <v>117</v>
      </c>
    </row>
    <row r="18" spans="2:13" ht="25.5" x14ac:dyDescent="0.25">
      <c r="B18" s="140" t="s">
        <v>174</v>
      </c>
      <c r="C18" s="141" t="s">
        <v>106</v>
      </c>
      <c r="D18" s="142"/>
      <c r="E18" s="143"/>
      <c r="F18" s="143"/>
      <c r="G18" s="143"/>
      <c r="H18" s="143"/>
      <c r="I18" s="143"/>
      <c r="J18" s="143"/>
      <c r="K18" s="143"/>
      <c r="L18" s="144" t="s">
        <v>229</v>
      </c>
      <c r="M18" s="144" t="s">
        <v>117</v>
      </c>
    </row>
    <row r="19" spans="2:13" ht="25.5" x14ac:dyDescent="0.25">
      <c r="B19" s="140" t="s">
        <v>174</v>
      </c>
      <c r="C19" s="141" t="s">
        <v>107</v>
      </c>
      <c r="D19" s="142"/>
      <c r="E19" s="143"/>
      <c r="F19" s="143"/>
      <c r="G19" s="143"/>
      <c r="H19" s="143"/>
      <c r="I19" s="143"/>
      <c r="J19" s="143"/>
      <c r="K19" s="143"/>
      <c r="L19" s="144" t="s">
        <v>229</v>
      </c>
      <c r="M19" s="144" t="s">
        <v>117</v>
      </c>
    </row>
    <row r="20" spans="2:13" ht="25.5" x14ac:dyDescent="0.25">
      <c r="B20" s="151" t="s">
        <v>174</v>
      </c>
      <c r="C20" s="152" t="s">
        <v>171</v>
      </c>
      <c r="D20" s="153"/>
      <c r="E20" s="154"/>
      <c r="F20" s="154"/>
      <c r="G20" s="154"/>
      <c r="H20" s="154"/>
      <c r="I20" s="154"/>
      <c r="J20" s="154"/>
      <c r="K20" s="154"/>
      <c r="L20" s="144" t="s">
        <v>229</v>
      </c>
      <c r="M20" s="144" t="s">
        <v>117</v>
      </c>
    </row>
    <row r="21" spans="2:13" ht="25.5" x14ac:dyDescent="0.25">
      <c r="B21" s="137" t="s">
        <v>175</v>
      </c>
      <c r="C21" s="146" t="s">
        <v>108</v>
      </c>
      <c r="D21" s="147"/>
      <c r="E21" s="147"/>
      <c r="F21" s="147"/>
      <c r="G21" s="147"/>
      <c r="H21" s="147"/>
      <c r="I21" s="147"/>
      <c r="J21" s="147"/>
      <c r="K21" s="147"/>
      <c r="L21" s="133" t="s">
        <v>229</v>
      </c>
      <c r="M21" s="133" t="s">
        <v>117</v>
      </c>
    </row>
    <row r="22" spans="2:13" ht="38.25" x14ac:dyDescent="0.25">
      <c r="B22" s="158" t="s">
        <v>175</v>
      </c>
      <c r="C22" s="148" t="s">
        <v>109</v>
      </c>
      <c r="D22" s="149"/>
      <c r="E22" s="150"/>
      <c r="F22" s="150"/>
      <c r="G22" s="150"/>
      <c r="H22" s="150"/>
      <c r="I22" s="150"/>
      <c r="J22" s="150"/>
      <c r="K22" s="150"/>
      <c r="L22" s="144" t="s">
        <v>229</v>
      </c>
      <c r="M22" s="144" t="s">
        <v>117</v>
      </c>
    </row>
    <row r="23" spans="2:13" ht="25.5" x14ac:dyDescent="0.25">
      <c r="B23" s="140" t="s">
        <v>175</v>
      </c>
      <c r="C23" s="141" t="s">
        <v>162</v>
      </c>
      <c r="D23" s="142"/>
      <c r="E23" s="143">
        <v>1</v>
      </c>
      <c r="F23" s="143"/>
      <c r="G23" s="143"/>
      <c r="H23" s="143"/>
      <c r="I23" s="143"/>
      <c r="J23" s="143"/>
      <c r="K23" s="143"/>
      <c r="L23" s="144" t="s">
        <v>229</v>
      </c>
      <c r="M23" s="144" t="s">
        <v>117</v>
      </c>
    </row>
    <row r="24" spans="2:13" ht="25.5" x14ac:dyDescent="0.25">
      <c r="B24" s="140" t="s">
        <v>175</v>
      </c>
      <c r="C24" s="141" t="s">
        <v>222</v>
      </c>
      <c r="D24" s="142"/>
      <c r="E24" s="143">
        <v>1</v>
      </c>
      <c r="F24" s="143"/>
      <c r="G24" s="143"/>
      <c r="H24" s="143"/>
      <c r="I24" s="143"/>
      <c r="J24" s="143"/>
      <c r="K24" s="143"/>
      <c r="L24" s="144" t="s">
        <v>229</v>
      </c>
      <c r="M24" s="144" t="s">
        <v>117</v>
      </c>
    </row>
    <row r="25" spans="2:13" ht="25.5" x14ac:dyDescent="0.25">
      <c r="B25" s="140" t="s">
        <v>175</v>
      </c>
      <c r="C25" s="141" t="s">
        <v>223</v>
      </c>
      <c r="D25" s="142"/>
      <c r="E25" s="143">
        <v>1</v>
      </c>
      <c r="F25" s="143"/>
      <c r="G25" s="143"/>
      <c r="H25" s="143"/>
      <c r="I25" s="143"/>
      <c r="J25" s="143"/>
      <c r="K25" s="143"/>
      <c r="L25" s="144" t="s">
        <v>229</v>
      </c>
      <c r="M25" s="144" t="s">
        <v>117</v>
      </c>
    </row>
    <row r="26" spans="2:13" ht="25.5" x14ac:dyDescent="0.25">
      <c r="B26" s="140" t="s">
        <v>175</v>
      </c>
      <c r="C26" s="141" t="s">
        <v>224</v>
      </c>
      <c r="D26" s="142"/>
      <c r="E26" s="143">
        <v>1</v>
      </c>
      <c r="F26" s="143"/>
      <c r="G26" s="143"/>
      <c r="H26" s="143"/>
      <c r="I26" s="143"/>
      <c r="J26" s="143"/>
      <c r="K26" s="143"/>
      <c r="L26" s="144" t="s">
        <v>229</v>
      </c>
      <c r="M26" s="144" t="s">
        <v>117</v>
      </c>
    </row>
    <row r="27" spans="2:13" ht="38.25" x14ac:dyDescent="0.25">
      <c r="B27" s="140" t="s">
        <v>175</v>
      </c>
      <c r="C27" s="141" t="s">
        <v>225</v>
      </c>
      <c r="D27" s="142"/>
      <c r="E27" s="143"/>
      <c r="F27" s="143"/>
      <c r="G27" s="143"/>
      <c r="H27" s="143"/>
      <c r="I27" s="143"/>
      <c r="J27" s="143"/>
      <c r="K27" s="143"/>
      <c r="L27" s="144" t="s">
        <v>229</v>
      </c>
      <c r="M27" s="144" t="s">
        <v>117</v>
      </c>
    </row>
    <row r="28" spans="2:13" ht="25.5" x14ac:dyDescent="0.25">
      <c r="B28" s="151" t="s">
        <v>175</v>
      </c>
      <c r="C28" s="152" t="s">
        <v>110</v>
      </c>
      <c r="D28" s="153"/>
      <c r="E28" s="154"/>
      <c r="F28" s="154"/>
      <c r="G28" s="154"/>
      <c r="H28" s="154"/>
      <c r="I28" s="154"/>
      <c r="J28" s="154"/>
      <c r="K28" s="155"/>
      <c r="L28" s="144" t="s">
        <v>229</v>
      </c>
      <c r="M28" s="144" t="s">
        <v>117</v>
      </c>
    </row>
    <row r="29" spans="2:13" ht="25.5" x14ac:dyDescent="0.25">
      <c r="B29" s="137" t="s">
        <v>176</v>
      </c>
      <c r="C29" s="146" t="s">
        <v>111</v>
      </c>
      <c r="D29" s="147"/>
      <c r="E29" s="147"/>
      <c r="F29" s="147"/>
      <c r="G29" s="147"/>
      <c r="H29" s="147"/>
      <c r="I29" s="147"/>
      <c r="J29" s="147"/>
      <c r="K29" s="147"/>
      <c r="L29" s="133" t="s">
        <v>229</v>
      </c>
      <c r="M29" s="157" t="s">
        <v>117</v>
      </c>
    </row>
    <row r="30" spans="2:13" ht="38.25" x14ac:dyDescent="0.25">
      <c r="B30" s="158" t="s">
        <v>176</v>
      </c>
      <c r="C30" s="159" t="s">
        <v>112</v>
      </c>
      <c r="D30" s="149"/>
      <c r="E30" s="150"/>
      <c r="F30" s="150"/>
      <c r="G30" s="150"/>
      <c r="H30" s="150"/>
      <c r="I30" s="150"/>
      <c r="J30" s="150"/>
      <c r="K30" s="150"/>
      <c r="L30" s="144" t="s">
        <v>229</v>
      </c>
      <c r="M30" s="144" t="s">
        <v>117</v>
      </c>
    </row>
    <row r="31" spans="2:13" ht="63.75" x14ac:dyDescent="0.25">
      <c r="B31" s="140" t="s">
        <v>176</v>
      </c>
      <c r="C31" s="195" t="s">
        <v>243</v>
      </c>
      <c r="D31" s="149"/>
      <c r="E31" s="150"/>
      <c r="F31" s="150"/>
      <c r="G31" s="150"/>
      <c r="H31" s="150">
        <v>1</v>
      </c>
      <c r="I31" s="150"/>
      <c r="J31" s="150"/>
      <c r="K31" s="150"/>
      <c r="L31" s="144" t="s">
        <v>229</v>
      </c>
      <c r="M31" s="144" t="s">
        <v>117</v>
      </c>
    </row>
    <row r="32" spans="2:13" ht="51" x14ac:dyDescent="0.25">
      <c r="B32" s="140" t="s">
        <v>176</v>
      </c>
      <c r="C32" s="160" t="s">
        <v>216</v>
      </c>
      <c r="D32" s="149"/>
      <c r="E32" s="150"/>
      <c r="F32" s="150"/>
      <c r="G32" s="150">
        <v>1</v>
      </c>
      <c r="H32" s="150"/>
      <c r="I32" s="150"/>
      <c r="J32" s="150"/>
      <c r="K32" s="150"/>
      <c r="L32" s="144" t="s">
        <v>229</v>
      </c>
      <c r="M32" s="144" t="s">
        <v>117</v>
      </c>
    </row>
    <row r="33" spans="2:13" ht="38.25" x14ac:dyDescent="0.25">
      <c r="B33" s="140" t="s">
        <v>176</v>
      </c>
      <c r="C33" s="160" t="s">
        <v>217</v>
      </c>
      <c r="D33" s="149"/>
      <c r="E33" s="150"/>
      <c r="F33" s="150"/>
      <c r="G33" s="150"/>
      <c r="H33" s="150">
        <v>1</v>
      </c>
      <c r="I33" s="150"/>
      <c r="J33" s="150"/>
      <c r="K33" s="150"/>
      <c r="L33" s="144" t="s">
        <v>229</v>
      </c>
      <c r="M33" s="144" t="s">
        <v>117</v>
      </c>
    </row>
    <row r="34" spans="2:13" ht="38.25" x14ac:dyDescent="0.25">
      <c r="B34" s="140" t="s">
        <v>176</v>
      </c>
      <c r="C34" s="160" t="s">
        <v>218</v>
      </c>
      <c r="D34" s="149"/>
      <c r="E34" s="150"/>
      <c r="F34" s="150"/>
      <c r="G34" s="150"/>
      <c r="H34" s="150">
        <v>1</v>
      </c>
      <c r="I34" s="150"/>
      <c r="J34" s="150"/>
      <c r="K34" s="150"/>
      <c r="L34" s="144" t="s">
        <v>229</v>
      </c>
      <c r="M34" s="144" t="s">
        <v>117</v>
      </c>
    </row>
    <row r="35" spans="2:13" ht="25.5" x14ac:dyDescent="0.25">
      <c r="B35" s="140" t="s">
        <v>176</v>
      </c>
      <c r="C35" s="160" t="s">
        <v>101</v>
      </c>
      <c r="D35" s="149"/>
      <c r="E35" s="150"/>
      <c r="F35" s="150"/>
      <c r="G35" s="150"/>
      <c r="H35" s="150"/>
      <c r="I35" s="150"/>
      <c r="J35" s="150"/>
      <c r="K35" s="150"/>
      <c r="L35" s="144" t="s">
        <v>229</v>
      </c>
      <c r="M35" s="144" t="s">
        <v>117</v>
      </c>
    </row>
    <row r="36" spans="2:13" ht="25.5" x14ac:dyDescent="0.25">
      <c r="B36" s="140" t="s">
        <v>176</v>
      </c>
      <c r="C36" s="160" t="s">
        <v>113</v>
      </c>
      <c r="D36" s="149"/>
      <c r="E36" s="150"/>
      <c r="F36" s="150"/>
      <c r="G36" s="150"/>
      <c r="H36" s="150"/>
      <c r="I36" s="150"/>
      <c r="J36" s="150"/>
      <c r="K36" s="150"/>
      <c r="L36" s="144" t="s">
        <v>229</v>
      </c>
      <c r="M36" s="144" t="s">
        <v>117</v>
      </c>
    </row>
    <row r="37" spans="2:13" ht="25.5" x14ac:dyDescent="0.25">
      <c r="B37" s="151" t="s">
        <v>176</v>
      </c>
      <c r="C37" s="161" t="s">
        <v>219</v>
      </c>
      <c r="D37" s="162"/>
      <c r="E37" s="163"/>
      <c r="F37" s="163"/>
      <c r="G37" s="163"/>
      <c r="H37" s="163"/>
      <c r="I37" s="163"/>
      <c r="J37" s="163"/>
      <c r="K37" s="164"/>
      <c r="L37" s="144" t="s">
        <v>229</v>
      </c>
      <c r="M37" s="144" t="s">
        <v>117</v>
      </c>
    </row>
    <row r="38" spans="2:13" ht="25.5" x14ac:dyDescent="0.25">
      <c r="B38" s="165" t="s">
        <v>178</v>
      </c>
      <c r="C38" s="166" t="s">
        <v>177</v>
      </c>
      <c r="D38" s="167"/>
      <c r="E38" s="168"/>
      <c r="F38" s="168"/>
      <c r="G38" s="168"/>
      <c r="H38" s="168"/>
      <c r="I38" s="168"/>
      <c r="J38" s="168"/>
      <c r="K38" s="168"/>
      <c r="L38" s="133" t="s">
        <v>229</v>
      </c>
      <c r="M38" s="157" t="s">
        <v>117</v>
      </c>
    </row>
    <row r="39" spans="2:13" ht="25.5" x14ac:dyDescent="0.25">
      <c r="B39" s="140" t="s">
        <v>178</v>
      </c>
      <c r="C39" s="160" t="s">
        <v>114</v>
      </c>
      <c r="D39" s="149"/>
      <c r="E39" s="150"/>
      <c r="F39" s="150"/>
      <c r="G39" s="150"/>
      <c r="H39" s="150"/>
      <c r="I39" s="150"/>
      <c r="J39" s="150"/>
      <c r="K39" s="150"/>
      <c r="L39" s="144" t="s">
        <v>229</v>
      </c>
      <c r="M39" s="144" t="s">
        <v>117</v>
      </c>
    </row>
    <row r="40" spans="2:13" ht="25.5" x14ac:dyDescent="0.25">
      <c r="B40" s="140" t="s">
        <v>178</v>
      </c>
      <c r="C40" s="160" t="s">
        <v>227</v>
      </c>
      <c r="D40" s="149">
        <v>2</v>
      </c>
      <c r="E40" s="150"/>
      <c r="F40" s="150"/>
      <c r="G40" s="150"/>
      <c r="H40" s="150"/>
      <c r="I40" s="150"/>
      <c r="J40" s="150"/>
      <c r="K40" s="150"/>
      <c r="L40" s="144" t="s">
        <v>229</v>
      </c>
      <c r="M40" s="144" t="s">
        <v>117</v>
      </c>
    </row>
    <row r="41" spans="2:13" ht="25.5" x14ac:dyDescent="0.25">
      <c r="B41" s="140" t="s">
        <v>178</v>
      </c>
      <c r="C41" s="160" t="s">
        <v>101</v>
      </c>
      <c r="D41" s="149"/>
      <c r="E41" s="150"/>
      <c r="F41" s="150"/>
      <c r="G41" s="150"/>
      <c r="H41" s="150"/>
      <c r="I41" s="150"/>
      <c r="J41" s="150"/>
      <c r="K41" s="150"/>
      <c r="L41" s="144" t="s">
        <v>229</v>
      </c>
      <c r="M41" s="144" t="s">
        <v>117</v>
      </c>
    </row>
    <row r="42" spans="2:13" ht="25.5" x14ac:dyDescent="0.25">
      <c r="B42" s="140" t="s">
        <v>178</v>
      </c>
      <c r="C42" s="160" t="s">
        <v>115</v>
      </c>
      <c r="D42" s="149"/>
      <c r="E42" s="150"/>
      <c r="F42" s="150"/>
      <c r="G42" s="150"/>
      <c r="H42" s="150"/>
      <c r="I42" s="150"/>
      <c r="J42" s="150"/>
      <c r="K42" s="150"/>
      <c r="L42" s="144" t="s">
        <v>229</v>
      </c>
      <c r="M42" s="144" t="s">
        <v>117</v>
      </c>
    </row>
    <row r="43" spans="2:13" ht="25.5" x14ac:dyDescent="0.25">
      <c r="B43" s="140" t="s">
        <v>178</v>
      </c>
      <c r="C43" s="160" t="s">
        <v>116</v>
      </c>
      <c r="D43" s="149"/>
      <c r="E43" s="150"/>
      <c r="F43" s="150"/>
      <c r="G43" s="150"/>
      <c r="H43" s="150"/>
      <c r="I43" s="150"/>
      <c r="J43" s="150"/>
      <c r="K43" s="150"/>
      <c r="L43" s="144" t="s">
        <v>229</v>
      </c>
      <c r="M43" s="144" t="s">
        <v>117</v>
      </c>
    </row>
    <row r="44" spans="2:13" ht="25.5" x14ac:dyDescent="0.25">
      <c r="B44" s="169" t="s">
        <v>179</v>
      </c>
      <c r="C44" s="145" t="s">
        <v>118</v>
      </c>
      <c r="D44" s="71"/>
      <c r="E44" s="71"/>
      <c r="F44" s="71"/>
      <c r="G44" s="71"/>
      <c r="H44" s="71"/>
      <c r="I44" s="71"/>
      <c r="J44" s="71"/>
      <c r="K44" s="71"/>
      <c r="L44" s="136" t="s">
        <v>229</v>
      </c>
      <c r="M44" s="136" t="s">
        <v>118</v>
      </c>
    </row>
    <row r="45" spans="2:13" ht="25.5" x14ac:dyDescent="0.25">
      <c r="B45" s="137" t="s">
        <v>179</v>
      </c>
      <c r="C45" s="146" t="s">
        <v>119</v>
      </c>
      <c r="D45" s="147"/>
      <c r="E45" s="147"/>
      <c r="F45" s="147"/>
      <c r="G45" s="147"/>
      <c r="H45" s="147"/>
      <c r="I45" s="147"/>
      <c r="J45" s="147"/>
      <c r="K45" s="147"/>
      <c r="L45" s="133" t="s">
        <v>229</v>
      </c>
      <c r="M45" s="133" t="s">
        <v>118</v>
      </c>
    </row>
    <row r="46" spans="2:13" ht="25.5" x14ac:dyDescent="0.25">
      <c r="B46" s="140" t="s">
        <v>179</v>
      </c>
      <c r="C46" s="160" t="s">
        <v>120</v>
      </c>
      <c r="D46" s="170"/>
      <c r="E46" s="170"/>
      <c r="F46" s="170"/>
      <c r="G46" s="170"/>
      <c r="H46" s="170"/>
      <c r="I46" s="170"/>
      <c r="J46" s="170"/>
      <c r="K46" s="170"/>
      <c r="L46" s="144" t="s">
        <v>229</v>
      </c>
      <c r="M46" s="144" t="s">
        <v>118</v>
      </c>
    </row>
    <row r="47" spans="2:13" ht="25.5" x14ac:dyDescent="0.25">
      <c r="B47" s="140" t="s">
        <v>179</v>
      </c>
      <c r="C47" s="160" t="s">
        <v>121</v>
      </c>
      <c r="D47" s="170"/>
      <c r="E47" s="170"/>
      <c r="F47" s="170"/>
      <c r="G47" s="170"/>
      <c r="H47" s="170"/>
      <c r="I47" s="170"/>
      <c r="J47" s="170"/>
      <c r="K47" s="170"/>
      <c r="L47" s="144" t="s">
        <v>229</v>
      </c>
      <c r="M47" s="144" t="s">
        <v>118</v>
      </c>
    </row>
    <row r="48" spans="2:13" ht="25.5" x14ac:dyDescent="0.25">
      <c r="B48" s="140" t="s">
        <v>179</v>
      </c>
      <c r="C48" s="160" t="s">
        <v>122</v>
      </c>
      <c r="D48" s="170"/>
      <c r="E48" s="170"/>
      <c r="F48" s="170"/>
      <c r="G48" s="170"/>
      <c r="H48" s="170"/>
      <c r="I48" s="170"/>
      <c r="J48" s="170"/>
      <c r="K48" s="170"/>
      <c r="L48" s="144" t="s">
        <v>229</v>
      </c>
      <c r="M48" s="144" t="s">
        <v>118</v>
      </c>
    </row>
    <row r="49" spans="2:14" ht="25.5" x14ac:dyDescent="0.25">
      <c r="B49" s="140" t="s">
        <v>179</v>
      </c>
      <c r="C49" s="160" t="s">
        <v>123</v>
      </c>
      <c r="D49" s="170"/>
      <c r="E49" s="170"/>
      <c r="F49" s="170"/>
      <c r="G49" s="170"/>
      <c r="H49" s="170"/>
      <c r="I49" s="170"/>
      <c r="J49" s="170"/>
      <c r="K49" s="170"/>
      <c r="L49" s="144" t="s">
        <v>229</v>
      </c>
      <c r="M49" s="144" t="s">
        <v>118</v>
      </c>
    </row>
    <row r="50" spans="2:14" ht="25.5" x14ac:dyDescent="0.25">
      <c r="B50" s="140" t="s">
        <v>179</v>
      </c>
      <c r="C50" s="160" t="s">
        <v>124</v>
      </c>
      <c r="D50" s="170"/>
      <c r="E50" s="170"/>
      <c r="F50" s="170"/>
      <c r="G50" s="170"/>
      <c r="H50" s="170"/>
      <c r="I50" s="170"/>
      <c r="J50" s="170"/>
      <c r="K50" s="170"/>
      <c r="L50" s="144" t="s">
        <v>229</v>
      </c>
      <c r="M50" s="144" t="s">
        <v>118</v>
      </c>
    </row>
    <row r="51" spans="2:14" ht="25.5" x14ac:dyDescent="0.25">
      <c r="B51" s="140" t="s">
        <v>179</v>
      </c>
      <c r="C51" s="160" t="s">
        <v>125</v>
      </c>
      <c r="D51" s="171"/>
      <c r="E51" s="171"/>
      <c r="F51" s="171"/>
      <c r="G51" s="171"/>
      <c r="H51" s="171"/>
      <c r="I51" s="171"/>
      <c r="J51" s="171"/>
      <c r="K51" s="171"/>
      <c r="L51" s="144" t="s">
        <v>229</v>
      </c>
      <c r="M51" s="144" t="s">
        <v>118</v>
      </c>
    </row>
    <row r="52" spans="2:14" ht="25.5" x14ac:dyDescent="0.25">
      <c r="B52" s="140" t="s">
        <v>179</v>
      </c>
      <c r="C52" s="160" t="s">
        <v>126</v>
      </c>
      <c r="D52" s="170"/>
      <c r="E52" s="170"/>
      <c r="F52" s="170"/>
      <c r="G52" s="170"/>
      <c r="H52" s="170"/>
      <c r="I52" s="170"/>
      <c r="J52" s="170"/>
      <c r="K52" s="170"/>
      <c r="L52" s="144" t="s">
        <v>229</v>
      </c>
      <c r="M52" s="144" t="s">
        <v>118</v>
      </c>
    </row>
    <row r="53" spans="2:14" ht="25.5" x14ac:dyDescent="0.25">
      <c r="B53" s="151" t="s">
        <v>179</v>
      </c>
      <c r="C53" s="161" t="s">
        <v>127</v>
      </c>
      <c r="D53" s="172"/>
      <c r="E53" s="172"/>
      <c r="F53" s="172"/>
      <c r="G53" s="172"/>
      <c r="H53" s="172"/>
      <c r="I53" s="172"/>
      <c r="J53" s="172"/>
      <c r="K53" s="172"/>
      <c r="L53" s="144" t="s">
        <v>229</v>
      </c>
      <c r="M53" s="156" t="s">
        <v>118</v>
      </c>
    </row>
    <row r="54" spans="2:14" ht="25.5" x14ac:dyDescent="0.25">
      <c r="B54" s="137" t="s">
        <v>180</v>
      </c>
      <c r="C54" s="146" t="s">
        <v>128</v>
      </c>
      <c r="D54" s="147"/>
      <c r="E54" s="147"/>
      <c r="F54" s="147"/>
      <c r="G54" s="147"/>
      <c r="H54" s="147"/>
      <c r="I54" s="147"/>
      <c r="J54" s="147"/>
      <c r="K54" s="147"/>
      <c r="L54" s="133" t="s">
        <v>229</v>
      </c>
      <c r="M54" s="133" t="s">
        <v>118</v>
      </c>
    </row>
    <row r="55" spans="2:14" ht="25.5" x14ac:dyDescent="0.25">
      <c r="B55" s="140" t="s">
        <v>180</v>
      </c>
      <c r="C55" s="160" t="s">
        <v>140</v>
      </c>
      <c r="D55" s="170"/>
      <c r="E55" s="170"/>
      <c r="F55" s="170"/>
      <c r="G55" s="170"/>
      <c r="H55" s="170"/>
      <c r="I55" s="170"/>
      <c r="J55" s="170"/>
      <c r="K55" s="170"/>
      <c r="L55" s="144" t="s">
        <v>229</v>
      </c>
      <c r="M55" s="144" t="s">
        <v>118</v>
      </c>
      <c r="N55" s="67"/>
    </row>
    <row r="56" spans="2:14" ht="25.5" x14ac:dyDescent="0.25">
      <c r="B56" s="140" t="s">
        <v>180</v>
      </c>
      <c r="C56" s="193" t="s">
        <v>238</v>
      </c>
      <c r="D56" s="170"/>
      <c r="E56" s="170"/>
      <c r="F56" s="170"/>
      <c r="G56" s="170">
        <v>1</v>
      </c>
      <c r="H56" s="170"/>
      <c r="I56" s="170"/>
      <c r="J56" s="170"/>
      <c r="K56" s="170"/>
      <c r="L56" s="144" t="s">
        <v>229</v>
      </c>
      <c r="M56" s="144" t="s">
        <v>118</v>
      </c>
    </row>
    <row r="57" spans="2:14" ht="25.5" x14ac:dyDescent="0.25">
      <c r="B57" s="140" t="s">
        <v>180</v>
      </c>
      <c r="C57" s="160" t="s">
        <v>141</v>
      </c>
      <c r="D57" s="170"/>
      <c r="E57" s="170"/>
      <c r="F57" s="170"/>
      <c r="G57" s="170"/>
      <c r="H57" s="170">
        <v>1</v>
      </c>
      <c r="I57" s="170"/>
      <c r="J57" s="170"/>
      <c r="K57" s="170"/>
      <c r="L57" s="144" t="s">
        <v>229</v>
      </c>
      <c r="M57" s="144" t="s">
        <v>118</v>
      </c>
    </row>
    <row r="58" spans="2:14" ht="25.5" x14ac:dyDescent="0.25">
      <c r="B58" s="140" t="s">
        <v>180</v>
      </c>
      <c r="C58" s="160" t="s">
        <v>142</v>
      </c>
      <c r="D58" s="170"/>
      <c r="E58" s="170"/>
      <c r="F58" s="170"/>
      <c r="G58" s="170"/>
      <c r="H58" s="170"/>
      <c r="I58" s="170"/>
      <c r="J58" s="170"/>
      <c r="K58" s="170"/>
      <c r="L58" s="144" t="s">
        <v>229</v>
      </c>
      <c r="M58" s="144" t="s">
        <v>118</v>
      </c>
    </row>
    <row r="59" spans="2:14" ht="25.5" x14ac:dyDescent="0.25">
      <c r="B59" s="140" t="s">
        <v>180</v>
      </c>
      <c r="C59" s="160" t="s">
        <v>143</v>
      </c>
      <c r="D59" s="170"/>
      <c r="E59" s="170"/>
      <c r="F59" s="170"/>
      <c r="G59" s="170"/>
      <c r="H59" s="170"/>
      <c r="I59" s="170"/>
      <c r="J59" s="170"/>
      <c r="K59" s="170"/>
      <c r="L59" s="144" t="s">
        <v>229</v>
      </c>
      <c r="M59" s="144" t="s">
        <v>118</v>
      </c>
    </row>
    <row r="60" spans="2:14" ht="25.5" x14ac:dyDescent="0.25">
      <c r="B60" s="140" t="s">
        <v>180</v>
      </c>
      <c r="C60" s="160" t="s">
        <v>144</v>
      </c>
      <c r="D60" s="170"/>
      <c r="E60" s="170"/>
      <c r="F60" s="170"/>
      <c r="G60" s="170"/>
      <c r="H60" s="170"/>
      <c r="I60" s="170"/>
      <c r="J60" s="170"/>
      <c r="K60" s="170"/>
      <c r="L60" s="144" t="s">
        <v>229</v>
      </c>
      <c r="M60" s="144" t="s">
        <v>118</v>
      </c>
    </row>
    <row r="61" spans="2:14" ht="25.5" x14ac:dyDescent="0.25">
      <c r="B61" s="151" t="s">
        <v>180</v>
      </c>
      <c r="C61" s="161" t="s">
        <v>145</v>
      </c>
      <c r="D61" s="172"/>
      <c r="E61" s="172"/>
      <c r="F61" s="172"/>
      <c r="G61" s="172"/>
      <c r="H61" s="172"/>
      <c r="I61" s="172"/>
      <c r="J61" s="172"/>
      <c r="K61" s="172"/>
      <c r="L61" s="144" t="s">
        <v>229</v>
      </c>
      <c r="M61" s="156" t="s">
        <v>118</v>
      </c>
    </row>
    <row r="62" spans="2:14" ht="25.5" x14ac:dyDescent="0.25">
      <c r="B62" s="137" t="s">
        <v>181</v>
      </c>
      <c r="C62" s="146" t="s">
        <v>129</v>
      </c>
      <c r="D62" s="147"/>
      <c r="E62" s="147"/>
      <c r="F62" s="147"/>
      <c r="G62" s="147"/>
      <c r="H62" s="147"/>
      <c r="I62" s="147"/>
      <c r="J62" s="147"/>
      <c r="K62" s="147"/>
      <c r="L62" s="133" t="s">
        <v>229</v>
      </c>
      <c r="M62" s="133" t="s">
        <v>118</v>
      </c>
    </row>
    <row r="63" spans="2:14" ht="25.5" x14ac:dyDescent="0.25">
      <c r="B63" s="140" t="s">
        <v>181</v>
      </c>
      <c r="C63" s="160" t="s">
        <v>146</v>
      </c>
      <c r="D63" s="170"/>
      <c r="E63" s="170"/>
      <c r="F63" s="170"/>
      <c r="G63" s="170"/>
      <c r="H63" s="170"/>
      <c r="I63" s="170"/>
      <c r="J63" s="170"/>
      <c r="K63" s="170"/>
      <c r="L63" s="144" t="s">
        <v>229</v>
      </c>
      <c r="M63" s="144" t="s">
        <v>118</v>
      </c>
      <c r="N63" s="65"/>
    </row>
    <row r="64" spans="2:14" ht="25.5" x14ac:dyDescent="0.25">
      <c r="B64" s="140" t="s">
        <v>181</v>
      </c>
      <c r="C64" s="160" t="s">
        <v>147</v>
      </c>
      <c r="D64" s="170"/>
      <c r="E64" s="170"/>
      <c r="F64" s="170"/>
      <c r="G64" s="170"/>
      <c r="H64" s="170">
        <v>1</v>
      </c>
      <c r="I64" s="170"/>
      <c r="J64" s="170"/>
      <c r="K64" s="170"/>
      <c r="L64" s="144" t="s">
        <v>229</v>
      </c>
      <c r="M64" s="144" t="s">
        <v>118</v>
      </c>
    </row>
    <row r="65" spans="2:14" ht="25.5" x14ac:dyDescent="0.25">
      <c r="B65" s="140" t="s">
        <v>181</v>
      </c>
      <c r="C65" s="160" t="s">
        <v>148</v>
      </c>
      <c r="D65" s="170"/>
      <c r="E65" s="170"/>
      <c r="F65" s="170"/>
      <c r="G65" s="170">
        <v>1</v>
      </c>
      <c r="H65" s="170"/>
      <c r="I65" s="170"/>
      <c r="J65" s="170"/>
      <c r="K65" s="170"/>
      <c r="L65" s="144" t="s">
        <v>229</v>
      </c>
      <c r="M65" s="144" t="s">
        <v>118</v>
      </c>
    </row>
    <row r="66" spans="2:14" ht="25.5" x14ac:dyDescent="0.25">
      <c r="B66" s="140" t="s">
        <v>181</v>
      </c>
      <c r="C66" s="160" t="s">
        <v>149</v>
      </c>
      <c r="D66" s="170"/>
      <c r="E66" s="170"/>
      <c r="F66" s="170"/>
      <c r="G66" s="170">
        <v>1</v>
      </c>
      <c r="H66" s="170"/>
      <c r="I66" s="170"/>
      <c r="J66" s="170"/>
      <c r="K66" s="170"/>
      <c r="L66" s="144" t="s">
        <v>229</v>
      </c>
      <c r="M66" s="144" t="s">
        <v>118</v>
      </c>
    </row>
    <row r="67" spans="2:14" ht="25.5" x14ac:dyDescent="0.25">
      <c r="B67" s="140" t="s">
        <v>181</v>
      </c>
      <c r="C67" s="160" t="s">
        <v>150</v>
      </c>
      <c r="D67" s="160"/>
      <c r="E67" s="160"/>
      <c r="F67" s="160"/>
      <c r="G67" s="170">
        <v>1</v>
      </c>
      <c r="H67" s="160"/>
      <c r="I67" s="160"/>
      <c r="J67" s="160"/>
      <c r="K67" s="160"/>
      <c r="L67" s="144" t="s">
        <v>229</v>
      </c>
      <c r="M67" s="144" t="s">
        <v>118</v>
      </c>
    </row>
    <row r="68" spans="2:14" ht="25.5" x14ac:dyDescent="0.25">
      <c r="B68" s="140" t="s">
        <v>181</v>
      </c>
      <c r="C68" s="161" t="s">
        <v>151</v>
      </c>
      <c r="D68" s="161"/>
      <c r="E68" s="161"/>
      <c r="F68" s="161"/>
      <c r="G68" s="161"/>
      <c r="H68" s="161"/>
      <c r="I68" s="161"/>
      <c r="J68" s="161"/>
      <c r="K68" s="161"/>
      <c r="L68" s="144" t="s">
        <v>229</v>
      </c>
      <c r="M68" s="144" t="s">
        <v>118</v>
      </c>
    </row>
    <row r="69" spans="2:14" ht="25.5" x14ac:dyDescent="0.25">
      <c r="B69" s="151" t="s">
        <v>181</v>
      </c>
      <c r="C69" s="161" t="s">
        <v>234</v>
      </c>
      <c r="D69" s="161"/>
      <c r="E69" s="161"/>
      <c r="F69" s="161"/>
      <c r="G69" s="161"/>
      <c r="H69" s="161"/>
      <c r="I69" s="161"/>
      <c r="J69" s="161"/>
      <c r="K69" s="161"/>
      <c r="L69" s="144" t="s">
        <v>229</v>
      </c>
      <c r="M69" s="156" t="s">
        <v>118</v>
      </c>
    </row>
    <row r="70" spans="2:14" ht="25.5" x14ac:dyDescent="0.25">
      <c r="B70" s="137" t="s">
        <v>182</v>
      </c>
      <c r="C70" s="146" t="s">
        <v>130</v>
      </c>
      <c r="D70" s="147"/>
      <c r="E70" s="147"/>
      <c r="F70" s="147"/>
      <c r="G70" s="147"/>
      <c r="H70" s="147"/>
      <c r="I70" s="147"/>
      <c r="J70" s="147"/>
      <c r="K70" s="147"/>
      <c r="L70" s="133" t="s">
        <v>229</v>
      </c>
      <c r="M70" s="133" t="s">
        <v>118</v>
      </c>
    </row>
    <row r="71" spans="2:14" ht="25.5" x14ac:dyDescent="0.25">
      <c r="B71" s="140" t="s">
        <v>182</v>
      </c>
      <c r="C71" s="160" t="s">
        <v>152</v>
      </c>
      <c r="D71" s="170"/>
      <c r="E71" s="170"/>
      <c r="F71" s="170"/>
      <c r="G71" s="170"/>
      <c r="H71" s="170"/>
      <c r="I71" s="170"/>
      <c r="J71" s="170"/>
      <c r="K71" s="170"/>
      <c r="L71" s="144" t="s">
        <v>229</v>
      </c>
      <c r="M71" s="144" t="s">
        <v>118</v>
      </c>
      <c r="N71" s="67"/>
    </row>
    <row r="72" spans="2:14" ht="25.5" x14ac:dyDescent="0.25">
      <c r="B72" s="140" t="s">
        <v>182</v>
      </c>
      <c r="C72" s="160" t="s">
        <v>153</v>
      </c>
      <c r="D72" s="170">
        <v>1</v>
      </c>
      <c r="E72" s="170"/>
      <c r="F72" s="170"/>
      <c r="G72" s="170"/>
      <c r="H72" s="170"/>
      <c r="I72" s="170"/>
      <c r="J72" s="170"/>
      <c r="K72" s="170"/>
      <c r="L72" s="144" t="s">
        <v>229</v>
      </c>
      <c r="M72" s="144" t="s">
        <v>118</v>
      </c>
    </row>
    <row r="73" spans="2:14" ht="25.5" x14ac:dyDescent="0.25">
      <c r="B73" s="140" t="s">
        <v>182</v>
      </c>
      <c r="C73" s="160" t="s">
        <v>154</v>
      </c>
      <c r="D73" s="170"/>
      <c r="E73" s="170"/>
      <c r="F73" s="170"/>
      <c r="G73" s="170">
        <v>1</v>
      </c>
      <c r="H73" s="170"/>
      <c r="I73" s="170"/>
      <c r="J73" s="170"/>
      <c r="K73" s="170"/>
      <c r="L73" s="144" t="s">
        <v>229</v>
      </c>
      <c r="M73" s="144" t="s">
        <v>118</v>
      </c>
    </row>
    <row r="74" spans="2:14" ht="25.5" x14ac:dyDescent="0.25">
      <c r="B74" s="140" t="s">
        <v>182</v>
      </c>
      <c r="C74" s="160" t="s">
        <v>155</v>
      </c>
      <c r="D74" s="170"/>
      <c r="E74" s="170"/>
      <c r="F74" s="170"/>
      <c r="G74" s="170"/>
      <c r="H74" s="170"/>
      <c r="I74" s="170"/>
      <c r="J74" s="170"/>
      <c r="K74" s="170"/>
      <c r="L74" s="144" t="s">
        <v>229</v>
      </c>
      <c r="M74" s="144" t="s">
        <v>118</v>
      </c>
    </row>
    <row r="75" spans="2:14" ht="25.5" x14ac:dyDescent="0.25">
      <c r="B75" s="140" t="s">
        <v>182</v>
      </c>
      <c r="C75" s="160" t="s">
        <v>156</v>
      </c>
      <c r="D75" s="170"/>
      <c r="E75" s="170"/>
      <c r="F75" s="170"/>
      <c r="G75" s="170"/>
      <c r="H75" s="170"/>
      <c r="I75" s="170"/>
      <c r="J75" s="170"/>
      <c r="K75" s="170"/>
      <c r="L75" s="144" t="s">
        <v>229</v>
      </c>
      <c r="M75" s="144" t="s">
        <v>118</v>
      </c>
    </row>
    <row r="76" spans="2:14" ht="25.5" x14ac:dyDescent="0.25">
      <c r="B76" s="140" t="s">
        <v>182</v>
      </c>
      <c r="C76" s="160" t="s">
        <v>157</v>
      </c>
      <c r="D76" s="170"/>
      <c r="E76" s="170"/>
      <c r="F76" s="170"/>
      <c r="G76" s="170"/>
      <c r="H76" s="170"/>
      <c r="I76" s="170"/>
      <c r="J76" s="170"/>
      <c r="K76" s="170"/>
      <c r="L76" s="144" t="s">
        <v>229</v>
      </c>
      <c r="M76" s="144" t="s">
        <v>118</v>
      </c>
    </row>
    <row r="77" spans="2:14" ht="25.5" x14ac:dyDescent="0.25">
      <c r="B77" s="140" t="s">
        <v>182</v>
      </c>
      <c r="C77" s="160" t="s">
        <v>158</v>
      </c>
      <c r="D77" s="170"/>
      <c r="E77" s="170"/>
      <c r="F77" s="170"/>
      <c r="G77" s="170"/>
      <c r="H77" s="170"/>
      <c r="I77" s="170"/>
      <c r="J77" s="170"/>
      <c r="K77" s="170"/>
      <c r="L77" s="144" t="s">
        <v>229</v>
      </c>
      <c r="M77" s="144" t="s">
        <v>118</v>
      </c>
    </row>
    <row r="78" spans="2:14" ht="25.5" x14ac:dyDescent="0.25">
      <c r="B78" s="140" t="s">
        <v>182</v>
      </c>
      <c r="C78" s="161" t="s">
        <v>159</v>
      </c>
      <c r="D78" s="172"/>
      <c r="E78" s="172"/>
      <c r="F78" s="172"/>
      <c r="G78" s="172"/>
      <c r="H78" s="172"/>
      <c r="I78" s="172"/>
      <c r="J78" s="172"/>
      <c r="K78" s="172"/>
      <c r="L78" s="144" t="s">
        <v>229</v>
      </c>
      <c r="M78" s="144" t="s">
        <v>118</v>
      </c>
    </row>
    <row r="79" spans="2:14" ht="25.5" x14ac:dyDescent="0.25">
      <c r="B79" s="151" t="s">
        <v>182</v>
      </c>
      <c r="C79" s="161" t="s">
        <v>145</v>
      </c>
      <c r="D79" s="172"/>
      <c r="E79" s="172"/>
      <c r="F79" s="172"/>
      <c r="G79" s="172"/>
      <c r="H79" s="172"/>
      <c r="I79" s="172"/>
      <c r="J79" s="172"/>
      <c r="K79" s="172"/>
      <c r="L79" s="144" t="s">
        <v>229</v>
      </c>
      <c r="M79" s="144" t="s">
        <v>118</v>
      </c>
    </row>
    <row r="80" spans="2:14" ht="25.5" x14ac:dyDescent="0.25">
      <c r="B80" s="137" t="s">
        <v>183</v>
      </c>
      <c r="C80" s="146" t="s">
        <v>131</v>
      </c>
      <c r="D80" s="147"/>
      <c r="E80" s="147"/>
      <c r="F80" s="147"/>
      <c r="G80" s="147"/>
      <c r="H80" s="147"/>
      <c r="I80" s="147"/>
      <c r="J80" s="147"/>
      <c r="K80" s="147"/>
      <c r="L80" s="133" t="s">
        <v>229</v>
      </c>
      <c r="M80" s="133" t="s">
        <v>118</v>
      </c>
    </row>
    <row r="81" spans="2:14" ht="25.5" x14ac:dyDescent="0.25">
      <c r="B81" s="140" t="s">
        <v>183</v>
      </c>
      <c r="C81" s="160" t="s">
        <v>132</v>
      </c>
      <c r="D81" s="170"/>
      <c r="E81" s="170"/>
      <c r="F81" s="170"/>
      <c r="G81" s="170"/>
      <c r="H81" s="170"/>
      <c r="I81" s="170"/>
      <c r="J81" s="170"/>
      <c r="K81" s="170"/>
      <c r="L81" s="144" t="s">
        <v>229</v>
      </c>
      <c r="M81" s="144" t="s">
        <v>118</v>
      </c>
    </row>
    <row r="82" spans="2:14" ht="25.5" x14ac:dyDescent="0.25">
      <c r="B82" s="140" t="s">
        <v>183</v>
      </c>
      <c r="C82" s="160" t="s">
        <v>133</v>
      </c>
      <c r="D82" s="170"/>
      <c r="E82" s="170"/>
      <c r="F82" s="170"/>
      <c r="G82" s="170"/>
      <c r="H82" s="170">
        <v>1</v>
      </c>
      <c r="I82" s="170"/>
      <c r="J82" s="170"/>
      <c r="K82" s="170"/>
      <c r="L82" s="144" t="s">
        <v>229</v>
      </c>
      <c r="M82" s="144" t="s">
        <v>118</v>
      </c>
    </row>
    <row r="83" spans="2:14" ht="25.5" x14ac:dyDescent="0.25">
      <c r="B83" s="140" t="s">
        <v>183</v>
      </c>
      <c r="C83" s="160" t="s">
        <v>134</v>
      </c>
      <c r="D83" s="170"/>
      <c r="E83" s="170"/>
      <c r="F83" s="170"/>
      <c r="G83" s="170"/>
      <c r="H83" s="170"/>
      <c r="I83" s="170"/>
      <c r="J83" s="170"/>
      <c r="K83" s="170"/>
      <c r="L83" s="144" t="s">
        <v>229</v>
      </c>
      <c r="M83" s="144" t="s">
        <v>118</v>
      </c>
    </row>
    <row r="84" spans="2:14" ht="25.5" x14ac:dyDescent="0.25">
      <c r="B84" s="140" t="s">
        <v>183</v>
      </c>
      <c r="C84" s="193" t="s">
        <v>239</v>
      </c>
      <c r="D84" s="170"/>
      <c r="E84" s="170"/>
      <c r="F84" s="170"/>
      <c r="G84" s="170"/>
      <c r="H84" s="170"/>
      <c r="I84" s="170"/>
      <c r="J84" s="170"/>
      <c r="K84" s="170"/>
      <c r="L84" s="144" t="s">
        <v>229</v>
      </c>
      <c r="M84" s="144" t="s">
        <v>118</v>
      </c>
    </row>
    <row r="85" spans="2:14" ht="25.5" x14ac:dyDescent="0.25">
      <c r="B85" s="140" t="s">
        <v>183</v>
      </c>
      <c r="C85" s="193" t="s">
        <v>240</v>
      </c>
      <c r="D85" s="170">
        <v>1</v>
      </c>
      <c r="E85" s="170"/>
      <c r="F85" s="170"/>
      <c r="G85" s="170"/>
      <c r="H85" s="170"/>
      <c r="I85" s="170"/>
      <c r="J85" s="170"/>
      <c r="K85" s="170"/>
      <c r="L85" s="144" t="s">
        <v>229</v>
      </c>
      <c r="M85" s="144" t="s">
        <v>118</v>
      </c>
    </row>
    <row r="86" spans="2:14" ht="25.5" x14ac:dyDescent="0.25">
      <c r="B86" s="140" t="s">
        <v>183</v>
      </c>
      <c r="C86" s="193" t="s">
        <v>241</v>
      </c>
      <c r="D86" s="170"/>
      <c r="E86" s="170"/>
      <c r="F86" s="170"/>
      <c r="G86" s="170">
        <v>1</v>
      </c>
      <c r="H86" s="170"/>
      <c r="I86" s="170"/>
      <c r="J86" s="170"/>
      <c r="K86" s="170"/>
      <c r="L86" s="144" t="s">
        <v>229</v>
      </c>
      <c r="M86" s="144" t="s">
        <v>118</v>
      </c>
    </row>
    <row r="87" spans="2:14" ht="25.5" x14ac:dyDescent="0.25">
      <c r="B87" s="151" t="s">
        <v>183</v>
      </c>
      <c r="C87" s="173" t="s">
        <v>110</v>
      </c>
      <c r="D87" s="174"/>
      <c r="E87" s="175"/>
      <c r="F87" s="175"/>
      <c r="G87" s="175"/>
      <c r="H87" s="175"/>
      <c r="I87" s="175"/>
      <c r="J87" s="175"/>
      <c r="K87" s="176"/>
      <c r="L87" s="144" t="s">
        <v>229</v>
      </c>
      <c r="M87" s="156" t="s">
        <v>118</v>
      </c>
    </row>
    <row r="88" spans="2:14" ht="25.5" x14ac:dyDescent="0.25">
      <c r="B88" s="137" t="s">
        <v>184</v>
      </c>
      <c r="C88" s="146" t="s">
        <v>135</v>
      </c>
      <c r="D88" s="147"/>
      <c r="E88" s="147"/>
      <c r="F88" s="147"/>
      <c r="G88" s="147"/>
      <c r="H88" s="147"/>
      <c r="I88" s="147"/>
      <c r="J88" s="147"/>
      <c r="K88" s="147"/>
      <c r="L88" s="133" t="s">
        <v>229</v>
      </c>
      <c r="M88" s="133" t="s">
        <v>118</v>
      </c>
    </row>
    <row r="89" spans="2:14" ht="25.5" x14ac:dyDescent="0.25">
      <c r="B89" s="140" t="s">
        <v>184</v>
      </c>
      <c r="C89" s="160" t="s">
        <v>172</v>
      </c>
      <c r="D89" s="170"/>
      <c r="E89" s="170"/>
      <c r="F89" s="170"/>
      <c r="G89" s="170"/>
      <c r="H89" s="170"/>
      <c r="I89" s="170"/>
      <c r="J89" s="170"/>
      <c r="K89" s="170"/>
      <c r="L89" s="144" t="s">
        <v>229</v>
      </c>
      <c r="M89" s="144" t="s">
        <v>118</v>
      </c>
      <c r="N89" s="65"/>
    </row>
    <row r="90" spans="2:14" ht="25.5" x14ac:dyDescent="0.25">
      <c r="B90" s="140" t="s">
        <v>184</v>
      </c>
      <c r="C90" s="160" t="s">
        <v>220</v>
      </c>
      <c r="D90" s="170"/>
      <c r="E90" s="170"/>
      <c r="F90" s="170"/>
      <c r="G90" s="170"/>
      <c r="H90" s="170">
        <v>1</v>
      </c>
      <c r="I90" s="170"/>
      <c r="J90" s="170"/>
      <c r="K90" s="170"/>
      <c r="L90" s="144" t="s">
        <v>229</v>
      </c>
      <c r="M90" s="144" t="s">
        <v>118</v>
      </c>
      <c r="N90" s="68"/>
    </row>
    <row r="91" spans="2:14" ht="25.5" x14ac:dyDescent="0.25">
      <c r="B91" s="140" t="s">
        <v>184</v>
      </c>
      <c r="C91" s="160" t="s">
        <v>221</v>
      </c>
      <c r="D91" s="170">
        <v>1</v>
      </c>
      <c r="E91" s="170"/>
      <c r="F91" s="170"/>
      <c r="G91" s="170"/>
      <c r="H91" s="170"/>
      <c r="I91" s="170"/>
      <c r="J91" s="170"/>
      <c r="K91" s="170"/>
      <c r="L91" s="144" t="s">
        <v>229</v>
      </c>
      <c r="M91" s="144" t="s">
        <v>118</v>
      </c>
      <c r="N91" s="68"/>
    </row>
    <row r="92" spans="2:14" ht="25.5" x14ac:dyDescent="0.25">
      <c r="B92" s="140" t="s">
        <v>184</v>
      </c>
      <c r="C92" s="160" t="s">
        <v>235</v>
      </c>
      <c r="D92" s="170"/>
      <c r="E92" s="170"/>
      <c r="F92" s="170"/>
      <c r="G92" s="170"/>
      <c r="H92" s="170"/>
      <c r="I92" s="170"/>
      <c r="J92" s="170"/>
      <c r="K92" s="170"/>
      <c r="L92" s="144" t="s">
        <v>229</v>
      </c>
      <c r="M92" s="144" t="s">
        <v>118</v>
      </c>
      <c r="N92" s="68"/>
    </row>
    <row r="93" spans="2:14" ht="25.5" x14ac:dyDescent="0.25">
      <c r="B93" s="151" t="s">
        <v>184</v>
      </c>
      <c r="C93" s="194" t="s">
        <v>242</v>
      </c>
      <c r="D93" s="172"/>
      <c r="E93" s="172"/>
      <c r="F93" s="172"/>
      <c r="G93" s="172"/>
      <c r="H93" s="172"/>
      <c r="I93" s="172"/>
      <c r="J93" s="172"/>
      <c r="K93" s="172"/>
      <c r="L93" s="144" t="s">
        <v>229</v>
      </c>
      <c r="M93" s="144" t="s">
        <v>118</v>
      </c>
    </row>
    <row r="94" spans="2:14" ht="25.5" x14ac:dyDescent="0.25">
      <c r="B94" s="137" t="s">
        <v>185</v>
      </c>
      <c r="C94" s="146" t="s">
        <v>136</v>
      </c>
      <c r="D94" s="177"/>
      <c r="E94" s="177"/>
      <c r="F94" s="177"/>
      <c r="G94" s="177"/>
      <c r="H94" s="177"/>
      <c r="I94" s="177"/>
      <c r="J94" s="177"/>
      <c r="K94" s="177"/>
      <c r="L94" s="133" t="s">
        <v>229</v>
      </c>
      <c r="M94" s="133" t="s">
        <v>118</v>
      </c>
    </row>
    <row r="95" spans="2:14" ht="25.5" x14ac:dyDescent="0.25">
      <c r="B95" s="140" t="s">
        <v>185</v>
      </c>
      <c r="C95" s="160" t="s">
        <v>137</v>
      </c>
      <c r="D95" s="160"/>
      <c r="E95" s="160"/>
      <c r="F95" s="160"/>
      <c r="G95" s="160"/>
      <c r="H95" s="160"/>
      <c r="I95" s="160"/>
      <c r="J95" s="160"/>
      <c r="K95" s="160"/>
      <c r="L95" s="144" t="s">
        <v>229</v>
      </c>
      <c r="M95" s="144" t="s">
        <v>118</v>
      </c>
    </row>
    <row r="96" spans="2:14" ht="25.5" x14ac:dyDescent="0.25">
      <c r="B96" s="140" t="s">
        <v>185</v>
      </c>
      <c r="C96" s="160" t="s">
        <v>226</v>
      </c>
      <c r="D96" s="170">
        <v>1</v>
      </c>
      <c r="E96" s="160"/>
      <c r="F96" s="160"/>
      <c r="G96" s="160"/>
      <c r="H96" s="160"/>
      <c r="I96" s="160"/>
      <c r="J96" s="160"/>
      <c r="K96" s="160"/>
      <c r="L96" s="144" t="s">
        <v>229</v>
      </c>
      <c r="M96" s="144" t="s">
        <v>118</v>
      </c>
    </row>
    <row r="97" spans="1:14" ht="25.5" x14ac:dyDescent="0.25">
      <c r="B97" s="140" t="s">
        <v>185</v>
      </c>
      <c r="C97" s="160" t="s">
        <v>236</v>
      </c>
      <c r="D97" s="170"/>
      <c r="E97" s="170"/>
      <c r="F97" s="170"/>
      <c r="G97" s="170"/>
      <c r="H97" s="170"/>
      <c r="I97" s="170"/>
      <c r="J97" s="170"/>
      <c r="K97" s="170"/>
      <c r="L97" s="144" t="s">
        <v>229</v>
      </c>
      <c r="M97" s="144" t="s">
        <v>118</v>
      </c>
    </row>
    <row r="98" spans="1:14" ht="25.5" x14ac:dyDescent="0.25">
      <c r="B98" s="137" t="s">
        <v>186</v>
      </c>
      <c r="C98" s="178" t="s">
        <v>138</v>
      </c>
      <c r="D98" s="179"/>
      <c r="E98" s="179"/>
      <c r="F98" s="179"/>
      <c r="G98" s="179"/>
      <c r="H98" s="179"/>
      <c r="I98" s="179"/>
      <c r="J98" s="179"/>
      <c r="K98" s="179"/>
      <c r="L98" s="133" t="s">
        <v>229</v>
      </c>
      <c r="M98" s="133" t="s">
        <v>118</v>
      </c>
    </row>
    <row r="99" spans="1:14" ht="38.25" x14ac:dyDescent="0.25">
      <c r="B99" s="140" t="s">
        <v>186</v>
      </c>
      <c r="C99" s="160" t="s">
        <v>160</v>
      </c>
      <c r="D99" s="170"/>
      <c r="E99" s="170"/>
      <c r="F99" s="170"/>
      <c r="G99" s="170"/>
      <c r="H99" s="170"/>
      <c r="I99" s="170"/>
      <c r="J99" s="170"/>
      <c r="K99" s="170"/>
      <c r="L99" s="144" t="s">
        <v>229</v>
      </c>
      <c r="M99" s="144" t="s">
        <v>118</v>
      </c>
      <c r="N99" s="65"/>
    </row>
    <row r="100" spans="1:14" ht="25.5" x14ac:dyDescent="0.25">
      <c r="B100" s="140" t="s">
        <v>186</v>
      </c>
      <c r="C100" s="160" t="s">
        <v>161</v>
      </c>
      <c r="D100" s="170">
        <v>2</v>
      </c>
      <c r="E100" s="170"/>
      <c r="F100" s="170"/>
      <c r="G100" s="170"/>
      <c r="H100" s="170"/>
      <c r="I100" s="170"/>
      <c r="J100" s="170"/>
      <c r="K100" s="170"/>
      <c r="L100" s="144" t="s">
        <v>229</v>
      </c>
      <c r="M100" s="144" t="s">
        <v>118</v>
      </c>
      <c r="N100" s="67"/>
    </row>
    <row r="101" spans="1:14" ht="25.5" x14ac:dyDescent="0.25">
      <c r="B101" s="140" t="s">
        <v>186</v>
      </c>
      <c r="C101" s="160" t="s">
        <v>101</v>
      </c>
      <c r="D101" s="170"/>
      <c r="E101" s="170"/>
      <c r="F101" s="170"/>
      <c r="G101" s="170"/>
      <c r="H101" s="170"/>
      <c r="I101" s="170"/>
      <c r="J101" s="170"/>
      <c r="K101" s="170"/>
      <c r="L101" s="144" t="s">
        <v>229</v>
      </c>
      <c r="M101" s="144" t="s">
        <v>118</v>
      </c>
    </row>
    <row r="102" spans="1:14" ht="25.5" x14ac:dyDescent="0.25">
      <c r="B102" s="140" t="s">
        <v>186</v>
      </c>
      <c r="C102" s="160" t="s">
        <v>139</v>
      </c>
      <c r="D102" s="170"/>
      <c r="E102" s="170"/>
      <c r="F102" s="170"/>
      <c r="G102" s="170"/>
      <c r="H102" s="170"/>
      <c r="I102" s="170"/>
      <c r="J102" s="170"/>
      <c r="K102" s="170"/>
      <c r="L102" s="144" t="s">
        <v>229</v>
      </c>
      <c r="M102" s="144" t="s">
        <v>118</v>
      </c>
    </row>
    <row r="103" spans="1:14" ht="25.5" x14ac:dyDescent="0.25">
      <c r="B103" s="140" t="s">
        <v>186</v>
      </c>
      <c r="C103" s="160" t="s">
        <v>116</v>
      </c>
      <c r="D103" s="170"/>
      <c r="E103" s="170"/>
      <c r="F103" s="170"/>
      <c r="G103" s="170"/>
      <c r="H103" s="170"/>
      <c r="I103" s="170"/>
      <c r="J103" s="170"/>
      <c r="K103" s="170"/>
      <c r="L103" s="144" t="s">
        <v>229</v>
      </c>
      <c r="M103" s="144" t="s">
        <v>118</v>
      </c>
    </row>
    <row r="104" spans="1:14" x14ac:dyDescent="0.25">
      <c r="A104" s="60"/>
    </row>
  </sheetData>
  <mergeCells count="1">
    <mergeCell ref="D3:K3"/>
  </mergeCells>
  <phoneticPr fontId="3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I23"/>
  <sheetViews>
    <sheetView zoomScaleNormal="100" zoomScaleSheetLayoutView="78" zoomScalePageLayoutView="80" workbookViewId="0">
      <pane xSplit="2" ySplit="5" topLeftCell="C6" activePane="bottomRight" state="frozen"/>
      <selection activeCell="C55" sqref="C55"/>
      <selection pane="topRight" activeCell="C55" sqref="C55"/>
      <selection pane="bottomLeft" activeCell="C55" sqref="C55"/>
      <selection pane="bottomRight" activeCell="L11" sqref="L11"/>
    </sheetView>
  </sheetViews>
  <sheetFormatPr defaultColWidth="8.7109375" defaultRowHeight="12" x14ac:dyDescent="0.25"/>
  <cols>
    <col min="1" max="1" width="5.7109375" style="72" customWidth="1"/>
    <col min="2" max="2" width="45.7109375" style="72" customWidth="1"/>
    <col min="3" max="10" width="6.140625" style="72" customWidth="1"/>
    <col min="11" max="11" width="7.7109375" style="72" customWidth="1"/>
    <col min="12" max="19" width="7.42578125" style="72" customWidth="1"/>
    <col min="20" max="20" width="7.7109375" style="72" customWidth="1"/>
    <col min="21" max="21" width="16.42578125" style="72" customWidth="1"/>
    <col min="22" max="22" width="12.42578125" style="72" customWidth="1"/>
    <col min="23" max="23" width="11.85546875" style="72" customWidth="1"/>
    <col min="24" max="24" width="6.42578125" style="75" customWidth="1"/>
    <col min="25" max="26" width="7" style="75" customWidth="1"/>
    <col min="27" max="27" width="5.42578125" style="75" customWidth="1"/>
    <col min="28" max="28" width="5.28515625" style="75" customWidth="1"/>
    <col min="29" max="30" width="7.28515625" style="75" customWidth="1"/>
    <col min="31" max="31" width="6.7109375" style="75" customWidth="1"/>
    <col min="32" max="32" width="8.28515625" style="75" customWidth="1"/>
    <col min="33" max="33" width="7" style="75" customWidth="1"/>
    <col min="34" max="34" width="15.140625" style="72" customWidth="1"/>
    <col min="35" max="35" width="19.7109375" style="187" customWidth="1"/>
    <col min="36" max="16384" width="8.7109375" style="72"/>
  </cols>
  <sheetData>
    <row r="2" spans="1:35" x14ac:dyDescent="0.25">
      <c r="B2" s="73"/>
      <c r="C2" s="74"/>
    </row>
    <row r="4" spans="1:35" s="73" customFormat="1" ht="26.25" customHeight="1" x14ac:dyDescent="0.25">
      <c r="A4" s="205" t="s">
        <v>46</v>
      </c>
      <c r="B4" s="205" t="s">
        <v>43</v>
      </c>
      <c r="C4" s="205" t="s">
        <v>187</v>
      </c>
      <c r="D4" s="205"/>
      <c r="E4" s="205"/>
      <c r="F4" s="205"/>
      <c r="G4" s="205"/>
      <c r="H4" s="205"/>
      <c r="I4" s="205"/>
      <c r="J4" s="205"/>
      <c r="K4" s="205"/>
      <c r="L4" s="205" t="s">
        <v>188</v>
      </c>
      <c r="M4" s="205"/>
      <c r="N4" s="205"/>
      <c r="O4" s="205"/>
      <c r="P4" s="205"/>
      <c r="Q4" s="205"/>
      <c r="R4" s="205"/>
      <c r="S4" s="205"/>
      <c r="T4" s="205"/>
      <c r="U4" s="205" t="s">
        <v>73</v>
      </c>
      <c r="V4" s="205" t="s">
        <v>74</v>
      </c>
      <c r="W4" s="206" t="s">
        <v>75</v>
      </c>
      <c r="X4" s="207" t="s">
        <v>1</v>
      </c>
      <c r="Y4" s="207"/>
      <c r="Z4" s="207"/>
      <c r="AA4" s="207"/>
      <c r="AB4" s="207"/>
      <c r="AC4" s="207"/>
      <c r="AD4" s="207"/>
      <c r="AE4" s="207"/>
      <c r="AF4" s="208"/>
      <c r="AG4" s="208" t="s">
        <v>189</v>
      </c>
      <c r="AH4" s="205" t="s">
        <v>2</v>
      </c>
      <c r="AI4" s="204" t="s">
        <v>100</v>
      </c>
    </row>
    <row r="5" spans="1:35" s="73" customFormat="1" ht="26.25" customHeight="1" x14ac:dyDescent="0.25">
      <c r="A5" s="205"/>
      <c r="B5" s="205"/>
      <c r="C5" s="76" t="s">
        <v>190</v>
      </c>
      <c r="D5" s="76" t="s">
        <v>191</v>
      </c>
      <c r="E5" s="76" t="s">
        <v>192</v>
      </c>
      <c r="F5" s="76" t="s">
        <v>193</v>
      </c>
      <c r="G5" s="76" t="s">
        <v>194</v>
      </c>
      <c r="H5" s="76" t="s">
        <v>195</v>
      </c>
      <c r="I5" s="76" t="s">
        <v>196</v>
      </c>
      <c r="J5" s="76" t="s">
        <v>197</v>
      </c>
      <c r="K5" s="76" t="s">
        <v>0</v>
      </c>
      <c r="L5" s="76" t="s">
        <v>198</v>
      </c>
      <c r="M5" s="76" t="s">
        <v>199</v>
      </c>
      <c r="N5" s="76" t="s">
        <v>200</v>
      </c>
      <c r="O5" s="76" t="s">
        <v>201</v>
      </c>
      <c r="P5" s="76" t="s">
        <v>202</v>
      </c>
      <c r="Q5" s="76" t="s">
        <v>203</v>
      </c>
      <c r="R5" s="76" t="s">
        <v>204</v>
      </c>
      <c r="S5" s="76" t="s">
        <v>205</v>
      </c>
      <c r="T5" s="76" t="s">
        <v>0</v>
      </c>
      <c r="U5" s="205"/>
      <c r="V5" s="205"/>
      <c r="W5" s="206"/>
      <c r="X5" s="77" t="s">
        <v>206</v>
      </c>
      <c r="Y5" s="77" t="s">
        <v>207</v>
      </c>
      <c r="Z5" s="77" t="s">
        <v>208</v>
      </c>
      <c r="AA5" s="77" t="s">
        <v>209</v>
      </c>
      <c r="AB5" s="77" t="s">
        <v>210</v>
      </c>
      <c r="AC5" s="77" t="s">
        <v>211</v>
      </c>
      <c r="AD5" s="77" t="s">
        <v>212</v>
      </c>
      <c r="AE5" s="77" t="s">
        <v>213</v>
      </c>
      <c r="AF5" s="208"/>
      <c r="AG5" s="208"/>
      <c r="AH5" s="205"/>
      <c r="AI5" s="204"/>
    </row>
    <row r="6" spans="1:35" s="73" customFormat="1" ht="55.35" customHeight="1" x14ac:dyDescent="0.25">
      <c r="A6" s="78"/>
      <c r="B6" s="79" t="str">
        <f>'2.3.Функции'!C5</f>
        <v>Выполнение работ по развитию государственной информационной системы: информационная система «Система долговременного ухода и социальные стационары» в части создания Сервиса «Чат-бот MAX социальных сервисов»</v>
      </c>
      <c r="C6" s="80">
        <f t="shared" ref="C6:T6" si="0">SUBTOTAL(9,C8:C10)</f>
        <v>8</v>
      </c>
      <c r="D6" s="80">
        <f t="shared" si="0"/>
        <v>4</v>
      </c>
      <c r="E6" s="80">
        <f t="shared" si="0"/>
        <v>0</v>
      </c>
      <c r="F6" s="80">
        <f t="shared" si="0"/>
        <v>7</v>
      </c>
      <c r="G6" s="80">
        <f t="shared" si="0"/>
        <v>7</v>
      </c>
      <c r="H6" s="80">
        <f t="shared" si="0"/>
        <v>0</v>
      </c>
      <c r="I6" s="80">
        <f t="shared" si="0"/>
        <v>0</v>
      </c>
      <c r="J6" s="80">
        <f t="shared" si="0"/>
        <v>0</v>
      </c>
      <c r="K6" s="80">
        <f t="shared" si="0"/>
        <v>26</v>
      </c>
      <c r="L6" s="80">
        <f t="shared" si="0"/>
        <v>88</v>
      </c>
      <c r="M6" s="80">
        <f t="shared" si="0"/>
        <v>24</v>
      </c>
      <c r="N6" s="80">
        <f t="shared" si="0"/>
        <v>0</v>
      </c>
      <c r="O6" s="80">
        <f t="shared" si="0"/>
        <v>35</v>
      </c>
      <c r="P6" s="80">
        <f t="shared" si="0"/>
        <v>28</v>
      </c>
      <c r="Q6" s="80">
        <f t="shared" si="0"/>
        <v>0</v>
      </c>
      <c r="R6" s="80">
        <f t="shared" si="0"/>
        <v>0</v>
      </c>
      <c r="S6" s="80">
        <f t="shared" si="0"/>
        <v>0</v>
      </c>
      <c r="T6" s="80">
        <f t="shared" si="0"/>
        <v>700</v>
      </c>
      <c r="U6" s="81"/>
      <c r="V6" s="82"/>
      <c r="W6" s="83">
        <f>SUM(W8:W10)</f>
        <v>136.19999999999999</v>
      </c>
      <c r="X6" s="84"/>
      <c r="Y6" s="85"/>
      <c r="Z6" s="85"/>
      <c r="AA6" s="86"/>
      <c r="AB6" s="85"/>
      <c r="AC6" s="87"/>
      <c r="AD6" s="87"/>
      <c r="AE6" s="87"/>
      <c r="AF6" s="87"/>
      <c r="AG6" s="87"/>
      <c r="AH6" s="83">
        <f>SUM(AH8:AH10)</f>
        <v>148.88</v>
      </c>
      <c r="AI6" s="188">
        <f>AH6/T6</f>
        <v>0.21268571428571428</v>
      </c>
    </row>
    <row r="7" spans="1:35" s="73" customFormat="1" x14ac:dyDescent="0.25">
      <c r="A7" s="78">
        <v>1</v>
      </c>
      <c r="B7" s="196" t="str">
        <f>'2.3.Функции'!C6</f>
        <v>Сервис «Чат-бот MAX социальных сервисов»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1"/>
      <c r="V7" s="82"/>
      <c r="W7" s="83"/>
      <c r="X7" s="84"/>
      <c r="Y7" s="85"/>
      <c r="Z7" s="85"/>
      <c r="AA7" s="86"/>
      <c r="AB7" s="85"/>
      <c r="AC7" s="87"/>
      <c r="AD7" s="87"/>
      <c r="AE7" s="87"/>
      <c r="AF7" s="87"/>
      <c r="AG7" s="87"/>
      <c r="AH7" s="83"/>
      <c r="AI7" s="188">
        <f>ROUND(SUM(AH8:AH10)/SUM(T8:T10),4)</f>
        <v>0.2127</v>
      </c>
    </row>
    <row r="8" spans="1:35" ht="24" x14ac:dyDescent="0.25">
      <c r="A8" s="88" t="s">
        <v>47</v>
      </c>
      <c r="B8" s="89" t="str">
        <f>'2.3.Функции'!C7</f>
        <v>Модуль «Чат-бот»</v>
      </c>
      <c r="C8" s="90">
        <f>'2.3.Функции'!D7</f>
        <v>2</v>
      </c>
      <c r="D8" s="90">
        <f>'2.3.Функции'!E7</f>
        <v>4</v>
      </c>
      <c r="E8" s="90">
        <f>'2.3.Функции'!F7</f>
        <v>0</v>
      </c>
      <c r="F8" s="90">
        <f>'2.3.Функции'!G7</f>
        <v>1</v>
      </c>
      <c r="G8" s="90">
        <f>'2.3.Функции'!H7</f>
        <v>3</v>
      </c>
      <c r="H8" s="90">
        <f>'2.3.Функции'!I7</f>
        <v>0</v>
      </c>
      <c r="I8" s="90">
        <f>'2.3.Функции'!J7</f>
        <v>0</v>
      </c>
      <c r="J8" s="90">
        <f>'2.3.Функции'!K7</f>
        <v>0</v>
      </c>
      <c r="K8" s="91">
        <f>SUM(C8:J8)</f>
        <v>10</v>
      </c>
      <c r="L8" s="92">
        <f t="shared" ref="L8" si="1">C8*11</f>
        <v>22</v>
      </c>
      <c r="M8" s="92">
        <f>D8*6</f>
        <v>24</v>
      </c>
      <c r="N8" s="92">
        <f t="shared" ref="N8" si="2">E8*5</f>
        <v>0</v>
      </c>
      <c r="O8" s="92">
        <f t="shared" ref="O8" si="3">F8*5</f>
        <v>5</v>
      </c>
      <c r="P8" s="92">
        <f>G8*4</f>
        <v>12</v>
      </c>
      <c r="Q8" s="92">
        <f>H8*4</f>
        <v>0</v>
      </c>
      <c r="R8" s="92">
        <f>I8*2</f>
        <v>0</v>
      </c>
      <c r="S8" s="92">
        <f>J8*1</f>
        <v>0</v>
      </c>
      <c r="T8" s="92">
        <f>SUM(L8:S8)</f>
        <v>63</v>
      </c>
      <c r="U8" s="93" t="s">
        <v>72</v>
      </c>
      <c r="V8" s="94">
        <v>0.255</v>
      </c>
      <c r="W8" s="95">
        <f>ROUND(POWER(T8,0.94)*V8,2)</f>
        <v>12.53</v>
      </c>
      <c r="X8" s="96">
        <v>1</v>
      </c>
      <c r="Y8" s="96">
        <v>1</v>
      </c>
      <c r="Z8" s="96">
        <v>0.95</v>
      </c>
      <c r="AA8" s="96">
        <v>1</v>
      </c>
      <c r="AB8" s="96">
        <v>1</v>
      </c>
      <c r="AC8" s="96">
        <v>1.1499999999999999</v>
      </c>
      <c r="AD8" s="96">
        <v>1</v>
      </c>
      <c r="AE8" s="96">
        <v>1</v>
      </c>
      <c r="AF8" s="97">
        <f>ROUND(X8*Y8*Z8*AA8*AB8*AC8*AD8*AE8,3)</f>
        <v>1.093</v>
      </c>
      <c r="AG8" s="95">
        <v>1</v>
      </c>
      <c r="AH8" s="181">
        <f>ROUND(W8*AF8*AG8,2)</f>
        <v>13.7</v>
      </c>
    </row>
    <row r="9" spans="1:35" ht="24" x14ac:dyDescent="0.25">
      <c r="A9" s="88" t="s">
        <v>49</v>
      </c>
      <c r="B9" s="89" t="str">
        <f>'2.3.Функции'!C8</f>
        <v>Модуль «ИИ-агент»</v>
      </c>
      <c r="C9" s="90">
        <f>'2.3.Функции'!D8</f>
        <v>6</v>
      </c>
      <c r="D9" s="90">
        <f>'2.3.Функции'!E8</f>
        <v>0</v>
      </c>
      <c r="E9" s="90">
        <f>'2.3.Функции'!F8</f>
        <v>0</v>
      </c>
      <c r="F9" s="90">
        <f>'2.3.Функции'!G8</f>
        <v>6</v>
      </c>
      <c r="G9" s="90">
        <f>'2.3.Функции'!H8</f>
        <v>4</v>
      </c>
      <c r="H9" s="90">
        <f>'2.3.Функции'!I8</f>
        <v>0</v>
      </c>
      <c r="I9" s="90">
        <f>'2.3.Функции'!J8</f>
        <v>0</v>
      </c>
      <c r="J9" s="90">
        <f>'2.3.Функции'!K8</f>
        <v>0</v>
      </c>
      <c r="K9" s="91">
        <f t="shared" ref="K9" si="4">SUM(C9:J9)</f>
        <v>16</v>
      </c>
      <c r="L9" s="92">
        <f t="shared" ref="L9" si="5">C9*11</f>
        <v>66</v>
      </c>
      <c r="M9" s="92">
        <f t="shared" ref="M9" si="6">D9*6</f>
        <v>0</v>
      </c>
      <c r="N9" s="92">
        <f t="shared" ref="N9" si="7">E9*5</f>
        <v>0</v>
      </c>
      <c r="O9" s="92">
        <f t="shared" ref="O9" si="8">F9*5</f>
        <v>30</v>
      </c>
      <c r="P9" s="92">
        <f t="shared" ref="P9" si="9">G9*4</f>
        <v>16</v>
      </c>
      <c r="Q9" s="92">
        <f t="shared" ref="Q9" si="10">H9*4</f>
        <v>0</v>
      </c>
      <c r="R9" s="92">
        <f t="shared" ref="R9" si="11">I9*2</f>
        <v>0</v>
      </c>
      <c r="S9" s="92">
        <f t="shared" ref="S9" si="12">J9*1</f>
        <v>0</v>
      </c>
      <c r="T9" s="92">
        <f t="shared" ref="T9" si="13">SUM(L9:S9)</f>
        <v>112</v>
      </c>
      <c r="U9" s="93" t="s">
        <v>72</v>
      </c>
      <c r="V9" s="94">
        <v>0.255</v>
      </c>
      <c r="W9" s="95">
        <f>ROUND(POWER(T9,0.94)*V9,2)</f>
        <v>21.52</v>
      </c>
      <c r="X9" s="96">
        <v>1</v>
      </c>
      <c r="Y9" s="96">
        <v>1</v>
      </c>
      <c r="Z9" s="96">
        <v>0.95</v>
      </c>
      <c r="AA9" s="96">
        <v>1</v>
      </c>
      <c r="AB9" s="96">
        <v>1</v>
      </c>
      <c r="AC9" s="96">
        <v>1.1499999999999999</v>
      </c>
      <c r="AD9" s="96">
        <v>1</v>
      </c>
      <c r="AE9" s="96">
        <v>1</v>
      </c>
      <c r="AF9" s="97">
        <f t="shared" ref="AF9" si="14">ROUND(X9*Y9*Z9*AA9*AB9*AC9*AD9*AE9,3)</f>
        <v>1.093</v>
      </c>
      <c r="AG9" s="95">
        <v>1</v>
      </c>
      <c r="AH9" s="181">
        <f t="shared" ref="AH9" si="15">ROUND(W9*AF9*AG9,2)</f>
        <v>23.52</v>
      </c>
    </row>
    <row r="10" spans="1:35" x14ac:dyDescent="0.25">
      <c r="A10" s="98"/>
      <c r="B10" s="99" t="s">
        <v>163</v>
      </c>
      <c r="C10" s="100"/>
      <c r="D10" s="100"/>
      <c r="E10" s="100"/>
      <c r="F10" s="100"/>
      <c r="G10" s="100"/>
      <c r="H10" s="100"/>
      <c r="I10" s="100"/>
      <c r="J10" s="100"/>
      <c r="K10" s="101"/>
      <c r="L10" s="102"/>
      <c r="M10" s="102"/>
      <c r="N10" s="102"/>
      <c r="O10" s="102"/>
      <c r="P10" s="102"/>
      <c r="Q10" s="102"/>
      <c r="R10" s="102"/>
      <c r="S10" s="102"/>
      <c r="T10" s="102">
        <f>ROUND(SUM(T8:T9)/$W$16*$W$17,0)</f>
        <v>525</v>
      </c>
      <c r="U10" s="103"/>
      <c r="V10" s="104"/>
      <c r="W10" s="105">
        <f>ROUND(SUM(W8:W9)/$W$16*$W$17,2)</f>
        <v>102.15</v>
      </c>
      <c r="X10" s="106"/>
      <c r="Y10" s="106"/>
      <c r="Z10" s="106"/>
      <c r="AA10" s="106"/>
      <c r="AB10" s="106"/>
      <c r="AC10" s="106"/>
      <c r="AD10" s="106"/>
      <c r="AE10" s="106"/>
      <c r="AF10" s="107"/>
      <c r="AG10" s="105"/>
      <c r="AH10" s="182">
        <f>ROUND(SUM(AH8:AH9)/$W$16*$W$17,2)</f>
        <v>111.66</v>
      </c>
    </row>
    <row r="12" spans="1:35" x14ac:dyDescent="0.25">
      <c r="B12" s="108"/>
      <c r="V12" s="56" t="s">
        <v>60</v>
      </c>
      <c r="W12" s="57">
        <f>W16+W19+W22</f>
        <v>10</v>
      </c>
      <c r="X12" s="109">
        <f>W12/W14</f>
        <v>0.25</v>
      </c>
      <c r="Y12" s="110"/>
    </row>
    <row r="13" spans="1:35" x14ac:dyDescent="0.25">
      <c r="V13" s="58" t="s">
        <v>61</v>
      </c>
      <c r="W13" s="57">
        <f>W17+W20+W23</f>
        <v>30</v>
      </c>
    </row>
    <row r="14" spans="1:35" x14ac:dyDescent="0.25">
      <c r="V14" s="58" t="s">
        <v>62</v>
      </c>
      <c r="W14" s="59">
        <f>SUM(W12:W13)</f>
        <v>40</v>
      </c>
    </row>
    <row r="15" spans="1:35" x14ac:dyDescent="0.25">
      <c r="V15" s="58"/>
      <c r="W15" s="59"/>
    </row>
    <row r="16" spans="1:35" x14ac:dyDescent="0.25">
      <c r="T16" s="72" t="str">
        <f>B7</f>
        <v>Сервис «Чат-бот MAX социальных сервисов»</v>
      </c>
      <c r="V16" s="58" t="s">
        <v>98</v>
      </c>
      <c r="W16" s="111">
        <v>10</v>
      </c>
      <c r="X16" s="112">
        <f>W16/SUM(W16:W17)</f>
        <v>0.25</v>
      </c>
      <c r="Y16" s="110"/>
    </row>
    <row r="17" spans="22:25" x14ac:dyDescent="0.25">
      <c r="V17" s="58" t="s">
        <v>99</v>
      </c>
      <c r="W17" s="111">
        <v>30</v>
      </c>
      <c r="X17" s="112">
        <f>1-X16</f>
        <v>0.75</v>
      </c>
    </row>
    <row r="18" spans="22:25" x14ac:dyDescent="0.25">
      <c r="V18" s="58"/>
      <c r="W18" s="111"/>
    </row>
    <row r="19" spans="22:25" x14ac:dyDescent="0.25">
      <c r="V19" s="58"/>
      <c r="W19" s="111"/>
      <c r="X19" s="112"/>
      <c r="Y19" s="110"/>
    </row>
    <row r="20" spans="22:25" x14ac:dyDescent="0.25">
      <c r="V20" s="58"/>
      <c r="W20" s="111"/>
      <c r="X20" s="112"/>
    </row>
    <row r="22" spans="22:25" x14ac:dyDescent="0.25">
      <c r="V22" s="58"/>
      <c r="W22" s="111"/>
      <c r="X22" s="112"/>
      <c r="Y22" s="110"/>
    </row>
    <row r="23" spans="22:25" x14ac:dyDescent="0.25">
      <c r="V23" s="58"/>
      <c r="W23" s="111"/>
      <c r="X23" s="112"/>
    </row>
  </sheetData>
  <mergeCells count="12">
    <mergeCell ref="AI4:AI5"/>
    <mergeCell ref="A4:A5"/>
    <mergeCell ref="B4:B5"/>
    <mergeCell ref="AH4:AH5"/>
    <mergeCell ref="C4:K4"/>
    <mergeCell ref="L4:T4"/>
    <mergeCell ref="U4:U5"/>
    <mergeCell ref="V4:V5"/>
    <mergeCell ref="W4:W5"/>
    <mergeCell ref="X4:AE4"/>
    <mergeCell ref="AF4:AF5"/>
    <mergeCell ref="AG4:AG5"/>
  </mergeCells>
  <conditionalFormatting sqref="X1:X7 X11:X1048576">
    <cfRule type="cellIs" dxfId="25" priority="170" operator="equal">
      <formula>0.9</formula>
    </cfRule>
    <cfRule type="cellIs" dxfId="24" priority="169" operator="equal">
      <formula>1.15</formula>
    </cfRule>
    <cfRule type="cellIs" dxfId="23" priority="159" operator="equal">
      <formula>0.9</formula>
    </cfRule>
  </conditionalFormatting>
  <conditionalFormatting sqref="X1:Y7 AC1:AD7 AE6:AG7 AD11:AG11 X11:Y1048576 AC12:AG1048576">
    <cfRule type="cellIs" dxfId="22" priority="156" operator="equal">
      <formula>1</formula>
    </cfRule>
  </conditionalFormatting>
  <conditionalFormatting sqref="X1:AA7 X11:AA1048576">
    <cfRule type="cellIs" dxfId="21" priority="162" operator="equal">
      <formula>1</formula>
    </cfRule>
  </conditionalFormatting>
  <conditionalFormatting sqref="Y1:Y7 Y11:Y1048576">
    <cfRule type="cellIs" dxfId="20" priority="168" operator="equal">
      <formula>1.07</formula>
    </cfRule>
    <cfRule type="cellIs" dxfId="19" priority="166" operator="equal">
      <formula>0.93</formula>
    </cfRule>
    <cfRule type="cellIs" dxfId="18" priority="157" operator="equal">
      <formula>0.93</formula>
    </cfRule>
  </conditionalFormatting>
  <conditionalFormatting sqref="Z1:Z7 Z11:Z1048576">
    <cfRule type="cellIs" dxfId="17" priority="155" operator="equal">
      <formula>0.95</formula>
    </cfRule>
    <cfRule type="cellIs" dxfId="16" priority="154" operator="equal">
      <formula>1</formula>
    </cfRule>
    <cfRule type="cellIs" dxfId="15" priority="163" operator="equal">
      <formula>0.95</formula>
    </cfRule>
    <cfRule type="cellIs" dxfId="14" priority="165" operator="equal">
      <formula>1.05</formula>
    </cfRule>
  </conditionalFormatting>
  <conditionalFormatting sqref="AA1:AA7 AA11:AA1048576">
    <cfRule type="cellIs" dxfId="13" priority="152" operator="equal">
      <formula>0.85</formula>
    </cfRule>
    <cfRule type="cellIs" dxfId="12" priority="153" operator="equal">
      <formula>1</formula>
    </cfRule>
    <cfRule type="cellIs" dxfId="11" priority="160" operator="equal">
      <formula>0.85</formula>
    </cfRule>
    <cfRule type="cellIs" dxfId="10" priority="161" operator="equal">
      <formula>1.15</formula>
    </cfRule>
  </conditionalFormatting>
  <conditionalFormatting sqref="AB1:AB7 AB11:AB1048576">
    <cfRule type="cellIs" dxfId="9" priority="151" operator="equal">
      <formula>1</formula>
    </cfRule>
    <cfRule type="cellIs" dxfId="8" priority="150" operator="equal">
      <formula>1.07</formula>
    </cfRule>
  </conditionalFormatting>
  <conditionalFormatting sqref="AC1:AD4 AC5:AC7 AD11 AC12:AD1048576 AF14">
    <cfRule type="cellIs" dxfId="7" priority="149" operator="equal">
      <formula>0.87</formula>
    </cfRule>
    <cfRule type="cellIs" dxfId="6" priority="147" operator="equal">
      <formula>1.15</formula>
    </cfRule>
  </conditionalFormatting>
  <conditionalFormatting sqref="AE4:AE5 AD5:AD7 AE6:AG7">
    <cfRule type="cellIs" dxfId="5" priority="15" operator="equal">
      <formula>0.97</formula>
    </cfRule>
    <cfRule type="cellIs" dxfId="4" priority="13" operator="equal">
      <formula>1.04</formula>
    </cfRule>
  </conditionalFormatting>
  <conditionalFormatting sqref="AE4:AE5">
    <cfRule type="cellIs" dxfId="3" priority="14" operator="equal">
      <formula>1</formula>
    </cfRule>
  </conditionalFormatting>
  <conditionalFormatting sqref="AE1:AG3 AE11:AG1048576">
    <cfRule type="cellIs" dxfId="2" priority="146" operator="equal">
      <formula>0.97</formula>
    </cfRule>
    <cfRule type="cellIs" dxfId="1" priority="144" operator="equal">
      <formula>1.04</formula>
    </cfRule>
  </conditionalFormatting>
  <conditionalFormatting sqref="AE1:AG3">
    <cfRule type="cellIs" dxfId="0" priority="145" operator="equal">
      <formula>1</formula>
    </cfRule>
  </conditionalFormatting>
  <pageMargins left="0.27559055118110237" right="0.11811023622047245" top="0.74803149606299213" bottom="0.27559055118110237" header="0.31496062992125984" footer="0.31496062992125984"/>
  <pageSetup paperSize="9" scale="55" fitToHeight="25" pageOrder="overThenDown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7"/>
  <sheetViews>
    <sheetView zoomScale="110" zoomScaleNormal="110" zoomScalePageLayoutView="80" workbookViewId="0">
      <selection activeCell="D27" sqref="D27"/>
    </sheetView>
  </sheetViews>
  <sheetFormatPr defaultColWidth="8.7109375" defaultRowHeight="15" x14ac:dyDescent="0.25"/>
  <cols>
    <col min="1" max="1" width="6.85546875" customWidth="1"/>
    <col min="2" max="2" width="50.42578125" customWidth="1"/>
    <col min="3" max="5" width="26" customWidth="1"/>
    <col min="6" max="6" width="16.7109375" customWidth="1"/>
    <col min="7" max="7" width="17.7109375" customWidth="1"/>
    <col min="9" max="9" width="9" bestFit="1" customWidth="1"/>
  </cols>
  <sheetData>
    <row r="1" spans="1:10" ht="52.5" customHeight="1" x14ac:dyDescent="0.25">
      <c r="A1" s="7"/>
      <c r="B1" s="209" t="str">
        <f>'2.3.Функции'!C5</f>
        <v>Выполнение работ по развитию государственной информационной системы: информационная система «Система долговременного ухода и социальные стационары» в части создания Сервиса «Чат-бот MAX социальных сервисов»</v>
      </c>
      <c r="C1" s="209"/>
      <c r="D1" s="209"/>
      <c r="E1" s="209"/>
      <c r="F1" s="209"/>
      <c r="G1" s="209"/>
      <c r="H1" s="209"/>
      <c r="I1" s="209"/>
      <c r="J1" s="209"/>
    </row>
    <row r="3" spans="1:10" x14ac:dyDescent="0.25">
      <c r="A3" s="2"/>
      <c r="B3" s="8" t="s">
        <v>76</v>
      </c>
      <c r="C3" s="2"/>
      <c r="D3" s="2"/>
      <c r="E3" s="2"/>
      <c r="F3" s="2"/>
    </row>
    <row r="4" spans="1:10" ht="15.75" thickBot="1" x14ac:dyDescent="0.3">
      <c r="A4" s="2"/>
      <c r="B4" s="2"/>
      <c r="C4" s="2"/>
      <c r="D4" s="2"/>
      <c r="E4" s="2"/>
      <c r="F4" s="2"/>
    </row>
    <row r="5" spans="1:10" ht="45" x14ac:dyDescent="0.25">
      <c r="A5" s="3" t="s">
        <v>3</v>
      </c>
      <c r="B5" s="4" t="s">
        <v>85</v>
      </c>
      <c r="C5" s="4" t="s">
        <v>4</v>
      </c>
      <c r="D5" s="4" t="s">
        <v>5</v>
      </c>
      <c r="E5" s="5" t="s">
        <v>77</v>
      </c>
    </row>
    <row r="6" spans="1:10" ht="15.75" thickBot="1" x14ac:dyDescent="0.3">
      <c r="A6" s="6">
        <v>1</v>
      </c>
      <c r="B6" s="35">
        <v>274521.09999999998</v>
      </c>
      <c r="C6" s="36">
        <v>1.05</v>
      </c>
      <c r="D6" s="36">
        <v>0.67</v>
      </c>
      <c r="E6" s="37">
        <f>ROUND(B6/D6*C6,2)</f>
        <v>430219.63</v>
      </c>
    </row>
    <row r="7" spans="1:10" x14ac:dyDescent="0.25">
      <c r="A7" s="2"/>
      <c r="B7" s="2"/>
      <c r="C7" s="2"/>
      <c r="D7" s="2"/>
      <c r="E7" s="2"/>
      <c r="F7" s="2"/>
    </row>
    <row r="8" spans="1:10" x14ac:dyDescent="0.25">
      <c r="I8" s="1"/>
    </row>
    <row r="9" spans="1:10" s="26" customFormat="1" ht="18" customHeight="1" x14ac:dyDescent="0.25">
      <c r="A9" s="25"/>
      <c r="B9" s="211" t="s">
        <v>78</v>
      </c>
      <c r="C9" s="211"/>
      <c r="D9" s="211"/>
      <c r="E9" s="211"/>
      <c r="F9" s="211"/>
    </row>
    <row r="10" spans="1:10" s="26" customFormat="1" ht="15.75" thickBot="1" x14ac:dyDescent="0.3"/>
    <row r="11" spans="1:10" s="26" customFormat="1" ht="45" x14ac:dyDescent="0.25">
      <c r="A11" s="27" t="s">
        <v>3</v>
      </c>
      <c r="B11" s="28" t="s">
        <v>77</v>
      </c>
      <c r="C11" s="29" t="s">
        <v>79</v>
      </c>
      <c r="D11" s="30"/>
      <c r="E11" s="30"/>
      <c r="F11" s="30"/>
    </row>
    <row r="12" spans="1:10" s="26" customFormat="1" ht="15.75" thickBot="1" x14ac:dyDescent="0.3">
      <c r="A12" s="31">
        <v>1</v>
      </c>
      <c r="B12" s="38">
        <f>E6</f>
        <v>430219.63</v>
      </c>
      <c r="C12" s="32">
        <f>'2.4.Трудоемкость'!AH6</f>
        <v>148.88</v>
      </c>
      <c r="D12" s="33"/>
      <c r="E12" s="34"/>
      <c r="F12" s="33"/>
    </row>
    <row r="13" spans="1:10" x14ac:dyDescent="0.25">
      <c r="B13" s="210"/>
      <c r="C13" s="210"/>
      <c r="D13" s="210"/>
      <c r="E13" s="210"/>
      <c r="F13" s="210"/>
      <c r="G13" s="210"/>
    </row>
    <row r="14" spans="1:10" ht="15.75" thickBot="1" x14ac:dyDescent="0.3"/>
    <row r="15" spans="1:10" s="26" customFormat="1" ht="60" x14ac:dyDescent="0.25">
      <c r="A15" s="39" t="s">
        <v>56</v>
      </c>
      <c r="B15" s="40" t="s">
        <v>80</v>
      </c>
      <c r="C15" s="40" t="s">
        <v>81</v>
      </c>
      <c r="D15" s="40" t="s">
        <v>82</v>
      </c>
      <c r="E15" s="41" t="s">
        <v>83</v>
      </c>
      <c r="F15" s="42"/>
    </row>
    <row r="16" spans="1:10" s="26" customFormat="1" x14ac:dyDescent="0.25">
      <c r="A16" s="44">
        <v>2026</v>
      </c>
      <c r="B16" s="45">
        <f>1.0275</f>
        <v>1.0275000000000001</v>
      </c>
      <c r="C16" s="125">
        <f>'2.2.Свод_по_годам'!G6</f>
        <v>0.55000000000000004</v>
      </c>
      <c r="D16" s="46">
        <f>ROUND($B$12*$C$12*B16*C16,2)</f>
        <v>36196877.049999997</v>
      </c>
      <c r="E16" s="47">
        <f>ROUND(D16*1.22,2)</f>
        <v>44160190</v>
      </c>
      <c r="F16" s="43"/>
    </row>
    <row r="17" spans="1:7" s="26" customFormat="1" x14ac:dyDescent="0.25">
      <c r="A17" s="44">
        <v>2027</v>
      </c>
      <c r="B17" s="45">
        <f>ROUND(B16*(1+0.0205/12*12),4)</f>
        <v>1.0486</v>
      </c>
      <c r="C17" s="125">
        <f>'2.2.Свод_по_годам'!G7</f>
        <v>0.35</v>
      </c>
      <c r="D17" s="46">
        <f>ROUND($B$12*$C$12*B17*C17,2)</f>
        <v>23507393.670000002</v>
      </c>
      <c r="E17" s="47">
        <f>ROUND(D17*1.22,2)</f>
        <v>28679020.280000001</v>
      </c>
      <c r="F17" s="43"/>
    </row>
    <row r="18" spans="1:7" s="26" customFormat="1" x14ac:dyDescent="0.25">
      <c r="A18" s="44">
        <v>2028</v>
      </c>
      <c r="B18" s="45">
        <f>ROUND(B17*(1+0.02/12*4),4)</f>
        <v>1.0556000000000001</v>
      </c>
      <c r="C18" s="125">
        <f>1-SUM(C16:C17)</f>
        <v>9.9999999999999978E-2</v>
      </c>
      <c r="D18" s="46">
        <f>ROUND($B$12*$C$12*B18*C18,2)</f>
        <v>6761233.96</v>
      </c>
      <c r="E18" s="47">
        <f>ROUND(D18*1.22,2)</f>
        <v>8248705.4299999997</v>
      </c>
      <c r="F18" s="43"/>
    </row>
    <row r="19" spans="1:7" s="26" customFormat="1" ht="24" customHeight="1" thickBot="1" x14ac:dyDescent="0.3">
      <c r="A19" s="212" t="s">
        <v>84</v>
      </c>
      <c r="B19" s="213"/>
      <c r="C19" s="213"/>
      <c r="D19" s="48">
        <f>SUM(D16:D18)</f>
        <v>66465504.68</v>
      </c>
      <c r="E19" s="49">
        <f>SUM(E16:E18)</f>
        <v>81087915.710000008</v>
      </c>
      <c r="F19" s="43"/>
    </row>
    <row r="20" spans="1:7" s="26" customFormat="1" x14ac:dyDescent="0.25">
      <c r="F20" s="43"/>
    </row>
    <row r="21" spans="1:7" x14ac:dyDescent="0.25">
      <c r="B21" s="50"/>
      <c r="C21" s="63"/>
      <c r="G21" s="10"/>
    </row>
    <row r="22" spans="1:7" x14ac:dyDescent="0.25">
      <c r="B22" s="50"/>
      <c r="G22" s="10"/>
    </row>
    <row r="23" spans="1:7" x14ac:dyDescent="0.25">
      <c r="B23" s="50"/>
      <c r="C23" s="51"/>
      <c r="G23" s="10"/>
    </row>
    <row r="24" spans="1:7" x14ac:dyDescent="0.25">
      <c r="G24" s="10"/>
    </row>
    <row r="25" spans="1:7" x14ac:dyDescent="0.25">
      <c r="G25" s="10"/>
    </row>
    <row r="26" spans="1:7" x14ac:dyDescent="0.25">
      <c r="G26" s="10"/>
    </row>
    <row r="27" spans="1:7" x14ac:dyDescent="0.25">
      <c r="G27" s="10"/>
    </row>
  </sheetData>
  <mergeCells count="4">
    <mergeCell ref="B1:J1"/>
    <mergeCell ref="B13:G13"/>
    <mergeCell ref="B9:F9"/>
    <mergeCell ref="A19:C19"/>
  </mergeCells>
  <pageMargins left="0.31496062992125984" right="0.31496062992125984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53"/>
  <sheetViews>
    <sheetView topLeftCell="A25" zoomScaleNormal="70" workbookViewId="0">
      <selection activeCell="F37" sqref="F37"/>
    </sheetView>
  </sheetViews>
  <sheetFormatPr defaultColWidth="8.7109375" defaultRowHeight="15" x14ac:dyDescent="0.25"/>
  <cols>
    <col min="2" max="2" width="33" customWidth="1"/>
    <col min="3" max="3" width="26.7109375" customWidth="1"/>
    <col min="4" max="4" width="28.140625" customWidth="1"/>
    <col min="5" max="5" width="18.42578125" customWidth="1"/>
  </cols>
  <sheetData>
    <row r="2" spans="2:5" ht="18.75" x14ac:dyDescent="0.35">
      <c r="B2" s="11" t="s">
        <v>11</v>
      </c>
    </row>
    <row r="3" spans="2:5" ht="15.75" x14ac:dyDescent="0.25">
      <c r="B3" s="11" t="s">
        <v>6</v>
      </c>
    </row>
    <row r="4" spans="2:5" ht="15.75" thickBot="1" x14ac:dyDescent="0.3"/>
    <row r="5" spans="2:5" ht="16.5" thickBot="1" x14ac:dyDescent="0.3">
      <c r="B5" s="12" t="s">
        <v>7</v>
      </c>
      <c r="C5" s="13" t="s">
        <v>8</v>
      </c>
      <c r="D5" s="13" t="s">
        <v>9</v>
      </c>
      <c r="E5" s="13" t="s">
        <v>42</v>
      </c>
    </row>
    <row r="6" spans="2:5" ht="35.25" thickBot="1" x14ac:dyDescent="0.3">
      <c r="B6" s="22" t="s">
        <v>10</v>
      </c>
      <c r="C6" s="9">
        <v>0.9</v>
      </c>
      <c r="D6" s="9">
        <v>1</v>
      </c>
      <c r="E6" s="9">
        <v>1.1499999999999999</v>
      </c>
    </row>
    <row r="8" spans="2:5" ht="15.75" x14ac:dyDescent="0.25">
      <c r="B8" s="11" t="s">
        <v>86</v>
      </c>
    </row>
    <row r="9" spans="2:5" ht="15.75" x14ac:dyDescent="0.25">
      <c r="B9" s="11" t="s">
        <v>6</v>
      </c>
    </row>
    <row r="10" spans="2:5" ht="15.75" thickBot="1" x14ac:dyDescent="0.3"/>
    <row r="11" spans="2:5" ht="16.5" thickBot="1" x14ac:dyDescent="0.3">
      <c r="B11" s="12" t="s">
        <v>87</v>
      </c>
      <c r="C11" s="13" t="s">
        <v>88</v>
      </c>
      <c r="D11" s="13" t="s">
        <v>89</v>
      </c>
      <c r="E11" s="13" t="s">
        <v>90</v>
      </c>
    </row>
    <row r="12" spans="2:5" ht="32.25" thickBot="1" x14ac:dyDescent="0.3">
      <c r="B12" s="22" t="s">
        <v>91</v>
      </c>
      <c r="C12" s="9">
        <v>0.93</v>
      </c>
      <c r="D12" s="9">
        <v>1</v>
      </c>
      <c r="E12" s="52">
        <v>1.07</v>
      </c>
    </row>
    <row r="14" spans="2:5" ht="20.25" x14ac:dyDescent="0.35">
      <c r="B14" s="11" t="s">
        <v>13</v>
      </c>
    </row>
    <row r="15" spans="2:5" ht="15.75" x14ac:dyDescent="0.25">
      <c r="B15" s="11" t="s">
        <v>6</v>
      </c>
    </row>
    <row r="16" spans="2:5" ht="15.75" thickBot="1" x14ac:dyDescent="0.3"/>
    <row r="17" spans="2:5" x14ac:dyDescent="0.25">
      <c r="B17" s="214" t="s">
        <v>14</v>
      </c>
      <c r="C17" s="214" t="s">
        <v>12</v>
      </c>
      <c r="D17" s="214" t="s">
        <v>15</v>
      </c>
      <c r="E17" s="214" t="s">
        <v>16</v>
      </c>
    </row>
    <row r="18" spans="2:5" ht="15.75" thickBot="1" x14ac:dyDescent="0.3">
      <c r="B18" s="215"/>
      <c r="C18" s="215"/>
      <c r="D18" s="215"/>
      <c r="E18" s="215"/>
    </row>
    <row r="19" spans="2:5" ht="35.25" thickBot="1" x14ac:dyDescent="0.3">
      <c r="B19" s="22" t="s">
        <v>17</v>
      </c>
      <c r="C19" s="9">
        <v>0.95</v>
      </c>
      <c r="D19" s="9">
        <v>1</v>
      </c>
      <c r="E19" s="9">
        <v>1.05</v>
      </c>
    </row>
    <row r="21" spans="2:5" ht="18.75" x14ac:dyDescent="0.35">
      <c r="B21" s="11" t="s">
        <v>40</v>
      </c>
    </row>
    <row r="22" spans="2:5" ht="15.75" x14ac:dyDescent="0.25">
      <c r="B22" s="11" t="s">
        <v>18</v>
      </c>
    </row>
    <row r="23" spans="2:5" ht="15.75" thickBot="1" x14ac:dyDescent="0.3"/>
    <row r="24" spans="2:5" ht="48" thickBot="1" x14ac:dyDescent="0.3">
      <c r="B24" s="12" t="s">
        <v>19</v>
      </c>
      <c r="C24" s="13" t="s">
        <v>20</v>
      </c>
      <c r="D24" s="13" t="s">
        <v>21</v>
      </c>
      <c r="E24" s="13" t="s">
        <v>22</v>
      </c>
    </row>
    <row r="25" spans="2:5" ht="35.25" thickBot="1" x14ac:dyDescent="0.3">
      <c r="B25" s="22" t="s">
        <v>23</v>
      </c>
      <c r="C25" s="9">
        <v>0.85</v>
      </c>
      <c r="D25" s="9">
        <v>1</v>
      </c>
      <c r="E25" s="9">
        <v>1.1499999999999999</v>
      </c>
    </row>
    <row r="27" spans="2:5" ht="20.25" x14ac:dyDescent="0.35">
      <c r="B27" s="11" t="s">
        <v>24</v>
      </c>
    </row>
    <row r="28" spans="2:5" ht="15.75" x14ac:dyDescent="0.25">
      <c r="B28" s="11" t="s">
        <v>18</v>
      </c>
    </row>
    <row r="29" spans="2:5" ht="15.75" thickBot="1" x14ac:dyDescent="0.3"/>
    <row r="30" spans="2:5" ht="15.75" x14ac:dyDescent="0.25">
      <c r="B30" s="214" t="s">
        <v>25</v>
      </c>
      <c r="C30" s="14" t="s">
        <v>26</v>
      </c>
      <c r="D30" s="214" t="s">
        <v>27</v>
      </c>
    </row>
    <row r="31" spans="2:5" ht="16.5" thickBot="1" x14ac:dyDescent="0.3">
      <c r="B31" s="215"/>
      <c r="C31" s="9" t="s">
        <v>27</v>
      </c>
      <c r="D31" s="215"/>
    </row>
    <row r="32" spans="2:5" ht="35.25" thickBot="1" x14ac:dyDescent="0.3">
      <c r="B32" s="22" t="s">
        <v>28</v>
      </c>
      <c r="C32" s="9">
        <v>1</v>
      </c>
      <c r="D32" s="9">
        <v>1.07</v>
      </c>
    </row>
    <row r="34" spans="2:5" ht="18.75" x14ac:dyDescent="0.35">
      <c r="B34" s="11" t="s">
        <v>41</v>
      </c>
    </row>
    <row r="35" spans="2:5" ht="15.75" x14ac:dyDescent="0.25">
      <c r="B35" s="11" t="s">
        <v>18</v>
      </c>
    </row>
    <row r="36" spans="2:5" ht="15.75" thickBot="1" x14ac:dyDescent="0.3"/>
    <row r="37" spans="2:5" ht="32.25" thickBot="1" x14ac:dyDescent="0.3">
      <c r="B37" s="12" t="s">
        <v>29</v>
      </c>
      <c r="C37" s="13" t="s">
        <v>30</v>
      </c>
      <c r="D37" s="13" t="s">
        <v>31</v>
      </c>
      <c r="E37" s="13" t="s">
        <v>32</v>
      </c>
    </row>
    <row r="38" spans="2:5" ht="35.25" thickBot="1" x14ac:dyDescent="0.3">
      <c r="B38" s="22" t="s">
        <v>33</v>
      </c>
      <c r="C38" s="9">
        <v>0.87</v>
      </c>
      <c r="D38" s="9">
        <v>1</v>
      </c>
      <c r="E38" s="9">
        <v>1.1499999999999999</v>
      </c>
    </row>
    <row r="40" spans="2:5" ht="20.25" x14ac:dyDescent="0.35">
      <c r="B40" s="11" t="s">
        <v>34</v>
      </c>
    </row>
    <row r="41" spans="2:5" ht="15.75" x14ac:dyDescent="0.25">
      <c r="B41" s="11" t="s">
        <v>18</v>
      </c>
    </row>
    <row r="42" spans="2:5" ht="15.75" thickBot="1" x14ac:dyDescent="0.3"/>
    <row r="43" spans="2:5" ht="31.5" x14ac:dyDescent="0.25">
      <c r="B43" s="214" t="s">
        <v>35</v>
      </c>
      <c r="C43" s="14" t="s">
        <v>36</v>
      </c>
      <c r="D43" s="14" t="s">
        <v>38</v>
      </c>
      <c r="E43" s="14" t="s">
        <v>44</v>
      </c>
    </row>
    <row r="44" spans="2:5" ht="32.25" thickBot="1" x14ac:dyDescent="0.3">
      <c r="B44" s="215"/>
      <c r="C44" s="9" t="s">
        <v>37</v>
      </c>
      <c r="D44" s="9" t="s">
        <v>37</v>
      </c>
      <c r="E44" s="9" t="s">
        <v>45</v>
      </c>
    </row>
    <row r="45" spans="2:5" ht="18.75" customHeight="1" x14ac:dyDescent="0.25">
      <c r="B45" s="214" t="s">
        <v>39</v>
      </c>
      <c r="C45" s="214">
        <v>0.97</v>
      </c>
      <c r="D45" s="214">
        <v>1</v>
      </c>
      <c r="E45" s="214">
        <v>1.04</v>
      </c>
    </row>
    <row r="46" spans="2:5" ht="15.75" customHeight="1" thickBot="1" x14ac:dyDescent="0.3">
      <c r="B46" s="215"/>
      <c r="C46" s="215"/>
      <c r="D46" s="215"/>
      <c r="E46" s="215"/>
    </row>
    <row r="48" spans="2:5" s="26" customFormat="1" ht="18.75" x14ac:dyDescent="0.35">
      <c r="B48" s="15" t="s">
        <v>92</v>
      </c>
    </row>
    <row r="49" spans="2:5" s="26" customFormat="1" ht="15.75" x14ac:dyDescent="0.25">
      <c r="B49" s="15" t="s">
        <v>18</v>
      </c>
    </row>
    <row r="50" spans="2:5" s="26" customFormat="1" ht="15.75" thickBot="1" x14ac:dyDescent="0.3"/>
    <row r="51" spans="2:5" s="26" customFormat="1" ht="45.75" thickBot="1" x14ac:dyDescent="0.3">
      <c r="B51" s="53" t="s">
        <v>93</v>
      </c>
      <c r="C51" s="54" t="s">
        <v>94</v>
      </c>
      <c r="D51" s="54" t="s">
        <v>95</v>
      </c>
      <c r="E51" s="54" t="s">
        <v>96</v>
      </c>
    </row>
    <row r="52" spans="2:5" s="26" customFormat="1" x14ac:dyDescent="0.25">
      <c r="B52" s="216" t="s">
        <v>97</v>
      </c>
      <c r="C52" s="216">
        <v>1</v>
      </c>
      <c r="D52" s="216">
        <v>1.03</v>
      </c>
      <c r="E52" s="216">
        <v>1.05</v>
      </c>
    </row>
    <row r="53" spans="2:5" s="26" customFormat="1" ht="24.75" customHeight="1" thickBot="1" x14ac:dyDescent="0.3">
      <c r="B53" s="217"/>
      <c r="C53" s="217"/>
      <c r="D53" s="217"/>
      <c r="E53" s="217"/>
    </row>
  </sheetData>
  <mergeCells count="15">
    <mergeCell ref="B52:B53"/>
    <mergeCell ref="C52:C53"/>
    <mergeCell ref="D52:D53"/>
    <mergeCell ref="E52:E53"/>
    <mergeCell ref="B43:B44"/>
    <mergeCell ref="B45:B46"/>
    <mergeCell ref="C45:C46"/>
    <mergeCell ref="D45:D46"/>
    <mergeCell ref="E45:E46"/>
    <mergeCell ref="B17:B18"/>
    <mergeCell ref="C17:C18"/>
    <mergeCell ref="D17:D18"/>
    <mergeCell ref="E17:E18"/>
    <mergeCell ref="B30:B31"/>
    <mergeCell ref="D30:D31"/>
  </mergeCells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d87b46-021b-4401-a040-1841595d5fab">RUEN47CJP26J-1067676966-222406</_dlc_DocId>
    <_dlc_DocIdUrl xmlns="a0d87b46-021b-4401-a040-1841595d5fab">
      <Url>https://shp-edu.mos.ru/teddoc/_layouts/15/DocIdRedir.aspx?ID=RUEN47CJP26J-1067676966-222406</Url>
      <Description>RUEN47CJP26J-1067676966-222406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134D54AB67A0458F83979FC60B193D" ma:contentTypeVersion="1" ma:contentTypeDescription="Создание документа." ma:contentTypeScope="" ma:versionID="700f288c0ceef1c61b9ee8e71c787eb2">
  <xsd:schema xmlns:xsd="http://www.w3.org/2001/XMLSchema" xmlns:xs="http://www.w3.org/2001/XMLSchema" xmlns:p="http://schemas.microsoft.com/office/2006/metadata/properties" xmlns:ns2="a0d87b46-021b-4401-a040-1841595d5fab" targetNamespace="http://schemas.microsoft.com/office/2006/metadata/properties" ma:root="true" ma:fieldsID="fb42953c217628e533bd8b84ba7a3215" ns2:_="">
    <xsd:import namespace="a0d87b46-021b-4401-a040-1841595d5fa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87b46-021b-4401-a040-1841595d5fa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  <xsd:element name="SharedWithUsers" ma:index="11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E29811-4028-40CB-B36D-44B40308A671}">
  <ds:schemaRefs>
    <ds:schemaRef ds:uri="http://schemas.microsoft.com/office/2006/documentManagement/types"/>
    <ds:schemaRef ds:uri="http://www.w3.org/XML/1998/namespace"/>
    <ds:schemaRef ds:uri="a0d87b46-021b-4401-a040-1841595d5fab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C3F3184-6578-4B50-BC5D-B2454852E1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9AEAD0-E0BC-44BF-A616-112FF81BF26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8FD9DEB-0DD7-4B4B-B139-A08DD03CD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d87b46-021b-4401-a040-1841595d5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2.1.Титул</vt:lpstr>
      <vt:lpstr>2.2.Свод_по_годам</vt:lpstr>
      <vt:lpstr>2.3.Функции</vt:lpstr>
      <vt:lpstr>2.4.Трудоемкость</vt:lpstr>
      <vt:lpstr>2.5.Расчет стоимости</vt:lpstr>
      <vt:lpstr>2.6.Коэффициенты</vt:lpstr>
      <vt:lpstr>'2.3.Функции'!_Hlk226029820</vt:lpstr>
      <vt:lpstr>'2.3.Функции'!_Ref226450848</vt:lpstr>
      <vt:lpstr>'2.4.Трудоемкость'!Заголовки_для_печати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2017-04-25T11:41:45Z</cp:lastPrinted>
  <dcterms:created xsi:type="dcterms:W3CDTF">2015-09-07T15:23:55Z</dcterms:created>
  <dcterms:modified xsi:type="dcterms:W3CDTF">2026-07-31T12:35:13Z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0x0101006D134D54AB67A0458F83979FC60B193D</vt:lpwstr>
  </property>
  <property fmtid="{D5CDD505-2E9C-101B-9397-08002B2CF9AE}" pid="3" name="_dlc_DocIdItemGuid">
    <vt:lpwstr>3561c159-999c-496f-969f-fba646f9d2a9</vt:lpwstr>
  </property>
</Properties>
</file>