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onovaEV\Desktop\Соглы\563-428\"/>
    </mc:Choice>
  </mc:AlternateContent>
  <bookViews>
    <workbookView xWindow="0" yWindow="0" windowWidth="38400" windowHeight="14100" tabRatio="609" activeTab="2"/>
  </bookViews>
  <sheets>
    <sheet name="2.1.Титул" sheetId="25" r:id="rId1"/>
    <sheet name="2.2.Свод_ТЗ" sheetId="26" r:id="rId2"/>
    <sheet name="2.3.Свод_по_годам" sheetId="27" r:id="rId3"/>
    <sheet name="2.4.Расчет_ТП" sheetId="14" r:id="rId4"/>
    <sheet name="2.5.СтоимостьЕдТрудоемкости" sheetId="7" r:id="rId5"/>
    <sheet name="2.6.Коэф_и_показатели" sheetId="4" r:id="rId6"/>
    <sheet name="2.7.SLA" sheetId="8" r:id="rId7"/>
    <sheet name="2.8.Услуги" sheetId="28" r:id="rId8"/>
  </sheets>
  <externalReferences>
    <externalReference r:id="rId9"/>
    <externalReference r:id="rId10"/>
    <externalReference r:id="rId11"/>
  </externalReferences>
  <definedNames>
    <definedName name="_1" hidden="1">'[1]P. control'!#REF!</definedName>
    <definedName name="_1F" hidden="1">'[1]P. control'!#REF!</definedName>
    <definedName name="_2_0_0_F" hidden="1">'[1]P. control'!#REF!</definedName>
    <definedName name="_Dist_Values" hidden="1">#REF!</definedName>
    <definedName name="_Fill" hidden="1">#REF!</definedName>
    <definedName name="_Order1" hidden="1">255</definedName>
    <definedName name="DEVEL_TOTAL">'[2]2.2.Свод'!$E$4</definedName>
    <definedName name="FUNC_QTTY">'[2]2.3.Функции'!$A$125</definedName>
    <definedName name="MAINTENANCE_TOTAL">'[2]2.2.Свод'!$E$5</definedName>
    <definedName name="SUBJ">'[2]2.3.Функции'!$C$3</definedName>
    <definedName name="Tpte2" hidden="1">#REF!</definedName>
    <definedName name="TpteArce" hidden="1">#REF!</definedName>
    <definedName name="TpteST2" hidden="1">#REF!</definedName>
    <definedName name="Traffic" hidden="1">'[1]P. control'!#REF!</definedName>
    <definedName name="wrn.MILLARES." hidden="1">{#N/A,#N/A,TRUE,"RESUMEN ECON.";#N/A,#N/A,TRUE,"Costos de R.H.";#N/A,#N/A,TRUE,"COSTO HW";#N/A,#N/A,TRUE,"CUADROS";#N/A,#N/A,TRUE,"SCADA´s";#N/A,#N/A,TRUE,"PRECIOS EQUIPOS"}</definedName>
    <definedName name="wrn.Ricobayo._.I." hidden="1">{#N/A,#N/A,FALSE,"RESUMEN ECON.";#N/A,#N/A,FALSE,"Costos de R.H.";#N/A,#N/A,FALSE,"COSTO HW";#N/A,#N/A,FALSE,"CUADROS";#N/A,#N/A,FALSE,"SCADA´s";#N/A,#N/A,FALSE,"PRECIOS EQUIPOS"}</definedName>
    <definedName name="СУММ">'[3]2.4. Трудоемкость'!#REF!</definedName>
  </definedNames>
  <calcPr calcId="162913"/>
</workbook>
</file>

<file path=xl/calcChain.xml><?xml version="1.0" encoding="utf-8"?>
<calcChain xmlns="http://schemas.openxmlformats.org/spreadsheetml/2006/main">
  <c r="L5" i="26" l="1"/>
  <c r="J8" i="26"/>
  <c r="J7" i="26"/>
  <c r="J6" i="26"/>
  <c r="J5" i="26"/>
  <c r="F3" i="27" l="1"/>
  <c r="L9" i="26"/>
  <c r="L6" i="26"/>
  <c r="L7" i="26"/>
  <c r="L8" i="26"/>
  <c r="H5" i="26"/>
  <c r="F5" i="26"/>
  <c r="F9" i="26" s="1"/>
  <c r="J9" i="26"/>
  <c r="K9" i="26" l="1"/>
  <c r="I9" i="26"/>
  <c r="I10" i="26" s="1"/>
  <c r="D3" i="27" l="1"/>
  <c r="E3" i="27" l="1"/>
  <c r="AB13" i="14" l="1"/>
  <c r="F4" i="7" l="1"/>
  <c r="F3" i="7"/>
  <c r="G9" i="26" l="1"/>
  <c r="E25" i="4" l="1"/>
  <c r="E23" i="4"/>
  <c r="G24" i="28"/>
  <c r="G12" i="28"/>
  <c r="G4" i="28"/>
  <c r="V6" i="14" l="1"/>
  <c r="AC6" i="14" l="1"/>
  <c r="AB6" i="14"/>
  <c r="AI6" i="14" s="1"/>
  <c r="T6" i="14"/>
  <c r="U6" i="14"/>
  <c r="AJ6" i="14" l="1"/>
  <c r="AI13" i="14" s="1"/>
  <c r="AI12" i="14" l="1"/>
  <c r="AA9" i="14"/>
  <c r="Z6" i="14"/>
  <c r="Q6" i="14"/>
  <c r="X6" i="14" s="1"/>
  <c r="R6" i="14"/>
  <c r="Y6" i="14" s="1"/>
  <c r="AG6" i="14" l="1"/>
  <c r="AG12" i="14" s="1"/>
  <c r="AF6" i="14"/>
  <c r="AF12" i="14" s="1"/>
  <c r="AE6" i="14"/>
  <c r="AE13" i="14" s="1"/>
  <c r="AH6" i="14"/>
  <c r="AI14" i="14"/>
  <c r="AF13" i="14" l="1"/>
  <c r="AH14" i="14"/>
  <c r="AE12" i="14"/>
  <c r="AE14" i="14" s="1"/>
  <c r="AG13" i="14"/>
  <c r="AG14" i="14" s="1"/>
  <c r="AF14" i="14"/>
  <c r="AH12" i="14" l="1"/>
  <c r="AH13" i="14"/>
  <c r="D8" i="26"/>
  <c r="AJ12" i="14"/>
  <c r="D6" i="26"/>
  <c r="D5" i="26"/>
  <c r="AJ14" i="14"/>
  <c r="D7" i="26"/>
  <c r="AM6" i="14"/>
  <c r="D9" i="26" l="1"/>
  <c r="E5" i="26" s="1"/>
  <c r="AJ13" i="14"/>
  <c r="F6" i="26" l="1"/>
  <c r="F8" i="26"/>
  <c r="E6" i="26"/>
  <c r="F7" i="26"/>
  <c r="D10" i="26"/>
  <c r="H7" i="26" l="1"/>
  <c r="E7" i="26"/>
  <c r="H8" i="26"/>
  <c r="E8" i="26"/>
  <c r="H6" i="26"/>
  <c r="H9" i="26" l="1"/>
</calcChain>
</file>

<file path=xl/sharedStrings.xml><?xml version="1.0" encoding="utf-8"?>
<sst xmlns="http://schemas.openxmlformats.org/spreadsheetml/2006/main" count="175" uniqueCount="157">
  <si>
    <t>Исходные данные для расчетов из Паспортов информационных систем</t>
  </si>
  <si>
    <t xml:space="preserve">Трудоемкость по системному администрированию ИСиР, чел./дней,
Hса </t>
  </si>
  <si>
    <t>Уровень 3</t>
  </si>
  <si>
    <t>Уровень 2</t>
  </si>
  <si>
    <t>Уровень 1</t>
  </si>
  <si>
    <t>Коэффициенты связи для расчета коэффициентов функциональной сложности ИС:</t>
  </si>
  <si>
    <t>Стоимость поддержки пользователей ИСиР,
Vпп</t>
  </si>
  <si>
    <t>Всего</t>
  </si>
  <si>
    <t>Стоимость технической поддержки аппаратного обеспечения ИСиР,
Vтп</t>
  </si>
  <si>
    <t>Трудоемкость по технической поддержке аппаратного обеспечения ИСиР, чел./дней,
Hтп</t>
  </si>
  <si>
    <t>Обозначение в Методике</t>
  </si>
  <si>
    <t>Трудоемкость по сопровождению аппаратного обеспечения ИСиР, чел./дней,
Hсо</t>
  </si>
  <si>
    <t>Согласованный лимит услуг по поддержке программного обеспечения ИСиР производителем (тыс.руб.)
Vвп</t>
  </si>
  <si>
    <t>Стоимость прикладного администрирования ИСиР,
Vпа</t>
  </si>
  <si>
    <t>Согласованный лимит услуг по поддержке аппаратного обеспечения ИСиР производителем (тыс.руб.)
Vва</t>
  </si>
  <si>
    <t>Коэффициенты и показатели Методики</t>
  </si>
  <si>
    <t>Коэффициенты SLA</t>
  </si>
  <si>
    <t>Коэффициент уровня сервиса по показателю «Уровень доступности информационной системы»</t>
  </si>
  <si>
    <t>Коэффициенты связи:</t>
  </si>
  <si>
    <t>5. Коэффициенты уровня сервиса</t>
  </si>
  <si>
    <t>Стоимость сопровождения аппаратного обеспечения ИСиР,
Vсо</t>
  </si>
  <si>
    <t>Коэффициенты функциональной сложности ИСиР</t>
  </si>
  <si>
    <t>2.</t>
  </si>
  <si>
    <t>3.</t>
  </si>
  <si>
    <t>4.</t>
  </si>
  <si>
    <t>Стоимость эксплуатации ИС, руб.</t>
  </si>
  <si>
    <t>Коэффициент уровня сервиса по показателю «Временные параметры услуг»</t>
  </si>
  <si>
    <t>Стоимость системного администрирования ИСиР,
Vса</t>
  </si>
  <si>
    <t>Наименование ИСиР</t>
  </si>
  <si>
    <t>Значение</t>
  </si>
  <si>
    <t xml:space="preserve">Трудоемкость по поддержке пользователей ИСиР, чел./дней,
Hпп </t>
  </si>
  <si>
    <t>№№</t>
  </si>
  <si>
    <t>Коэффициент уровня сервиса по показателю «Режим оказания услуг» (сервисное обслуживание)</t>
  </si>
  <si>
    <t>Согласованные уровни сервиса</t>
  </si>
  <si>
    <t xml:space="preserve">Трудоемкость по прикладному администрированию ИСиР, чел./дней,
Hпа </t>
  </si>
  <si>
    <t>Количество пользователей ИСиР</t>
  </si>
  <si>
    <t>Коэффициент уровня сервиса по показателю «Режим оказания услуг» (инцидентная работа)</t>
  </si>
  <si>
    <t xml:space="preserve">Коэффициенты масштаба: </t>
  </si>
  <si>
    <t>1.</t>
  </si>
  <si>
    <t>Коэффициенты категорий пользователей:</t>
  </si>
  <si>
    <t>Заказчик</t>
  </si>
  <si>
    <t xml:space="preserve">Трудоемкость работ (услуг), 
чел.-дней </t>
  </si>
  <si>
    <r>
      <t>a</t>
    </r>
    <r>
      <rPr>
        <vertAlign val="subscript"/>
        <sz val="11"/>
        <rFont val="Times New Roman"/>
        <family val="1"/>
        <charset val="204"/>
      </rPr>
      <t>пп</t>
    </r>
  </si>
  <si>
    <r>
      <t>a</t>
    </r>
    <r>
      <rPr>
        <vertAlign val="subscript"/>
        <sz val="11"/>
        <rFont val="Times New Roman"/>
        <family val="1"/>
        <charset val="204"/>
      </rPr>
      <t>па</t>
    </r>
  </si>
  <si>
    <r>
      <t>a</t>
    </r>
    <r>
      <rPr>
        <vertAlign val="subscript"/>
        <sz val="11"/>
        <rFont val="Times New Roman"/>
        <family val="1"/>
        <charset val="204"/>
      </rPr>
      <t>са</t>
    </r>
  </si>
  <si>
    <r>
      <t>b</t>
    </r>
    <r>
      <rPr>
        <vertAlign val="subscript"/>
        <sz val="11"/>
        <rFont val="Times New Roman"/>
        <family val="1"/>
        <charset val="204"/>
      </rPr>
      <t>са</t>
    </r>
  </si>
  <si>
    <r>
      <t>a</t>
    </r>
    <r>
      <rPr>
        <vertAlign val="subscript"/>
        <sz val="11"/>
        <rFont val="Times New Roman"/>
        <family val="1"/>
        <charset val="204"/>
      </rPr>
      <t>со</t>
    </r>
  </si>
  <si>
    <r>
      <t>b</t>
    </r>
    <r>
      <rPr>
        <vertAlign val="subscript"/>
        <sz val="11"/>
        <rFont val="Times New Roman"/>
        <family val="1"/>
        <charset val="204"/>
      </rPr>
      <t>со</t>
    </r>
  </si>
  <si>
    <r>
      <t>a</t>
    </r>
    <r>
      <rPr>
        <vertAlign val="subscript"/>
        <sz val="11"/>
        <rFont val="Times New Roman"/>
        <family val="1"/>
        <charset val="204"/>
      </rPr>
      <t>тп</t>
    </r>
  </si>
  <si>
    <r>
      <t>b</t>
    </r>
    <r>
      <rPr>
        <vertAlign val="subscript"/>
        <sz val="11"/>
        <rFont val="Times New Roman"/>
        <family val="1"/>
        <charset val="204"/>
      </rPr>
      <t>тп</t>
    </r>
  </si>
  <si>
    <r>
      <t>b</t>
    </r>
    <r>
      <rPr>
        <vertAlign val="subscript"/>
        <sz val="11"/>
        <rFont val="Times New Roman"/>
        <family val="1"/>
        <charset val="204"/>
      </rPr>
      <t>пп</t>
    </r>
  </si>
  <si>
    <r>
      <t>c</t>
    </r>
    <r>
      <rPr>
        <vertAlign val="subscript"/>
        <sz val="11"/>
        <rFont val="Times New Roman"/>
        <family val="1"/>
        <charset val="204"/>
      </rPr>
      <t>пп</t>
    </r>
  </si>
  <si>
    <r>
      <t>b</t>
    </r>
    <r>
      <rPr>
        <vertAlign val="subscript"/>
        <sz val="11"/>
        <rFont val="Times New Roman"/>
        <family val="1"/>
        <charset val="204"/>
      </rPr>
      <t>па</t>
    </r>
  </si>
  <si>
    <r>
      <t>c</t>
    </r>
    <r>
      <rPr>
        <vertAlign val="subscript"/>
        <sz val="11"/>
        <rFont val="Times New Roman"/>
        <family val="1"/>
        <charset val="204"/>
      </rPr>
      <t>па</t>
    </r>
  </si>
  <si>
    <r>
      <t>d</t>
    </r>
    <r>
      <rPr>
        <vertAlign val="subscript"/>
        <sz val="11"/>
        <rFont val="Times New Roman"/>
        <family val="1"/>
        <charset val="204"/>
      </rPr>
      <t>пп</t>
    </r>
  </si>
  <si>
    <r>
      <t>g</t>
    </r>
    <r>
      <rPr>
        <vertAlign val="subscript"/>
        <sz val="11"/>
        <rFont val="Times New Roman"/>
        <family val="1"/>
        <charset val="204"/>
      </rPr>
      <t>пп</t>
    </r>
  </si>
  <si>
    <r>
      <t>d</t>
    </r>
    <r>
      <rPr>
        <vertAlign val="subscript"/>
        <sz val="11"/>
        <rFont val="Times New Roman"/>
        <family val="1"/>
        <charset val="204"/>
      </rPr>
      <t>па</t>
    </r>
  </si>
  <si>
    <r>
      <t>g</t>
    </r>
    <r>
      <rPr>
        <vertAlign val="subscript"/>
        <sz val="11"/>
        <rFont val="Times New Roman"/>
        <family val="1"/>
        <charset val="204"/>
      </rPr>
      <t>па</t>
    </r>
  </si>
  <si>
    <r>
      <t>Kp</t>
    </r>
    <r>
      <rPr>
        <vertAlign val="subscript"/>
        <sz val="11"/>
        <rFont val="Times New Roman"/>
        <family val="1"/>
        <charset val="204"/>
      </rPr>
      <t>ппг</t>
    </r>
  </si>
  <si>
    <r>
      <t>Kp</t>
    </r>
    <r>
      <rPr>
        <vertAlign val="subscript"/>
        <sz val="11"/>
        <rFont val="Times New Roman"/>
        <family val="1"/>
        <charset val="204"/>
      </rPr>
      <t>ппф</t>
    </r>
  </si>
  <si>
    <r>
      <t>Kp</t>
    </r>
    <r>
      <rPr>
        <vertAlign val="subscript"/>
        <sz val="11"/>
        <rFont val="Times New Roman"/>
        <family val="1"/>
        <charset val="204"/>
      </rPr>
      <t>паг</t>
    </r>
  </si>
  <si>
    <r>
      <t>Kp</t>
    </r>
    <r>
      <rPr>
        <vertAlign val="subscript"/>
        <sz val="11"/>
        <rFont val="Times New Roman"/>
        <family val="1"/>
        <charset val="204"/>
      </rPr>
      <t>паф</t>
    </r>
  </si>
  <si>
    <r>
      <t>Ksla</t>
    </r>
    <r>
      <rPr>
        <vertAlign val="subscript"/>
        <sz val="11"/>
        <rFont val="Times New Roman"/>
        <family val="1"/>
        <charset val="204"/>
      </rPr>
      <t>с</t>
    </r>
  </si>
  <si>
    <r>
      <t>Ksla</t>
    </r>
    <r>
      <rPr>
        <vertAlign val="subscript"/>
        <sz val="11"/>
        <rFont val="Times New Roman"/>
        <family val="1"/>
        <charset val="204"/>
      </rPr>
      <t>и</t>
    </r>
  </si>
  <si>
    <r>
      <t>Ksla</t>
    </r>
    <r>
      <rPr>
        <vertAlign val="subscript"/>
        <sz val="11"/>
        <rFont val="Times New Roman"/>
        <family val="1"/>
        <charset val="204"/>
      </rPr>
      <t>в</t>
    </r>
  </si>
  <si>
    <r>
      <t>Ksla</t>
    </r>
    <r>
      <rPr>
        <vertAlign val="subscript"/>
        <sz val="11"/>
        <rFont val="Times New Roman"/>
        <family val="1"/>
        <charset val="204"/>
      </rPr>
      <t>д</t>
    </r>
  </si>
  <si>
    <r>
      <t>R</t>
    </r>
    <r>
      <rPr>
        <vertAlign val="subscript"/>
        <sz val="12"/>
        <rFont val="Times New Roman"/>
        <family val="1"/>
        <charset val="204"/>
      </rPr>
      <t>п</t>
    </r>
  </si>
  <si>
    <r>
      <t>R</t>
    </r>
    <r>
      <rPr>
        <vertAlign val="subscript"/>
        <sz val="12"/>
        <rFont val="Times New Roman"/>
        <family val="1"/>
        <charset val="204"/>
      </rPr>
      <t>т</t>
    </r>
  </si>
  <si>
    <t>Согласованный лимит трудоемкости по адаптационному сопровождению ИСиР, чел./дней,
Hам</t>
  </si>
  <si>
    <t>Стоимость адаптационного сопровождения,
Vам</t>
  </si>
  <si>
    <t>Обозначение показателя в Порядке 18р</t>
  </si>
  <si>
    <t>Наименование показателя в Порядке 18р</t>
  </si>
  <si>
    <t>Стоимость единицы трудоемкости поддержки пользователей, администрирования и сопровождения</t>
  </si>
  <si>
    <t>Стоимость единицы трудоемкости технической поддержки аппаратного обеспечения</t>
  </si>
  <si>
    <t>режим сопровождение и техническая поддержка АО     Kslaп</t>
  </si>
  <si>
    <t>сопровождение и техническая поддержка аппаратного обеспечения,
Кslaао</t>
  </si>
  <si>
    <t>Согласованные уровни фукнкциональной сложности</t>
  </si>
  <si>
    <t>№ пп</t>
  </si>
  <si>
    <t>Итого</t>
  </si>
  <si>
    <t>прикладное администрирование</t>
  </si>
  <si>
    <t>Доля в стоимости работ, %</t>
  </si>
  <si>
    <t xml:space="preserve">поддержка пользователей </t>
  </si>
  <si>
    <t>№ пп</t>
  </si>
  <si>
    <t>Год</t>
  </si>
  <si>
    <t>Определение стоимости работ по годам</t>
  </si>
  <si>
    <t>Коэффициент, учитывающий инфляцию в i-й год финансирования</t>
  </si>
  <si>
    <t>Отметка 
(если услуга/линия используется - поставьте 1, иначе - 0)</t>
  </si>
  <si>
    <t>Коэффициент</t>
  </si>
  <si>
    <t>Услуга</t>
  </si>
  <si>
    <t>Процент от общей стоимости услуг по комплексу «Поддержка пользователей»</t>
  </si>
  <si>
    <t>Поддержка пользователей, всего</t>
  </si>
  <si>
    <t>в т.ч.   1-я линия поддержки</t>
  </si>
  <si>
    <t xml:space="preserve">            2-я линия поддержки</t>
  </si>
  <si>
    <t>Управление знаниями</t>
  </si>
  <si>
    <t>Процент от общей стоимости услуг по комплексу «Прикладное администрирование»</t>
  </si>
  <si>
    <t>Управление инцидентами, всего</t>
  </si>
  <si>
    <t>в т.ч.    2-я линия поддержки</t>
  </si>
  <si>
    <t xml:space="preserve">             3-я линия поддержки</t>
  </si>
  <si>
    <t>Управление событиями</t>
  </si>
  <si>
    <t>Управление изменениями</t>
  </si>
  <si>
    <t>Функциональное тестирование</t>
  </si>
  <si>
    <t>Управление доступом</t>
  </si>
  <si>
    <t>Управление плановыми работами</t>
  </si>
  <si>
    <t>Процент от общей стоимости услуг по комплексу «Системное администрирование»</t>
  </si>
  <si>
    <t>Нагрузочное тестирование</t>
  </si>
  <si>
    <t>Управление резервным копированием</t>
  </si>
  <si>
    <r>
      <t>c</t>
    </r>
    <r>
      <rPr>
        <vertAlign val="subscript"/>
        <sz val="11"/>
        <rFont val="Times New Roman"/>
        <family val="1"/>
        <charset val="204"/>
      </rPr>
      <t>са</t>
    </r>
  </si>
  <si>
    <r>
      <t>c</t>
    </r>
    <r>
      <rPr>
        <vertAlign val="subscript"/>
        <sz val="11"/>
        <rFont val="Times New Roman"/>
        <family val="1"/>
        <charset val="204"/>
      </rPr>
      <t>со</t>
    </r>
  </si>
  <si>
    <r>
      <t>c</t>
    </r>
    <r>
      <rPr>
        <vertAlign val="subscript"/>
        <sz val="11"/>
        <rFont val="Times New Roman"/>
        <family val="1"/>
        <charset val="204"/>
      </rPr>
      <t>тп</t>
    </r>
  </si>
  <si>
    <t>Коэффициент уровня сервиса по показателю «Режим оказания услуг» (сопровождение и техническая поддержка аппаратного обеспечения)</t>
  </si>
  <si>
    <r>
      <t>Ksla</t>
    </r>
    <r>
      <rPr>
        <vertAlign val="subscript"/>
        <sz val="11"/>
        <rFont val="Times New Roman"/>
        <family val="1"/>
        <charset val="204"/>
      </rPr>
      <t>п</t>
    </r>
  </si>
  <si>
    <t>на срок осн этапа, дней:</t>
  </si>
  <si>
    <t>Планируемый период эксплуатации в i-й год финансирования, дней</t>
  </si>
  <si>
    <t>Стоимость оказания услуг по поддержке пользователей,
(руб.) с НДС</t>
  </si>
  <si>
    <t>Стоимость оказания услуг по прикладному администрированию ИСиР,
(руб.) с НДС</t>
  </si>
  <si>
    <t>Стоимость оказания услуг по системному администрированию ИСиР,
(руб.) с НДС</t>
  </si>
  <si>
    <t>Стоимость оказания услуг по адаптационному сопровождению ИСиР,
(руб.) с НДС</t>
  </si>
  <si>
    <t>Стоимость оказания услуг по эксплуатации информационной системы по годам,
(руб.) с НДС</t>
  </si>
  <si>
    <t>Итоговая стоимость услуг</t>
  </si>
  <si>
    <t>Наименование услуг</t>
  </si>
  <si>
    <t>Всего, в т.ч. по годам:</t>
  </si>
  <si>
    <t>системное администрирование</t>
  </si>
  <si>
    <t>ГКУ «Инфогород»</t>
  </si>
  <si>
    <r>
      <t xml:space="preserve">поддержка пользователей,
</t>
    </r>
    <r>
      <rPr>
        <b/>
        <sz val="11"/>
        <rFont val="Times New Roman"/>
        <family val="1"/>
        <charset val="204"/>
      </rPr>
      <t>Кfпп</t>
    </r>
  </si>
  <si>
    <r>
      <t xml:space="preserve">прикладное администрирование,
</t>
    </r>
    <r>
      <rPr>
        <b/>
        <sz val="11"/>
        <rFont val="Times New Roman"/>
        <family val="1"/>
        <charset val="204"/>
      </rPr>
      <t>Кfпа</t>
    </r>
  </si>
  <si>
    <r>
      <rPr>
        <sz val="11"/>
        <rFont val="Times New Roman"/>
        <family val="1"/>
        <charset val="204"/>
      </rPr>
      <t>поддержка пользователей,</t>
    </r>
    <r>
      <rPr>
        <b/>
        <sz val="11"/>
        <rFont val="Times New Roman"/>
        <family val="1"/>
        <charset val="204"/>
      </rPr>
      <t xml:space="preserve">
Кslaпп</t>
    </r>
  </si>
  <si>
    <r>
      <t xml:space="preserve">администри-рование,
</t>
    </r>
    <r>
      <rPr>
        <b/>
        <sz val="11"/>
        <rFont val="Times New Roman"/>
        <family val="1"/>
        <charset val="204"/>
      </rPr>
      <t>Kslaa</t>
    </r>
  </si>
  <si>
    <r>
      <t xml:space="preserve">Госслужащие и работники госучреждений,
</t>
    </r>
    <r>
      <rPr>
        <b/>
        <sz val="11"/>
        <color indexed="63"/>
        <rFont val="Times New Roman"/>
        <family val="1"/>
        <charset val="204"/>
      </rPr>
      <t xml:space="preserve">Nk </t>
    </r>
  </si>
  <si>
    <r>
      <t xml:space="preserve">Физические лица и работники коммерческих организаций,
</t>
    </r>
    <r>
      <rPr>
        <b/>
        <sz val="11"/>
        <color indexed="63"/>
        <rFont val="Times New Roman"/>
        <family val="1"/>
        <charset val="204"/>
      </rPr>
      <t>Nk</t>
    </r>
    <r>
      <rPr>
        <sz val="11"/>
        <color indexed="63"/>
        <rFont val="Times New Roman"/>
        <family val="1"/>
        <charset val="204"/>
      </rPr>
      <t xml:space="preserve">
</t>
    </r>
  </si>
  <si>
    <r>
      <t>прикладной                F</t>
    </r>
    <r>
      <rPr>
        <b/>
        <vertAlign val="subscript"/>
        <sz val="11"/>
        <color indexed="63"/>
        <rFont val="Times New Roman"/>
        <family val="1"/>
        <charset val="204"/>
      </rPr>
      <t>П</t>
    </r>
  </si>
  <si>
    <r>
      <t>системной                F</t>
    </r>
    <r>
      <rPr>
        <b/>
        <vertAlign val="subscript"/>
        <sz val="11"/>
        <color indexed="63"/>
        <rFont val="Times New Roman"/>
        <family val="1"/>
        <charset val="204"/>
      </rPr>
      <t>С</t>
    </r>
  </si>
  <si>
    <r>
      <t>режим поддержка пользователей                      Ksla</t>
    </r>
    <r>
      <rPr>
        <b/>
        <vertAlign val="subscript"/>
        <sz val="11"/>
        <color indexed="63"/>
        <rFont val="Times New Roman"/>
        <family val="1"/>
        <charset val="204"/>
      </rPr>
      <t>с</t>
    </r>
  </si>
  <si>
    <r>
      <t>режим техническое сопровождение           Ksla</t>
    </r>
    <r>
      <rPr>
        <b/>
        <vertAlign val="subscript"/>
        <sz val="11"/>
        <color indexed="63"/>
        <rFont val="Times New Roman"/>
        <family val="1"/>
        <charset val="204"/>
      </rPr>
      <t>и</t>
    </r>
  </si>
  <si>
    <r>
      <t>временные параметры                       Ksla</t>
    </r>
    <r>
      <rPr>
        <b/>
        <vertAlign val="subscript"/>
        <sz val="11"/>
        <color indexed="63"/>
        <rFont val="Times New Roman"/>
        <family val="1"/>
        <charset val="204"/>
      </rPr>
      <t>в</t>
    </r>
  </si>
  <si>
    <r>
      <t>уровень доступности                 Ksla</t>
    </r>
    <r>
      <rPr>
        <b/>
        <vertAlign val="subscript"/>
        <sz val="11"/>
        <color indexed="63"/>
        <rFont val="Times New Roman"/>
        <family val="1"/>
        <charset val="204"/>
      </rPr>
      <t>д</t>
    </r>
  </si>
  <si>
    <t>Приложение 2 к протоколу</t>
  </si>
  <si>
    <t>начальной (максимальной)</t>
  </si>
  <si>
    <t>цены контракта (цены лота)</t>
  </si>
  <si>
    <t>Таблица расчета начальной (максимальной) цены контракта</t>
  </si>
  <si>
    <t>Стоимость оказания услуг по сопровождению и поддержки аппаратного обеспесчения ИСиР,
(руб.) с НДС</t>
  </si>
  <si>
    <t>Эффективное количество процессорных ядер ИСиР, 
Np</t>
  </si>
  <si>
    <t>Количество процессорных ядер аппаратных серверов, используемых ИСиР, с учетом контуров
Na</t>
  </si>
  <si>
    <t>НДС 22%</t>
  </si>
  <si>
    <t>ЕАИС Кадры 2.0</t>
  </si>
  <si>
    <t>адаптационное сопровождение</t>
  </si>
  <si>
    <t xml:space="preserve">в подготовительном этапе </t>
  </si>
  <si>
    <t>всего</t>
  </si>
  <si>
    <t>в основном этапе</t>
  </si>
  <si>
    <r>
      <t xml:space="preserve">Стоимость единицы трудоемкости в ценах </t>
    </r>
    <r>
      <rPr>
        <b/>
        <i/>
        <sz val="12"/>
        <rFont val="Times New Roman"/>
        <family val="1"/>
        <charset val="204"/>
      </rPr>
      <t>2025</t>
    </r>
    <r>
      <rPr>
        <b/>
        <sz val="12"/>
        <rFont val="Times New Roman"/>
        <family val="1"/>
        <charset val="204"/>
      </rPr>
      <t xml:space="preserve"> года (руб. за 1 чел.-день)</t>
    </r>
  </si>
  <si>
    <t>Начальная (максимальная) цена контракта (расчетная), руб., в том числе 
НДС 22%</t>
  </si>
  <si>
    <t>Начальная (максимальная) цена контракта с учетом лимита бюджетного финансирования, руб., в том числе НДС 22%</t>
  </si>
  <si>
    <t>Доля в стоимости услуг, %</t>
  </si>
  <si>
    <t>в подготовительном этапе</t>
  </si>
  <si>
    <t>Начальная (максимальная) цена контракта с учетом экспертного заключения ГБУ «Аналитический центр» от 24.09.2026
№ 1189-5-1-3-240926, руб., в том числе НДС 22%</t>
  </si>
  <si>
    <t>Начальная (максимальная)
цена контракта с учетом
экспертного заключения
ГБУ «Аналитический центр» от 24.09.2026
№ 1189-5-1-3-240926, руб., в том числе НДС 22%</t>
  </si>
  <si>
    <t>на оказание комплексных услуг по технической поддержке и системному сопровождению
Единой автоматизированной информационной системы управления кадрами Правительства Москвы
(ЕАИС Кадры 2.0) в 2026-2027 годах</t>
  </si>
  <si>
    <r>
      <t xml:space="preserve">Расчет стоимости оказания услуг проводится исходя из длительности Основного этапа оказания услуг и коэффициентов, учитывающих инфляцию в каждый год финансирования. С учетом оказания услуг Основного этапа длительностью 365 календарных дней расчетная начальная (максимальная) цена контракта на оказание комплексных услуг по технической поддержке и системному сопровождению Единой автоматизированной информационной системы управления кадрами Правительства Москвы (ЕАИС Кадры 2.0) в 2026-2027 годах составит 200 941 490,32 руб. (двести миллионов девятьсот сорок одна тысяча четыреста девяносто рублей 32 копейки), в том числе НДС 22%. 
С учетом лимита бюджетного финансирования данного проекта в размере 157 509 457,95 руб. (ста пятидесяти семи миллионов пятисот девяти тысяч четырехсот пятидесяти семи рублей 95 копеек), в том числе НДС 22%, начальная (максимальная) цена контракта на оказание комплексных услуг по технической поддержке и системному сопровождению Единой автоматизированной информационной системы управления кадрами Правительства Москвы (ЕАИС Кадры 2.0) в 2026-2027 годах была принята равной 157 509 457,95 руб. (ста пятидесяти семи миллионам пятистам девяти тысячам четыремстам пятидесяти семи рублям 95 копейкам), в том числе НДС 22%.
С учетом экспертного заключения ГБУ «Аналитический центр» от 24.09.2026 № 1189-5-1-3-240926 начальная (максимальная) цена контракта на оказание комплексных услуг по технической поддержке и системному сопровождению Единой автоматизированной информационной системы управления кадрами Правительства Москвы (ЕАИС Кадры 2.0) в 2026-2027 годах принимается равной </t>
    </r>
    <r>
      <rPr>
        <b/>
        <sz val="12"/>
        <rFont val="Times New Roman"/>
        <family val="1"/>
        <charset val="204"/>
      </rPr>
      <t>156 193 674,49 руб. (ста пятидесяти шести миллионам ста девяноста трем тысячам шестистам семидесяти четырем рублям 49 копейкам)</t>
    </r>
    <r>
      <rPr>
        <sz val="12"/>
        <rFont val="Times New Roman"/>
        <family val="1"/>
        <charset val="204"/>
      </rPr>
      <t xml:space="preserve">, в том числе НДС 22%.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</si>
</sst>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0.000"/>
    <numFmt numFmtId="167" formatCode="#,##0.000;[Red]\-#,##0.000"/>
    <numFmt numFmtId="168" formatCode="_-* #,##0.0000_р_._-;\-* #,##0.0000_р_._-;_-* &quot;-&quot;_р_._-;_-@_-"/>
    <numFmt numFmtId="169" formatCode="#,##0.0000;[Red]\-#,##0.0000"/>
    <numFmt numFmtId="170" formatCode="#,##0.00_ ;\-#,##0.00\ "/>
    <numFmt numFmtId="171" formatCode="#,##0.0000"/>
    <numFmt numFmtId="172" formatCode="#,##0.00000"/>
  </numFmts>
  <fonts count="50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b/>
      <sz val="18"/>
      <color indexed="54"/>
      <name val="Calibri Light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vertAlign val="subscript"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b/>
      <vertAlign val="subscript"/>
      <sz val="11"/>
      <color indexed="63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31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3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8" borderId="0" applyNumberFormat="0" applyBorder="0" applyAlignment="0" applyProtection="0"/>
    <xf numFmtId="0" fontId="28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3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1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2" borderId="0" applyNumberFormat="0" applyBorder="0" applyAlignment="0" applyProtection="0"/>
    <xf numFmtId="0" fontId="19" fillId="3" borderId="1" applyNumberFormat="0" applyAlignment="0" applyProtection="0"/>
    <xf numFmtId="0" fontId="20" fillId="9" borderId="2" applyNumberFormat="0" applyAlignment="0" applyProtection="0"/>
    <xf numFmtId="0" fontId="21" fillId="9" borderId="1" applyNumberFormat="0" applyAlignment="0" applyProtection="0"/>
    <xf numFmtId="165" fontId="5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3" fillId="14" borderId="7" applyNumberFormat="0" applyAlignment="0" applyProtection="0"/>
    <xf numFmtId="0" fontId="12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1" fillId="0" borderId="0"/>
    <xf numFmtId="0" fontId="5" fillId="0" borderId="0"/>
    <xf numFmtId="0" fontId="5" fillId="0" borderId="0"/>
    <xf numFmtId="0" fontId="17" fillId="17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5" borderId="8" applyNumberFormat="0" applyFont="0" applyAlignment="0" applyProtection="0"/>
    <xf numFmtId="9" fontId="5" fillId="0" borderId="0" applyFont="0" applyFill="0" applyBorder="0" applyAlignment="0" applyProtection="0"/>
    <xf numFmtId="0" fontId="22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4" fillId="0" borderId="0"/>
    <xf numFmtId="0" fontId="30" fillId="0" borderId="0"/>
    <xf numFmtId="0" fontId="31" fillId="30" borderId="0" applyNumberFormat="0" applyBorder="0" applyAlignment="0" applyProtection="0"/>
    <xf numFmtId="0" fontId="32" fillId="30" borderId="0" applyNumberFormat="0" applyBorder="0" applyAlignment="0" applyProtection="0"/>
    <xf numFmtId="0" fontId="33" fillId="31" borderId="0" applyNumberFormat="0" applyBorder="0" applyAlignment="0" applyProtection="0"/>
    <xf numFmtId="0" fontId="34" fillId="32" borderId="0" applyNumberFormat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37" fillId="0" borderId="0"/>
    <xf numFmtId="0" fontId="38" fillId="0" borderId="0"/>
    <xf numFmtId="43" fontId="5" fillId="0" borderId="0" applyFont="0" applyFill="0" applyBorder="0" applyProtection="0"/>
    <xf numFmtId="9" fontId="10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</cellStyleXfs>
  <cellXfs count="198">
    <xf numFmtId="0" fontId="0" fillId="0" borderId="0" xfId="0"/>
    <xf numFmtId="0" fontId="0" fillId="18" borderId="0" xfId="0" applyFill="1"/>
    <xf numFmtId="0" fontId="7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18" borderId="0" xfId="0" applyFont="1" applyFill="1"/>
    <xf numFmtId="0" fontId="7" fillId="19" borderId="12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7" fillId="29" borderId="12" xfId="0" applyFont="1" applyFill="1" applyBorder="1" applyAlignment="1">
      <alignment horizontal="center" vertical="center" wrapText="1"/>
    </xf>
    <xf numFmtId="0" fontId="6" fillId="18" borderId="23" xfId="38" applyFont="1" applyFill="1" applyBorder="1" applyAlignment="1">
      <alignment horizontal="center" vertical="center" wrapText="1"/>
    </xf>
    <xf numFmtId="0" fontId="4" fillId="0" borderId="0" xfId="47"/>
    <xf numFmtId="0" fontId="36" fillId="0" borderId="0" xfId="47" applyFont="1"/>
    <xf numFmtId="0" fontId="7" fillId="0" borderId="12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center" vertical="center" wrapText="1"/>
    </xf>
    <xf numFmtId="166" fontId="7" fillId="19" borderId="12" xfId="0" applyNumberFormat="1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21" borderId="52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4" fontId="6" fillId="27" borderId="55" xfId="0" applyNumberFormat="1" applyFont="1" applyFill="1" applyBorder="1" applyAlignment="1">
      <alignment horizontal="center" vertical="center" wrapText="1"/>
    </xf>
    <xf numFmtId="0" fontId="36" fillId="0" borderId="45" xfId="47" applyFont="1" applyBorder="1" applyAlignment="1">
      <alignment horizontal="center" vertical="center" wrapText="1"/>
    </xf>
    <xf numFmtId="0" fontId="36" fillId="0" borderId="44" xfId="47" applyFont="1" applyBorder="1" applyAlignment="1">
      <alignment horizontal="center" vertical="center" wrapText="1"/>
    </xf>
    <xf numFmtId="0" fontId="36" fillId="0" borderId="43" xfId="47" applyFont="1" applyBorder="1" applyAlignment="1">
      <alignment horizontal="center" vertical="center" wrapText="1"/>
    </xf>
    <xf numFmtId="0" fontId="40" fillId="19" borderId="13" xfId="38" applyFont="1" applyFill="1" applyBorder="1" applyAlignment="1">
      <alignment vertical="center"/>
    </xf>
    <xf numFmtId="0" fontId="40" fillId="19" borderId="14" xfId="38" applyFont="1" applyFill="1" applyBorder="1" applyAlignment="1">
      <alignment vertical="center"/>
    </xf>
    <xf numFmtId="0" fontId="7" fillId="20" borderId="15" xfId="38" applyFont="1" applyFill="1" applyBorder="1"/>
    <xf numFmtId="0" fontId="7" fillId="20" borderId="16" xfId="38" applyFont="1" applyFill="1" applyBorder="1"/>
    <xf numFmtId="0" fontId="41" fillId="20" borderId="16" xfId="38" applyFont="1" applyFill="1" applyBorder="1" applyAlignment="1">
      <alignment horizontal="center" vertical="center" wrapText="1"/>
    </xf>
    <xf numFmtId="0" fontId="7" fillId="20" borderId="0" xfId="38" applyFont="1" applyFill="1" applyBorder="1"/>
    <xf numFmtId="0" fontId="7" fillId="20" borderId="12" xfId="38" applyFont="1" applyFill="1" applyBorder="1"/>
    <xf numFmtId="0" fontId="7" fillId="20" borderId="12" xfId="38" applyFont="1" applyFill="1" applyBorder="1" applyAlignment="1">
      <alignment horizontal="center" vertical="center" wrapText="1"/>
    </xf>
    <xf numFmtId="0" fontId="42" fillId="19" borderId="10" xfId="38" applyFont="1" applyFill="1" applyBorder="1" applyAlignment="1">
      <alignment horizontal="center" vertical="center" wrapText="1"/>
    </xf>
    <xf numFmtId="0" fontId="40" fillId="19" borderId="11" xfId="38" applyFont="1" applyFill="1" applyBorder="1" applyAlignment="1">
      <alignment horizontal="center" vertical="center" wrapText="1"/>
    </xf>
    <xf numFmtId="38" fontId="7" fillId="25" borderId="18" xfId="38" applyNumberFormat="1" applyFont="1" applyFill="1" applyBorder="1" applyAlignment="1" applyProtection="1">
      <alignment horizontal="center" vertical="center"/>
      <protection locked="0"/>
    </xf>
    <xf numFmtId="167" fontId="40" fillId="25" borderId="18" xfId="38" applyNumberFormat="1" applyFont="1" applyFill="1" applyBorder="1" applyAlignment="1" applyProtection="1">
      <alignment horizontal="center" vertical="center"/>
      <protection locked="0"/>
    </xf>
    <xf numFmtId="38" fontId="42" fillId="25" borderId="18" xfId="38" applyNumberFormat="1" applyFont="1" applyFill="1" applyBorder="1" applyAlignment="1" applyProtection="1">
      <alignment horizontal="center" vertical="center"/>
      <protection locked="0"/>
    </xf>
    <xf numFmtId="0" fontId="7" fillId="20" borderId="17" xfId="38" applyFont="1" applyFill="1" applyBorder="1"/>
    <xf numFmtId="1" fontId="7" fillId="20" borderId="17" xfId="38" applyNumberFormat="1" applyFont="1" applyFill="1" applyBorder="1"/>
    <xf numFmtId="1" fontId="7" fillId="20" borderId="38" xfId="38" applyNumberFormat="1" applyFont="1" applyFill="1" applyBorder="1"/>
    <xf numFmtId="0" fontId="7" fillId="18" borderId="0" xfId="0" applyFont="1" applyFill="1"/>
    <xf numFmtId="0" fontId="7" fillId="18" borderId="0" xfId="38" applyFont="1" applyFill="1"/>
    <xf numFmtId="0" fontId="41" fillId="18" borderId="0" xfId="60" applyFont="1" applyFill="1"/>
    <xf numFmtId="0" fontId="7" fillId="25" borderId="39" xfId="38" applyFont="1" applyFill="1" applyBorder="1" applyAlignment="1">
      <alignment horizontal="center" vertical="center"/>
    </xf>
    <xf numFmtId="170" fontId="41" fillId="18" borderId="41" xfId="38" applyNumberFormat="1" applyFont="1" applyFill="1" applyBorder="1" applyAlignment="1">
      <alignment vertical="center"/>
    </xf>
    <xf numFmtId="169" fontId="7" fillId="18" borderId="0" xfId="38" applyNumberFormat="1" applyFont="1" applyFill="1"/>
    <xf numFmtId="0" fontId="41" fillId="18" borderId="0" xfId="38" applyFont="1" applyFill="1"/>
    <xf numFmtId="9" fontId="7" fillId="18" borderId="0" xfId="43" applyFont="1" applyFill="1"/>
    <xf numFmtId="168" fontId="7" fillId="18" borderId="0" xfId="43" applyNumberFormat="1" applyFont="1" applyFill="1"/>
    <xf numFmtId="164" fontId="7" fillId="18" borderId="0" xfId="43" applyNumberFormat="1" applyFont="1" applyFill="1"/>
    <xf numFmtId="10" fontId="7" fillId="18" borderId="0" xfId="43" applyNumberFormat="1" applyFont="1" applyFill="1"/>
    <xf numFmtId="4" fontId="7" fillId="18" borderId="0" xfId="38" applyNumberFormat="1" applyFont="1" applyFill="1"/>
    <xf numFmtId="4" fontId="7" fillId="18" borderId="0" xfId="38" applyNumberFormat="1" applyFont="1" applyFill="1" applyAlignment="1">
      <alignment horizontal="right"/>
    </xf>
    <xf numFmtId="170" fontId="7" fillId="18" borderId="0" xfId="38" applyNumberFormat="1" applyFont="1" applyFill="1"/>
    <xf numFmtId="0" fontId="7" fillId="18" borderId="0" xfId="38" applyFont="1" applyFill="1" applyAlignment="1">
      <alignment horizontal="right"/>
    </xf>
    <xf numFmtId="14" fontId="7" fillId="18" borderId="0" xfId="38" applyNumberFormat="1" applyFont="1" applyFill="1"/>
    <xf numFmtId="0" fontId="7" fillId="18" borderId="44" xfId="38" applyFont="1" applyFill="1" applyBorder="1"/>
    <xf numFmtId="4" fontId="7" fillId="18" borderId="0" xfId="43" applyNumberFormat="1" applyFont="1" applyFill="1"/>
    <xf numFmtId="0" fontId="6" fillId="0" borderId="0" xfId="54" applyFont="1"/>
    <xf numFmtId="0" fontId="6" fillId="0" borderId="0" xfId="0" applyFont="1"/>
    <xf numFmtId="10" fontId="9" fillId="33" borderId="56" xfId="0" applyNumberFormat="1" applyFont="1" applyFill="1" applyBorder="1" applyAlignment="1">
      <alignment horizontal="center" vertical="center"/>
    </xf>
    <xf numFmtId="10" fontId="9" fillId="33" borderId="56" xfId="0" applyNumberFormat="1" applyFont="1" applyFill="1" applyBorder="1" applyAlignment="1">
      <alignment horizontal="center" vertical="center" wrapText="1"/>
    </xf>
    <xf numFmtId="0" fontId="45" fillId="0" borderId="56" xfId="54" applyFont="1" applyBorder="1" applyAlignment="1">
      <alignment vertical="center" wrapText="1"/>
    </xf>
    <xf numFmtId="10" fontId="6" fillId="0" borderId="56" xfId="55" applyNumberFormat="1" applyFont="1" applyFill="1" applyBorder="1" applyAlignment="1">
      <alignment horizontal="center" vertical="center"/>
    </xf>
    <xf numFmtId="10" fontId="9" fillId="26" borderId="56" xfId="54" applyNumberFormat="1" applyFont="1" applyFill="1" applyBorder="1" applyAlignment="1">
      <alignment horizontal="center" vertical="center"/>
    </xf>
    <xf numFmtId="0" fontId="6" fillId="0" borderId="56" xfId="54" applyFont="1" applyBorder="1" applyAlignment="1">
      <alignment horizontal="center" vertical="center" wrapText="1"/>
    </xf>
    <xf numFmtId="10" fontId="6" fillId="0" borderId="56" xfId="54" applyNumberFormat="1" applyFont="1" applyBorder="1" applyAlignment="1">
      <alignment horizontal="center" vertical="center"/>
    </xf>
    <xf numFmtId="4" fontId="6" fillId="0" borderId="56" xfId="54" applyNumberFormat="1" applyFont="1" applyBorder="1" applyAlignment="1">
      <alignment horizontal="center" vertical="center" wrapText="1"/>
    </xf>
    <xf numFmtId="4" fontId="9" fillId="26" borderId="56" xfId="54" applyNumberFormat="1" applyFont="1" applyFill="1" applyBorder="1" applyAlignment="1">
      <alignment horizontal="center" vertical="center" wrapText="1"/>
    </xf>
    <xf numFmtId="4" fontId="6" fillId="26" borderId="56" xfId="54" applyNumberFormat="1" applyFont="1" applyFill="1" applyBorder="1" applyAlignment="1">
      <alignment horizontal="center" vertical="center"/>
    </xf>
    <xf numFmtId="0" fontId="6" fillId="26" borderId="56" xfId="54" applyFont="1" applyFill="1" applyBorder="1" applyAlignment="1">
      <alignment horizontal="center" vertical="center"/>
    </xf>
    <xf numFmtId="0" fontId="46" fillId="0" borderId="0" xfId="56" applyFont="1"/>
    <xf numFmtId="0" fontId="47" fillId="0" borderId="0" xfId="56" applyFont="1" applyAlignment="1">
      <alignment wrapText="1"/>
    </xf>
    <xf numFmtId="0" fontId="47" fillId="0" borderId="0" xfId="56" applyFont="1"/>
    <xf numFmtId="0" fontId="6" fillId="0" borderId="0" xfId="56" applyFont="1"/>
    <xf numFmtId="4" fontId="46" fillId="26" borderId="56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47" fillId="0" borderId="22" xfId="56" applyFont="1" applyBorder="1" applyAlignment="1">
      <alignment horizontal="center" vertical="center" wrapText="1"/>
    </xf>
    <xf numFmtId="4" fontId="6" fillId="0" borderId="56" xfId="56" applyNumberFormat="1" applyFont="1" applyBorder="1" applyAlignment="1">
      <alignment horizontal="center" vertical="center" wrapText="1"/>
    </xf>
    <xf numFmtId="10" fontId="6" fillId="0" borderId="0" xfId="56" applyNumberFormat="1" applyFont="1"/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6" fillId="34" borderId="19" xfId="56" applyFont="1" applyFill="1" applyBorder="1" applyAlignment="1">
      <alignment horizontal="center" vertical="center" wrapText="1"/>
    </xf>
    <xf numFmtId="0" fontId="6" fillId="18" borderId="0" xfId="38" applyFont="1" applyFill="1" applyAlignment="1">
      <alignment vertical="center"/>
    </xf>
    <xf numFmtId="9" fontId="6" fillId="18" borderId="0" xfId="58" applyFont="1" applyFill="1" applyAlignment="1">
      <alignment vertical="center"/>
    </xf>
    <xf numFmtId="0" fontId="6" fillId="18" borderId="0" xfId="38" applyFont="1" applyFill="1"/>
    <xf numFmtId="0" fontId="9" fillId="34" borderId="12" xfId="38" applyFont="1" applyFill="1" applyBorder="1" applyAlignment="1">
      <alignment horizontal="center" vertical="center" wrapText="1"/>
    </xf>
    <xf numFmtId="0" fontId="9" fillId="34" borderId="54" xfId="38" applyFont="1" applyFill="1" applyBorder="1" applyAlignment="1">
      <alignment horizontal="center" vertical="center" wrapText="1"/>
    </xf>
    <xf numFmtId="0" fontId="9" fillId="34" borderId="58" xfId="38" applyFont="1" applyFill="1" applyBorder="1" applyAlignment="1">
      <alignment horizontal="center" vertical="center" wrapText="1"/>
    </xf>
    <xf numFmtId="0" fontId="40" fillId="19" borderId="10" xfId="38" applyFont="1" applyFill="1" applyBorder="1" applyAlignment="1">
      <alignment horizontal="center" vertical="center" wrapText="1"/>
    </xf>
    <xf numFmtId="0" fontId="42" fillId="25" borderId="18" xfId="0" applyFont="1" applyFill="1" applyBorder="1" applyAlignment="1" applyProtection="1">
      <alignment horizontal="center" vertical="center" wrapText="1"/>
      <protection locked="0"/>
    </xf>
    <xf numFmtId="0" fontId="7" fillId="25" borderId="18" xfId="38" applyFont="1" applyFill="1" applyBorder="1" applyAlignment="1">
      <alignment horizontal="center" vertical="center" wrapText="1"/>
    </xf>
    <xf numFmtId="166" fontId="7" fillId="18" borderId="38" xfId="38" applyNumberFormat="1" applyFont="1" applyFill="1" applyBorder="1" applyAlignment="1">
      <alignment horizontal="center" vertical="center"/>
    </xf>
    <xf numFmtId="0" fontId="7" fillId="18" borderId="0" xfId="0" applyFont="1" applyFill="1" applyAlignment="1">
      <alignment vertical="top"/>
    </xf>
    <xf numFmtId="0" fontId="7" fillId="18" borderId="0" xfId="38" applyFont="1" applyFill="1" applyAlignment="1">
      <alignment vertical="top"/>
    </xf>
    <xf numFmtId="0" fontId="48" fillId="18" borderId="0" xfId="38" applyFont="1" applyFill="1" applyAlignment="1">
      <alignment horizontal="right" vertical="top"/>
    </xf>
    <xf numFmtId="14" fontId="48" fillId="18" borderId="0" xfId="38" applyNumberFormat="1" applyFont="1" applyFill="1" applyAlignment="1">
      <alignment vertical="top"/>
    </xf>
    <xf numFmtId="0" fontId="36" fillId="27" borderId="47" xfId="47" applyFont="1" applyFill="1" applyBorder="1" applyAlignment="1">
      <alignment horizontal="center" vertical="top" wrapText="1"/>
    </xf>
    <xf numFmtId="171" fontId="36" fillId="27" borderId="19" xfId="47" applyNumberFormat="1" applyFont="1" applyFill="1" applyBorder="1" applyAlignment="1">
      <alignment horizontal="center" vertical="top" wrapText="1"/>
    </xf>
    <xf numFmtId="3" fontId="36" fillId="27" borderId="56" xfId="47" applyNumberFormat="1" applyFont="1" applyFill="1" applyBorder="1" applyAlignment="1">
      <alignment horizontal="center" vertical="top" wrapText="1"/>
    </xf>
    <xf numFmtId="0" fontId="7" fillId="18" borderId="19" xfId="38" applyFont="1" applyFill="1" applyBorder="1" applyAlignment="1">
      <alignment vertical="top"/>
    </xf>
    <xf numFmtId="4" fontId="36" fillId="28" borderId="19" xfId="47" applyNumberFormat="1" applyFont="1" applyFill="1" applyBorder="1" applyAlignment="1">
      <alignment horizontal="center" vertical="top" wrapText="1"/>
    </xf>
    <xf numFmtId="4" fontId="36" fillId="28" borderId="46" xfId="47" applyNumberFormat="1" applyFont="1" applyFill="1" applyBorder="1" applyAlignment="1">
      <alignment horizontal="center" vertical="top" wrapText="1"/>
    </xf>
    <xf numFmtId="0" fontId="48" fillId="18" borderId="0" xfId="0" applyFont="1" applyFill="1" applyAlignment="1">
      <alignment vertical="top"/>
    </xf>
    <xf numFmtId="0" fontId="48" fillId="18" borderId="0" xfId="38" applyFont="1" applyFill="1" applyAlignment="1">
      <alignment vertical="top"/>
    </xf>
    <xf numFmtId="171" fontId="36" fillId="27" borderId="56" xfId="47" applyNumberFormat="1" applyFont="1" applyFill="1" applyBorder="1" applyAlignment="1">
      <alignment horizontal="center" vertical="top" wrapText="1"/>
    </xf>
    <xf numFmtId="0" fontId="48" fillId="18" borderId="56" xfId="38" applyFont="1" applyFill="1" applyBorder="1" applyAlignment="1">
      <alignment vertical="top"/>
    </xf>
    <xf numFmtId="4" fontId="36" fillId="28" borderId="56" xfId="47" applyNumberFormat="1" applyFont="1" applyFill="1" applyBorder="1" applyAlignment="1">
      <alignment horizontal="center" vertical="top" wrapText="1"/>
    </xf>
    <xf numFmtId="0" fontId="35" fillId="0" borderId="20" xfId="47" applyFont="1" applyBorder="1" applyAlignment="1">
      <alignment vertical="top"/>
    </xf>
    <xf numFmtId="0" fontId="35" fillId="0" borderId="42" xfId="47" applyFont="1" applyBorder="1" applyAlignment="1">
      <alignment vertical="top"/>
    </xf>
    <xf numFmtId="0" fontId="7" fillId="18" borderId="42" xfId="38" applyFont="1" applyFill="1" applyBorder="1" applyAlignment="1">
      <alignment vertical="top"/>
    </xf>
    <xf numFmtId="4" fontId="35" fillId="28" borderId="42" xfId="47" applyNumberFormat="1" applyFont="1" applyFill="1" applyBorder="1" applyAlignment="1">
      <alignment horizontal="center" vertical="top" wrapText="1"/>
    </xf>
    <xf numFmtId="4" fontId="35" fillId="28" borderId="21" xfId="47" applyNumberFormat="1" applyFont="1" applyFill="1" applyBorder="1" applyAlignment="1">
      <alignment horizontal="center" vertical="top" wrapText="1"/>
    </xf>
    <xf numFmtId="172" fontId="7" fillId="18" borderId="0" xfId="38" applyNumberFormat="1" applyFont="1" applyFill="1" applyAlignment="1">
      <alignment vertical="top"/>
    </xf>
    <xf numFmtId="0" fontId="6" fillId="0" borderId="56" xfId="0" applyFont="1" applyBorder="1" applyAlignment="1">
      <alignment horizontal="justify" vertical="center" wrapText="1"/>
    </xf>
    <xf numFmtId="0" fontId="6" fillId="0" borderId="56" xfId="0" applyFont="1" applyBorder="1" applyAlignment="1">
      <alignment vertical="center" wrapText="1"/>
    </xf>
    <xf numFmtId="9" fontId="6" fillId="0" borderId="56" xfId="0" applyNumberFormat="1" applyFont="1" applyBorder="1" applyAlignment="1">
      <alignment horizontal="center" vertical="center" wrapText="1"/>
    </xf>
    <xf numFmtId="0" fontId="45" fillId="0" borderId="56" xfId="0" applyFont="1" applyBorder="1" applyAlignment="1">
      <alignment horizontal="justify" vertical="center" wrapText="1"/>
    </xf>
    <xf numFmtId="9" fontId="45" fillId="0" borderId="56" xfId="0" applyNumberFormat="1" applyFont="1" applyBorder="1" applyAlignment="1">
      <alignment horizontal="center" vertical="center" wrapText="1"/>
    </xf>
    <xf numFmtId="0" fontId="9" fillId="34" borderId="56" xfId="0" applyFont="1" applyFill="1" applyBorder="1" applyAlignment="1">
      <alignment horizontal="center" vertical="center" wrapText="1"/>
    </xf>
    <xf numFmtId="0" fontId="48" fillId="0" borderId="0" xfId="0" applyFont="1"/>
    <xf numFmtId="0" fontId="48" fillId="0" borderId="0" xfId="0" applyFont="1" applyAlignment="1">
      <alignment horizontal="center"/>
    </xf>
    <xf numFmtId="0" fontId="48" fillId="27" borderId="0" xfId="0" applyFont="1" applyFill="1" applyAlignment="1">
      <alignment horizontal="center"/>
    </xf>
    <xf numFmtId="170" fontId="7" fillId="18" borderId="38" xfId="38" applyNumberFormat="1" applyFont="1" applyFill="1" applyBorder="1" applyAlignment="1">
      <alignment horizontal="center" vertical="center"/>
    </xf>
    <xf numFmtId="170" fontId="7" fillId="25" borderId="38" xfId="38" applyNumberFormat="1" applyFont="1" applyFill="1" applyBorder="1" applyAlignment="1">
      <alignment horizontal="center" vertical="center"/>
    </xf>
    <xf numFmtId="170" fontId="7" fillId="18" borderId="40" xfId="38" applyNumberFormat="1" applyFont="1" applyFill="1" applyBorder="1" applyAlignment="1">
      <alignment horizontal="center" vertical="center"/>
    </xf>
    <xf numFmtId="164" fontId="7" fillId="20" borderId="38" xfId="38" applyNumberFormat="1" applyFont="1" applyFill="1" applyBorder="1" applyAlignment="1">
      <alignment horizontal="center" vertical="top"/>
    </xf>
    <xf numFmtId="0" fontId="48" fillId="35" borderId="0" xfId="38" applyFont="1" applyFill="1" applyAlignment="1">
      <alignment horizontal="center"/>
    </xf>
    <xf numFmtId="3" fontId="41" fillId="35" borderId="0" xfId="38" applyNumberFormat="1" applyFont="1" applyFill="1" applyAlignment="1">
      <alignment horizontal="center"/>
    </xf>
    <xf numFmtId="3" fontId="7" fillId="18" borderId="0" xfId="38" applyNumberFormat="1" applyFont="1" applyFill="1"/>
    <xf numFmtId="0" fontId="49" fillId="36" borderId="56" xfId="54" applyFont="1" applyFill="1" applyBorder="1" applyAlignment="1">
      <alignment horizontal="center" vertical="center" wrapText="1"/>
    </xf>
    <xf numFmtId="10" fontId="9" fillId="26" borderId="56" xfId="0" applyNumberFormat="1" applyFont="1" applyFill="1" applyBorder="1" applyAlignment="1">
      <alignment horizontal="center" vertical="center"/>
    </xf>
    <xf numFmtId="10" fontId="6" fillId="26" borderId="56" xfId="54" applyNumberFormat="1" applyFont="1" applyFill="1" applyBorder="1" applyAlignment="1">
      <alignment horizontal="center" vertical="center"/>
    </xf>
    <xf numFmtId="4" fontId="6" fillId="26" borderId="56" xfId="66" applyNumberFormat="1" applyFont="1" applyFill="1" applyBorder="1" applyAlignment="1">
      <alignment horizontal="center" vertical="center"/>
    </xf>
    <xf numFmtId="0" fontId="6" fillId="26" borderId="56" xfId="66" applyFont="1" applyFill="1" applyBorder="1" applyAlignment="1">
      <alignment vertical="center"/>
    </xf>
    <xf numFmtId="4" fontId="6" fillId="0" borderId="56" xfId="0" applyNumberFormat="1" applyFont="1" applyBorder="1" applyAlignment="1">
      <alignment horizontal="center"/>
    </xf>
    <xf numFmtId="4" fontId="36" fillId="0" borderId="56" xfId="0" applyNumberFormat="1" applyFont="1" applyFill="1" applyBorder="1" applyAlignment="1">
      <alignment horizontal="center" vertical="center"/>
    </xf>
    <xf numFmtId="0" fontId="35" fillId="0" borderId="0" xfId="47" applyFont="1" applyAlignment="1">
      <alignment horizontal="center" wrapText="1"/>
    </xf>
    <xf numFmtId="0" fontId="41" fillId="0" borderId="0" xfId="66" applyFont="1" applyFill="1" applyAlignment="1">
      <alignment horizontal="center" vertical="top" wrapText="1"/>
    </xf>
    <xf numFmtId="0" fontId="49" fillId="36" borderId="59" xfId="54" applyFont="1" applyFill="1" applyBorder="1" applyAlignment="1">
      <alignment horizontal="center" vertical="center" wrapText="1"/>
    </xf>
    <xf numFmtId="0" fontId="49" fillId="36" borderId="22" xfId="54" applyFont="1" applyFill="1" applyBorder="1" applyAlignment="1">
      <alignment horizontal="center" vertical="center" wrapText="1"/>
    </xf>
    <xf numFmtId="0" fontId="49" fillId="36" borderId="56" xfId="54" applyFont="1" applyFill="1" applyBorder="1" applyAlignment="1">
      <alignment horizontal="center" vertical="center" wrapText="1"/>
    </xf>
    <xf numFmtId="10" fontId="6" fillId="0" borderId="59" xfId="0" applyNumberFormat="1" applyFont="1" applyBorder="1" applyAlignment="1">
      <alignment horizontal="center" vertical="center" wrapText="1"/>
    </xf>
    <xf numFmtId="10" fontId="6" fillId="0" borderId="60" xfId="0" applyNumberFormat="1" applyFont="1" applyBorder="1" applyAlignment="1">
      <alignment horizontal="center" vertical="center" wrapText="1"/>
    </xf>
    <xf numFmtId="10" fontId="6" fillId="0" borderId="22" xfId="0" applyNumberFormat="1" applyFont="1" applyBorder="1" applyAlignment="1">
      <alignment horizontal="center" vertical="center" wrapText="1"/>
    </xf>
    <xf numFmtId="0" fontId="6" fillId="0" borderId="0" xfId="54" applyFont="1" applyAlignment="1">
      <alignment horizontal="justify" vertical="top" wrapText="1"/>
    </xf>
    <xf numFmtId="0" fontId="9" fillId="33" borderId="56" xfId="54" applyFont="1" applyFill="1" applyBorder="1" applyAlignment="1">
      <alignment horizontal="center" vertical="center" wrapText="1"/>
    </xf>
    <xf numFmtId="49" fontId="9" fillId="33" borderId="56" xfId="0" applyNumberFormat="1" applyFont="1" applyFill="1" applyBorder="1" applyAlignment="1">
      <alignment horizontal="center" vertical="center" wrapText="1"/>
    </xf>
    <xf numFmtId="10" fontId="6" fillId="0" borderId="56" xfId="54" applyNumberFormat="1" applyFont="1" applyFill="1" applyBorder="1" applyAlignment="1">
      <alignment horizontal="center" vertical="center"/>
    </xf>
    <xf numFmtId="0" fontId="9" fillId="26" borderId="57" xfId="54" applyFont="1" applyFill="1" applyBorder="1" applyAlignment="1">
      <alignment horizontal="right" vertical="center" wrapText="1"/>
    </xf>
    <xf numFmtId="0" fontId="9" fillId="26" borderId="55" xfId="54" applyFont="1" applyFill="1" applyBorder="1" applyAlignment="1">
      <alignment horizontal="right" vertical="center" wrapText="1"/>
    </xf>
    <xf numFmtId="0" fontId="6" fillId="26" borderId="57" xfId="54" applyFont="1" applyFill="1" applyBorder="1" applyAlignment="1">
      <alignment horizontal="right" vertical="center" wrapText="1"/>
    </xf>
    <xf numFmtId="0" fontId="6" fillId="26" borderId="55" xfId="54" applyFont="1" applyFill="1" applyBorder="1" applyAlignment="1">
      <alignment horizontal="right" vertical="center" wrapText="1"/>
    </xf>
    <xf numFmtId="4" fontId="47" fillId="26" borderId="57" xfId="0" applyNumberFormat="1" applyFont="1" applyFill="1" applyBorder="1" applyAlignment="1">
      <alignment horizontal="center" vertical="center" wrapText="1"/>
    </xf>
    <xf numFmtId="4" fontId="47" fillId="26" borderId="55" xfId="0" applyNumberFormat="1" applyFont="1" applyFill="1" applyBorder="1" applyAlignment="1">
      <alignment horizontal="center" vertical="center" wrapText="1"/>
    </xf>
    <xf numFmtId="0" fontId="44" fillId="22" borderId="25" xfId="38" applyFont="1" applyFill="1" applyBorder="1" applyAlignment="1">
      <alignment horizontal="center" vertical="center" wrapText="1"/>
    </xf>
    <xf numFmtId="0" fontId="41" fillId="23" borderId="12" xfId="38" applyFont="1" applyFill="1" applyBorder="1" applyAlignment="1">
      <alignment horizontal="center" vertical="center" wrapText="1"/>
    </xf>
    <xf numFmtId="0" fontId="7" fillId="19" borderId="12" xfId="38" applyFont="1" applyFill="1" applyBorder="1" applyAlignment="1">
      <alignment horizontal="center" vertical="center" wrapText="1"/>
    </xf>
    <xf numFmtId="0" fontId="40" fillId="19" borderId="10" xfId="38" applyFont="1" applyFill="1" applyBorder="1" applyAlignment="1">
      <alignment horizontal="center" vertical="center" wrapText="1"/>
    </xf>
    <xf numFmtId="0" fontId="40" fillId="19" borderId="30" xfId="38" applyFont="1" applyFill="1" applyBorder="1" applyAlignment="1">
      <alignment horizontal="center" vertical="center" wrapText="1"/>
    </xf>
    <xf numFmtId="0" fontId="41" fillId="24" borderId="12" xfId="38" applyFont="1" applyFill="1" applyBorder="1" applyAlignment="1">
      <alignment horizontal="center" vertical="center" wrapText="1"/>
    </xf>
    <xf numFmtId="0" fontId="40" fillId="19" borderId="26" xfId="38" applyFont="1" applyFill="1" applyBorder="1" applyAlignment="1">
      <alignment horizontal="center" vertical="center"/>
    </xf>
    <xf numFmtId="0" fontId="40" fillId="19" borderId="27" xfId="38" applyFont="1" applyFill="1" applyBorder="1" applyAlignment="1">
      <alignment horizontal="center" vertical="center"/>
    </xf>
    <xf numFmtId="0" fontId="40" fillId="19" borderId="12" xfId="0" applyFont="1" applyFill="1" applyBorder="1" applyAlignment="1">
      <alignment horizontal="center" vertical="center"/>
    </xf>
    <xf numFmtId="0" fontId="40" fillId="19" borderId="10" xfId="0" applyFont="1" applyFill="1" applyBorder="1" applyAlignment="1">
      <alignment horizontal="center" vertical="center"/>
    </xf>
    <xf numFmtId="0" fontId="40" fillId="19" borderId="12" xfId="38" applyFont="1" applyFill="1" applyBorder="1" applyAlignment="1">
      <alignment horizontal="center" vertical="center"/>
    </xf>
    <xf numFmtId="0" fontId="40" fillId="19" borderId="10" xfId="38" applyFont="1" applyFill="1" applyBorder="1" applyAlignment="1">
      <alignment horizontal="center" vertical="center"/>
    </xf>
    <xf numFmtId="0" fontId="40" fillId="19" borderId="28" xfId="38" applyFont="1" applyFill="1" applyBorder="1" applyAlignment="1">
      <alignment horizontal="center" vertical="center"/>
    </xf>
    <xf numFmtId="0" fontId="40" fillId="19" borderId="29" xfId="38" applyFont="1" applyFill="1" applyBorder="1" applyAlignment="1">
      <alignment horizontal="center" vertical="center"/>
    </xf>
    <xf numFmtId="0" fontId="40" fillId="19" borderId="23" xfId="38" applyFont="1" applyFill="1" applyBorder="1" applyAlignment="1">
      <alignment horizontal="center" vertical="center"/>
    </xf>
    <xf numFmtId="0" fontId="40" fillId="19" borderId="34" xfId="38" applyFont="1" applyFill="1" applyBorder="1" applyAlignment="1">
      <alignment horizontal="center" vertical="center"/>
    </xf>
    <xf numFmtId="0" fontId="40" fillId="19" borderId="24" xfId="38" applyFont="1" applyFill="1" applyBorder="1" applyAlignment="1">
      <alignment horizontal="center" vertical="center"/>
    </xf>
    <xf numFmtId="0" fontId="41" fillId="23" borderId="16" xfId="38" applyFont="1" applyFill="1" applyBorder="1" applyAlignment="1">
      <alignment horizontal="center" vertical="center" wrapText="1"/>
    </xf>
    <xf numFmtId="0" fontId="41" fillId="23" borderId="31" xfId="38" applyFont="1" applyFill="1" applyBorder="1" applyAlignment="1">
      <alignment horizontal="center" vertical="center" wrapText="1"/>
    </xf>
    <xf numFmtId="0" fontId="41" fillId="19" borderId="12" xfId="0" applyFont="1" applyFill="1" applyBorder="1" applyAlignment="1">
      <alignment horizontal="center" vertical="center" wrapText="1"/>
    </xf>
    <xf numFmtId="0" fontId="40" fillId="19" borderId="32" xfId="38" applyFont="1" applyFill="1" applyBorder="1" applyAlignment="1">
      <alignment horizontal="center" vertical="center"/>
    </xf>
    <xf numFmtId="0" fontId="40" fillId="19" borderId="14" xfId="38" applyFont="1" applyFill="1" applyBorder="1" applyAlignment="1">
      <alignment horizontal="center" vertical="center"/>
    </xf>
    <xf numFmtId="0" fontId="40" fillId="19" borderId="33" xfId="38" applyFont="1" applyFill="1" applyBorder="1" applyAlignment="1">
      <alignment horizontal="center" vertical="center"/>
    </xf>
    <xf numFmtId="0" fontId="41" fillId="19" borderId="32" xfId="38" applyFont="1" applyFill="1" applyBorder="1" applyAlignment="1">
      <alignment horizontal="center" vertical="center" wrapText="1"/>
    </xf>
    <xf numFmtId="0" fontId="41" fillId="19" borderId="33" xfId="38" applyFont="1" applyFill="1" applyBorder="1" applyAlignment="1">
      <alignment horizontal="center" vertical="center" wrapText="1"/>
    </xf>
    <xf numFmtId="0" fontId="41" fillId="19" borderId="14" xfId="38" applyFont="1" applyFill="1" applyBorder="1" applyAlignment="1">
      <alignment horizontal="center" vertical="center" wrapText="1"/>
    </xf>
    <xf numFmtId="0" fontId="41" fillId="24" borderId="16" xfId="38" applyFont="1" applyFill="1" applyBorder="1" applyAlignment="1">
      <alignment horizontal="center" vertical="center" wrapText="1"/>
    </xf>
    <xf numFmtId="0" fontId="40" fillId="19" borderId="28" xfId="38" applyFont="1" applyFill="1" applyBorder="1" applyAlignment="1">
      <alignment horizontal="center" vertical="center" wrapText="1"/>
    </xf>
    <xf numFmtId="0" fontId="40" fillId="19" borderId="29" xfId="38" applyFont="1" applyFill="1" applyBorder="1" applyAlignment="1">
      <alignment horizontal="center" vertical="center" wrapText="1"/>
    </xf>
    <xf numFmtId="0" fontId="9" fillId="34" borderId="35" xfId="38" applyFont="1" applyFill="1" applyBorder="1" applyAlignment="1">
      <alignment horizontal="center" vertical="center" wrapText="1"/>
    </xf>
    <xf numFmtId="0" fontId="9" fillId="34" borderId="36" xfId="38" applyFont="1" applyFill="1" applyBorder="1" applyAlignment="1">
      <alignment horizontal="center" vertical="center" wrapText="1"/>
    </xf>
    <xf numFmtId="0" fontId="9" fillId="34" borderId="55" xfId="38" applyFont="1" applyFill="1" applyBorder="1" applyAlignment="1">
      <alignment horizontal="center" vertical="center" wrapText="1"/>
    </xf>
    <xf numFmtId="0" fontId="6" fillId="18" borderId="35" xfId="38" applyFont="1" applyFill="1" applyBorder="1" applyAlignment="1">
      <alignment horizontal="left" vertical="center" wrapText="1"/>
    </xf>
    <xf numFmtId="0" fontId="6" fillId="18" borderId="36" xfId="38" applyFont="1" applyFill="1" applyBorder="1" applyAlignment="1">
      <alignment horizontal="left" vertical="center" wrapText="1"/>
    </xf>
    <xf numFmtId="0" fontId="6" fillId="18" borderId="55" xfId="38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30" xfId="0" applyFont="1" applyBorder="1" applyAlignment="1">
      <alignment horizontal="justify" vertical="center" wrapText="1"/>
    </xf>
    <xf numFmtId="0" fontId="7" fillId="0" borderId="5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9" fontId="9" fillId="0" borderId="48" xfId="58" applyFont="1" applyBorder="1" applyAlignment="1">
      <alignment horizontal="center" vertical="center" wrapText="1"/>
    </xf>
    <xf numFmtId="9" fontId="9" fillId="0" borderId="51" xfId="58" applyFont="1" applyBorder="1" applyAlignment="1">
      <alignment horizontal="center" vertical="center" wrapText="1"/>
    </xf>
    <xf numFmtId="9" fontId="9" fillId="0" borderId="50" xfId="58" applyFont="1" applyBorder="1" applyAlignment="1">
      <alignment horizontal="center" vertical="center" wrapText="1"/>
    </xf>
  </cellXfs>
  <cellStyles count="6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/>
    <cellStyle name="Денежный 4" xfId="65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Нейтральный 2" xfId="51"/>
    <cellStyle name="Обычный" xfId="0" builtinId="0"/>
    <cellStyle name="Обычный 11" xfId="63"/>
    <cellStyle name="Обычный 2" xfId="37"/>
    <cellStyle name="Обычный 2 2" xfId="66"/>
    <cellStyle name="Обычный 3" xfId="38"/>
    <cellStyle name="Обычный 3 2" xfId="48"/>
    <cellStyle name="Обычный 3 3" xfId="54"/>
    <cellStyle name="Обычный 3 5" xfId="60"/>
    <cellStyle name="Обычный 4" xfId="47"/>
    <cellStyle name="Обычный 4 2" xfId="55"/>
    <cellStyle name="Обычный 4 3" xfId="59"/>
    <cellStyle name="Обычный 4 4" xfId="61"/>
    <cellStyle name="Обычный 5" xfId="56"/>
    <cellStyle name="Обычный 5 2 2" xfId="62"/>
    <cellStyle name="Обычный 8" xfId="39"/>
    <cellStyle name="Плохой" xfId="40" builtinId="27" customBuiltin="1"/>
    <cellStyle name="Плохой 2" xfId="52"/>
    <cellStyle name="Пояснение" xfId="41" builtinId="53" customBuiltin="1"/>
    <cellStyle name="Примечание" xfId="42" builtinId="10" customBuiltin="1"/>
    <cellStyle name="Процентный" xfId="58" builtinId="5"/>
    <cellStyle name="Процентный 2" xfId="43"/>
    <cellStyle name="Процентный 3" xfId="53"/>
    <cellStyle name="Процентный 5 2" xfId="64"/>
    <cellStyle name="Связанная ячейка" xfId="44" builtinId="24" customBuiltin="1"/>
    <cellStyle name="Текст предупреждения" xfId="45" builtinId="11" customBuiltin="1"/>
    <cellStyle name="Финансовый 2" xfId="57"/>
    <cellStyle name="Хороший" xfId="46" builtinId="26" customBuiltin="1"/>
    <cellStyle name="Хороший 2" xfId="49"/>
    <cellStyle name="Хороший 3" xfId="5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ONOM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6;&#1072;&#1073;&#1086;&#1090;&#1072;_&#1054;&#1062;&#1080;&#1058;\&#1088;&#1072;&#1089;&#1095;&#1077;&#1090;&#1099;\20220425__&#1050;&#1046;&#1062;_&#1055;&#1059;&#1054;&#1057;_&#1054;&#1044;&#1057;_&#1052;&#1072;&#1083;&#1100;&#1095;&#1077;&#1085;&#1082;&#1086;\&#1055;&#1059;&#1054;&#1057;_&#1053;&#1052;&#1062;&#1050;_&#1050;&#1046;&#1062;_&#1057;&#1050;_&#1060;&#1058;_&#1088;&#1072;&#1079;&#1074;&#1080;&#1090;&#1080;&#1077;_&#1089;&#1086;&#1087;&#1088;&#1086;&#1074;&#1086;&#1078;&#1076;&#1077;&#1085;&#1080;&#1077;_&#1072;&#1085;&#1072;&#1083;&#1080;&#1079;_08_04_2022%20&#1079;&#1072;&#1084;&#1077;&#1095;&#1072;&#1085;&#1080;&#1103;%20&#1044;&#1048;&#1058;%2011.04.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0;&#1086;&#1085;&#1090;&#1088;&#1072;&#1082;&#1090;%202025/1%20&#1058;&#1047;,%20&#1082;&#1086;&#1085;&#1090;&#1088;&#1072;&#1082;&#1090;%20&#1080;%20&#1053;&#1052;&#1062;&#1050;/&#1050;&#1086;&#1087;&#1080;&#1080;/&#1056;&#1072;&#1089;&#1095;&#1077;&#1090;%20&#1053;&#1052;&#1062;&#1050;%20&#1074;%20Excel%20&#1053;&#1080;&#1075;&#1084;&#1072;%2018_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 control"/>
      <sheetName val="Panel de Control "/>
      <sheetName val="Maestro"/>
      <sheetName val="Varios España"/>
      <sheetName val="Varios China"/>
      <sheetName val="P_ contro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.Титул"/>
      <sheetName val="2.2.Свод"/>
      <sheetName val="2.3.Функции"/>
      <sheetName val="2.4.Трудоемкость"/>
      <sheetName val="2.5.Расчет стоимости"/>
      <sheetName val="2.6.Коэффициенты"/>
      <sheetName val="2.7.Расчет ТП"/>
      <sheetName val="2.8.Стоим-тьЕдТрудоемкости_инфл"/>
      <sheetName val="2.9.Коэф_и_показатели"/>
      <sheetName val="2.10.SLA"/>
      <sheetName val="Уровень функц. сложности"/>
      <sheetName val="Уровень сист. сложности"/>
      <sheetName val="2.3. по МРР"/>
      <sheetName val="1. первичного инф."/>
      <sheetName val="2. дистанционное инф."/>
      <sheetName val="3. дополнительное инф."/>
      <sheetName val="Таблицы"/>
      <sheetName val="Лист6"/>
      <sheetName val="Лист5"/>
      <sheetName val="График"/>
      <sheetName val="2.2.Свод по годам"/>
    </sheetNames>
    <sheetDataSet>
      <sheetData sheetId="0" refreshError="1"/>
      <sheetData sheetId="1">
        <row r="4">
          <cell r="E4">
            <v>121544230.272</v>
          </cell>
        </row>
        <row r="5">
          <cell r="E5">
            <v>40763799.805534244</v>
          </cell>
        </row>
      </sheetData>
      <sheetData sheetId="2">
        <row r="3">
          <cell r="C3" t="str">
            <v xml:space="preserve">Выполнение работ по развитию государственной информационной системы: подсистемы учета объема снега, утилизируемого на стационарных снегоплавильных пунктах города Москвы автоматизированной системы управления «Объединенная диспетчерская служба Департамента жилищно-коммунального хозяйства города Москвы». </v>
          </cell>
        </row>
        <row r="125">
          <cell r="A125">
            <v>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. Титул"/>
      <sheetName val="2.2. Свод"/>
      <sheetName val="2.3. Функции"/>
      <sheetName val="2.4. Трудоемкость"/>
      <sheetName val="2.5. Коэффициенты"/>
      <sheetName val="2.6. Свод по годам"/>
      <sheetName val="2.6 Свод по годам"/>
      <sheetName val="2.7 Свод по г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P26" sqref="P26"/>
    </sheetView>
  </sheetViews>
  <sheetFormatPr defaultColWidth="9.1796875" defaultRowHeight="14.5" x14ac:dyDescent="0.35"/>
  <cols>
    <col min="1" max="16384" width="9.1796875" style="9"/>
  </cols>
  <sheetData>
    <row r="1" spans="9:9" x14ac:dyDescent="0.35">
      <c r="I1" s="10" t="s">
        <v>135</v>
      </c>
    </row>
    <row r="2" spans="9:9" x14ac:dyDescent="0.35">
      <c r="I2" s="10" t="s">
        <v>136</v>
      </c>
    </row>
    <row r="3" spans="9:9" x14ac:dyDescent="0.35">
      <c r="I3" s="10" t="s">
        <v>137</v>
      </c>
    </row>
    <row r="21" spans="1:11" ht="14.5" customHeight="1" x14ac:dyDescent="0.35">
      <c r="A21" s="134" t="s">
        <v>138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</row>
    <row r="22" spans="1:11" ht="48" customHeight="1" x14ac:dyDescent="0.35">
      <c r="A22" s="135" t="s">
        <v>155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</row>
  </sheetData>
  <mergeCells count="2">
    <mergeCell ref="A21:K21"/>
    <mergeCell ref="A22:K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2:Q24"/>
  <sheetViews>
    <sheetView zoomScale="80" zoomScaleNormal="80" workbookViewId="0">
      <selection activeCell="E52" sqref="E52"/>
    </sheetView>
  </sheetViews>
  <sheetFormatPr defaultColWidth="8.81640625" defaultRowHeight="15.5" x14ac:dyDescent="0.35"/>
  <cols>
    <col min="1" max="1" width="6.81640625" style="55" customWidth="1"/>
    <col min="2" max="2" width="8.81640625" style="55"/>
    <col min="3" max="3" width="33.6328125" style="55" customWidth="1"/>
    <col min="4" max="4" width="25.453125" style="55" customWidth="1"/>
    <col min="5" max="5" width="30.7265625" style="55" customWidth="1"/>
    <col min="6" max="6" width="12.90625" style="56" customWidth="1"/>
    <col min="7" max="7" width="23" style="56" customWidth="1"/>
    <col min="8" max="8" width="19.81640625" style="56" customWidth="1"/>
    <col min="9" max="9" width="28.90625" style="56" customWidth="1"/>
    <col min="10" max="10" width="12.6328125" style="55" customWidth="1"/>
    <col min="11" max="11" width="21.6328125" style="55" customWidth="1"/>
    <col min="12" max="12" width="19.36328125" style="55" customWidth="1"/>
    <col min="13" max="16" width="8.81640625" style="55"/>
    <col min="17" max="17" width="8.81640625" style="56"/>
    <col min="18" max="16384" width="8.81640625" style="55"/>
  </cols>
  <sheetData>
    <row r="2" spans="2:17" x14ac:dyDescent="0.35">
      <c r="I2" s="55"/>
      <c r="O2" s="56"/>
      <c r="Q2" s="55"/>
    </row>
    <row r="3" spans="2:17" ht="23.15" customHeight="1" x14ac:dyDescent="0.35">
      <c r="B3" s="143" t="s">
        <v>77</v>
      </c>
      <c r="C3" s="143" t="s">
        <v>119</v>
      </c>
      <c r="D3" s="143" t="s">
        <v>149</v>
      </c>
      <c r="E3" s="143" t="s">
        <v>150</v>
      </c>
      <c r="F3" s="144" t="s">
        <v>80</v>
      </c>
      <c r="G3" s="144"/>
      <c r="H3" s="144"/>
      <c r="I3" s="136" t="s">
        <v>153</v>
      </c>
      <c r="J3" s="138" t="s">
        <v>151</v>
      </c>
      <c r="K3" s="138"/>
      <c r="L3" s="138"/>
      <c r="P3" s="56"/>
      <c r="Q3" s="55"/>
    </row>
    <row r="4" spans="2:17" ht="82.5" customHeight="1" x14ac:dyDescent="0.35">
      <c r="B4" s="143"/>
      <c r="C4" s="143"/>
      <c r="D4" s="143"/>
      <c r="E4" s="143"/>
      <c r="F4" s="57" t="s">
        <v>146</v>
      </c>
      <c r="G4" s="58" t="s">
        <v>145</v>
      </c>
      <c r="H4" s="58" t="s">
        <v>147</v>
      </c>
      <c r="I4" s="137"/>
      <c r="J4" s="127" t="s">
        <v>146</v>
      </c>
      <c r="K4" s="127" t="s">
        <v>152</v>
      </c>
      <c r="L4" s="127" t="s">
        <v>147</v>
      </c>
      <c r="P4" s="56"/>
      <c r="Q4" s="55"/>
    </row>
    <row r="5" spans="2:17" ht="21" customHeight="1" x14ac:dyDescent="0.35">
      <c r="B5" s="62">
        <v>1</v>
      </c>
      <c r="C5" s="59" t="s">
        <v>81</v>
      </c>
      <c r="D5" s="64">
        <f>'2.4.Расчет_ТП'!AE14</f>
        <v>53203272.350000001</v>
      </c>
      <c r="E5" s="64">
        <f>ROUND($E$9*F5,2)</f>
        <v>41708504.469999999</v>
      </c>
      <c r="F5" s="63">
        <f>ROUND(D5/D$9,4)</f>
        <v>0.26479999999999998</v>
      </c>
      <c r="G5" s="145">
        <v>1E-3</v>
      </c>
      <c r="H5" s="60">
        <f>ROUND((1-G$5)*F5,4)</f>
        <v>0.26450000000000001</v>
      </c>
      <c r="I5" s="133">
        <v>41337960.310000002</v>
      </c>
      <c r="J5" s="63">
        <f>ROUND(I5/$I$9,4)</f>
        <v>0.26469999999999999</v>
      </c>
      <c r="K5" s="139">
        <v>1E-3</v>
      </c>
      <c r="L5" s="63">
        <f>ROUND((1-K$5)*J5,4)</f>
        <v>0.26440000000000002</v>
      </c>
      <c r="O5" s="56"/>
      <c r="Q5" s="55"/>
    </row>
    <row r="6" spans="2:17" ht="22" customHeight="1" x14ac:dyDescent="0.35">
      <c r="B6" s="62">
        <v>2</v>
      </c>
      <c r="C6" s="59" t="s">
        <v>79</v>
      </c>
      <c r="D6" s="64">
        <f>'2.4.Расчет_ТП'!AF14</f>
        <v>89650385.659999996</v>
      </c>
      <c r="E6" s="64">
        <f>ROUNDDOWN($E$9*F6,2)</f>
        <v>70280720.129999995</v>
      </c>
      <c r="F6" s="63">
        <f>ROUND(D6/D$9,4)</f>
        <v>0.44619999999999999</v>
      </c>
      <c r="G6" s="145"/>
      <c r="H6" s="60">
        <f>ROUND((1-G$5)*F6,4)</f>
        <v>0.44579999999999997</v>
      </c>
      <c r="I6" s="133">
        <v>69679290.799999997</v>
      </c>
      <c r="J6" s="63">
        <f>ROUND(I6/$I$9,4)</f>
        <v>0.4461</v>
      </c>
      <c r="K6" s="140"/>
      <c r="L6" s="63">
        <f t="shared" ref="L6:L8" si="0">ROUND((1-K$5)*J6,4)</f>
        <v>0.44569999999999999</v>
      </c>
      <c r="O6" s="56"/>
      <c r="Q6" s="55"/>
    </row>
    <row r="7" spans="2:17" ht="22" customHeight="1" x14ac:dyDescent="0.35">
      <c r="B7" s="62">
        <v>3</v>
      </c>
      <c r="C7" s="59" t="s">
        <v>121</v>
      </c>
      <c r="D7" s="64">
        <f>'2.4.Расчет_ТП'!AG14</f>
        <v>51124379.129999995</v>
      </c>
      <c r="E7" s="64">
        <f t="shared" ref="E7:E8" si="1">ROUND($E$9*F7,2)</f>
        <v>40070406.100000001</v>
      </c>
      <c r="F7" s="63">
        <f>ROUND(D7/D$9,4)</f>
        <v>0.25440000000000002</v>
      </c>
      <c r="G7" s="145"/>
      <c r="H7" s="60">
        <f>ROUND((1-G$5)*F7,4)</f>
        <v>0.25409999999999999</v>
      </c>
      <c r="I7" s="133">
        <v>39726596.130000003</v>
      </c>
      <c r="J7" s="63">
        <f>ROUND(I7/$I$9,4)</f>
        <v>0.25430000000000003</v>
      </c>
      <c r="K7" s="140"/>
      <c r="L7" s="63">
        <f t="shared" si="0"/>
        <v>0.254</v>
      </c>
      <c r="O7" s="56"/>
      <c r="Q7" s="55"/>
    </row>
    <row r="8" spans="2:17" ht="22" customHeight="1" x14ac:dyDescent="0.35">
      <c r="B8" s="62">
        <v>4</v>
      </c>
      <c r="C8" s="59" t="s">
        <v>144</v>
      </c>
      <c r="D8" s="64">
        <f>'2.4.Расчет_ТП'!AH14</f>
        <v>6963453.1800000006</v>
      </c>
      <c r="E8" s="64">
        <f t="shared" si="1"/>
        <v>5449827.25</v>
      </c>
      <c r="F8" s="63">
        <f>ROUNDDOWN(D8/D$9,4)</f>
        <v>3.4599999999999999E-2</v>
      </c>
      <c r="G8" s="145"/>
      <c r="H8" s="60">
        <f>ROUND((1-G$5)*F8,4)</f>
        <v>3.4599999999999999E-2</v>
      </c>
      <c r="I8" s="133">
        <v>5449827.25</v>
      </c>
      <c r="J8" s="63">
        <f>ROUND(I8/$I$9,4)</f>
        <v>3.49E-2</v>
      </c>
      <c r="K8" s="141"/>
      <c r="L8" s="63">
        <f t="shared" si="0"/>
        <v>3.49E-2</v>
      </c>
      <c r="Q8" s="55"/>
    </row>
    <row r="9" spans="2:17" x14ac:dyDescent="0.35">
      <c r="B9" s="146" t="s">
        <v>78</v>
      </c>
      <c r="C9" s="147"/>
      <c r="D9" s="65">
        <f>SUBTOTAL(9,D5:D8)</f>
        <v>200941490.31999999</v>
      </c>
      <c r="E9" s="65">
        <v>157509457.94999999</v>
      </c>
      <c r="F9" s="61">
        <f>SUM(F5:F8)</f>
        <v>1</v>
      </c>
      <c r="G9" s="61">
        <f>SUM(G5)</f>
        <v>1E-3</v>
      </c>
      <c r="H9" s="61">
        <f>SUBTOTAL(9,H5:H8)</f>
        <v>0.99899999999999989</v>
      </c>
      <c r="I9" s="65">
        <f>SUM(I5:I8)</f>
        <v>156193674.49000001</v>
      </c>
      <c r="J9" s="61">
        <f>SUM(J5:J8)</f>
        <v>1</v>
      </c>
      <c r="K9" s="128">
        <f>K5</f>
        <v>1E-3</v>
      </c>
      <c r="L9" s="129">
        <f>SUM(L5:L8)</f>
        <v>0.999</v>
      </c>
      <c r="O9" s="56"/>
      <c r="Q9" s="55"/>
    </row>
    <row r="10" spans="2:17" x14ac:dyDescent="0.35">
      <c r="B10" s="148" t="s">
        <v>142</v>
      </c>
      <c r="C10" s="149"/>
      <c r="D10" s="66">
        <f>ROUND(D9/122*22,2)</f>
        <v>36235350.710000001</v>
      </c>
      <c r="E10" s="66"/>
      <c r="F10" s="66"/>
      <c r="G10" s="66"/>
      <c r="H10" s="67"/>
      <c r="I10" s="130">
        <f>ROUND(I9/12*2,2)</f>
        <v>26032279.079999998</v>
      </c>
      <c r="J10" s="131"/>
      <c r="K10" s="131"/>
      <c r="L10" s="131"/>
      <c r="O10" s="56"/>
      <c r="Q10" s="55"/>
    </row>
    <row r="11" spans="2:17" x14ac:dyDescent="0.35">
      <c r="I11" s="55"/>
      <c r="O11" s="56"/>
      <c r="Q11" s="55"/>
    </row>
    <row r="12" spans="2:17" ht="15.5" customHeight="1" x14ac:dyDescent="0.35">
      <c r="B12" s="142" t="s">
        <v>156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</row>
    <row r="13" spans="2:17" x14ac:dyDescent="0.35"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</row>
    <row r="14" spans="2:17" x14ac:dyDescent="0.35"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</row>
    <row r="15" spans="2:17" x14ac:dyDescent="0.35"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</row>
    <row r="16" spans="2:17" x14ac:dyDescent="0.35"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</row>
    <row r="17" spans="2:12" x14ac:dyDescent="0.35"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</row>
    <row r="18" spans="2:12" x14ac:dyDescent="0.35"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</row>
    <row r="19" spans="2:12" x14ac:dyDescent="0.35"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</row>
    <row r="20" spans="2:12" x14ac:dyDescent="0.35"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</row>
    <row r="21" spans="2:12" ht="37.5" customHeight="1" x14ac:dyDescent="0.35"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</row>
    <row r="22" spans="2:12" ht="55" hidden="1" customHeight="1" x14ac:dyDescent="0.35"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</row>
    <row r="24" spans="2:12" x14ac:dyDescent="0.35">
      <c r="C24" s="56"/>
      <c r="D24" s="56"/>
      <c r="E24" s="56"/>
    </row>
  </sheetData>
  <mergeCells count="12">
    <mergeCell ref="I3:I4"/>
    <mergeCell ref="J3:L3"/>
    <mergeCell ref="K5:K8"/>
    <mergeCell ref="B12:L22"/>
    <mergeCell ref="E3:E4"/>
    <mergeCell ref="C3:C4"/>
    <mergeCell ref="B3:B4"/>
    <mergeCell ref="D3:D4"/>
    <mergeCell ref="F3:H3"/>
    <mergeCell ref="G5:G8"/>
    <mergeCell ref="B9:C9"/>
    <mergeCell ref="B10:C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zoomScale="80" zoomScaleNormal="80" workbookViewId="0">
      <selection activeCell="F14" sqref="F14"/>
    </sheetView>
  </sheetViews>
  <sheetFormatPr defaultColWidth="8.81640625" defaultRowHeight="15.5" x14ac:dyDescent="0.35"/>
  <cols>
    <col min="1" max="1" width="5.453125" style="70" customWidth="1"/>
    <col min="2" max="2" width="8.81640625" style="70"/>
    <col min="3" max="3" width="18.453125" style="70" customWidth="1"/>
    <col min="4" max="4" width="24" style="70" customWidth="1"/>
    <col min="5" max="5" width="30.1796875" style="70" customWidth="1"/>
    <col min="6" max="6" width="34.1796875" style="71" customWidth="1"/>
    <col min="7" max="7" width="9" style="71" bestFit="1" customWidth="1"/>
    <col min="8" max="10" width="8.81640625" style="71"/>
    <col min="11" max="16384" width="8.81640625" style="70"/>
  </cols>
  <sheetData>
    <row r="1" spans="2:7" x14ac:dyDescent="0.35">
      <c r="B1" s="68" t="s">
        <v>84</v>
      </c>
      <c r="C1" s="69"/>
      <c r="D1" s="69"/>
    </row>
    <row r="2" spans="2:7" ht="116" customHeight="1" x14ac:dyDescent="0.35">
      <c r="B2" s="79" t="s">
        <v>82</v>
      </c>
      <c r="C2" s="79" t="s">
        <v>83</v>
      </c>
      <c r="D2" s="79" t="s">
        <v>149</v>
      </c>
      <c r="E2" s="79" t="s">
        <v>150</v>
      </c>
      <c r="F2" s="127" t="s">
        <v>154</v>
      </c>
    </row>
    <row r="3" spans="2:7" s="73" customFormat="1" x14ac:dyDescent="0.35">
      <c r="B3" s="150" t="s">
        <v>120</v>
      </c>
      <c r="C3" s="151"/>
      <c r="D3" s="72">
        <f>SUM(D4:D5)</f>
        <v>200941490.32000002</v>
      </c>
      <c r="E3" s="72">
        <f>SUM(E4:E5)</f>
        <v>157509457.95000002</v>
      </c>
      <c r="F3" s="72">
        <f>F4+F5</f>
        <v>156193674.48999998</v>
      </c>
    </row>
    <row r="4" spans="2:7" x14ac:dyDescent="0.35">
      <c r="B4" s="74">
        <v>1</v>
      </c>
      <c r="C4" s="74">
        <v>2026</v>
      </c>
      <c r="D4" s="75">
        <v>200941.49</v>
      </c>
      <c r="E4" s="75">
        <v>157509.46</v>
      </c>
      <c r="F4" s="133">
        <v>156193.67000000001</v>
      </c>
      <c r="G4" s="76"/>
    </row>
    <row r="5" spans="2:7" x14ac:dyDescent="0.35">
      <c r="B5" s="74">
        <v>2</v>
      </c>
      <c r="C5" s="74">
        <v>2027</v>
      </c>
      <c r="D5" s="75">
        <v>200740548.83000001</v>
      </c>
      <c r="E5" s="75">
        <v>157351948.49000001</v>
      </c>
      <c r="F5" s="132">
        <v>156037480.81999999</v>
      </c>
    </row>
    <row r="7" spans="2:7" ht="15.75" customHeight="1" x14ac:dyDescent="0.35"/>
    <row r="9" spans="2:7" x14ac:dyDescent="0.35">
      <c r="E9" s="77"/>
    </row>
    <row r="10" spans="2:7" x14ac:dyDescent="0.35">
      <c r="E10" s="78"/>
    </row>
    <row r="11" spans="2:7" x14ac:dyDescent="0.35">
      <c r="E11" s="78"/>
    </row>
  </sheetData>
  <mergeCells count="1">
    <mergeCell ref="B3:C3"/>
  </mergeCells>
  <pageMargins left="0.7" right="0.7" top="0.75" bottom="0.75" header="0.3" footer="0.3"/>
  <pageSetup paperSize="9" firstPageNumber="42949672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2:AN18"/>
  <sheetViews>
    <sheetView zoomScale="85" zoomScaleNormal="85" workbookViewId="0">
      <pane xSplit="4" ySplit="5" topLeftCell="X6" activePane="bottomRight" state="frozen"/>
      <selection pane="topRight"/>
      <selection pane="bottomLeft"/>
      <selection pane="bottomRight" activeCell="AA21" sqref="AA21"/>
    </sheetView>
  </sheetViews>
  <sheetFormatPr defaultColWidth="8.81640625" defaultRowHeight="14" x14ac:dyDescent="0.3"/>
  <cols>
    <col min="1" max="1" width="11.453125" style="37" customWidth="1"/>
    <col min="2" max="2" width="4.54296875" style="38" customWidth="1"/>
    <col min="3" max="3" width="18.453125" style="37" customWidth="1"/>
    <col min="4" max="4" width="19" style="38" customWidth="1"/>
    <col min="5" max="5" width="19.1796875" style="38" customWidth="1"/>
    <col min="6" max="6" width="17.54296875" style="38" customWidth="1"/>
    <col min="7" max="8" width="16.81640625" style="38" customWidth="1"/>
    <col min="9" max="10" width="14.54296875" style="38" customWidth="1"/>
    <col min="11" max="11" width="17.453125" style="38" customWidth="1"/>
    <col min="12" max="13" width="18.1796875" style="38" customWidth="1"/>
    <col min="14" max="14" width="14.54296875" style="38" customWidth="1"/>
    <col min="15" max="15" width="18.54296875" style="38" customWidth="1"/>
    <col min="16" max="16" width="1.54296875" style="38" customWidth="1"/>
    <col min="17" max="17" width="18.54296875" style="38" customWidth="1"/>
    <col min="18" max="18" width="21.1796875" style="38" customWidth="1"/>
    <col min="19" max="19" width="1.54296875" style="38" customWidth="1"/>
    <col min="20" max="20" width="17.453125" style="38" customWidth="1"/>
    <col min="21" max="21" width="13.54296875" style="38" customWidth="1"/>
    <col min="22" max="22" width="20.1796875" style="38" customWidth="1"/>
    <col min="23" max="23" width="1.54296875" style="38" customWidth="1"/>
    <col min="24" max="24" width="18.1796875" style="38" customWidth="1"/>
    <col min="25" max="25" width="16.453125" style="38" customWidth="1"/>
    <col min="26" max="26" width="15.453125" style="38" customWidth="1"/>
    <col min="27" max="27" width="18.54296875" style="38" customWidth="1"/>
    <col min="28" max="29" width="17.453125" style="38" customWidth="1"/>
    <col min="30" max="30" width="1.81640625" style="38" customWidth="1"/>
    <col min="31" max="31" width="16.1796875" style="38" customWidth="1"/>
    <col min="32" max="32" width="17.1796875" style="38" customWidth="1"/>
    <col min="33" max="33" width="17.453125" style="38" customWidth="1"/>
    <col min="34" max="34" width="17.54296875" style="38" customWidth="1"/>
    <col min="35" max="35" width="16.453125" style="38" customWidth="1"/>
    <col min="36" max="36" width="16.1796875" style="38" customWidth="1"/>
    <col min="37" max="38" width="17.81640625" style="38" customWidth="1"/>
    <col min="39" max="39" width="19.54296875" style="38" customWidth="1"/>
    <col min="40" max="40" width="2.1796875" style="38" customWidth="1"/>
    <col min="41" max="42" width="8.81640625" style="38" customWidth="1"/>
    <col min="43" max="43" width="11.81640625" style="38" customWidth="1"/>
    <col min="44" max="44" width="8.81640625" style="38"/>
    <col min="45" max="45" width="11.453125" style="38" bestFit="1" customWidth="1"/>
    <col min="46" max="16384" width="8.81640625" style="38"/>
  </cols>
  <sheetData>
    <row r="2" spans="1:40" ht="14.5" thickBot="1" x14ac:dyDescent="0.35">
      <c r="B2" s="39"/>
    </row>
    <row r="3" spans="1:40" ht="39" customHeight="1" x14ac:dyDescent="0.3">
      <c r="B3" s="21"/>
      <c r="C3" s="22"/>
      <c r="D3" s="22"/>
      <c r="E3" s="172" t="s">
        <v>0</v>
      </c>
      <c r="F3" s="173"/>
      <c r="G3" s="173"/>
      <c r="H3" s="173"/>
      <c r="I3" s="173"/>
      <c r="J3" s="173"/>
      <c r="K3" s="173"/>
      <c r="L3" s="173"/>
      <c r="M3" s="173"/>
      <c r="N3" s="173"/>
      <c r="O3" s="174"/>
      <c r="P3" s="23"/>
      <c r="Q3" s="175" t="s">
        <v>21</v>
      </c>
      <c r="R3" s="176"/>
      <c r="S3" s="23"/>
      <c r="T3" s="175" t="s">
        <v>16</v>
      </c>
      <c r="U3" s="177"/>
      <c r="V3" s="176"/>
      <c r="W3" s="24"/>
      <c r="X3" s="178" t="s">
        <v>41</v>
      </c>
      <c r="Y3" s="178"/>
      <c r="Z3" s="178"/>
      <c r="AA3" s="178"/>
      <c r="AB3" s="178"/>
      <c r="AC3" s="178"/>
      <c r="AD3" s="25"/>
      <c r="AE3" s="169" t="s">
        <v>25</v>
      </c>
      <c r="AF3" s="169"/>
      <c r="AG3" s="169"/>
      <c r="AH3" s="169"/>
      <c r="AI3" s="169"/>
      <c r="AJ3" s="169"/>
      <c r="AK3" s="169"/>
      <c r="AL3" s="169"/>
      <c r="AM3" s="170"/>
    </row>
    <row r="4" spans="1:40" ht="45.25" customHeight="1" x14ac:dyDescent="0.3">
      <c r="B4" s="158" t="s">
        <v>31</v>
      </c>
      <c r="C4" s="160" t="s">
        <v>40</v>
      </c>
      <c r="D4" s="162" t="s">
        <v>28</v>
      </c>
      <c r="E4" s="164" t="s">
        <v>35</v>
      </c>
      <c r="F4" s="165"/>
      <c r="G4" s="156" t="s">
        <v>140</v>
      </c>
      <c r="H4" s="156" t="s">
        <v>141</v>
      </c>
      <c r="I4" s="179" t="s">
        <v>76</v>
      </c>
      <c r="J4" s="180"/>
      <c r="K4" s="166" t="s">
        <v>33</v>
      </c>
      <c r="L4" s="167"/>
      <c r="M4" s="167"/>
      <c r="N4" s="167"/>
      <c r="O4" s="168"/>
      <c r="P4" s="26"/>
      <c r="Q4" s="154" t="s">
        <v>123</v>
      </c>
      <c r="R4" s="154" t="s">
        <v>124</v>
      </c>
      <c r="S4" s="26"/>
      <c r="T4" s="171" t="s">
        <v>125</v>
      </c>
      <c r="U4" s="154" t="s">
        <v>126</v>
      </c>
      <c r="V4" s="155" t="s">
        <v>75</v>
      </c>
      <c r="W4" s="27"/>
      <c r="X4" s="157" t="s">
        <v>30</v>
      </c>
      <c r="Y4" s="157" t="s">
        <v>34</v>
      </c>
      <c r="Z4" s="157" t="s">
        <v>1</v>
      </c>
      <c r="AA4" s="157" t="s">
        <v>68</v>
      </c>
      <c r="AB4" s="157" t="s">
        <v>11</v>
      </c>
      <c r="AC4" s="157" t="s">
        <v>9</v>
      </c>
      <c r="AD4" s="28"/>
      <c r="AE4" s="153" t="s">
        <v>6</v>
      </c>
      <c r="AF4" s="153" t="s">
        <v>13</v>
      </c>
      <c r="AG4" s="153" t="s">
        <v>27</v>
      </c>
      <c r="AH4" s="153" t="s">
        <v>69</v>
      </c>
      <c r="AI4" s="153" t="s">
        <v>20</v>
      </c>
      <c r="AJ4" s="153" t="s">
        <v>8</v>
      </c>
      <c r="AK4" s="153" t="s">
        <v>14</v>
      </c>
      <c r="AL4" s="153" t="s">
        <v>12</v>
      </c>
      <c r="AM4" s="152" t="s">
        <v>7</v>
      </c>
    </row>
    <row r="5" spans="1:40" ht="84" x14ac:dyDescent="0.3">
      <c r="B5" s="159"/>
      <c r="C5" s="161"/>
      <c r="D5" s="163"/>
      <c r="E5" s="29" t="s">
        <v>127</v>
      </c>
      <c r="F5" s="29" t="s">
        <v>128</v>
      </c>
      <c r="G5" s="156"/>
      <c r="H5" s="156"/>
      <c r="I5" s="86" t="s">
        <v>129</v>
      </c>
      <c r="J5" s="86" t="s">
        <v>130</v>
      </c>
      <c r="K5" s="30" t="s">
        <v>131</v>
      </c>
      <c r="L5" s="30" t="s">
        <v>132</v>
      </c>
      <c r="M5" s="30" t="s">
        <v>74</v>
      </c>
      <c r="N5" s="30" t="s">
        <v>133</v>
      </c>
      <c r="O5" s="86" t="s">
        <v>134</v>
      </c>
      <c r="P5" s="26"/>
      <c r="Q5" s="154"/>
      <c r="R5" s="154"/>
      <c r="S5" s="26"/>
      <c r="T5" s="171"/>
      <c r="U5" s="154"/>
      <c r="V5" s="156"/>
      <c r="W5" s="27"/>
      <c r="X5" s="157"/>
      <c r="Y5" s="157"/>
      <c r="Z5" s="157"/>
      <c r="AA5" s="157"/>
      <c r="AB5" s="157"/>
      <c r="AC5" s="157"/>
      <c r="AD5" s="28"/>
      <c r="AE5" s="153"/>
      <c r="AF5" s="153"/>
      <c r="AG5" s="153"/>
      <c r="AH5" s="153"/>
      <c r="AI5" s="153"/>
      <c r="AJ5" s="153"/>
      <c r="AK5" s="153"/>
      <c r="AL5" s="153"/>
      <c r="AM5" s="152"/>
    </row>
    <row r="6" spans="1:40" ht="28.5" customHeight="1" thickBot="1" x14ac:dyDescent="0.35">
      <c r="B6" s="40">
        <v>1</v>
      </c>
      <c r="C6" s="87" t="s">
        <v>122</v>
      </c>
      <c r="D6" s="88" t="s">
        <v>143</v>
      </c>
      <c r="E6" s="31">
        <v>28689</v>
      </c>
      <c r="F6" s="31">
        <v>13469</v>
      </c>
      <c r="G6" s="31">
        <v>1307</v>
      </c>
      <c r="H6" s="31">
        <v>0</v>
      </c>
      <c r="I6" s="32">
        <v>4.798</v>
      </c>
      <c r="J6" s="32">
        <v>3.9540000000000006</v>
      </c>
      <c r="K6" s="33">
        <v>2</v>
      </c>
      <c r="L6" s="33">
        <v>1</v>
      </c>
      <c r="M6" s="33">
        <v>3</v>
      </c>
      <c r="N6" s="33">
        <v>2</v>
      </c>
      <c r="O6" s="33">
        <v>1</v>
      </c>
      <c r="P6" s="34"/>
      <c r="Q6" s="89">
        <f>ROUND('2.6.Коэф_и_показатели'!$E$18+'2.6.Коэф_и_показатели'!$E$19*LN(I6),3)</f>
        <v>1.571</v>
      </c>
      <c r="R6" s="89">
        <f>ROUND('2.6.Коэф_и_показатели'!$E$20+'2.6.Коэф_и_показатели'!$E$21*LN(I6),3)</f>
        <v>1.655</v>
      </c>
      <c r="S6" s="35"/>
      <c r="T6" s="89">
        <f>ROUND(IF(K6=1,'2.7.SLA'!$D$4,IF(K6=2,'2.7.SLA'!$E$4,'2.7.SLA'!$F$4))*IF(N6=1,'2.7.SLA'!$D$7,IF(N6=2,'2.7.SLA'!$E$7,'2.7.SLA'!$F$7)),3)</f>
        <v>1.21</v>
      </c>
      <c r="U6" s="89">
        <f>ROUND(IF(L6=1,'2.7.SLA'!$D$5,IF(L6=2,'2.7.SLA'!$E$5,'2.7.SLA'!$F$5))*IF(N6=1,'2.7.SLA'!$D$7,IF(N6=2,'2.7.SLA'!$E$7,'2.7.SLA'!$F$7))*IF(O6=1,'2.7.SLA'!$D$8,IF(O6=2,'2.7.SLA'!$E$8,'2.7.SLA'!$F$8)),3)</f>
        <v>1.581</v>
      </c>
      <c r="V6" s="89">
        <f>ROUND(IF(M6=1,'2.7.SLA'!$D$6,IF(M6=2,'2.7.SLA'!$E$6,'2.7.SLA'!$F$6))*IF(N6=1,'2.7.SLA'!$D$7,IF(N6=2,'2.7.SLA'!$E$7,'2.7.SLA'!$F$7)),3)</f>
        <v>1.1000000000000001</v>
      </c>
      <c r="W6" s="36"/>
      <c r="X6" s="120">
        <f>ROUND('2.6.Коэф_и_показатели'!$E$3*POWER(E6+F6*'2.6.Коэф_и_показатели'!$E$23,'2.6.Коэф_и_показатели'!$E$11)*POWER(Q6,'2.6.Коэф_и_показатели'!$E$12)*T6*'2.8.Услуги'!$G$4,2)</f>
        <v>1940.65</v>
      </c>
      <c r="Y6" s="120">
        <f>ROUND('2.6.Коэф_и_показатели'!$E$4*POWER(E6+F6*'2.6.Коэф_и_показатели'!$E$25,'2.6.Коэф_и_показатели'!$E$13)*POWER(R6,'2.6.Коэф_и_показатели'!$E$14)*U6*'2.8.Услуги'!$G$12,2)</f>
        <v>3270.1</v>
      </c>
      <c r="Z6" s="120">
        <f>ROUND(('2.6.Коэф_и_показатели'!$E$6*LN(J6)+'2.6.Коэф_и_показатели'!$E$5*POWER(G6,'2.6.Коэф_и_показатели'!$E$15))*U6*'2.8.Услуги'!$G$24,2)</f>
        <v>1864.82</v>
      </c>
      <c r="AA6" s="121">
        <v>254</v>
      </c>
      <c r="AB6" s="120">
        <f>ROUND('2.6.Коэф_и_показатели'!$E$7*POWER(H6,'2.6.Коэф_и_показатели'!E16)*V6,2)</f>
        <v>0</v>
      </c>
      <c r="AC6" s="122">
        <f>ROUND('2.6.Коэф_и_показатели'!$E$9*POWER(H6,'2.6.Коэф_и_показатели'!E17)*V6,2)</f>
        <v>0</v>
      </c>
      <c r="AD6" s="123"/>
      <c r="AE6" s="120">
        <f>ROUND(X6*'2.5.СтоимостьЕдТрудоемкости'!$F$3,2)</f>
        <v>51008549.170000002</v>
      </c>
      <c r="AF6" s="120">
        <f>ROUND(Y6*'2.5.СтоимостьЕдТрудоемкости'!$F$3,2)</f>
        <v>85952158.629999995</v>
      </c>
      <c r="AG6" s="120">
        <f>ROUND(Z6*'2.5.СтоимостьЕдТрудоемкости'!$F$3,2)</f>
        <v>49015413.729999997</v>
      </c>
      <c r="AH6" s="120">
        <f>ROUND(AA6*'2.5.СтоимостьЕдТрудоемкости'!$F$3,2)</f>
        <v>6676202.04</v>
      </c>
      <c r="AI6" s="120">
        <f>ROUND(AB6*'2.5.СтоимостьЕдТрудоемкости'!$F$3,2)</f>
        <v>0</v>
      </c>
      <c r="AJ6" s="120">
        <f>ROUND(AC6*'2.5.СтоимостьЕдТрудоемкости'!$F$4,2)</f>
        <v>0</v>
      </c>
      <c r="AK6" s="120">
        <v>0</v>
      </c>
      <c r="AL6" s="120">
        <v>0</v>
      </c>
      <c r="AM6" s="41">
        <f>ROUND(SUM(AE6:AL6),2)</f>
        <v>192652323.56999999</v>
      </c>
    </row>
    <row r="7" spans="1:40" ht="15" customHeight="1" x14ac:dyDescent="0.3">
      <c r="I7" s="42"/>
      <c r="J7" s="42"/>
      <c r="K7" s="42"/>
      <c r="L7" s="42"/>
      <c r="M7" s="42"/>
      <c r="N7" s="42"/>
      <c r="O7" s="42"/>
      <c r="Q7" s="43"/>
      <c r="R7" s="43"/>
      <c r="X7" s="54"/>
      <c r="Y7" s="54"/>
      <c r="Z7" s="54"/>
      <c r="AA7" s="44"/>
      <c r="AB7" s="44"/>
      <c r="AC7" s="44"/>
      <c r="AE7" s="45"/>
      <c r="AF7" s="46"/>
      <c r="AG7" s="46"/>
      <c r="AH7" s="46"/>
      <c r="AI7" s="46"/>
      <c r="AJ7" s="46"/>
      <c r="AK7" s="46"/>
      <c r="AL7" s="46"/>
      <c r="AM7" s="46"/>
      <c r="AN7" s="46"/>
    </row>
    <row r="8" spans="1:40" ht="13.75" customHeight="1" x14ac:dyDescent="0.3">
      <c r="I8" s="42"/>
      <c r="J8" s="42"/>
      <c r="K8" s="42"/>
      <c r="L8" s="42"/>
      <c r="M8" s="42"/>
      <c r="N8" s="42"/>
      <c r="O8" s="42"/>
      <c r="Q8" s="43"/>
      <c r="R8" s="43"/>
      <c r="X8" s="44"/>
      <c r="Y8" s="44"/>
      <c r="Z8" s="44"/>
      <c r="AA8" s="44"/>
      <c r="AB8" s="44"/>
      <c r="AC8" s="44"/>
      <c r="AE8" s="47"/>
      <c r="AF8" s="47"/>
      <c r="AG8" s="47"/>
      <c r="AH8" s="47"/>
      <c r="AI8" s="47"/>
      <c r="AJ8" s="47"/>
      <c r="AK8" s="47"/>
      <c r="AL8" s="47"/>
      <c r="AM8" s="47"/>
      <c r="AN8" s="46"/>
    </row>
    <row r="9" spans="1:40" x14ac:dyDescent="0.3">
      <c r="X9" s="48"/>
      <c r="Y9" s="49" t="s">
        <v>111</v>
      </c>
      <c r="Z9" s="124">
        <v>365</v>
      </c>
      <c r="AA9" s="125">
        <f>ROUNDDOWN(AA6/365*$Z$9,0)</f>
        <v>254</v>
      </c>
      <c r="AE9" s="48"/>
      <c r="AF9" s="48"/>
      <c r="AG9" s="48"/>
      <c r="AH9" s="48"/>
      <c r="AI9" s="48"/>
      <c r="AM9" s="50"/>
    </row>
    <row r="10" spans="1:40" ht="14.5" thickBot="1" x14ac:dyDescent="0.35"/>
    <row r="11" spans="1:40" ht="122.25" customHeight="1" x14ac:dyDescent="0.3">
      <c r="Y11" s="51"/>
      <c r="Z11" s="52"/>
      <c r="AA11" s="18" t="s">
        <v>83</v>
      </c>
      <c r="AB11" s="19" t="s">
        <v>85</v>
      </c>
      <c r="AC11" s="19" t="s">
        <v>112</v>
      </c>
      <c r="AD11" s="53"/>
      <c r="AE11" s="19" t="s">
        <v>113</v>
      </c>
      <c r="AF11" s="19" t="s">
        <v>114</v>
      </c>
      <c r="AG11" s="19" t="s">
        <v>115</v>
      </c>
      <c r="AH11" s="19" t="s">
        <v>116</v>
      </c>
      <c r="AI11" s="19" t="s">
        <v>139</v>
      </c>
      <c r="AJ11" s="20" t="s">
        <v>117</v>
      </c>
    </row>
    <row r="12" spans="1:40" s="91" customFormat="1" x14ac:dyDescent="0.25">
      <c r="A12" s="90"/>
      <c r="C12" s="90"/>
      <c r="Y12" s="92"/>
      <c r="Z12" s="93"/>
      <c r="AA12" s="94">
        <v>2026</v>
      </c>
      <c r="AB12" s="95">
        <v>1.0275000000000001</v>
      </c>
      <c r="AC12" s="96">
        <v>43</v>
      </c>
      <c r="AD12" s="97"/>
      <c r="AE12" s="98">
        <f>ROUND($AE$6*$AC12/365*$AB12,2)</f>
        <v>6174480.0599999996</v>
      </c>
      <c r="AF12" s="98">
        <f>ROUND($AF$6*$AC12/365*$AB12,2)</f>
        <v>10404332.189999999</v>
      </c>
      <c r="AG12" s="98">
        <f>ROUND($AG$6*$AC12/365*$AB12,2)</f>
        <v>5933215.1200000001</v>
      </c>
      <c r="AH12" s="98">
        <f>$AH$14/$Z$9*$AC12</f>
        <v>820352.01846575341</v>
      </c>
      <c r="AI12" s="98">
        <f>ROUND(($AI$6+$AJ$6)*$AC12/365*$AB12,2)</f>
        <v>0</v>
      </c>
      <c r="AJ12" s="99">
        <f>SUM(AE12:AI12)</f>
        <v>23332379.388465755</v>
      </c>
    </row>
    <row r="13" spans="1:40" s="101" customFormat="1" x14ac:dyDescent="0.25">
      <c r="A13" s="100"/>
      <c r="C13" s="100"/>
      <c r="Y13" s="92"/>
      <c r="Z13" s="93"/>
      <c r="AA13" s="94">
        <v>2027</v>
      </c>
      <c r="AB13" s="102">
        <f>ROUND(AB12*(1+0.0205/12*10),4)</f>
        <v>1.0450999999999999</v>
      </c>
      <c r="AC13" s="96">
        <v>322</v>
      </c>
      <c r="AD13" s="103"/>
      <c r="AE13" s="104">
        <f>ROUND($AE$6*$AC13/365*$AB13,2)</f>
        <v>47028792.289999999</v>
      </c>
      <c r="AF13" s="104">
        <f>ROUND($AF$6*$AC13/365*$AB13,2)</f>
        <v>79246053.469999999</v>
      </c>
      <c r="AG13" s="104">
        <f>ROUND($AG$6*$AC13/365*$AB13,2)</f>
        <v>45191164.009999998</v>
      </c>
      <c r="AH13" s="104">
        <f>$AH$14/$Z$9*$AC13</f>
        <v>6143101.161534247</v>
      </c>
      <c r="AI13" s="98">
        <f>ROUND(($AI$6+$AJ$6)*$AC13/365*$AB13,2)</f>
        <v>0</v>
      </c>
      <c r="AJ13" s="99">
        <f>SUM(AE13:AI13)</f>
        <v>177609110.93153423</v>
      </c>
    </row>
    <row r="14" spans="1:40" s="91" customFormat="1" ht="14.5" thickBot="1" x14ac:dyDescent="0.3">
      <c r="A14" s="90"/>
      <c r="C14" s="90"/>
      <c r="Y14" s="93"/>
      <c r="Z14" s="101"/>
      <c r="AA14" s="105" t="s">
        <v>118</v>
      </c>
      <c r="AB14" s="106"/>
      <c r="AC14" s="106"/>
      <c r="AD14" s="107"/>
      <c r="AE14" s="108">
        <f>SUM(AE12:AE13)</f>
        <v>53203272.350000001</v>
      </c>
      <c r="AF14" s="108">
        <f>SUM(AF12:AF13)</f>
        <v>89650385.659999996</v>
      </c>
      <c r="AG14" s="108">
        <f>SUM(AG12:AG13)</f>
        <v>51124379.129999995</v>
      </c>
      <c r="AH14" s="108">
        <f>((ROUNDDOWN(AH6/AA6*AB12/Z9*AC12,2))+(ROUNDDOWN(AH6/AA6*AB13/Z9*AC13,2)))*AA9</f>
        <v>6963453.1800000006</v>
      </c>
      <c r="AI14" s="108">
        <f>SUM(AI12:AI13)</f>
        <v>0</v>
      </c>
      <c r="AJ14" s="109">
        <f>SUM(AE14:AI14)</f>
        <v>200941490.31999999</v>
      </c>
    </row>
    <row r="15" spans="1:40" s="91" customFormat="1" x14ac:dyDescent="0.25">
      <c r="A15" s="90"/>
      <c r="C15" s="90"/>
      <c r="Y15" s="93"/>
      <c r="Z15" s="101"/>
      <c r="AH15" s="110"/>
    </row>
    <row r="16" spans="1:40" s="91" customFormat="1" x14ac:dyDescent="0.25">
      <c r="A16" s="90"/>
      <c r="C16" s="90"/>
    </row>
    <row r="18" spans="29:29" x14ac:dyDescent="0.3">
      <c r="AC18" s="126"/>
    </row>
  </sheetData>
  <mergeCells count="33">
    <mergeCell ref="K4:O4"/>
    <mergeCell ref="AG4:AG5"/>
    <mergeCell ref="R4:R5"/>
    <mergeCell ref="AJ4:AJ5"/>
    <mergeCell ref="AE3:AM3"/>
    <mergeCell ref="T4:T5"/>
    <mergeCell ref="E3:O3"/>
    <mergeCell ref="Q3:R3"/>
    <mergeCell ref="T3:V3"/>
    <mergeCell ref="X3:AC3"/>
    <mergeCell ref="H4:H5"/>
    <mergeCell ref="I4:J4"/>
    <mergeCell ref="AI4:AI5"/>
    <mergeCell ref="Q4:Q5"/>
    <mergeCell ref="AK4:AK5"/>
    <mergeCell ref="AL4:AL5"/>
    <mergeCell ref="B4:B5"/>
    <mergeCell ref="C4:C5"/>
    <mergeCell ref="D4:D5"/>
    <mergeCell ref="E4:F4"/>
    <mergeCell ref="G4:G5"/>
    <mergeCell ref="AM4:AM5"/>
    <mergeCell ref="AH4:AH5"/>
    <mergeCell ref="U4:U5"/>
    <mergeCell ref="V4:V5"/>
    <mergeCell ref="X4:X5"/>
    <mergeCell ref="Y4:Y5"/>
    <mergeCell ref="Z4:Z5"/>
    <mergeCell ref="AA4:AA5"/>
    <mergeCell ref="AB4:AB5"/>
    <mergeCell ref="AC4:AC5"/>
    <mergeCell ref="AE4:AE5"/>
    <mergeCell ref="AF4:AF5"/>
  </mergeCells>
  <pageMargins left="0.74803149606299213" right="0.74803149606299213" top="0.98425196850393704" bottom="0.98425196850393704" header="0" footer="0"/>
  <pageSetup paperSize="8" scale="21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"/>
  <sheetViews>
    <sheetView zoomScale="80" zoomScaleNormal="80" workbookViewId="0">
      <selection activeCell="A2" sqref="A2"/>
    </sheetView>
  </sheetViews>
  <sheetFormatPr defaultColWidth="9.1796875" defaultRowHeight="15.5" x14ac:dyDescent="0.35"/>
  <cols>
    <col min="1" max="1" width="9.1796875" style="82" customWidth="1"/>
    <col min="2" max="2" width="15.81640625" style="82" customWidth="1"/>
    <col min="3" max="3" width="42.1796875" style="82" customWidth="1"/>
    <col min="4" max="5" width="3.54296875" style="82" customWidth="1"/>
    <col min="6" max="6" width="25.1796875" style="82" customWidth="1"/>
    <col min="7" max="16384" width="9.1796875" style="82"/>
  </cols>
  <sheetData>
    <row r="2" spans="1:8" s="80" customFormat="1" ht="60.5" x14ac:dyDescent="0.25">
      <c r="A2" s="83" t="s">
        <v>31</v>
      </c>
      <c r="B2" s="84" t="s">
        <v>70</v>
      </c>
      <c r="C2" s="181" t="s">
        <v>71</v>
      </c>
      <c r="D2" s="182"/>
      <c r="E2" s="183"/>
      <c r="F2" s="85" t="s">
        <v>148</v>
      </c>
    </row>
    <row r="3" spans="1:8" s="80" customFormat="1" ht="53.15" customHeight="1" x14ac:dyDescent="0.25">
      <c r="A3" s="8" t="s">
        <v>38</v>
      </c>
      <c r="B3" s="16" t="s">
        <v>66</v>
      </c>
      <c r="C3" s="184" t="s">
        <v>72</v>
      </c>
      <c r="D3" s="185"/>
      <c r="E3" s="186"/>
      <c r="F3" s="17">
        <f>ROUND(274521.1/0.65*1.05*1.22*12/247,2)</f>
        <v>26284.26</v>
      </c>
      <c r="H3" s="81"/>
    </row>
    <row r="4" spans="1:8" s="80" customFormat="1" ht="53.15" customHeight="1" x14ac:dyDescent="0.25">
      <c r="A4" s="8" t="s">
        <v>22</v>
      </c>
      <c r="B4" s="16" t="s">
        <v>67</v>
      </c>
      <c r="C4" s="184" t="s">
        <v>73</v>
      </c>
      <c r="D4" s="185"/>
      <c r="E4" s="186"/>
      <c r="F4" s="17">
        <f>ROUND(138314.6/0.64*1.05*1.22*12/247,2)</f>
        <v>13449.97</v>
      </c>
      <c r="H4" s="81"/>
    </row>
  </sheetData>
  <mergeCells count="3">
    <mergeCell ref="C2:E2"/>
    <mergeCell ref="C3:E3"/>
    <mergeCell ref="C4:E4"/>
  </mergeCells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zoomScale="82" zoomScaleNormal="82" workbookViewId="0">
      <selection activeCell="B2" sqref="B2"/>
    </sheetView>
  </sheetViews>
  <sheetFormatPr defaultColWidth="9.1796875" defaultRowHeight="12.5" x14ac:dyDescent="0.25"/>
  <cols>
    <col min="1" max="1" width="9.1796875" style="1" customWidth="1"/>
    <col min="2" max="2" width="5.1796875" style="1" customWidth="1"/>
    <col min="3" max="3" width="24.81640625" style="1" customWidth="1"/>
    <col min="4" max="4" width="14" style="1" customWidth="1"/>
    <col min="5" max="5" width="9.453125" style="1" customWidth="1"/>
    <col min="6" max="16384" width="9.1796875" style="1"/>
  </cols>
  <sheetData>
    <row r="2" spans="2:7" ht="28" x14ac:dyDescent="0.25">
      <c r="B2" s="2" t="s">
        <v>31</v>
      </c>
      <c r="C2" s="2" t="s">
        <v>15</v>
      </c>
      <c r="D2" s="3" t="s">
        <v>10</v>
      </c>
      <c r="E2" s="3" t="s">
        <v>29</v>
      </c>
    </row>
    <row r="3" spans="2:7" ht="16.75" customHeight="1" x14ac:dyDescent="0.25">
      <c r="B3" s="187" t="s">
        <v>38</v>
      </c>
      <c r="C3" s="190" t="s">
        <v>18</v>
      </c>
      <c r="D3" s="3" t="s">
        <v>42</v>
      </c>
      <c r="E3" s="7">
        <v>11.13</v>
      </c>
    </row>
    <row r="4" spans="2:7" ht="16.75" customHeight="1" x14ac:dyDescent="0.25">
      <c r="B4" s="188"/>
      <c r="C4" s="190"/>
      <c r="D4" s="3" t="s">
        <v>43</v>
      </c>
      <c r="E4" s="7">
        <v>22.54</v>
      </c>
    </row>
    <row r="5" spans="2:7" ht="17" x14ac:dyDescent="0.25">
      <c r="B5" s="188"/>
      <c r="C5" s="190"/>
      <c r="D5" s="3" t="s">
        <v>44</v>
      </c>
      <c r="E5" s="7">
        <v>0.85499999999999998</v>
      </c>
    </row>
    <row r="6" spans="2:7" ht="17" x14ac:dyDescent="0.25">
      <c r="B6" s="188"/>
      <c r="C6" s="190"/>
      <c r="D6" s="3" t="s">
        <v>45</v>
      </c>
      <c r="E6" s="7">
        <v>318</v>
      </c>
    </row>
    <row r="7" spans="2:7" ht="17" x14ac:dyDescent="0.25">
      <c r="B7" s="188"/>
      <c r="C7" s="190"/>
      <c r="D7" s="3" t="s">
        <v>46</v>
      </c>
      <c r="E7" s="7">
        <v>1.429</v>
      </c>
    </row>
    <row r="8" spans="2:7" ht="17" x14ac:dyDescent="0.25">
      <c r="B8" s="188"/>
      <c r="C8" s="190"/>
      <c r="D8" s="3" t="s">
        <v>47</v>
      </c>
      <c r="E8" s="7">
        <v>0.43099999999999999</v>
      </c>
    </row>
    <row r="9" spans="2:7" ht="17" x14ac:dyDescent="0.25">
      <c r="B9" s="188"/>
      <c r="C9" s="190"/>
      <c r="D9" s="3" t="s">
        <v>48</v>
      </c>
      <c r="E9" s="7">
        <v>0.79600000000000004</v>
      </c>
      <c r="G9" s="4"/>
    </row>
    <row r="10" spans="2:7" ht="17" x14ac:dyDescent="0.25">
      <c r="B10" s="192"/>
      <c r="C10" s="190"/>
      <c r="D10" s="3" t="s">
        <v>49</v>
      </c>
      <c r="E10" s="7">
        <v>0.41299999999999998</v>
      </c>
    </row>
    <row r="11" spans="2:7" ht="17" x14ac:dyDescent="0.25">
      <c r="B11" s="193" t="s">
        <v>22</v>
      </c>
      <c r="C11" s="193" t="s">
        <v>37</v>
      </c>
      <c r="D11" s="3" t="s">
        <v>50</v>
      </c>
      <c r="E11" s="5">
        <v>0.438</v>
      </c>
    </row>
    <row r="12" spans="2:7" ht="17" x14ac:dyDescent="0.25">
      <c r="B12" s="194"/>
      <c r="C12" s="194"/>
      <c r="D12" s="3" t="s">
        <v>51</v>
      </c>
      <c r="E12" s="5">
        <v>1.048</v>
      </c>
    </row>
    <row r="13" spans="2:7" ht="17" x14ac:dyDescent="0.25">
      <c r="B13" s="194"/>
      <c r="C13" s="194"/>
      <c r="D13" s="3" t="s">
        <v>52</v>
      </c>
      <c r="E13" s="5">
        <v>0.372</v>
      </c>
    </row>
    <row r="14" spans="2:7" ht="17" x14ac:dyDescent="0.25">
      <c r="B14" s="194"/>
      <c r="C14" s="194"/>
      <c r="D14" s="3" t="s">
        <v>53</v>
      </c>
      <c r="E14" s="13">
        <v>1.39</v>
      </c>
    </row>
    <row r="15" spans="2:7" ht="17" x14ac:dyDescent="0.25">
      <c r="B15" s="194"/>
      <c r="C15" s="194"/>
      <c r="D15" s="3" t="s">
        <v>106</v>
      </c>
      <c r="E15" s="5">
        <v>0.94299999999999995</v>
      </c>
    </row>
    <row r="16" spans="2:7" ht="17" x14ac:dyDescent="0.25">
      <c r="B16" s="194"/>
      <c r="C16" s="194"/>
      <c r="D16" s="3" t="s">
        <v>107</v>
      </c>
      <c r="E16" s="5">
        <v>0.94299999999999995</v>
      </c>
    </row>
    <row r="17" spans="2:7" ht="17" x14ac:dyDescent="0.25">
      <c r="B17" s="194"/>
      <c r="C17" s="194"/>
      <c r="D17" s="3" t="s">
        <v>108</v>
      </c>
      <c r="E17" s="5">
        <v>0.94299999999999995</v>
      </c>
    </row>
    <row r="18" spans="2:7" ht="17" x14ac:dyDescent="0.25">
      <c r="B18" s="187" t="s">
        <v>23</v>
      </c>
      <c r="C18" s="190" t="s">
        <v>5</v>
      </c>
      <c r="D18" s="3" t="s">
        <v>54</v>
      </c>
      <c r="E18" s="5">
        <v>0.58899999999999997</v>
      </c>
    </row>
    <row r="19" spans="2:7" ht="17" x14ac:dyDescent="0.25">
      <c r="B19" s="188"/>
      <c r="C19" s="190"/>
      <c r="D19" s="3" t="s">
        <v>55</v>
      </c>
      <c r="E19" s="5">
        <v>0.626</v>
      </c>
    </row>
    <row r="20" spans="2:7" ht="17" x14ac:dyDescent="0.25">
      <c r="B20" s="188"/>
      <c r="C20" s="190"/>
      <c r="D20" s="3" t="s">
        <v>56</v>
      </c>
      <c r="E20" s="5">
        <v>0.67300000000000004</v>
      </c>
    </row>
    <row r="21" spans="2:7" ht="17" x14ac:dyDescent="0.25">
      <c r="B21" s="192"/>
      <c r="C21" s="190"/>
      <c r="D21" s="3" t="s">
        <v>57</v>
      </c>
      <c r="E21" s="5">
        <v>0.626</v>
      </c>
    </row>
    <row r="22" spans="2:7" ht="17" x14ac:dyDescent="0.25">
      <c r="B22" s="187" t="s">
        <v>24</v>
      </c>
      <c r="C22" s="190" t="s">
        <v>39</v>
      </c>
      <c r="D22" s="3" t="s">
        <v>58</v>
      </c>
      <c r="E22" s="5">
        <v>1</v>
      </c>
    </row>
    <row r="23" spans="2:7" ht="17" x14ac:dyDescent="0.25">
      <c r="B23" s="188"/>
      <c r="C23" s="190"/>
      <c r="D23" s="3" t="s">
        <v>59</v>
      </c>
      <c r="E23" s="6">
        <f>1/150</f>
        <v>6.6666666666666671E-3</v>
      </c>
      <c r="G23" s="4"/>
    </row>
    <row r="24" spans="2:7" ht="17" x14ac:dyDescent="0.25">
      <c r="B24" s="188"/>
      <c r="C24" s="190"/>
      <c r="D24" s="3" t="s">
        <v>60</v>
      </c>
      <c r="E24" s="5">
        <v>1</v>
      </c>
    </row>
    <row r="25" spans="2:7" ht="17" x14ac:dyDescent="0.25">
      <c r="B25" s="189"/>
      <c r="C25" s="191"/>
      <c r="D25" s="14" t="s">
        <v>61</v>
      </c>
      <c r="E25" s="15">
        <f>1/275</f>
        <v>3.6363636363636364E-3</v>
      </c>
    </row>
  </sheetData>
  <sheetProtection sheet="1" objects="1" scenarios="1"/>
  <mergeCells count="8">
    <mergeCell ref="B22:B25"/>
    <mergeCell ref="C22:C25"/>
    <mergeCell ref="C3:C10"/>
    <mergeCell ref="B3:B10"/>
    <mergeCell ref="B11:B17"/>
    <mergeCell ref="C11:C17"/>
    <mergeCell ref="B18:B21"/>
    <mergeCell ref="C18:C21"/>
  </mergeCells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8"/>
  <sheetViews>
    <sheetView zoomScale="90" zoomScaleNormal="90" workbookViewId="0">
      <selection activeCell="I18" sqref="I18"/>
    </sheetView>
  </sheetViews>
  <sheetFormatPr defaultColWidth="9.1796875" defaultRowHeight="12.5" x14ac:dyDescent="0.25"/>
  <cols>
    <col min="1" max="1" width="9.1796875" style="1" customWidth="1"/>
    <col min="2" max="2" width="34.81640625" style="1" customWidth="1"/>
    <col min="3" max="3" width="14.54296875" style="1" customWidth="1"/>
    <col min="4" max="16384" width="9.1796875" style="1"/>
  </cols>
  <sheetData>
    <row r="3" spans="2:6" ht="28" x14ac:dyDescent="0.25">
      <c r="B3" s="2" t="s">
        <v>19</v>
      </c>
      <c r="C3" s="3" t="s">
        <v>10</v>
      </c>
      <c r="D3" s="3" t="s">
        <v>4</v>
      </c>
      <c r="E3" s="3" t="s">
        <v>3</v>
      </c>
      <c r="F3" s="3" t="s">
        <v>2</v>
      </c>
    </row>
    <row r="4" spans="2:6" ht="42" x14ac:dyDescent="0.25">
      <c r="B4" s="11" t="s">
        <v>32</v>
      </c>
      <c r="C4" s="3" t="s">
        <v>62</v>
      </c>
      <c r="D4" s="3">
        <v>1.25</v>
      </c>
      <c r="E4" s="3">
        <v>1.1000000000000001</v>
      </c>
      <c r="F4" s="3">
        <v>1</v>
      </c>
    </row>
    <row r="5" spans="2:6" ht="42" x14ac:dyDescent="0.25">
      <c r="B5" s="11" t="s">
        <v>36</v>
      </c>
      <c r="C5" s="3" t="s">
        <v>63</v>
      </c>
      <c r="D5" s="3">
        <v>1.25</v>
      </c>
      <c r="E5" s="3">
        <v>1.1000000000000001</v>
      </c>
      <c r="F5" s="3">
        <v>1</v>
      </c>
    </row>
    <row r="6" spans="2:6" ht="56" x14ac:dyDescent="0.25">
      <c r="B6" s="11" t="s">
        <v>109</v>
      </c>
      <c r="C6" s="3" t="s">
        <v>110</v>
      </c>
      <c r="D6" s="3">
        <v>1.25</v>
      </c>
      <c r="E6" s="3">
        <v>1.1000000000000001</v>
      </c>
      <c r="F6" s="3">
        <v>1</v>
      </c>
    </row>
    <row r="7" spans="2:6" ht="42" x14ac:dyDescent="0.25">
      <c r="B7" s="11" t="s">
        <v>26</v>
      </c>
      <c r="C7" s="3" t="s">
        <v>64</v>
      </c>
      <c r="D7" s="3">
        <v>1.1499999999999999</v>
      </c>
      <c r="E7" s="3">
        <v>1.1000000000000001</v>
      </c>
      <c r="F7" s="3">
        <v>1</v>
      </c>
    </row>
    <row r="8" spans="2:6" ht="42" x14ac:dyDescent="0.25">
      <c r="B8" s="11" t="s">
        <v>17</v>
      </c>
      <c r="C8" s="3" t="s">
        <v>65</v>
      </c>
      <c r="D8" s="3">
        <v>1.1499999999999999</v>
      </c>
      <c r="E8" s="3">
        <v>1.1000000000000001</v>
      </c>
      <c r="F8" s="3">
        <v>1</v>
      </c>
    </row>
  </sheetData>
  <sheetProtection sheet="1" objects="1" scenarios="1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zoomScale="80" zoomScaleNormal="80" workbookViewId="0">
      <selection activeCell="B3" sqref="B3"/>
    </sheetView>
  </sheetViews>
  <sheetFormatPr defaultColWidth="9.1796875" defaultRowHeight="13" x14ac:dyDescent="0.3"/>
  <cols>
    <col min="1" max="1" width="9.1796875" style="117"/>
    <col min="2" max="2" width="45.54296875" style="117" customWidth="1"/>
    <col min="3" max="3" width="49.26953125" style="117" customWidth="1"/>
    <col min="4" max="4" width="9.1796875" style="117"/>
    <col min="5" max="5" width="26" style="118" customWidth="1"/>
    <col min="6" max="6" width="9.1796875" style="117"/>
    <col min="7" max="7" width="18.1796875" style="118" customWidth="1"/>
    <col min="8" max="16384" width="9.1796875" style="117"/>
  </cols>
  <sheetData>
    <row r="1" spans="2:7" ht="13.5" thickBot="1" x14ac:dyDescent="0.35"/>
    <row r="2" spans="2:7" ht="60.5" thickBot="1" x14ac:dyDescent="0.35">
      <c r="E2" s="12" t="s">
        <v>86</v>
      </c>
      <c r="G2" s="12" t="s">
        <v>87</v>
      </c>
    </row>
    <row r="3" spans="2:7" ht="30.5" thickBot="1" x14ac:dyDescent="0.35">
      <c r="B3" s="116" t="s">
        <v>88</v>
      </c>
      <c r="C3" s="116" t="s">
        <v>89</v>
      </c>
    </row>
    <row r="4" spans="2:7" ht="15.5" x14ac:dyDescent="0.3">
      <c r="B4" s="111" t="s">
        <v>90</v>
      </c>
      <c r="C4" s="113">
        <v>0.87</v>
      </c>
      <c r="G4" s="195">
        <f>IF(E5=1,C5,0)+IF(E6=1,C6,0)+IF(E7=1,C7,0)</f>
        <v>1</v>
      </c>
    </row>
    <row r="5" spans="2:7" ht="15.5" x14ac:dyDescent="0.3">
      <c r="B5" s="114" t="s">
        <v>91</v>
      </c>
      <c r="C5" s="115">
        <v>0.61</v>
      </c>
      <c r="E5" s="119">
        <v>1</v>
      </c>
      <c r="G5" s="196"/>
    </row>
    <row r="6" spans="2:7" ht="15.5" x14ac:dyDescent="0.3">
      <c r="B6" s="114" t="s">
        <v>92</v>
      </c>
      <c r="C6" s="115">
        <v>0.26</v>
      </c>
      <c r="E6" s="119">
        <v>1</v>
      </c>
      <c r="G6" s="196"/>
    </row>
    <row r="7" spans="2:7" ht="16" thickBot="1" x14ac:dyDescent="0.35">
      <c r="B7" s="111" t="s">
        <v>93</v>
      </c>
      <c r="C7" s="113">
        <v>0.13</v>
      </c>
      <c r="E7" s="119">
        <v>1</v>
      </c>
      <c r="G7" s="197"/>
    </row>
    <row r="11" spans="2:7" ht="36.75" customHeight="1" thickBot="1" x14ac:dyDescent="0.35">
      <c r="B11" s="116" t="s">
        <v>88</v>
      </c>
      <c r="C11" s="116" t="s">
        <v>94</v>
      </c>
    </row>
    <row r="12" spans="2:7" ht="15.5" x14ac:dyDescent="0.3">
      <c r="B12" s="111" t="s">
        <v>95</v>
      </c>
      <c r="C12" s="113">
        <v>0.45</v>
      </c>
      <c r="G12" s="195">
        <f>IF(E13=1,C13,0)+IF(E14=1,C14,0)+IF(E15=1,C15,0)+IF(E16=1,C16,0)+IF(E17=1,C17,0)+IF(E18=1,C18,0)+IF(E19=1,C19,0)</f>
        <v>0.99999999999999989</v>
      </c>
    </row>
    <row r="13" spans="2:7" ht="15.5" x14ac:dyDescent="0.3">
      <c r="B13" s="114" t="s">
        <v>96</v>
      </c>
      <c r="C13" s="115">
        <v>0.3</v>
      </c>
      <c r="E13" s="119">
        <v>1</v>
      </c>
      <c r="G13" s="196"/>
    </row>
    <row r="14" spans="2:7" ht="15.5" x14ac:dyDescent="0.3">
      <c r="B14" s="114" t="s">
        <v>97</v>
      </c>
      <c r="C14" s="115">
        <v>0.15</v>
      </c>
      <c r="E14" s="119">
        <v>1</v>
      </c>
      <c r="G14" s="196"/>
    </row>
    <row r="15" spans="2:7" ht="15.5" x14ac:dyDescent="0.3">
      <c r="B15" s="111" t="s">
        <v>98</v>
      </c>
      <c r="C15" s="113">
        <v>7.0000000000000007E-2</v>
      </c>
      <c r="E15" s="119">
        <v>1</v>
      </c>
      <c r="G15" s="196"/>
    </row>
    <row r="16" spans="2:7" ht="15.5" x14ac:dyDescent="0.3">
      <c r="B16" s="111" t="s">
        <v>99</v>
      </c>
      <c r="C16" s="113">
        <v>0.19</v>
      </c>
      <c r="E16" s="119">
        <v>1</v>
      </c>
      <c r="G16" s="196"/>
    </row>
    <row r="17" spans="2:7" ht="15.5" x14ac:dyDescent="0.3">
      <c r="B17" s="111" t="s">
        <v>100</v>
      </c>
      <c r="C17" s="113">
        <v>0.08</v>
      </c>
      <c r="E17" s="119">
        <v>1</v>
      </c>
      <c r="G17" s="196"/>
    </row>
    <row r="18" spans="2:7" ht="15.5" x14ac:dyDescent="0.3">
      <c r="B18" s="111" t="s">
        <v>101</v>
      </c>
      <c r="C18" s="113">
        <v>0.09</v>
      </c>
      <c r="E18" s="119">
        <v>1</v>
      </c>
      <c r="G18" s="196"/>
    </row>
    <row r="19" spans="2:7" ht="16" thickBot="1" x14ac:dyDescent="0.35">
      <c r="B19" s="112" t="s">
        <v>102</v>
      </c>
      <c r="C19" s="113">
        <v>0.12</v>
      </c>
      <c r="E19" s="119">
        <v>1</v>
      </c>
      <c r="G19" s="197"/>
    </row>
    <row r="23" spans="2:7" ht="35.25" customHeight="1" thickBot="1" x14ac:dyDescent="0.35">
      <c r="B23" s="116" t="s">
        <v>88</v>
      </c>
      <c r="C23" s="116" t="s">
        <v>103</v>
      </c>
    </row>
    <row r="24" spans="2:7" ht="15.5" x14ac:dyDescent="0.3">
      <c r="B24" s="111" t="s">
        <v>95</v>
      </c>
      <c r="C24" s="113">
        <v>0.28000000000000003</v>
      </c>
      <c r="G24" s="195">
        <f>IF(E25=1,C25,0)+IF(E26=1,C26,0)+IF(E27=1,C27,0)+IF(E28=1,C28,0)+IF(E29=1,C29,0)+IF(E30=1,C30,0)+IF(E31=1,C31,0)</f>
        <v>1</v>
      </c>
    </row>
    <row r="25" spans="2:7" ht="15.5" x14ac:dyDescent="0.3">
      <c r="B25" s="114" t="s">
        <v>96</v>
      </c>
      <c r="C25" s="115">
        <v>0.19</v>
      </c>
      <c r="E25" s="119">
        <v>1</v>
      </c>
      <c r="G25" s="196"/>
    </row>
    <row r="26" spans="2:7" ht="15.5" x14ac:dyDescent="0.3">
      <c r="B26" s="114" t="s">
        <v>97</v>
      </c>
      <c r="C26" s="115">
        <v>0.09</v>
      </c>
      <c r="E26" s="119">
        <v>1</v>
      </c>
      <c r="G26" s="196"/>
    </row>
    <row r="27" spans="2:7" ht="15.5" x14ac:dyDescent="0.3">
      <c r="B27" s="111" t="s">
        <v>98</v>
      </c>
      <c r="C27" s="113">
        <v>0.09</v>
      </c>
      <c r="E27" s="119">
        <v>1</v>
      </c>
      <c r="G27" s="196"/>
    </row>
    <row r="28" spans="2:7" ht="15.5" x14ac:dyDescent="0.3">
      <c r="B28" s="111" t="s">
        <v>99</v>
      </c>
      <c r="C28" s="113">
        <v>0.16</v>
      </c>
      <c r="E28" s="119">
        <v>1</v>
      </c>
      <c r="G28" s="196"/>
    </row>
    <row r="29" spans="2:7" ht="15.5" x14ac:dyDescent="0.3">
      <c r="B29" s="111" t="s">
        <v>104</v>
      </c>
      <c r="C29" s="113">
        <v>0.08</v>
      </c>
      <c r="E29" s="119">
        <v>1</v>
      </c>
      <c r="G29" s="196"/>
    </row>
    <row r="30" spans="2:7" ht="15.5" x14ac:dyDescent="0.3">
      <c r="B30" s="112" t="s">
        <v>102</v>
      </c>
      <c r="C30" s="113">
        <v>0.25</v>
      </c>
      <c r="E30" s="119">
        <v>1</v>
      </c>
      <c r="G30" s="196"/>
    </row>
    <row r="31" spans="2:7" ht="16" thickBot="1" x14ac:dyDescent="0.35">
      <c r="B31" s="112" t="s">
        <v>105</v>
      </c>
      <c r="C31" s="113">
        <v>0.14000000000000001</v>
      </c>
      <c r="E31" s="119">
        <v>1</v>
      </c>
      <c r="G31" s="197"/>
    </row>
  </sheetData>
  <mergeCells count="3">
    <mergeCell ref="G4:G7"/>
    <mergeCell ref="G12:G19"/>
    <mergeCell ref="G24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2.1.Титул</vt:lpstr>
      <vt:lpstr>2.2.Свод_ТЗ</vt:lpstr>
      <vt:lpstr>2.3.Свод_по_годам</vt:lpstr>
      <vt:lpstr>2.4.Расчет_ТП</vt:lpstr>
      <vt:lpstr>2.5.СтоимостьЕдТрудоемкости</vt:lpstr>
      <vt:lpstr>2.6.Коэф_и_показатели</vt:lpstr>
      <vt:lpstr>2.7.SLA</vt:lpstr>
      <vt:lpstr>2.8.Услуги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Корникова Ольга Павловна</dc:creator>
  <cp:lastModifiedBy>Андронова Елена Васильевна</cp:lastModifiedBy>
  <cp:lastPrinted>2016-07-19T17:58:28Z</cp:lastPrinted>
  <dcterms:created xsi:type="dcterms:W3CDTF">2004-05-16T18:44:46Z</dcterms:created>
  <dcterms:modified xsi:type="dcterms:W3CDTF">2026-09-29T09:29:03Z</dcterms:modified>
</cp:coreProperties>
</file>